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C:\SysAdmin\Log\Research2\prime8_temp_downloads\model_checkouts\"/>
    </mc:Choice>
  </mc:AlternateContent>
  <xr:revisionPtr revIDLastSave="0" documentId="13_ncr:1_{198B689F-DC96-46D0-9BF1-019054AC0C47}" xr6:coauthVersionLast="47" xr6:coauthVersionMax="47" xr10:uidLastSave="{00000000-0000-0000-0000-000000000000}"/>
  <bookViews>
    <workbookView xWindow="11130" yWindow="4110" windowWidth="25575" windowHeight="15240" tabRatio="893" xr2:uid="{89034F70-556B-4DE3-90F0-171C4AFA5076}"/>
  </bookViews>
  <sheets>
    <sheet name="ImportantDisclosures" sheetId="35" r:id="rId1"/>
    <sheet name="Valuation Summary" sheetId="3" r:id="rId2"/>
    <sheet name="Divisional" sheetId="4" r:id="rId3"/>
    <sheet name="Quarterlies" sheetId="5" r:id="rId4"/>
    <sheet name="IS" sheetId="6" r:id="rId5"/>
    <sheet name="CF" sheetId="7" r:id="rId6"/>
    <sheet name="BS" sheetId="8" r:id="rId7"/>
    <sheet name="Propulsion" sheetId="9" r:id="rId8"/>
    <sheet name="Civil OE" sheetId="10" r:id="rId9"/>
    <sheet name="Civil AM" sheetId="11" r:id="rId10"/>
    <sheet name="Equipment &amp; Defense" sheetId="12" r:id="rId11"/>
    <sheet name="Interiors" sheetId="13" r:id="rId12"/>
    <sheet name="Bull Bear Base " sheetId="16" r:id="rId13"/>
    <sheet name="IndexInformation" sheetId="36" r:id="rId14"/>
    <sheet name="ModPubIndex" sheetId="37" r:id="rId15"/>
  </sheets>
  <externalReferences>
    <externalReference r:id="rId16"/>
  </externalReferences>
  <definedNames>
    <definedName name="_1H_96">"assumpt"</definedName>
    <definedName name="_AnnualBalanceSheetStatement">BS!$A$6:$H$56</definedName>
    <definedName name="_AnnualIncomeStatement">IS!$A$63:$H$95</definedName>
    <definedName name="_AnnualSegmentOperatingStatement">Divisional!$A$2:$H$62</definedName>
    <definedName name="_InterimIncomeStatement">IS!$A$63:$AC$91</definedName>
    <definedName name="_InterimSegmentOperatingStatement">Divisional!$A$2:$AE$62</definedName>
    <definedName name="_SegmentAnnualOperatingStatement">Divisional!$A$2:$H$62</definedName>
    <definedName name="BBB_atPT">#REF!</definedName>
    <definedName name="CF_OP_GR">"'BackSheet!$D$239:$AG$239"</definedName>
    <definedName name="CF_PR_DV">"'BackSheet!$D$241:$AG$241"</definedName>
    <definedName name="CFMLEAPunits">#REF!</definedName>
    <definedName name="CivilEBITAbreak">#REF!</definedName>
    <definedName name="CivilOE">#REF!</definedName>
    <definedName name="css_table">#REF!</definedName>
    <definedName name="Dash">"v3.54"</definedName>
    <definedName name="DB">"WIREUK"</definedName>
    <definedName name="DCF_ests">#REF!</definedName>
    <definedName name="DCFtable">#REF!</definedName>
    <definedName name="FR_CODE_COPY_LINK">" "</definedName>
    <definedName name="FR_CODE_DOWNLOAD_START">" "</definedName>
    <definedName name="FR_CODE_STOCK_LINK">" "</definedName>
    <definedName name="FR_COM_ABBR">"APPB"</definedName>
    <definedName name="FR_COM_AGG">0</definedName>
    <definedName name="FR_COU_ABBR">"usa"</definedName>
    <definedName name="FR_DATABOX_DOWNLOAD">"Y"</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1</definedName>
    <definedName name="FR_SHOW_LINK_MARKER">FALSE</definedName>
    <definedName name="FR_START_DATE">"'"</definedName>
    <definedName name="FR_SYBASE_SERVER">"PNYEQFRD01"</definedName>
    <definedName name="FR_TEMPLATE_KEY">"45051|1"</definedName>
    <definedName name="FR_USE_BILLIONS">FALSE</definedName>
    <definedName name="FR_USE_DIMFAC">TRUE</definedName>
    <definedName name="FR_USE_LOCAL_CCY">FALSE</definedName>
    <definedName name="FR_USE_PRICEFACTORING">FALSE</definedName>
    <definedName name="Linking_1">#REF!</definedName>
    <definedName name="Linking_10">#REF!</definedName>
    <definedName name="Linking_100">#REF!</definedName>
    <definedName name="Linking_11">#REF!</definedName>
    <definedName name="Linking_116">#REF!</definedName>
    <definedName name="Linking_117">#REF!</definedName>
    <definedName name="Linking_12">#REF!</definedName>
    <definedName name="linking_12311231" localSheetId="12">'Bull Bear Base '!$B$2:$F$39</definedName>
    <definedName name="linking_12311231">#REF!</definedName>
    <definedName name="Linking_127" localSheetId="12">[1]DCF!$B$1:$V$46</definedName>
    <definedName name="Linking_127">#REF!</definedName>
    <definedName name="Linking_13">#REF!</definedName>
    <definedName name="Linking_131">#REF!</definedName>
    <definedName name="Linking_132">#REF!</definedName>
    <definedName name="Linking_136">#REF!</definedName>
    <definedName name="Linking_137">#REF!</definedName>
    <definedName name="Linking_138">#REF!</definedName>
    <definedName name="Linking_139">#REF!</definedName>
    <definedName name="Linking_14">#REF!</definedName>
    <definedName name="Linking_15">#REF!</definedName>
    <definedName name="Linking_150">#REF!</definedName>
    <definedName name="Linking_151">#REF!</definedName>
    <definedName name="Linking_152">#REF!</definedName>
    <definedName name="Linking_153">#REF!</definedName>
    <definedName name="Linking_154">#REF!</definedName>
    <definedName name="Linking_155">#REF!</definedName>
    <definedName name="Linking_156">#REF!</definedName>
    <definedName name="Linking_157">#REF!</definedName>
    <definedName name="Linking_158">#REF!</definedName>
    <definedName name="Linking_159">#REF!</definedName>
    <definedName name="Linking_16">#REF!</definedName>
    <definedName name="Linking_160">#REF!</definedName>
    <definedName name="Linking_161">#REF!</definedName>
    <definedName name="Linking_162">#REF!</definedName>
    <definedName name="Linking_163">#REF!</definedName>
    <definedName name="Linking_164">#REF!</definedName>
    <definedName name="Linking_165">#REF!</definedName>
    <definedName name="Linking_17">#REF!</definedName>
    <definedName name="Linking_18">#REF!</definedName>
    <definedName name="Linking_19">#REF!</definedName>
    <definedName name="Linking_2">#REF!</definedName>
    <definedName name="Linking_20">#REF!</definedName>
    <definedName name="Linking_21" localSheetId="6">'[1]Valuation Summary'!$A$2:$L$67</definedName>
    <definedName name="Linking_21" localSheetId="12">#REF!</definedName>
    <definedName name="Linking_21" localSheetId="5">'[1]Valuation Summary'!$A$2:$L$67</definedName>
    <definedName name="Linking_21" localSheetId="9">'[1]Valuation Summary'!$A$2:$L$67</definedName>
    <definedName name="Linking_21" localSheetId="8">'[1]Valuation Summary'!$A$2:$L$67</definedName>
    <definedName name="Linking_21" localSheetId="2">'[1]Valuation Summary'!$A$2:$L$67</definedName>
    <definedName name="Linking_21" localSheetId="10">'[1]Valuation Summary'!$A$2:$L$67</definedName>
    <definedName name="Linking_21" localSheetId="11">'[1]Valuation Summary'!$A$2:$L$67</definedName>
    <definedName name="Linking_21" localSheetId="4">'[1]Valuation Summary'!$A$2:$L$67</definedName>
    <definedName name="Linking_21" localSheetId="7">'[1]Valuation Summary'!$A$2:$L$67</definedName>
    <definedName name="Linking_21" localSheetId="3">'[1]Valuation Summary'!$A$2:$L$67</definedName>
    <definedName name="Linking_21">'Valuation Summary'!$A$2:$L$67</definedName>
    <definedName name="Linking_22" localSheetId="6">'[1]Valuation Summary'!$A$2:$R$67</definedName>
    <definedName name="Linking_22" localSheetId="12">#REF!</definedName>
    <definedName name="Linking_22" localSheetId="5">'[1]Valuation Summary'!$A$2:$R$67</definedName>
    <definedName name="Linking_22" localSheetId="9">'[1]Valuation Summary'!$A$2:$R$67</definedName>
    <definedName name="Linking_22" localSheetId="8">'[1]Valuation Summary'!$A$2:$R$67</definedName>
    <definedName name="Linking_22" localSheetId="2">'[1]Valuation Summary'!$A$2:$R$67</definedName>
    <definedName name="Linking_22" localSheetId="10">'[1]Valuation Summary'!$A$2:$R$67</definedName>
    <definedName name="Linking_22" localSheetId="11">'[1]Valuation Summary'!$A$2:$R$67</definedName>
    <definedName name="Linking_22" localSheetId="4">'[1]Valuation Summary'!$A$2:$R$67</definedName>
    <definedName name="Linking_22" localSheetId="7">'[1]Valuation Summary'!$A$2:$R$67</definedName>
    <definedName name="Linking_22" localSheetId="3">'[1]Valuation Summary'!$A$2:$R$67</definedName>
    <definedName name="Linking_22">'Valuation Summary'!$A$2:$R$67</definedName>
    <definedName name="Linking_23">#REF!</definedName>
    <definedName name="Linking_24">#REF!</definedName>
    <definedName name="Linking_25">#REF!</definedName>
    <definedName name="Linking_26">#REF!</definedName>
    <definedName name="Linking_27">#REF!</definedName>
    <definedName name="Linking_28">#REF!</definedName>
    <definedName name="Linking_29" localSheetId="12">'Bull Bear Base '!$B$2:$F$39</definedName>
    <definedName name="Linking_29">#REF!</definedName>
    <definedName name="Linking_3">#REF!</definedName>
    <definedName name="Linking_30">#REF!</definedName>
    <definedName name="Linking_31">#REF!</definedName>
    <definedName name="Linking_32">#REF!</definedName>
    <definedName name="Linking_4">#REF!</definedName>
    <definedName name="Linking_40" localSheetId="12">'Bull Bear Base '!$B$2:$F$39</definedName>
    <definedName name="Linking_5" localSheetId="6">'[1]Valuation Summary'!$A$2:$V$67</definedName>
    <definedName name="Linking_5" localSheetId="12">#REF!</definedName>
    <definedName name="Linking_5" localSheetId="5">'[1]Valuation Summary'!$A$2:$V$67</definedName>
    <definedName name="Linking_5" localSheetId="9">'[1]Valuation Summary'!$A$2:$V$67</definedName>
    <definedName name="Linking_5" localSheetId="8">'[1]Valuation Summary'!$A$2:$V$67</definedName>
    <definedName name="Linking_5" localSheetId="2">'[1]Valuation Summary'!$A$2:$V$67</definedName>
    <definedName name="Linking_5" localSheetId="10">'[1]Valuation Summary'!$A$2:$V$67</definedName>
    <definedName name="Linking_5" localSheetId="11">'[1]Valuation Summary'!$A$2:$V$67</definedName>
    <definedName name="Linking_5" localSheetId="4">'[1]Valuation Summary'!$A$2:$V$67</definedName>
    <definedName name="Linking_5" localSheetId="7">'[1]Valuation Summary'!$A$2:$V$67</definedName>
    <definedName name="Linking_5" localSheetId="3">'[1]Valuation Summary'!$A$2:$V$67</definedName>
    <definedName name="Linking_5">'Valuation Summary'!$A$2:$V$67</definedName>
    <definedName name="Linking_52" localSheetId="6">[1]IS!$K$29</definedName>
    <definedName name="Linking_52" localSheetId="12">#REF!</definedName>
    <definedName name="Linking_52" localSheetId="5">[1]IS!$K$29</definedName>
    <definedName name="Linking_52" localSheetId="9">[1]IS!$K$29</definedName>
    <definedName name="Linking_52" localSheetId="8">[1]IS!$K$29</definedName>
    <definedName name="Linking_52" localSheetId="10">[1]IS!$K$29</definedName>
    <definedName name="Linking_52" localSheetId="11">[1]IS!$K$29</definedName>
    <definedName name="Linking_52" localSheetId="7">[1]IS!$K$29</definedName>
    <definedName name="Linking_52">IS!$K$29</definedName>
    <definedName name="Linking_54">#REF!</definedName>
    <definedName name="Linking_55">#REF!</definedName>
    <definedName name="Linking_58">#REF!</definedName>
    <definedName name="Linking_59">#REF!</definedName>
    <definedName name="Linking_6" localSheetId="6">'[1]Valuation Summary'!$A$2:$V$73</definedName>
    <definedName name="Linking_6" localSheetId="12">#REF!</definedName>
    <definedName name="Linking_6" localSheetId="5">'[1]Valuation Summary'!$A$2:$V$73</definedName>
    <definedName name="Linking_6" localSheetId="9">'[1]Valuation Summary'!$A$2:$V$73</definedName>
    <definedName name="Linking_6" localSheetId="8">'[1]Valuation Summary'!$A$2:$V$73</definedName>
    <definedName name="Linking_6" localSheetId="2">'[1]Valuation Summary'!$A$2:$V$73</definedName>
    <definedName name="Linking_6" localSheetId="10">'[1]Valuation Summary'!$A$2:$V$73</definedName>
    <definedName name="Linking_6" localSheetId="11">'[1]Valuation Summary'!$A$2:$V$73</definedName>
    <definedName name="Linking_6" localSheetId="4">'[1]Valuation Summary'!$A$2:$V$73</definedName>
    <definedName name="Linking_6" localSheetId="7">'[1]Valuation Summary'!$A$2:$V$73</definedName>
    <definedName name="Linking_6" localSheetId="3">'[1]Valuation Summary'!$A$2:$V$73</definedName>
    <definedName name="Linking_6">'Valuation Summary'!$A$2:$V$73</definedName>
    <definedName name="Linking_60">#REF!</definedName>
    <definedName name="Linking_61">#REF!</definedName>
    <definedName name="Linking_63">#REF!</definedName>
    <definedName name="Linking_64">#REF!</definedName>
    <definedName name="Linking_7" localSheetId="6">'[1]Valuation Summary'!$A$2:$V$73</definedName>
    <definedName name="Linking_7" localSheetId="12">#REF!</definedName>
    <definedName name="Linking_7" localSheetId="5">'[1]Valuation Summary'!$A$2:$V$73</definedName>
    <definedName name="Linking_7" localSheetId="9">'[1]Valuation Summary'!$A$2:$V$73</definedName>
    <definedName name="Linking_7" localSheetId="8">'[1]Valuation Summary'!$A$2:$V$73</definedName>
    <definedName name="Linking_7" localSheetId="2">'[1]Valuation Summary'!$A$2:$V$73</definedName>
    <definedName name="Linking_7" localSheetId="10">'[1]Valuation Summary'!$A$2:$V$73</definedName>
    <definedName name="Linking_7" localSheetId="11">'[1]Valuation Summary'!$A$2:$V$73</definedName>
    <definedName name="Linking_7" localSheetId="4">'[1]Valuation Summary'!$A$2:$V$73</definedName>
    <definedName name="Linking_7" localSheetId="7">'[1]Valuation Summary'!$A$2:$V$73</definedName>
    <definedName name="Linking_7" localSheetId="3">'[1]Valuation Summary'!$A$2:$V$73</definedName>
    <definedName name="Linking_7">'Valuation Summary'!$A$2:$V$73</definedName>
    <definedName name="Linking_8">#REF!</definedName>
    <definedName name="Linking_81">#REF!</definedName>
    <definedName name="Linking_83">#REF!</definedName>
    <definedName name="Linking_85">#REF!</definedName>
    <definedName name="Linking_86">#REF!</definedName>
    <definedName name="Linking_87">#REF!</definedName>
    <definedName name="Linking_88">#REF!</definedName>
    <definedName name="Linking_89">#REF!</definedName>
    <definedName name="Linking_9">#REF!</definedName>
    <definedName name="Linking_94">#REF!</definedName>
    <definedName name="Linking_95">#REF!</definedName>
    <definedName name="Linking_96">#REF!</definedName>
    <definedName name="linking_Rane_8765">#REF!</definedName>
    <definedName name="linking_range_10012">#REF!</definedName>
    <definedName name="linking_range_111">#REF!</definedName>
    <definedName name="linking_range_121">#REF!</definedName>
    <definedName name="linking_Range_12134">'Valuation Summary'!$A$2:$L$67</definedName>
    <definedName name="linking_range_1215">#REF!</definedName>
    <definedName name="Linking_Range_1236">'Valuation Summary'!$A$1:$AB$93</definedName>
    <definedName name="linking_Range_128">#REF!</definedName>
    <definedName name="Linking_Range_13">Divisional!$A$2:$M$62</definedName>
    <definedName name="linking_Range_1555">#REF!</definedName>
    <definedName name="Linking_Range_16">Divisional!$A$3:$M$62</definedName>
    <definedName name="Linking_Range_17">IS!$A$7:$M$50</definedName>
    <definedName name="linking_range_199">'Valuation Summary'!$A$2:$V$73</definedName>
    <definedName name="Linking_Range_2">Divisional!$A$2:$L$62</definedName>
    <definedName name="linking_range_200">'Valuation Summary'!$A$2:$V$67</definedName>
    <definedName name="Linking_Range_23">IS!$A$7:$L$50</definedName>
    <definedName name="Linking_Range_27">Divisional!$A$2:$N$51</definedName>
    <definedName name="Linking_Range_28">Divisional!$A$2:$N$62</definedName>
    <definedName name="linking_range_2912">#REF!</definedName>
    <definedName name="linking_range_30">#REF!</definedName>
    <definedName name="linking_range_301">#REF!</definedName>
    <definedName name="linking_range_31">#REF!</definedName>
    <definedName name="linking_Range_32200">#REF!</definedName>
    <definedName name="linking_range_348">#REF!</definedName>
    <definedName name="Linking_Range_5">Divisional!$A$2:$K$51</definedName>
    <definedName name="Linking_Range_6">Divisional!$A$2:$K$62</definedName>
    <definedName name="linking_range_700">#REF!</definedName>
    <definedName name="linking_range_90001">#REF!</definedName>
    <definedName name="linking_range_9024">#REF!</definedName>
    <definedName name="linking_Range_909">#REF!</definedName>
    <definedName name="linking_range_9214">'Valuation Summary'!$A$2:$R$67</definedName>
    <definedName name="linking_range_991">#REF!</definedName>
    <definedName name="_xlnm.Print_Area" localSheetId="12">"Formula removed, name can be deleted."</definedName>
    <definedName name="_xlnm.Print_Area" localSheetId="9">'Civil AM'!$A$1:$BE$178</definedName>
    <definedName name="_xlnm.Print_Area" localSheetId="8">'Civil OE'!$A$2:$Z$131</definedName>
    <definedName name="_xlnm.Print_Area" localSheetId="2">Divisional!$A$1:$X$132</definedName>
    <definedName name="_xlnm.Print_Area" localSheetId="10">'Equipment &amp; Defense'!$A$58:$AL$201</definedName>
    <definedName name="_xlnm.Print_Area" localSheetId="4">IS!$A$2:$V$124</definedName>
    <definedName name="_xlnm.Print_Area" localSheetId="7">Propulsion!$A$1:$AN$292</definedName>
    <definedName name="_xlnm.Print_Titles" localSheetId="12">"Formula removed, name can be deleted."</definedName>
    <definedName name="process_flow">"Picture 13"</definedName>
    <definedName name="PropRev">#REF!</definedName>
    <definedName name="RiskAutoStopPercChange">1.5</definedName>
    <definedName name="RiskCollectDistributionSamples">2</definedName>
    <definedName name="RiskExcelReportsGoInNewWorkbook">TRUE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NumIterations">100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howRiskWindowAtEndOfSimulation">TRUE</definedName>
    <definedName name="RiskStandardRecalc">2</definedName>
    <definedName name="RiskTemplateSheetName">"myTemplate"</definedName>
    <definedName name="RiskUpdateDisplay">FALSE</definedName>
    <definedName name="RiskUseDifferentSeedForEachSim">FALSE</definedName>
    <definedName name="RiskUseFixedSeed">FALSE</definedName>
    <definedName name="RiskUseMultipleCPUs">FALSE</definedName>
    <definedName name="rmcAccount">"STINVGES"</definedName>
    <definedName name="rmcApplication">"QB"</definedName>
    <definedName name="rmcCategory">"AVOR2"</definedName>
    <definedName name="rmcFrequency">"YTD"</definedName>
    <definedName name="rmcName">"VAI"</definedName>
    <definedName name="RMCOptions">"*000000000000000"</definedName>
    <definedName name="SAF_stand">#REF!</definedName>
    <definedName name="Template.WIRE">"DBACCESS"</definedName>
    <definedName name="Trace">FALSE</definedName>
    <definedName name="UpgradeVersion">"v3.54"</definedName>
    <definedName name="ValidDateTable">#REF!</definedName>
    <definedName name="Version.WIRE">1</definedName>
    <definedName name="ZOD_stan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D16" i="11" l="1"/>
  <c r="DC7" i="11"/>
  <c r="DB147" i="11" l="1"/>
  <c r="FF288" i="5" l="1"/>
  <c r="EX288" i="5"/>
  <c r="EP288" i="5"/>
  <c r="EH288" i="5"/>
  <c r="DZ288" i="5"/>
  <c r="FF289" i="5"/>
  <c r="EX289" i="5"/>
  <c r="EP289" i="5"/>
  <c r="EH289" i="5"/>
  <c r="DZ289" i="5"/>
  <c r="DX83" i="5"/>
  <c r="DX82" i="5"/>
  <c r="AW7" i="9"/>
  <c r="AW234" i="9" s="1"/>
  <c r="AW233" i="9" s="1"/>
  <c r="AS6" i="9"/>
  <c r="AS211" i="9" s="1"/>
  <c r="BA228" i="9"/>
  <c r="AS228" i="9"/>
  <c r="AW226" i="9"/>
  <c r="AQ226" i="9"/>
  <c r="AO226" i="9"/>
  <c r="AV225" i="9"/>
  <c r="BM67" i="11" l="1"/>
  <c r="BM66" i="11"/>
  <c r="AX66" i="10"/>
  <c r="AP161" i="10" l="1"/>
  <c r="AM161" i="10"/>
  <c r="AI161" i="10"/>
  <c r="AP143" i="10"/>
  <c r="AP144" i="10" s="1"/>
  <c r="AM143" i="10"/>
  <c r="AM144" i="10" s="1"/>
  <c r="AI143" i="10"/>
  <c r="AX57" i="10"/>
  <c r="AP57" i="10"/>
  <c r="AM57" i="10"/>
  <c r="AI57" i="10"/>
  <c r="AJ161" i="10" l="1"/>
  <c r="AN161" i="10"/>
  <c r="AE57" i="10"/>
  <c r="AI54" i="10"/>
  <c r="AI58" i="10" s="1"/>
  <c r="AM54" i="10"/>
  <c r="AM58" i="10" s="1"/>
  <c r="AP54" i="10"/>
  <c r="AX42" i="10"/>
  <c r="BF42" i="10" s="1"/>
  <c r="BN42" i="10" s="1"/>
  <c r="BV42" i="10" s="1"/>
  <c r="AI207" i="10"/>
  <c r="BN187" i="10"/>
  <c r="BN143" i="10" s="1"/>
  <c r="BN144" i="10" s="1"/>
  <c r="AJ50" i="10"/>
  <c r="AJ49" i="10"/>
  <c r="AJ51" i="10" s="1"/>
  <c r="BV187" i="10" l="1"/>
  <c r="BV143" i="10" s="1"/>
  <c r="BV144" i="10" s="1"/>
  <c r="BF187" i="10" l="1"/>
  <c r="BF143" i="10" s="1"/>
  <c r="BF144" i="10" s="1"/>
  <c r="AX187" i="10"/>
  <c r="AX143" i="10" s="1"/>
  <c r="AX144" i="10" s="1"/>
  <c r="AH54" i="10"/>
  <c r="AC57" i="10"/>
  <c r="AE54" i="10"/>
  <c r="AH57" i="10"/>
  <c r="Z57" i="10"/>
  <c r="R57" i="10"/>
  <c r="Z54" i="10"/>
  <c r="Z58" i="10" s="1"/>
  <c r="AF49" i="10"/>
  <c r="AD49" i="10" s="1"/>
  <c r="AB49" i="10"/>
  <c r="BR31" i="12"/>
  <c r="BZ31" i="12" s="1"/>
  <c r="BR28" i="12"/>
  <c r="BZ28" i="12" s="1"/>
  <c r="BC30" i="13"/>
  <c r="BK30" i="13" s="1"/>
  <c r="BC27" i="13"/>
  <c r="BK27" i="13" s="1"/>
  <c r="BS27" i="13" s="1"/>
  <c r="BO28" i="12"/>
  <c r="CH28" i="12" l="1"/>
  <c r="CE28" i="12" s="1"/>
  <c r="BW28" i="12"/>
  <c r="AH58" i="10"/>
  <c r="AH59" i="10" s="1"/>
  <c r="CH31" i="12"/>
  <c r="CE31" i="12" s="1"/>
  <c r="BW31" i="12"/>
  <c r="BS30" i="13"/>
  <c r="BP30" i="13" s="1"/>
  <c r="BH30" i="13"/>
  <c r="AF14" i="13" l="1"/>
  <c r="Z14" i="4" l="1"/>
  <c r="AJ39" i="13"/>
  <c r="AY40" i="12"/>
  <c r="AY34" i="12"/>
  <c r="DW284" i="5"/>
  <c r="DW279" i="5"/>
  <c r="DW281" i="5" s="1"/>
  <c r="DW271" i="5"/>
  <c r="DW270" i="5"/>
  <c r="DW348" i="5"/>
  <c r="DW347" i="5"/>
  <c r="DW346" i="5"/>
  <c r="DW350" i="5" s="1"/>
  <c r="DW328" i="5"/>
  <c r="DW323" i="5"/>
  <c r="DW317" i="5"/>
  <c r="DW315" i="5"/>
  <c r="DW313" i="5"/>
  <c r="DW291" i="5"/>
  <c r="DW287" i="5"/>
  <c r="DW277" i="5"/>
  <c r="DW267" i="5"/>
  <c r="DW260" i="5"/>
  <c r="DW131" i="5"/>
  <c r="DW128" i="5"/>
  <c r="DW127" i="5"/>
  <c r="DW112" i="5"/>
  <c r="DW98" i="5"/>
  <c r="DW88" i="5"/>
  <c r="DW314" i="5" s="1"/>
  <c r="DW84" i="5"/>
  <c r="DW89" i="5" s="1"/>
  <c r="DW74" i="5"/>
  <c r="DW53" i="5"/>
  <c r="DW52" i="5"/>
  <c r="DW51" i="5"/>
  <c r="DW48" i="5"/>
  <c r="DW316" i="5" s="1"/>
  <c r="DW44" i="5"/>
  <c r="DW272" i="5" l="1"/>
  <c r="DW322" i="5" s="1"/>
  <c r="DW282" i="5"/>
  <c r="DW292" i="5"/>
  <c r="DW327" i="5"/>
  <c r="DW324" i="5"/>
  <c r="DW325" i="5" s="1"/>
  <c r="DW50" i="5"/>
  <c r="AX287" i="9"/>
  <c r="AX262" i="9"/>
  <c r="AX261" i="9"/>
  <c r="AX75" i="9"/>
  <c r="AX74" i="9"/>
  <c r="BA34" i="9"/>
  <c r="AV55" i="12"/>
  <c r="AV54" i="12"/>
  <c r="AV53" i="12"/>
  <c r="AV52" i="12"/>
  <c r="AV51" i="12"/>
  <c r="AV50" i="12"/>
  <c r="AV49" i="12"/>
  <c r="AV48" i="12"/>
  <c r="AV47" i="12"/>
  <c r="AV46" i="12"/>
  <c r="AY25" i="12"/>
  <c r="AY15" i="12"/>
  <c r="AY27" i="12" s="1"/>
  <c r="AY11" i="12"/>
  <c r="AY13" i="12" s="1"/>
  <c r="AY6" i="12"/>
  <c r="AY8" i="12" s="1"/>
  <c r="AV10" i="12"/>
  <c r="AV5" i="12"/>
  <c r="AJ33" i="13"/>
  <c r="AJ24" i="13"/>
  <c r="AJ14" i="13"/>
  <c r="AJ29" i="13" s="1"/>
  <c r="AJ10" i="13"/>
  <c r="AJ12" i="13" s="1"/>
  <c r="AJ5" i="13"/>
  <c r="AJ7" i="13" s="1"/>
  <c r="AG9" i="13"/>
  <c r="AG4" i="13"/>
  <c r="DW331" i="5" l="1"/>
  <c r="DW330" i="5" s="1"/>
  <c r="AY22" i="12"/>
  <c r="AY38" i="12"/>
  <c r="AJ21" i="13"/>
  <c r="AJ37" i="13"/>
  <c r="DW76" i="5"/>
  <c r="DW91" i="5" s="1"/>
  <c r="AV15" i="12"/>
  <c r="AG14" i="13"/>
  <c r="DW332" i="5" l="1"/>
  <c r="DW114" i="5"/>
  <c r="DW100" i="5"/>
  <c r="DW118" i="5" l="1"/>
  <c r="DW309" i="5"/>
  <c r="DW320" i="5" s="1"/>
  <c r="DW319" i="5" s="1"/>
  <c r="BA87" i="9" l="1"/>
  <c r="BA86" i="9"/>
  <c r="BA77" i="9"/>
  <c r="BA81" i="9" s="1"/>
  <c r="BA71" i="9"/>
  <c r="BA54" i="9"/>
  <c r="BA55" i="9" s="1"/>
  <c r="BA52" i="9"/>
  <c r="BA47" i="9"/>
  <c r="BA38" i="9"/>
  <c r="BA26" i="9"/>
  <c r="BA23" i="9"/>
  <c r="BA20" i="9"/>
  <c r="BA10" i="9"/>
  <c r="BA13" i="9" s="1"/>
  <c r="BA3" i="9"/>
  <c r="DW29" i="5"/>
  <c r="DW28" i="5"/>
  <c r="DW5" i="5"/>
  <c r="DW4" i="5"/>
  <c r="DT28" i="5"/>
  <c r="DT12" i="5"/>
  <c r="DT10" i="5"/>
  <c r="DT5" i="5"/>
  <c r="DT4" i="5"/>
  <c r="BA76" i="9" l="1"/>
  <c r="BA82" i="9" s="1"/>
  <c r="DW61" i="5"/>
  <c r="DW62" i="5"/>
  <c r="BA80" i="9"/>
  <c r="BA83" i="9" l="1"/>
  <c r="DS131" i="5" l="1"/>
  <c r="DS128" i="5"/>
  <c r="DS127" i="5"/>
  <c r="AF10" i="13"/>
  <c r="AF12" i="13" s="1"/>
  <c r="AF5" i="13"/>
  <c r="AF7" i="13" s="1"/>
  <c r="AU15" i="12"/>
  <c r="AU11" i="12"/>
  <c r="AU13" i="12" s="1"/>
  <c r="AU6" i="12"/>
  <c r="AU8" i="12" s="1"/>
  <c r="AW287" i="9"/>
  <c r="AW6" i="9"/>
  <c r="AW211" i="9" s="1"/>
  <c r="AW210" i="9" s="1"/>
  <c r="AW5" i="9"/>
  <c r="AW98" i="9" s="1"/>
  <c r="AC23" i="13" l="1"/>
  <c r="AC9" i="13"/>
  <c r="AA9" i="13" s="1"/>
  <c r="AR55" i="12"/>
  <c r="AP55" i="12" s="1"/>
  <c r="AR54" i="12"/>
  <c r="AP54" i="12" s="1"/>
  <c r="AR53" i="12"/>
  <c r="AP53" i="12" s="1"/>
  <c r="AR52" i="12"/>
  <c r="DP207" i="5" s="1"/>
  <c r="AR51" i="12"/>
  <c r="AP51" i="12" s="1"/>
  <c r="AR50" i="12"/>
  <c r="AP50" i="12" s="1"/>
  <c r="AR49" i="12"/>
  <c r="AP49" i="12" s="1"/>
  <c r="AR48" i="12"/>
  <c r="DP203" i="5" s="1"/>
  <c r="AR47" i="12"/>
  <c r="AP47" i="12" s="1"/>
  <c r="AR46" i="12"/>
  <c r="AP46" i="12" s="1"/>
  <c r="AR24" i="12"/>
  <c r="AR10" i="12"/>
  <c r="AD89" i="10"/>
  <c r="AD90" i="10"/>
  <c r="AD91" i="10"/>
  <c r="AD92" i="10"/>
  <c r="AD93" i="10"/>
  <c r="AD94" i="10"/>
  <c r="AD95" i="10"/>
  <c r="AD151" i="10"/>
  <c r="AD177" i="10"/>
  <c r="AD155" i="10"/>
  <c r="AD165" i="10"/>
  <c r="AD178" i="10"/>
  <c r="AD188" i="10"/>
  <c r="AD198" i="10"/>
  <c r="AF42" i="10"/>
  <c r="AD42" i="10" s="1"/>
  <c r="AF50" i="10"/>
  <c r="AD50" i="10" s="1"/>
  <c r="AD207" i="10" s="1"/>
  <c r="AF55" i="10"/>
  <c r="AD55" i="10" s="1"/>
  <c r="AF89" i="10"/>
  <c r="AF90" i="10"/>
  <c r="AF91" i="10"/>
  <c r="AF92" i="10"/>
  <c r="AF93" i="10"/>
  <c r="AF94" i="10"/>
  <c r="AF95" i="10"/>
  <c r="AF151" i="10"/>
  <c r="AF177" i="10"/>
  <c r="AF142" i="10"/>
  <c r="AD142" i="10" s="1"/>
  <c r="AF147" i="10"/>
  <c r="AD147" i="10" s="1"/>
  <c r="AF155" i="10"/>
  <c r="AF165" i="10"/>
  <c r="AF166" i="10"/>
  <c r="AF178" i="10"/>
  <c r="AF187" i="10"/>
  <c r="AD187" i="10" s="1"/>
  <c r="AF188" i="10"/>
  <c r="AF198" i="10"/>
  <c r="AT262" i="9"/>
  <c r="DP123" i="5" s="1"/>
  <c r="AT261" i="9"/>
  <c r="AR261" i="9" s="1"/>
  <c r="AT248" i="9"/>
  <c r="AR248" i="9" s="1"/>
  <c r="AT75" i="9"/>
  <c r="DP157" i="5" s="1"/>
  <c r="AT74" i="9"/>
  <c r="AT25" i="9"/>
  <c r="AR287" i="9"/>
  <c r="DR303" i="5"/>
  <c r="DR300" i="5"/>
  <c r="DP300" i="5" s="1"/>
  <c r="DR295" i="5"/>
  <c r="DP295" i="5" s="1"/>
  <c r="DR290" i="5"/>
  <c r="DP290" i="5" s="1"/>
  <c r="DR289" i="5"/>
  <c r="DP289" i="5" s="1"/>
  <c r="DR288" i="5"/>
  <c r="DR286" i="5"/>
  <c r="DR285" i="5"/>
  <c r="DR284" i="5"/>
  <c r="DR280" i="5"/>
  <c r="DP280" i="5" s="1"/>
  <c r="DR278" i="5"/>
  <c r="DR323" i="5" s="1"/>
  <c r="DR275" i="5"/>
  <c r="DP275" i="5" s="1"/>
  <c r="DR270" i="5"/>
  <c r="DR269" i="5"/>
  <c r="DP269" i="5" s="1"/>
  <c r="DR265" i="5"/>
  <c r="DP265" i="5" s="1"/>
  <c r="DR264" i="5"/>
  <c r="DP264" i="5" s="1"/>
  <c r="DR262" i="5"/>
  <c r="DP262" i="5" s="1"/>
  <c r="DR261" i="5"/>
  <c r="DP261" i="5" s="1"/>
  <c r="DR259" i="5"/>
  <c r="DP259" i="5" s="1"/>
  <c r="DR258" i="5"/>
  <c r="DP258" i="5" s="1"/>
  <c r="DR257" i="5"/>
  <c r="DR117" i="5"/>
  <c r="DP117" i="5" s="1"/>
  <c r="DR109" i="5"/>
  <c r="DP109" i="5" s="1"/>
  <c r="DR107" i="5"/>
  <c r="DP107" i="5" s="1"/>
  <c r="DR105" i="5"/>
  <c r="DP105" i="5" s="1"/>
  <c r="DR103" i="5"/>
  <c r="DP103" i="5" s="1"/>
  <c r="DR102" i="5"/>
  <c r="DP102" i="5" s="1"/>
  <c r="DR94" i="5"/>
  <c r="DP94" i="5" s="1"/>
  <c r="DR86" i="5"/>
  <c r="DR81" i="5"/>
  <c r="DR79" i="5"/>
  <c r="DR71" i="5"/>
  <c r="DR46" i="5"/>
  <c r="DR53" i="5"/>
  <c r="DR52" i="5"/>
  <c r="DR51" i="5"/>
  <c r="DR36" i="5"/>
  <c r="DR35" i="5"/>
  <c r="DR29" i="5"/>
  <c r="DR28" i="5"/>
  <c r="DR27" i="5"/>
  <c r="DR12" i="5"/>
  <c r="DP12" i="5" s="1"/>
  <c r="DN12" i="5" s="1"/>
  <c r="DR10" i="5"/>
  <c r="DP10" i="5" s="1"/>
  <c r="DN10" i="5" s="1"/>
  <c r="DR5" i="5"/>
  <c r="DR4" i="5"/>
  <c r="DR3" i="5"/>
  <c r="DR313" i="5"/>
  <c r="DR210" i="5"/>
  <c r="DR209" i="5"/>
  <c r="DR208" i="5"/>
  <c r="DR207" i="5"/>
  <c r="DR206" i="5"/>
  <c r="DR205" i="5"/>
  <c r="DR204" i="5"/>
  <c r="DR203" i="5"/>
  <c r="DR202" i="5"/>
  <c r="DR201" i="5"/>
  <c r="DR200" i="5"/>
  <c r="DR198" i="5"/>
  <c r="DR197" i="5"/>
  <c r="DR196" i="5"/>
  <c r="DR188" i="5"/>
  <c r="DR180" i="5"/>
  <c r="DR163" i="5"/>
  <c r="DR157" i="5"/>
  <c r="DR144" i="5"/>
  <c r="DR125" i="5"/>
  <c r="DR123" i="5"/>
  <c r="DR131" i="5" s="1"/>
  <c r="DP329" i="5"/>
  <c r="DP318" i="5"/>
  <c r="DP312" i="5"/>
  <c r="DP311" i="5"/>
  <c r="DP310" i="5"/>
  <c r="DP294" i="5"/>
  <c r="DP278" i="5"/>
  <c r="DP323" i="5" s="1"/>
  <c r="DP208" i="5"/>
  <c r="DP188" i="5"/>
  <c r="DP180" i="5"/>
  <c r="DP124" i="5"/>
  <c r="DP111" i="5"/>
  <c r="DP110" i="5"/>
  <c r="DP106" i="5"/>
  <c r="DP97" i="5"/>
  <c r="DP96" i="5"/>
  <c r="DP95" i="5"/>
  <c r="DP83" i="5"/>
  <c r="DP82" i="5"/>
  <c r="DP73" i="5"/>
  <c r="DP72" i="5"/>
  <c r="DP47" i="5"/>
  <c r="DP43" i="5"/>
  <c r="DP42" i="5"/>
  <c r="DP41" i="5"/>
  <c r="DP40" i="5"/>
  <c r="DN29" i="5"/>
  <c r="DN28" i="5"/>
  <c r="DN27" i="5"/>
  <c r="DP204" i="5" l="1"/>
  <c r="DP205" i="5"/>
  <c r="DP202" i="5"/>
  <c r="DP210" i="5"/>
  <c r="DP200" i="5"/>
  <c r="DP206" i="5"/>
  <c r="AR262" i="9"/>
  <c r="DR61" i="5"/>
  <c r="DR287" i="5"/>
  <c r="DR326" i="5" s="1"/>
  <c r="DP209" i="5"/>
  <c r="DR88" i="5"/>
  <c r="DP125" i="5"/>
  <c r="DP128" i="5" s="1"/>
  <c r="DP163" i="5"/>
  <c r="DP166" i="5" s="1"/>
  <c r="AF207" i="10"/>
  <c r="DR62" i="5"/>
  <c r="DP81" i="5"/>
  <c r="DR84" i="5"/>
  <c r="DR89" i="5" s="1"/>
  <c r="DR328" i="5"/>
  <c r="AD139" i="10"/>
  <c r="DR128" i="5"/>
  <c r="DR60" i="5"/>
  <c r="AP10" i="12"/>
  <c r="AP52" i="12"/>
  <c r="AP48" i="12"/>
  <c r="DP201" i="5"/>
  <c r="DP196" i="5"/>
  <c r="AF139" i="10"/>
  <c r="DP131" i="5"/>
  <c r="DP286" i="5"/>
  <c r="DP86" i="5"/>
  <c r="DR112" i="5"/>
  <c r="DR260" i="5"/>
  <c r="DP257" i="5"/>
  <c r="DP260" i="5" s="1"/>
  <c r="DR317" i="5"/>
  <c r="DR11" i="5"/>
  <c r="DP46" i="5"/>
  <c r="DR48" i="5"/>
  <c r="DP71" i="5"/>
  <c r="DR74" i="5"/>
  <c r="DP285" i="5"/>
  <c r="DP79" i="5"/>
  <c r="DR127" i="5"/>
  <c r="DR291" i="5"/>
  <c r="DP288" i="5"/>
  <c r="DR98" i="5"/>
  <c r="DR166" i="5"/>
  <c r="DR315" i="5"/>
  <c r="DP303" i="5"/>
  <c r="DP313" i="5"/>
  <c r="Y47" i="4"/>
  <c r="DR58" i="5" s="1"/>
  <c r="DP58" i="5" s="1"/>
  <c r="W41" i="7"/>
  <c r="DR279" i="5" s="1"/>
  <c r="DR327" i="5" s="1"/>
  <c r="DR331" i="5" s="1"/>
  <c r="W39" i="7"/>
  <c r="DR277" i="5" s="1"/>
  <c r="DR276" i="5" s="1"/>
  <c r="W31" i="7"/>
  <c r="DR271" i="5" s="1"/>
  <c r="W10" i="7"/>
  <c r="W23" i="7" s="1"/>
  <c r="W58" i="7"/>
  <c r="W78" i="6"/>
  <c r="W79" i="6" s="1"/>
  <c r="W114" i="6"/>
  <c r="W115" i="6" s="1"/>
  <c r="W113" i="6"/>
  <c r="W111" i="6" s="1"/>
  <c r="W107" i="6"/>
  <c r="W105" i="6"/>
  <c r="W104" i="6" s="1"/>
  <c r="W103" i="6"/>
  <c r="W99" i="6"/>
  <c r="W124" i="6" s="1"/>
  <c r="W75" i="6"/>
  <c r="W60" i="6"/>
  <c r="W58" i="6"/>
  <c r="W29" i="6"/>
  <c r="W10" i="6"/>
  <c r="W193" i="8"/>
  <c r="W192" i="8"/>
  <c r="W183" i="8"/>
  <c r="DR304" i="5" s="1"/>
  <c r="W182" i="8"/>
  <c r="W178" i="8"/>
  <c r="W173" i="8"/>
  <c r="W175" i="8" s="1"/>
  <c r="W166" i="8"/>
  <c r="W165" i="8"/>
  <c r="W161" i="8"/>
  <c r="W160" i="8"/>
  <c r="W147" i="8"/>
  <c r="W146" i="8"/>
  <c r="W87" i="8"/>
  <c r="W80" i="8" s="1"/>
  <c r="W45" i="8"/>
  <c r="W127" i="8" s="1"/>
  <c r="W108" i="8"/>
  <c r="W120" i="8" s="1"/>
  <c r="W101" i="8"/>
  <c r="W97" i="8"/>
  <c r="W90" i="8"/>
  <c r="W94" i="8" s="1"/>
  <c r="W79" i="8"/>
  <c r="W92" i="8" s="1"/>
  <c r="W76" i="8"/>
  <c r="W70" i="8"/>
  <c r="W73" i="8" s="1"/>
  <c r="W62" i="8"/>
  <c r="W64" i="8" s="1"/>
  <c r="W33" i="8"/>
  <c r="W116" i="8" s="1"/>
  <c r="W126" i="8" s="1"/>
  <c r="W11" i="8"/>
  <c r="W112" i="8" s="1"/>
  <c r="W25" i="8"/>
  <c r="W122" i="8" s="1"/>
  <c r="W54" i="8"/>
  <c r="AE38" i="13"/>
  <c r="AC38" i="13" s="1"/>
  <c r="AE36" i="13"/>
  <c r="AC36" i="13" s="1"/>
  <c r="AE32" i="13"/>
  <c r="AE29" i="13"/>
  <c r="AE26" i="13"/>
  <c r="AE20" i="13"/>
  <c r="AC20" i="13" s="1"/>
  <c r="AC24" i="13" s="1"/>
  <c r="AE16" i="13"/>
  <c r="AE14" i="13"/>
  <c r="AM17" i="13" s="1"/>
  <c r="AE10" i="13"/>
  <c r="AE12" i="13" s="1"/>
  <c r="AT39" i="12"/>
  <c r="AR39" i="12" s="1"/>
  <c r="AT37" i="12"/>
  <c r="AR37" i="12" s="1"/>
  <c r="AT33" i="12"/>
  <c r="AT30" i="12"/>
  <c r="AT27" i="12"/>
  <c r="AT21" i="12"/>
  <c r="AR21" i="12" s="1"/>
  <c r="AR25" i="12" s="1"/>
  <c r="AT17" i="12"/>
  <c r="AT15" i="12"/>
  <c r="BB18" i="12" s="1"/>
  <c r="AT11" i="12"/>
  <c r="AT13" i="12" s="1"/>
  <c r="AH51" i="10"/>
  <c r="AH44" i="10"/>
  <c r="AF44" i="10" s="1"/>
  <c r="AD44" i="10" s="1"/>
  <c r="AF43" i="10"/>
  <c r="AD43" i="10" s="1"/>
  <c r="AF41" i="10"/>
  <c r="AD41" i="10" s="1"/>
  <c r="AH40" i="10"/>
  <c r="AT19" i="9"/>
  <c r="AV258" i="9"/>
  <c r="DP127" i="5" l="1"/>
  <c r="W38" i="8"/>
  <c r="AE24" i="13"/>
  <c r="W26" i="8"/>
  <c r="AE39" i="13"/>
  <c r="W46" i="8"/>
  <c r="W56" i="8" s="1"/>
  <c r="W15" i="8"/>
  <c r="W33" i="7"/>
  <c r="DR266" i="5"/>
  <c r="W27" i="7"/>
  <c r="AE27" i="13"/>
  <c r="AE30" i="13"/>
  <c r="AR258" i="9"/>
  <c r="AT258" i="9"/>
  <c r="AT38" i="12"/>
  <c r="AT31" i="12"/>
  <c r="W45" i="7"/>
  <c r="DR324" i="5"/>
  <c r="DP304" i="5"/>
  <c r="AT40" i="12"/>
  <c r="AT224" i="9"/>
  <c r="DR199" i="5"/>
  <c r="AT25" i="12"/>
  <c r="AT34" i="12"/>
  <c r="AR33" i="12"/>
  <c r="AR34" i="12" s="1"/>
  <c r="DR347" i="5"/>
  <c r="AC39" i="13"/>
  <c r="DR272" i="5"/>
  <c r="DR322" i="5" s="1"/>
  <c r="DP53" i="5"/>
  <c r="AH45" i="10"/>
  <c r="AH71" i="10" s="1"/>
  <c r="AF40" i="10"/>
  <c r="AR40" i="12"/>
  <c r="AE33" i="13"/>
  <c r="AC32" i="13"/>
  <c r="AC33" i="13" s="1"/>
  <c r="DR348" i="5"/>
  <c r="W66" i="8"/>
  <c r="W81" i="8"/>
  <c r="W184" i="8"/>
  <c r="DR305" i="5"/>
  <c r="DP305" i="5" s="1"/>
  <c r="W38" i="7"/>
  <c r="DR281" i="5"/>
  <c r="DR282" i="5" s="1"/>
  <c r="DP52" i="5"/>
  <c r="DP287" i="5"/>
  <c r="DR316" i="5"/>
  <c r="DR13" i="5"/>
  <c r="DP88" i="5"/>
  <c r="DR292" i="5"/>
  <c r="W112" i="6"/>
  <c r="W195" i="8"/>
  <c r="W98" i="6"/>
  <c r="W148" i="8"/>
  <c r="W68" i="7" s="1"/>
  <c r="DR299" i="5" s="1"/>
  <c r="DP299" i="5" s="1"/>
  <c r="W168" i="8"/>
  <c r="W169" i="8" s="1"/>
  <c r="W128" i="8"/>
  <c r="W83" i="8"/>
  <c r="W67" i="8"/>
  <c r="W121" i="8"/>
  <c r="W123" i="8" s="1"/>
  <c r="AE37" i="13"/>
  <c r="AE4" i="13"/>
  <c r="AE21" i="13"/>
  <c r="AT5" i="12"/>
  <c r="AT28" i="12"/>
  <c r="AT22" i="12"/>
  <c r="AH73" i="10"/>
  <c r="W130" i="8" l="1"/>
  <c r="W28" i="8"/>
  <c r="DR325" i="5"/>
  <c r="AT259" i="9"/>
  <c r="AT264" i="9" s="1"/>
  <c r="AH62" i="10"/>
  <c r="AC4" i="13"/>
  <c r="DR187" i="5"/>
  <c r="AF45" i="10"/>
  <c r="AD40" i="10"/>
  <c r="AD45" i="10" s="1"/>
  <c r="DR306" i="5"/>
  <c r="DR314" i="5" s="1"/>
  <c r="AR259" i="9"/>
  <c r="AR264" i="9" s="1"/>
  <c r="AR114" i="9" s="1"/>
  <c r="AA41" i="13" s="1"/>
  <c r="AR224" i="9"/>
  <c r="DP199" i="5"/>
  <c r="DP306" i="5"/>
  <c r="DP266" i="5"/>
  <c r="DP267" i="5" s="1"/>
  <c r="DR267" i="5"/>
  <c r="AR5" i="12"/>
  <c r="DR179" i="5"/>
  <c r="DR330" i="5"/>
  <c r="DR332" i="5"/>
  <c r="W170" i="8"/>
  <c r="W58" i="8"/>
  <c r="DP187" i="5" l="1"/>
  <c r="AA4" i="13"/>
  <c r="AT114" i="9"/>
  <c r="AC41" i="13" s="1"/>
  <c r="AR42" i="12"/>
  <c r="DR189" i="5"/>
  <c r="DR181" i="5"/>
  <c r="DP179" i="5"/>
  <c r="AP5" i="12"/>
  <c r="DP189" i="5" l="1"/>
  <c r="DP181" i="5"/>
  <c r="AV51" i="9" l="1"/>
  <c r="AT51" i="9" s="1"/>
  <c r="AV46" i="9"/>
  <c r="AT46" i="9" s="1"/>
  <c r="AV37" i="9"/>
  <c r="AV34" i="9"/>
  <c r="AV28" i="9"/>
  <c r="AV22" i="9"/>
  <c r="AV26" i="9" s="1"/>
  <c r="AV9" i="9"/>
  <c r="AV5" i="9" s="1"/>
  <c r="AV98" i="9" s="1"/>
  <c r="Y132" i="4"/>
  <c r="Y115" i="4"/>
  <c r="Y88" i="4"/>
  <c r="Y87" i="4"/>
  <c r="Y86" i="4"/>
  <c r="Y82" i="4"/>
  <c r="Y72" i="4"/>
  <c r="Y56" i="4"/>
  <c r="Y55" i="4"/>
  <c r="Y54" i="4"/>
  <c r="W130" i="6" s="1"/>
  <c r="Y48" i="4"/>
  <c r="W20" i="6" s="1"/>
  <c r="Y22" i="4"/>
  <c r="Y20" i="4"/>
  <c r="Y19" i="4"/>
  <c r="Y13" i="4"/>
  <c r="AV259" i="9"/>
  <c r="AV264" i="9" s="1"/>
  <c r="AV114" i="9" s="1"/>
  <c r="AV237" i="9"/>
  <c r="AV87" i="9"/>
  <c r="AV86" i="9"/>
  <c r="AV64" i="9"/>
  <c r="AV52" i="9"/>
  <c r="AV20" i="9"/>
  <c r="BF177" i="10"/>
  <c r="C21" i="16"/>
  <c r="C10" i="16"/>
  <c r="AE207" i="10"/>
  <c r="AC207" i="10"/>
  <c r="AV47" i="9" l="1"/>
  <c r="AV6" i="9"/>
  <c r="AV211" i="9" s="1"/>
  <c r="AV8" i="9"/>
  <c r="AV7" i="9"/>
  <c r="AV234" i="9" s="1"/>
  <c r="AV29" i="9"/>
  <c r="AV77" i="9"/>
  <c r="AV76" i="9" s="1"/>
  <c r="AE41" i="13"/>
  <c r="AT42" i="12"/>
  <c r="DR346" i="5"/>
  <c r="AT37" i="9"/>
  <c r="Y118" i="4"/>
  <c r="W71" i="6" s="1"/>
  <c r="W16" i="6"/>
  <c r="W13" i="6" s="1"/>
  <c r="AT52" i="9"/>
  <c r="W24" i="6"/>
  <c r="W32" i="6"/>
  <c r="Y92" i="4"/>
  <c r="W68" i="6" s="1"/>
  <c r="Y62" i="4"/>
  <c r="W131" i="6" s="1"/>
  <c r="Y73" i="4"/>
  <c r="Y83" i="4"/>
  <c r="Y121" i="4"/>
  <c r="Y16" i="4"/>
  <c r="W64" i="6" s="1"/>
  <c r="Y51" i="4"/>
  <c r="AV23" i="9"/>
  <c r="AV31" i="9"/>
  <c r="AV38" i="9"/>
  <c r="AH184" i="10"/>
  <c r="AV209" i="9" l="1"/>
  <c r="AV118" i="9"/>
  <c r="AV244" i="9"/>
  <c r="AV18" i="9" s="1"/>
  <c r="AV232" i="9"/>
  <c r="AT232" i="9" s="1"/>
  <c r="Y119" i="4"/>
  <c r="AV80" i="9"/>
  <c r="AV81" i="9"/>
  <c r="AV35" i="9"/>
  <c r="AV266" i="9"/>
  <c r="AV269" i="9" s="1"/>
  <c r="Y93" i="4"/>
  <c r="AV32" i="9"/>
  <c r="W66" i="6"/>
  <c r="W106" i="8"/>
  <c r="DR349" i="5"/>
  <c r="DP349" i="5" s="1"/>
  <c r="DR156" i="5"/>
  <c r="Y134" i="4"/>
  <c r="W73" i="6"/>
  <c r="W36" i="6"/>
  <c r="W39" i="6" s="1"/>
  <c r="W42" i="6" s="1"/>
  <c r="W34" i="6"/>
  <c r="AV82" i="9"/>
  <c r="AA57" i="10"/>
  <c r="AF57" i="10"/>
  <c r="AC54" i="10"/>
  <c r="AF54" i="10"/>
  <c r="AQ74" i="9"/>
  <c r="AR74" i="9" s="1"/>
  <c r="AQ75" i="9"/>
  <c r="AQ5" i="9"/>
  <c r="AH177" i="10"/>
  <c r="DQ125" i="5"/>
  <c r="DQ123" i="5"/>
  <c r="DQ27" i="5"/>
  <c r="DM210" i="5"/>
  <c r="DM209" i="5"/>
  <c r="DM208" i="5"/>
  <c r="DM207" i="5"/>
  <c r="DM206" i="5"/>
  <c r="DM205" i="5"/>
  <c r="DM204" i="5"/>
  <c r="DM203" i="5"/>
  <c r="DM202" i="5"/>
  <c r="DM201" i="5"/>
  <c r="DM200" i="5"/>
  <c r="DM199" i="5"/>
  <c r="DM197" i="5"/>
  <c r="DM196" i="5"/>
  <c r="DM188" i="5"/>
  <c r="DM187" i="5"/>
  <c r="DM180" i="5"/>
  <c r="DM179" i="5"/>
  <c r="DM125" i="5"/>
  <c r="DM123" i="5"/>
  <c r="DM29" i="5"/>
  <c r="DM28" i="5"/>
  <c r="DM27" i="5"/>
  <c r="DM3" i="5"/>
  <c r="Z14" i="13"/>
  <c r="Z10" i="13"/>
  <c r="Z12" i="13" s="1"/>
  <c r="Z5" i="13"/>
  <c r="Z7" i="13" s="1"/>
  <c r="AO15" i="12"/>
  <c r="AO11" i="12"/>
  <c r="AO13" i="12" s="1"/>
  <c r="AO6" i="12"/>
  <c r="AO8" i="12" s="1"/>
  <c r="AC51" i="10"/>
  <c r="AC72" i="10" s="1"/>
  <c r="AQ287" i="9"/>
  <c r="AQ225" i="9"/>
  <c r="AQ7" i="9"/>
  <c r="AQ234" i="9" s="1"/>
  <c r="AQ6" i="9"/>
  <c r="AQ211" i="9" s="1"/>
  <c r="AV210" i="9" l="1"/>
  <c r="AV228" i="9"/>
  <c r="AV226" i="9" s="1"/>
  <c r="AV83" i="9"/>
  <c r="AV233" i="9"/>
  <c r="AD57" i="10"/>
  <c r="DM157" i="5"/>
  <c r="AR75" i="9"/>
  <c r="AR232" i="9"/>
  <c r="DR158" i="5"/>
  <c r="DR165" i="5"/>
  <c r="DR170" i="5"/>
  <c r="AD54" i="10"/>
  <c r="DR350" i="5"/>
  <c r="W69" i="6"/>
  <c r="W74" i="6"/>
  <c r="W80" i="6"/>
  <c r="W50" i="6"/>
  <c r="W53" i="6"/>
  <c r="W43" i="6"/>
  <c r="W46" i="6"/>
  <c r="W106" i="6" s="1"/>
  <c r="AV271" i="9"/>
  <c r="AV277" i="9"/>
  <c r="AV278" i="9" s="1"/>
  <c r="DM128" i="5"/>
  <c r="DQ127" i="5"/>
  <c r="DM181" i="5"/>
  <c r="DQ163" i="5"/>
  <c r="DQ128" i="5"/>
  <c r="DQ131" i="5"/>
  <c r="DM4" i="5"/>
  <c r="DM5" i="5"/>
  <c r="DM131" i="5"/>
  <c r="DM189" i="5"/>
  <c r="DM127" i="5"/>
  <c r="DM163" i="5"/>
  <c r="DM166" i="5" l="1"/>
  <c r="DR167" i="5"/>
  <c r="W44" i="6"/>
  <c r="W48" i="6" s="1"/>
  <c r="W52" i="6"/>
  <c r="W47" i="6"/>
  <c r="W81" i="6"/>
  <c r="W87" i="6"/>
  <c r="W89" i="6" s="1"/>
  <c r="W83" i="6"/>
  <c r="W55" i="6"/>
  <c r="W56" i="6" s="1"/>
  <c r="W70" i="6"/>
  <c r="W67" i="6"/>
  <c r="AV255" i="9"/>
  <c r="DM11" i="5"/>
  <c r="W57" i="6" l="1"/>
  <c r="W61" i="6"/>
  <c r="W62" i="6" s="1"/>
  <c r="W7" i="7"/>
  <c r="DR256" i="5" s="1"/>
  <c r="DR268" i="5" s="1"/>
  <c r="DR273" i="5" s="1"/>
  <c r="DR296" i="5" s="1"/>
  <c r="W90" i="6"/>
  <c r="W91" i="6"/>
  <c r="DM13" i="5"/>
  <c r="W9" i="7" l="1"/>
  <c r="W28" i="7"/>
  <c r="AQ87" i="9"/>
  <c r="AQ86" i="9"/>
  <c r="AQ77" i="9"/>
  <c r="AQ76" i="9" s="1"/>
  <c r="DM156" i="5" s="1"/>
  <c r="AQ71" i="9"/>
  <c r="AQ10" i="9"/>
  <c r="AQ13" i="9" s="1"/>
  <c r="AQ8" i="9"/>
  <c r="AQ3" i="9"/>
  <c r="W72" i="7" l="1"/>
  <c r="W35" i="7"/>
  <c r="W64" i="7" s="1"/>
  <c r="DM158" i="5"/>
  <c r="DM170" i="5"/>
  <c r="DM165" i="5"/>
  <c r="AQ80" i="9"/>
  <c r="AQ82" i="9"/>
  <c r="AQ81" i="9"/>
  <c r="AC161" i="10"/>
  <c r="AC177" i="10"/>
  <c r="AC184" i="10" s="1"/>
  <c r="W74" i="7" l="1"/>
  <c r="W73" i="7"/>
  <c r="DM167" i="5"/>
  <c r="AQ83" i="9"/>
  <c r="BZ22" i="12" l="1"/>
  <c r="BE66" i="11"/>
  <c r="AW67" i="11"/>
  <c r="AW66" i="11"/>
  <c r="BE67" i="11"/>
  <c r="AO7" i="9"/>
  <c r="AO234" i="9" s="1"/>
  <c r="AO5" i="9"/>
  <c r="AE161" i="10"/>
  <c r="AA161" i="10"/>
  <c r="W161" i="10"/>
  <c r="U161" i="10"/>
  <c r="S161" i="10"/>
  <c r="AA54" i="10" l="1"/>
  <c r="AA58" i="10" s="1"/>
  <c r="AB50" i="10"/>
  <c r="AG50" i="10" s="1"/>
  <c r="X140" i="8"/>
  <c r="Y140" i="8" s="1"/>
  <c r="Z140" i="8" s="1"/>
  <c r="AA140" i="8" s="1"/>
  <c r="AB140" i="8" s="1"/>
  <c r="DO348" i="5"/>
  <c r="DP348" i="5" s="1"/>
  <c r="DO347" i="5"/>
  <c r="DP347" i="5" s="1"/>
  <c r="DO346" i="5"/>
  <c r="DP346" i="5" s="1"/>
  <c r="DO326" i="5"/>
  <c r="DP326" i="5" s="1"/>
  <c r="DO284" i="5"/>
  <c r="DP284" i="5" s="1"/>
  <c r="DO279" i="5"/>
  <c r="DO271" i="5"/>
  <c r="DP271" i="5" s="1"/>
  <c r="DO270" i="5"/>
  <c r="DP270" i="5" s="1"/>
  <c r="DO328" i="5"/>
  <c r="DP328" i="5" s="1"/>
  <c r="DO323" i="5"/>
  <c r="DO317" i="5"/>
  <c r="DP317" i="5" s="1"/>
  <c r="DO315" i="5"/>
  <c r="DP315" i="5" s="1"/>
  <c r="DO313" i="5"/>
  <c r="DO291" i="5"/>
  <c r="DP291" i="5" s="1"/>
  <c r="DO287" i="5"/>
  <c r="DO277" i="5"/>
  <c r="DO267" i="5"/>
  <c r="DO260" i="5"/>
  <c r="DO188" i="5"/>
  <c r="DO187" i="5"/>
  <c r="DO180" i="5"/>
  <c r="DO179" i="5"/>
  <c r="DO163" i="5"/>
  <c r="DO157" i="5"/>
  <c r="DO128" i="5"/>
  <c r="DW129" i="5" s="1"/>
  <c r="DO127" i="5"/>
  <c r="DO131" i="5"/>
  <c r="DW132" i="5" s="1"/>
  <c r="DO112" i="5"/>
  <c r="DP112" i="5" s="1"/>
  <c r="DO98" i="5"/>
  <c r="DP98" i="5" s="1"/>
  <c r="DO88" i="5"/>
  <c r="DO314" i="5" s="1"/>
  <c r="DP314" i="5" s="1"/>
  <c r="DO84" i="5"/>
  <c r="DO74" i="5"/>
  <c r="DP74" i="5" s="1"/>
  <c r="DO53" i="5"/>
  <c r="DO52" i="5"/>
  <c r="DO51" i="5"/>
  <c r="DO48" i="5"/>
  <c r="DO44" i="5"/>
  <c r="DL29" i="5"/>
  <c r="DL28" i="5"/>
  <c r="DL27" i="5"/>
  <c r="DO29" i="5"/>
  <c r="DO28" i="5"/>
  <c r="DO27" i="5"/>
  <c r="DL12" i="5"/>
  <c r="DQ12" i="5" s="1"/>
  <c r="DL10" i="5"/>
  <c r="DQ10" i="5" s="1"/>
  <c r="DO3" i="5"/>
  <c r="DP272" i="5" l="1"/>
  <c r="DP322" i="5" s="1"/>
  <c r="DO281" i="5"/>
  <c r="DP281" i="5" s="1"/>
  <c r="DP279" i="5"/>
  <c r="DP292" i="5"/>
  <c r="DO316" i="5"/>
  <c r="DP316" i="5" s="1"/>
  <c r="DP48" i="5"/>
  <c r="DO324" i="5"/>
  <c r="DP277" i="5"/>
  <c r="DO89" i="5"/>
  <c r="DP84" i="5"/>
  <c r="DP89" i="5" s="1"/>
  <c r="DP350" i="5"/>
  <c r="DQ196" i="5"/>
  <c r="AG207" i="10"/>
  <c r="DO189" i="5"/>
  <c r="DO272" i="5"/>
  <c r="DO322" i="5" s="1"/>
  <c r="DO325" i="5" s="1"/>
  <c r="DO60" i="5"/>
  <c r="DO166" i="5"/>
  <c r="DO350" i="5"/>
  <c r="DO50" i="5"/>
  <c r="DO292" i="5"/>
  <c r="DO327" i="5"/>
  <c r="DP327" i="5" s="1"/>
  <c r="DO282" i="5"/>
  <c r="DO181" i="5"/>
  <c r="AB39" i="13"/>
  <c r="AB33" i="13"/>
  <c r="AB24" i="13"/>
  <c r="Y9" i="13"/>
  <c r="Y4" i="13"/>
  <c r="AB14" i="13"/>
  <c r="AB10" i="13"/>
  <c r="AB12" i="13" s="1"/>
  <c r="AB5" i="13"/>
  <c r="AB7" i="13" s="1"/>
  <c r="AN55" i="12"/>
  <c r="AS55" i="12" s="1"/>
  <c r="DQ210" i="5" s="1"/>
  <c r="AN54" i="12"/>
  <c r="AS54" i="12" s="1"/>
  <c r="DQ209" i="5" s="1"/>
  <c r="AN53" i="12"/>
  <c r="AS53" i="12" s="1"/>
  <c r="DQ208" i="5" s="1"/>
  <c r="AN52" i="12"/>
  <c r="AS52" i="12" s="1"/>
  <c r="DQ207" i="5" s="1"/>
  <c r="AN51" i="12"/>
  <c r="AS51" i="12" s="1"/>
  <c r="DQ206" i="5" s="1"/>
  <c r="AN50" i="12"/>
  <c r="AS50" i="12" s="1"/>
  <c r="DQ205" i="5" s="1"/>
  <c r="AN49" i="12"/>
  <c r="AS49" i="12" s="1"/>
  <c r="DQ204" i="5" s="1"/>
  <c r="AN48" i="12"/>
  <c r="AS48" i="12" s="1"/>
  <c r="DQ203" i="5" s="1"/>
  <c r="AN47" i="12"/>
  <c r="AS47" i="12" s="1"/>
  <c r="DQ202" i="5" s="1"/>
  <c r="AN46" i="12"/>
  <c r="AS46" i="12" s="1"/>
  <c r="DQ201" i="5" s="1"/>
  <c r="AQ40" i="12"/>
  <c r="AQ34" i="12"/>
  <c r="AQ25" i="12"/>
  <c r="AN10" i="12"/>
  <c r="AN5" i="12"/>
  <c r="AQ15" i="12"/>
  <c r="AQ11" i="12"/>
  <c r="AQ13" i="12" s="1"/>
  <c r="AQ6" i="12"/>
  <c r="AQ8" i="12" s="1"/>
  <c r="AE51" i="10"/>
  <c r="AB143" i="10"/>
  <c r="AB142" i="10"/>
  <c r="AJ15" i="13" l="1"/>
  <c r="AJ18" i="13" s="1"/>
  <c r="AR15" i="12"/>
  <c r="DP4" i="5" s="1"/>
  <c r="AY16" i="12"/>
  <c r="AY19" i="12" s="1"/>
  <c r="AV7" i="12"/>
  <c r="AV6" i="12"/>
  <c r="AV8" i="12"/>
  <c r="AV12" i="12"/>
  <c r="AV11" i="12"/>
  <c r="AV13" i="12"/>
  <c r="AD4" i="13"/>
  <c r="AG6" i="13"/>
  <c r="AG5" i="13"/>
  <c r="AG7" i="13"/>
  <c r="AD9" i="13"/>
  <c r="DQ188" i="5" s="1"/>
  <c r="AG11" i="13"/>
  <c r="AG10" i="13"/>
  <c r="AG12" i="13"/>
  <c r="AB37" i="13"/>
  <c r="AC14" i="13"/>
  <c r="DP324" i="5"/>
  <c r="DP282" i="5"/>
  <c r="DP276" i="5"/>
  <c r="AP15" i="12"/>
  <c r="DL180" i="5"/>
  <c r="AS10" i="12"/>
  <c r="DQ187" i="5"/>
  <c r="DL179" i="5"/>
  <c r="AS5" i="12"/>
  <c r="AQ27" i="12"/>
  <c r="AR27" i="12" s="1"/>
  <c r="AR28" i="12" s="1"/>
  <c r="AB144" i="10"/>
  <c r="AB29" i="13"/>
  <c r="AC29" i="13" s="1"/>
  <c r="AB21" i="13"/>
  <c r="DO331" i="5"/>
  <c r="DL187" i="5"/>
  <c r="DO5" i="5"/>
  <c r="DW19" i="5" s="1"/>
  <c r="DL188" i="5"/>
  <c r="Y14" i="13"/>
  <c r="AG15" i="13" s="1"/>
  <c r="AB26" i="13"/>
  <c r="AC26" i="13" s="1"/>
  <c r="AN15" i="12"/>
  <c r="AV16" i="12" s="1"/>
  <c r="AV19" i="12" s="1"/>
  <c r="DO4" i="5"/>
  <c r="DW18" i="5" s="1"/>
  <c r="AQ22" i="12"/>
  <c r="AQ38" i="12"/>
  <c r="AQ30" i="12"/>
  <c r="AR30" i="12" s="1"/>
  <c r="DO76" i="5"/>
  <c r="DO91" i="5" s="1"/>
  <c r="DO100" i="5" s="1"/>
  <c r="AP248" i="9"/>
  <c r="AU248" i="9" s="1"/>
  <c r="DQ200" i="5" s="1"/>
  <c r="AP224" i="9"/>
  <c r="AU224" i="9" s="1"/>
  <c r="AS225" i="9"/>
  <c r="AP262" i="9"/>
  <c r="AP261" i="9"/>
  <c r="DL125" i="5" s="1"/>
  <c r="AP287" i="9"/>
  <c r="AS87" i="9"/>
  <c r="AS86" i="9"/>
  <c r="AP75" i="9"/>
  <c r="AP74" i="9"/>
  <c r="AU74" i="9" s="1"/>
  <c r="AS77" i="9"/>
  <c r="AS76" i="9" s="1"/>
  <c r="AS71" i="9"/>
  <c r="AS54" i="9"/>
  <c r="AS55" i="9" s="1"/>
  <c r="AS52" i="9"/>
  <c r="AS47" i="9"/>
  <c r="AS38" i="9"/>
  <c r="AS34" i="9"/>
  <c r="AT34" i="9" s="1"/>
  <c r="AS26" i="9"/>
  <c r="AS23" i="9"/>
  <c r="AS20" i="9"/>
  <c r="AT20" i="9" s="1"/>
  <c r="AS10" i="9"/>
  <c r="AS13" i="9" s="1"/>
  <c r="AS8" i="9"/>
  <c r="AT8" i="9" s="1"/>
  <c r="AS7" i="9"/>
  <c r="AT6" i="9"/>
  <c r="AS5" i="9"/>
  <c r="FF202" i="5"/>
  <c r="FE202" i="5"/>
  <c r="FD202" i="5"/>
  <c r="FC202" i="5"/>
  <c r="FB202" i="5"/>
  <c r="FA202" i="5"/>
  <c r="EZ202" i="5"/>
  <c r="EY202" i="5"/>
  <c r="EX202" i="5"/>
  <c r="EW202" i="5"/>
  <c r="EV202" i="5"/>
  <c r="EU202" i="5"/>
  <c r="ET202" i="5"/>
  <c r="ES202" i="5"/>
  <c r="ER202" i="5"/>
  <c r="EQ202" i="5"/>
  <c r="EP202" i="5"/>
  <c r="EO202" i="5"/>
  <c r="EN202" i="5"/>
  <c r="EM202" i="5"/>
  <c r="EL202" i="5"/>
  <c r="EK202" i="5"/>
  <c r="EJ202" i="5"/>
  <c r="EI202" i="5"/>
  <c r="EH202" i="5"/>
  <c r="EG202" i="5"/>
  <c r="EF202" i="5"/>
  <c r="EE202" i="5"/>
  <c r="ED202" i="5"/>
  <c r="EC202" i="5"/>
  <c r="EB202" i="5"/>
  <c r="EA202" i="5"/>
  <c r="DZ202" i="5"/>
  <c r="DY202" i="5"/>
  <c r="DX202" i="5"/>
  <c r="DW202" i="5"/>
  <c r="DV202" i="5"/>
  <c r="DU202" i="5"/>
  <c r="DT202" i="5"/>
  <c r="DS202" i="5"/>
  <c r="DO202" i="5"/>
  <c r="DN202" i="5"/>
  <c r="DL202" i="5"/>
  <c r="DK202" i="5"/>
  <c r="DK188" i="5"/>
  <c r="DK187" i="5"/>
  <c r="DK180" i="5"/>
  <c r="DK179" i="5"/>
  <c r="DK163" i="5"/>
  <c r="DK157" i="5"/>
  <c r="DK131" i="5"/>
  <c r="DS132" i="5" s="1"/>
  <c r="DK128" i="5"/>
  <c r="DS129" i="5" s="1"/>
  <c r="DK127" i="5"/>
  <c r="AC27" i="13" l="1"/>
  <c r="DL181" i="5"/>
  <c r="AC30" i="13"/>
  <c r="AR38" i="12"/>
  <c r="AD14" i="13"/>
  <c r="DQ5" i="5" s="1"/>
  <c r="AR22" i="12"/>
  <c r="AR31" i="12"/>
  <c r="AR6" i="9"/>
  <c r="DP61" i="5"/>
  <c r="AP7" i="9"/>
  <c r="AT7" i="9"/>
  <c r="DO156" i="5"/>
  <c r="DO170" i="5" s="1"/>
  <c r="AT76" i="9"/>
  <c r="DN4" i="5"/>
  <c r="DP5" i="5"/>
  <c r="AA14" i="13"/>
  <c r="AC21" i="13"/>
  <c r="AC37" i="13"/>
  <c r="AR8" i="9"/>
  <c r="AP5" i="9"/>
  <c r="AT5" i="9"/>
  <c r="DO330" i="5"/>
  <c r="DP330" i="5" s="1"/>
  <c r="DP331" i="5"/>
  <c r="DQ199" i="5"/>
  <c r="DQ189" i="5"/>
  <c r="DQ180" i="5"/>
  <c r="DQ179" i="5"/>
  <c r="AS15" i="12"/>
  <c r="DL157" i="5"/>
  <c r="AU75" i="9"/>
  <c r="DL123" i="5"/>
  <c r="DL124" i="5" s="1"/>
  <c r="AS21" i="9"/>
  <c r="DO332" i="5"/>
  <c r="DL189" i="5"/>
  <c r="DO62" i="5"/>
  <c r="DO114" i="5"/>
  <c r="DO118" i="5" s="1"/>
  <c r="DL5" i="5"/>
  <c r="DT19" i="5" s="1"/>
  <c r="DL4" i="5"/>
  <c r="DT18" i="5" s="1"/>
  <c r="DO61" i="5"/>
  <c r="DO11" i="5"/>
  <c r="DO13" i="5" s="1"/>
  <c r="AS82" i="9"/>
  <c r="AS98" i="9"/>
  <c r="AS80" i="9"/>
  <c r="AS234" i="9"/>
  <c r="AS81" i="9"/>
  <c r="DK189" i="5"/>
  <c r="DK166" i="5"/>
  <c r="DK181" i="5"/>
  <c r="X14" i="13"/>
  <c r="AG16" i="13" s="1"/>
  <c r="DT29" i="5" s="1"/>
  <c r="X10" i="13"/>
  <c r="X12" i="13" s="1"/>
  <c r="X5" i="13"/>
  <c r="X7" i="13" s="1"/>
  <c r="AM15" i="12"/>
  <c r="AU16" i="12" s="1"/>
  <c r="AU19" i="12" s="1"/>
  <c r="AM11" i="12"/>
  <c r="AM13" i="12" s="1"/>
  <c r="AM6" i="12"/>
  <c r="AM8" i="12" s="1"/>
  <c r="DO165" i="5" l="1"/>
  <c r="DO158" i="5"/>
  <c r="AF15" i="13"/>
  <c r="AF18" i="13" s="1"/>
  <c r="AG17" i="13"/>
  <c r="AG18" i="13" s="1"/>
  <c r="DP62" i="5"/>
  <c r="AR7" i="9"/>
  <c r="AT98" i="9"/>
  <c r="AR5" i="9"/>
  <c r="AT9" i="9"/>
  <c r="DN5" i="5"/>
  <c r="AR76" i="9"/>
  <c r="DP156" i="5"/>
  <c r="DQ181" i="5"/>
  <c r="DQ4" i="5"/>
  <c r="DQ157" i="5"/>
  <c r="DL166" i="5"/>
  <c r="DQ166" i="5" s="1"/>
  <c r="DL131" i="5"/>
  <c r="DL163" i="5"/>
  <c r="DL127" i="5"/>
  <c r="DL128" i="5"/>
  <c r="DO309" i="5"/>
  <c r="DO320" i="5" s="1"/>
  <c r="DO319" i="5" s="1"/>
  <c r="DO69" i="5"/>
  <c r="DO77" i="5" s="1"/>
  <c r="DO92" i="5" s="1"/>
  <c r="DO115" i="5" s="1"/>
  <c r="DO67" i="5"/>
  <c r="AS244" i="9"/>
  <c r="AT244" i="9" s="1"/>
  <c r="AS83" i="9"/>
  <c r="AS221" i="9"/>
  <c r="DO167" i="5"/>
  <c r="AA207" i="10"/>
  <c r="DP170" i="5" l="1"/>
  <c r="DP158" i="5"/>
  <c r="DP165" i="5"/>
  <c r="AT77" i="9"/>
  <c r="DP3" i="5"/>
  <c r="AT47" i="9"/>
  <c r="AT61" i="9"/>
  <c r="AT60" i="9"/>
  <c r="AR9" i="9"/>
  <c r="AR60" i="9" s="1"/>
  <c r="AR98" i="9"/>
  <c r="AT62" i="9"/>
  <c r="DO119" i="5"/>
  <c r="DO256" i="5"/>
  <c r="DO268" i="5" s="1"/>
  <c r="DO273" i="5" s="1"/>
  <c r="DO296" i="5" s="1"/>
  <c r="DP167" i="5" l="1"/>
  <c r="AT82" i="9"/>
  <c r="AT80" i="9"/>
  <c r="AT81" i="9"/>
  <c r="AT35" i="9"/>
  <c r="DP11" i="5"/>
  <c r="AR62" i="9"/>
  <c r="DN3" i="5"/>
  <c r="AR77" i="9"/>
  <c r="AR61" i="9"/>
  <c r="AT64" i="9"/>
  <c r="AA51" i="10"/>
  <c r="AO225" i="9"/>
  <c r="AO287" i="9"/>
  <c r="AO87" i="9"/>
  <c r="AO86" i="9"/>
  <c r="AO77" i="9"/>
  <c r="AO76" i="9" s="1"/>
  <c r="AP76" i="9" s="1"/>
  <c r="AO71" i="9"/>
  <c r="AO10" i="9"/>
  <c r="AO13" i="9" s="1"/>
  <c r="AO8" i="9"/>
  <c r="AO6" i="9"/>
  <c r="AP6" i="9" s="1"/>
  <c r="AR64" i="9" l="1"/>
  <c r="AT83" i="9"/>
  <c r="DN11" i="5"/>
  <c r="AR80" i="9"/>
  <c r="AR81" i="9"/>
  <c r="AR82" i="9"/>
  <c r="DP13" i="5"/>
  <c r="DP14" i="5"/>
  <c r="AP8" i="9"/>
  <c r="AU8" i="9" s="1"/>
  <c r="AO211" i="9"/>
  <c r="DL156" i="5"/>
  <c r="DK156" i="5"/>
  <c r="AO82" i="9"/>
  <c r="AP234" i="9"/>
  <c r="AO80" i="9"/>
  <c r="AO98" i="9"/>
  <c r="AO81" i="9"/>
  <c r="AR83" i="9" l="1"/>
  <c r="DN13" i="5"/>
  <c r="DN14" i="5"/>
  <c r="DL158" i="5"/>
  <c r="AO83" i="9"/>
  <c r="DK170" i="5"/>
  <c r="DK165" i="5"/>
  <c r="DK158" i="5"/>
  <c r="DL165" i="5" l="1"/>
  <c r="DQ165" i="5" s="1"/>
  <c r="DL170" i="5"/>
  <c r="DQ170" i="5" s="1"/>
  <c r="DK167" i="5"/>
  <c r="W29" i="13"/>
  <c r="O29" i="13"/>
  <c r="G29" i="13"/>
  <c r="F29" i="13"/>
  <c r="AL30" i="12"/>
  <c r="AD30" i="12"/>
  <c r="V30" i="12"/>
  <c r="U30" i="12"/>
  <c r="AN34" i="9"/>
  <c r="AF34" i="9"/>
  <c r="DL167" i="5" l="1"/>
  <c r="DQ167" i="5" s="1"/>
  <c r="V113" i="6"/>
  <c r="DH349" i="5"/>
  <c r="DH329" i="5"/>
  <c r="DH318" i="5"/>
  <c r="DJ313" i="5"/>
  <c r="DH312" i="5"/>
  <c r="DH311" i="5"/>
  <c r="DH310" i="5"/>
  <c r="DH294" i="5"/>
  <c r="DJ300" i="5"/>
  <c r="DH300" i="5" s="1"/>
  <c r="DJ295" i="5"/>
  <c r="DH295" i="5" s="1"/>
  <c r="DJ289" i="5"/>
  <c r="DH289" i="5" s="1"/>
  <c r="DJ288" i="5"/>
  <c r="DH288" i="5" s="1"/>
  <c r="DJ286" i="5"/>
  <c r="DJ285" i="5"/>
  <c r="DH285" i="5" s="1"/>
  <c r="DJ284" i="5"/>
  <c r="DJ280" i="5"/>
  <c r="DJ328" i="5" s="1"/>
  <c r="DJ278" i="5"/>
  <c r="DJ323" i="5" s="1"/>
  <c r="DJ275" i="5"/>
  <c r="DH275" i="5" s="1"/>
  <c r="DJ270" i="5"/>
  <c r="DJ269" i="5"/>
  <c r="DJ265" i="5"/>
  <c r="DH265" i="5" s="1"/>
  <c r="DJ264" i="5"/>
  <c r="DH264" i="5" s="1"/>
  <c r="DJ262" i="5"/>
  <c r="DH262" i="5" s="1"/>
  <c r="DJ261" i="5"/>
  <c r="DH261" i="5" s="1"/>
  <c r="DJ259" i="5"/>
  <c r="DH259" i="5" s="1"/>
  <c r="DJ258" i="5"/>
  <c r="DH258" i="5" s="1"/>
  <c r="DJ257" i="5"/>
  <c r="DH257" i="5" s="1"/>
  <c r="V41" i="7"/>
  <c r="DJ279" i="5" s="1"/>
  <c r="V39" i="7"/>
  <c r="V38" i="7" s="1"/>
  <c r="V23" i="7"/>
  <c r="DJ266" i="5" s="1"/>
  <c r="V31" i="7"/>
  <c r="DJ271" i="5" s="1"/>
  <c r="V193" i="8"/>
  <c r="V192" i="8"/>
  <c r="V183" i="8"/>
  <c r="DJ304" i="5" s="1"/>
  <c r="V182" i="8"/>
  <c r="V178" i="8"/>
  <c r="V173" i="8"/>
  <c r="V175" i="8" s="1"/>
  <c r="V166" i="8"/>
  <c r="V165" i="8"/>
  <c r="V161" i="8"/>
  <c r="V160" i="8"/>
  <c r="V147" i="8"/>
  <c r="V146" i="8"/>
  <c r="V108" i="8"/>
  <c r="V101" i="8"/>
  <c r="W99" i="8" s="1"/>
  <c r="W100" i="8" s="1"/>
  <c r="V97" i="8"/>
  <c r="V90" i="8"/>
  <c r="V94" i="8" s="1"/>
  <c r="V87" i="8"/>
  <c r="V80" i="8" s="1"/>
  <c r="V79" i="8"/>
  <c r="V92" i="8" s="1"/>
  <c r="V76" i="8"/>
  <c r="V70" i="8"/>
  <c r="V73" i="8" s="1"/>
  <c r="V62" i="8"/>
  <c r="V67" i="8" s="1"/>
  <c r="V54" i="8"/>
  <c r="V45" i="8"/>
  <c r="V127" i="8" s="1"/>
  <c r="V33" i="8"/>
  <c r="V116" i="8" s="1"/>
  <c r="V25" i="8"/>
  <c r="V122" i="8" s="1"/>
  <c r="V11" i="8"/>
  <c r="V112" i="8" s="1"/>
  <c r="DB202" i="5"/>
  <c r="DJ202" i="5"/>
  <c r="DJ188" i="5"/>
  <c r="DR192" i="5" s="1"/>
  <c r="DJ180" i="5"/>
  <c r="DR184" i="5" s="1"/>
  <c r="DJ163" i="5"/>
  <c r="DJ157" i="5"/>
  <c r="DR160" i="5" s="1"/>
  <c r="DF144" i="5"/>
  <c r="DJ144" i="5"/>
  <c r="DH124" i="5"/>
  <c r="DF124" i="5" s="1"/>
  <c r="DJ125" i="5"/>
  <c r="DJ123" i="5"/>
  <c r="DJ131" i="5" s="1"/>
  <c r="DR132" i="5" s="1"/>
  <c r="DH111" i="5"/>
  <c r="DH110" i="5"/>
  <c r="DH106" i="5"/>
  <c r="DH97" i="5"/>
  <c r="DH96" i="5"/>
  <c r="DH95" i="5"/>
  <c r="DH83" i="5"/>
  <c r="DH82" i="5"/>
  <c r="DH73" i="5"/>
  <c r="DH72" i="5"/>
  <c r="DH47" i="5"/>
  <c r="DH43" i="5"/>
  <c r="DH42" i="5"/>
  <c r="DH41" i="5"/>
  <c r="DH40" i="5"/>
  <c r="V114" i="6"/>
  <c r="V105" i="6"/>
  <c r="V104" i="6" s="1"/>
  <c r="V78" i="6"/>
  <c r="V79" i="6" s="1"/>
  <c r="V75" i="6"/>
  <c r="W38" i="13"/>
  <c r="W36" i="13"/>
  <c r="W32" i="13"/>
  <c r="DJ348" i="5" s="1"/>
  <c r="W26" i="13"/>
  <c r="W20" i="13"/>
  <c r="W24" i="13" s="1"/>
  <c r="W16" i="13"/>
  <c r="W14" i="13"/>
  <c r="W10" i="13"/>
  <c r="W12" i="13" s="1"/>
  <c r="AJ55" i="12"/>
  <c r="AH55" i="12" s="1"/>
  <c r="AJ54" i="12"/>
  <c r="AH54" i="12" s="1"/>
  <c r="AJ53" i="12"/>
  <c r="AH53" i="12" s="1"/>
  <c r="AJ52" i="12"/>
  <c r="AH52" i="12" s="1"/>
  <c r="AJ51" i="12"/>
  <c r="AH51" i="12" s="1"/>
  <c r="AJ50" i="12"/>
  <c r="AH50" i="12" s="1"/>
  <c r="AJ49" i="12"/>
  <c r="AH49" i="12" s="1"/>
  <c r="AJ48" i="12"/>
  <c r="AH48" i="12" s="1"/>
  <c r="AJ47" i="12"/>
  <c r="AH47" i="12" s="1"/>
  <c r="DF202" i="5" s="1"/>
  <c r="AJ46" i="12"/>
  <c r="AH46" i="12" s="1"/>
  <c r="AB47" i="12"/>
  <c r="CZ202" i="5" s="1"/>
  <c r="AL39" i="12"/>
  <c r="AL37" i="12"/>
  <c r="AL33" i="12"/>
  <c r="AL27" i="12"/>
  <c r="AL21" i="12"/>
  <c r="AL17" i="12"/>
  <c r="AL11" i="12"/>
  <c r="AL13" i="12" s="1"/>
  <c r="AL15" i="12"/>
  <c r="Z207" i="10"/>
  <c r="AT16" i="12" l="1"/>
  <c r="AT19" i="12" s="1"/>
  <c r="W4" i="13"/>
  <c r="AE15" i="13"/>
  <c r="AE18" i="13" s="1"/>
  <c r="V195" i="8"/>
  <c r="V27" i="7"/>
  <c r="V26" i="8"/>
  <c r="DJ287" i="5"/>
  <c r="DJ326" i="5" s="1"/>
  <c r="DH280" i="5"/>
  <c r="V38" i="8"/>
  <c r="AL31" i="12"/>
  <c r="V46" i="8"/>
  <c r="DJ260" i="5"/>
  <c r="DJ327" i="5"/>
  <c r="DJ331" i="5" s="1"/>
  <c r="DJ330" i="5" s="1"/>
  <c r="DJ281" i="5"/>
  <c r="V15" i="8"/>
  <c r="V83" i="8"/>
  <c r="V45" i="7"/>
  <c r="V184" i="8"/>
  <c r="DJ305" i="5"/>
  <c r="DH305" i="5" s="1"/>
  <c r="DJ272" i="5"/>
  <c r="DJ322" i="5" s="1"/>
  <c r="DJ277" i="5"/>
  <c r="DH269" i="5"/>
  <c r="DH278" i="5"/>
  <c r="DH323" i="5" s="1"/>
  <c r="DH304" i="5"/>
  <c r="V33" i="7"/>
  <c r="DH286" i="5"/>
  <c r="DH287" i="5" s="1"/>
  <c r="W30" i="13"/>
  <c r="U32" i="13"/>
  <c r="DJ166" i="5"/>
  <c r="AL38" i="12"/>
  <c r="AL22" i="12"/>
  <c r="DH260" i="5"/>
  <c r="DH313" i="5"/>
  <c r="W37" i="13"/>
  <c r="AL25" i="12"/>
  <c r="AL40" i="12"/>
  <c r="W21" i="13"/>
  <c r="W39" i="13"/>
  <c r="AL34" i="12"/>
  <c r="W27" i="13"/>
  <c r="AL28" i="12"/>
  <c r="W33" i="13"/>
  <c r="DJ347" i="5"/>
  <c r="DH202" i="5"/>
  <c r="Z47" i="12"/>
  <c r="CX202" i="5" s="1"/>
  <c r="DJ128" i="5"/>
  <c r="DR129" i="5" s="1"/>
  <c r="DJ127" i="5"/>
  <c r="DJ267" i="5"/>
  <c r="DH266" i="5"/>
  <c r="DH267" i="5" s="1"/>
  <c r="V120" i="8"/>
  <c r="V126" i="8"/>
  <c r="V128" i="8" s="1"/>
  <c r="V121" i="8"/>
  <c r="V168" i="8"/>
  <c r="V169" i="8" s="1"/>
  <c r="V148" i="8"/>
  <c r="V68" i="7" s="1"/>
  <c r="DJ299" i="5" s="1"/>
  <c r="DH299" i="5" s="1"/>
  <c r="V81" i="8"/>
  <c r="V64" i="8"/>
  <c r="V66" i="8"/>
  <c r="AJ33" i="12"/>
  <c r="DJ187" i="5" l="1"/>
  <c r="AE5" i="13"/>
  <c r="AE7" i="13" s="1"/>
  <c r="V28" i="8"/>
  <c r="V56" i="8"/>
  <c r="DJ282" i="5"/>
  <c r="DH306" i="5"/>
  <c r="DJ306" i="5"/>
  <c r="DJ276" i="5"/>
  <c r="DJ324" i="5"/>
  <c r="DJ325" i="5" s="1"/>
  <c r="DJ332" i="5" s="1"/>
  <c r="V170" i="8"/>
  <c r="V123" i="8"/>
  <c r="V130" i="8" s="1"/>
  <c r="W132" i="8" s="1"/>
  <c r="X50" i="10"/>
  <c r="X207" i="10" s="1"/>
  <c r="AF208" i="10" s="1"/>
  <c r="X49" i="10"/>
  <c r="V49" i="10" s="1"/>
  <c r="Z51" i="10"/>
  <c r="AH52" i="10" s="1"/>
  <c r="AL248" i="9"/>
  <c r="AJ248" i="9" s="1"/>
  <c r="AN225" i="9"/>
  <c r="AJ287" i="9"/>
  <c r="AJ258" i="9"/>
  <c r="AJ259" i="9" s="1"/>
  <c r="AL262" i="9"/>
  <c r="DH123" i="5" s="1"/>
  <c r="AL261" i="9"/>
  <c r="AN87" i="9"/>
  <c r="AL75" i="9"/>
  <c r="AL74" i="9"/>
  <c r="AT86" i="9" s="1"/>
  <c r="AN51" i="9"/>
  <c r="AN46" i="9"/>
  <c r="AL49" i="9"/>
  <c r="AN37" i="9"/>
  <c r="DJ346" i="5" s="1"/>
  <c r="DJ350" i="5" s="1"/>
  <c r="AN28" i="9"/>
  <c r="AL25" i="9"/>
  <c r="AN20" i="9"/>
  <c r="AN22" i="9"/>
  <c r="AN9" i="9"/>
  <c r="X132" i="4"/>
  <c r="X103" i="4"/>
  <c r="X102" i="4" s="1"/>
  <c r="X88" i="4"/>
  <c r="X87" i="4"/>
  <c r="X86" i="4"/>
  <c r="X72" i="4"/>
  <c r="X56" i="4"/>
  <c r="X55" i="4"/>
  <c r="X54" i="4"/>
  <c r="X22" i="4"/>
  <c r="X20" i="4"/>
  <c r="X19" i="4"/>
  <c r="B33" i="11"/>
  <c r="B37" i="11" s="1"/>
  <c r="B34" i="11"/>
  <c r="B38" i="11" s="1"/>
  <c r="B32" i="11"/>
  <c r="AL46" i="9" l="1"/>
  <c r="AN77" i="9"/>
  <c r="AN76" i="9" s="1"/>
  <c r="AN82" i="9" s="1"/>
  <c r="AV71" i="9"/>
  <c r="AV10" i="9"/>
  <c r="AV13" i="9" s="1"/>
  <c r="DH157" i="5"/>
  <c r="DP160" i="5" s="1"/>
  <c r="AT87" i="9"/>
  <c r="DR191" i="5"/>
  <c r="DJ189" i="5"/>
  <c r="DR193" i="5" s="1"/>
  <c r="V50" i="10"/>
  <c r="V207" i="10" s="1"/>
  <c r="AD208" i="10" s="1"/>
  <c r="AN31" i="9"/>
  <c r="AN32" i="9" s="1"/>
  <c r="X51" i="10"/>
  <c r="AJ262" i="9"/>
  <c r="DF123" i="5" s="1"/>
  <c r="DF131" i="5" s="1"/>
  <c r="AN26" i="9"/>
  <c r="AN23" i="9"/>
  <c r="AL37" i="9"/>
  <c r="X92" i="4"/>
  <c r="AN47" i="9"/>
  <c r="AN38" i="9"/>
  <c r="AN29" i="9"/>
  <c r="AJ75" i="9"/>
  <c r="AR87" i="9" s="1"/>
  <c r="DH163" i="5"/>
  <c r="DH166" i="5" s="1"/>
  <c r="DH125" i="5"/>
  <c r="DH127" i="5" s="1"/>
  <c r="AJ261" i="9"/>
  <c r="AJ74" i="9"/>
  <c r="AR86" i="9" s="1"/>
  <c r="DH131" i="5"/>
  <c r="DP132" i="5" s="1"/>
  <c r="AN54" i="9"/>
  <c r="AN55" i="9" s="1"/>
  <c r="AN52" i="9"/>
  <c r="AL51" i="9"/>
  <c r="AL54" i="9" s="1"/>
  <c r="DA164" i="11"/>
  <c r="CS164" i="11"/>
  <c r="CK164" i="11"/>
  <c r="CC164" i="11"/>
  <c r="BU164" i="11"/>
  <c r="BM164" i="11"/>
  <c r="BE164" i="11"/>
  <c r="CS160" i="11"/>
  <c r="CS166" i="11" s="1"/>
  <c r="CS167" i="11" s="1"/>
  <c r="BU160" i="11"/>
  <c r="BU166" i="11" s="1"/>
  <c r="BU167" i="11" s="1"/>
  <c r="CC160" i="11"/>
  <c r="CC166" i="11" s="1"/>
  <c r="CC167" i="11" s="1"/>
  <c r="DA160" i="11"/>
  <c r="DA166" i="11" s="1"/>
  <c r="DA167" i="11" s="1"/>
  <c r="CK160" i="11"/>
  <c r="CK166" i="11" s="1"/>
  <c r="CK167" i="11" s="1"/>
  <c r="BM160" i="11"/>
  <c r="BM166" i="11" s="1"/>
  <c r="BM167" i="11" s="1"/>
  <c r="BE160" i="11"/>
  <c r="BE166" i="11" s="1"/>
  <c r="BE167" i="11" s="1"/>
  <c r="CS98" i="11"/>
  <c r="DJ156" i="5" l="1"/>
  <c r="DR159" i="5" s="1"/>
  <c r="AN80" i="9"/>
  <c r="AN81" i="9"/>
  <c r="AN83" i="9" s="1"/>
  <c r="AT49" i="9"/>
  <c r="AT54" i="9" s="1"/>
  <c r="AT55" i="9" s="1"/>
  <c r="AV54" i="9"/>
  <c r="V51" i="10"/>
  <c r="DH128" i="5"/>
  <c r="DP129" i="5" s="1"/>
  <c r="V68" i="6"/>
  <c r="AL52" i="9"/>
  <c r="DF163" i="5"/>
  <c r="DF125" i="5"/>
  <c r="DF157" i="5"/>
  <c r="DJ165" i="5"/>
  <c r="AN21" i="9"/>
  <c r="DJ170" i="5" l="1"/>
  <c r="DR171" i="5" s="1"/>
  <c r="DJ158" i="5"/>
  <c r="DR161" i="5" s="1"/>
  <c r="AV21" i="9"/>
  <c r="AT21" i="9" s="1"/>
  <c r="AV55" i="9"/>
  <c r="DF166" i="5"/>
  <c r="DF128" i="5"/>
  <c r="DF127" i="5"/>
  <c r="DJ167" i="5" l="1"/>
  <c r="DR168" i="5" s="1"/>
  <c r="CY202" i="5" l="1"/>
  <c r="CW202" i="5"/>
  <c r="CU202" i="5"/>
  <c r="DE210" i="5"/>
  <c r="DE209" i="5"/>
  <c r="DE208" i="5"/>
  <c r="DE207" i="5"/>
  <c r="DE206" i="5"/>
  <c r="DE205" i="5"/>
  <c r="DE204" i="5"/>
  <c r="DE203" i="5"/>
  <c r="DE202" i="5"/>
  <c r="DE201" i="5"/>
  <c r="DE200" i="5"/>
  <c r="DE199" i="5"/>
  <c r="DE197" i="5"/>
  <c r="DE196" i="5"/>
  <c r="DE188" i="5"/>
  <c r="DM192" i="5" s="1"/>
  <c r="DE187" i="5"/>
  <c r="DM191" i="5" s="1"/>
  <c r="DE180" i="5"/>
  <c r="DM184" i="5" s="1"/>
  <c r="DE179" i="5"/>
  <c r="DM183" i="5" s="1"/>
  <c r="DE157" i="5"/>
  <c r="DM160" i="5" s="1"/>
  <c r="DI125" i="5"/>
  <c r="DI123" i="5"/>
  <c r="DE125" i="5"/>
  <c r="DE123" i="5"/>
  <c r="DE29" i="5"/>
  <c r="DE28" i="5"/>
  <c r="DE27" i="5"/>
  <c r="DE3" i="5"/>
  <c r="R14" i="13"/>
  <c r="R10" i="13"/>
  <c r="R12" i="13" s="1"/>
  <c r="R5" i="13"/>
  <c r="R7" i="13" s="1"/>
  <c r="X47" i="12"/>
  <c r="CV202" i="5" s="1"/>
  <c r="AG15" i="12"/>
  <c r="AO16" i="12" s="1"/>
  <c r="AO19" i="12" s="1"/>
  <c r="AG11" i="12"/>
  <c r="AG13" i="12" s="1"/>
  <c r="AG6" i="12"/>
  <c r="AG8" i="12" s="1"/>
  <c r="AZ14" i="11"/>
  <c r="U207" i="10"/>
  <c r="S207" i="10"/>
  <c r="Y143" i="10"/>
  <c r="Y142" i="10"/>
  <c r="U144" i="10"/>
  <c r="DM17" i="5" l="1"/>
  <c r="DE5" i="5"/>
  <c r="DM19" i="5" s="1"/>
  <c r="Z15" i="13"/>
  <c r="Z18" i="13" s="1"/>
  <c r="DE127" i="5"/>
  <c r="DE4" i="5"/>
  <c r="DI128" i="5"/>
  <c r="DQ129" i="5" s="1"/>
  <c r="AC47" i="12"/>
  <c r="DA202" i="5" s="1"/>
  <c r="Y144" i="10"/>
  <c r="DI163" i="5"/>
  <c r="DE128" i="5"/>
  <c r="DM129" i="5" s="1"/>
  <c r="DI131" i="5"/>
  <c r="DQ132" i="5" s="1"/>
  <c r="DE131" i="5"/>
  <c r="DM132" i="5" s="1"/>
  <c r="DE163" i="5"/>
  <c r="DE166" i="5" s="1"/>
  <c r="DI127" i="5"/>
  <c r="DE189" i="5"/>
  <c r="DM193" i="5" s="1"/>
  <c r="DE181" i="5"/>
  <c r="DM185" i="5" s="1"/>
  <c r="U57" i="10"/>
  <c r="U51" i="10"/>
  <c r="DE11" i="5" l="1"/>
  <c r="DM18" i="5"/>
  <c r="DM34" i="5"/>
  <c r="AI225" i="9"/>
  <c r="AI287" i="9"/>
  <c r="AI87" i="9"/>
  <c r="AI86" i="9"/>
  <c r="AI77" i="9"/>
  <c r="AI76" i="9" s="1"/>
  <c r="DE156" i="5" s="1"/>
  <c r="DM159" i="5" s="1"/>
  <c r="AI71" i="9"/>
  <c r="AI10" i="9"/>
  <c r="AI13" i="9" s="1"/>
  <c r="AI8" i="9"/>
  <c r="AI7" i="9"/>
  <c r="AI234" i="9" s="1"/>
  <c r="AQ242" i="9" s="1"/>
  <c r="AI6" i="9"/>
  <c r="AI5" i="9"/>
  <c r="AI98" i="9" s="1"/>
  <c r="DC202" i="5"/>
  <c r="DG202" i="5"/>
  <c r="AF47" i="12"/>
  <c r="AK47" i="12" s="1"/>
  <c r="DI202" i="5" s="1"/>
  <c r="DE13" i="5" l="1"/>
  <c r="DM24" i="5"/>
  <c r="DM37" i="5" s="1"/>
  <c r="DM36" i="5" s="1"/>
  <c r="DD202" i="5"/>
  <c r="AI80" i="9"/>
  <c r="AI82" i="9"/>
  <c r="AI211" i="9"/>
  <c r="AQ219" i="9" s="1"/>
  <c r="DE158" i="5"/>
  <c r="DE170" i="5"/>
  <c r="DM171" i="5" s="1"/>
  <c r="AI81" i="9"/>
  <c r="DE165" i="5"/>
  <c r="DG348" i="5"/>
  <c r="DH348" i="5" s="1"/>
  <c r="DG347" i="5"/>
  <c r="DH347" i="5" s="1"/>
  <c r="DG346" i="5"/>
  <c r="DH346" i="5" s="1"/>
  <c r="DG328" i="5"/>
  <c r="DH328" i="5" s="1"/>
  <c r="DG331" i="5"/>
  <c r="DH331" i="5" s="1"/>
  <c r="DG326" i="5"/>
  <c r="DH326" i="5" s="1"/>
  <c r="DG323" i="5"/>
  <c r="DG317" i="5"/>
  <c r="DG315" i="5"/>
  <c r="DG313" i="5"/>
  <c r="DG306" i="5"/>
  <c r="X9" i="8"/>
  <c r="Y9" i="8" s="1"/>
  <c r="Z9" i="8" s="1"/>
  <c r="AA9" i="8" s="1"/>
  <c r="AB9" i="8" s="1"/>
  <c r="DG284" i="5"/>
  <c r="DH284" i="5" s="1"/>
  <c r="DG279" i="5"/>
  <c r="DG271" i="5"/>
  <c r="DH271" i="5" s="1"/>
  <c r="DG270" i="5"/>
  <c r="DH270" i="5" s="1"/>
  <c r="DG291" i="5"/>
  <c r="DG287" i="5"/>
  <c r="DG277" i="5"/>
  <c r="DG267" i="5"/>
  <c r="DG260" i="5"/>
  <c r="DG188" i="5"/>
  <c r="DO192" i="5" s="1"/>
  <c r="DG187" i="5"/>
  <c r="DO191" i="5" s="1"/>
  <c r="DG180" i="5"/>
  <c r="DO184" i="5" s="1"/>
  <c r="DG179" i="5"/>
  <c r="DO183" i="5" s="1"/>
  <c r="DE167" i="5" l="1"/>
  <c r="DM168" i="5" s="1"/>
  <c r="DM161" i="5"/>
  <c r="DH272" i="5"/>
  <c r="DH322" i="5" s="1"/>
  <c r="DG281" i="5"/>
  <c r="DH281" i="5" s="1"/>
  <c r="DH279" i="5"/>
  <c r="DG324" i="5"/>
  <c r="DH277" i="5"/>
  <c r="DH350" i="5"/>
  <c r="AI83" i="9"/>
  <c r="DG272" i="5"/>
  <c r="DG322" i="5" s="1"/>
  <c r="DG350" i="5"/>
  <c r="DG189" i="5"/>
  <c r="DO193" i="5" s="1"/>
  <c r="DG327" i="5"/>
  <c r="DG292" i="5"/>
  <c r="DG181" i="5"/>
  <c r="DO185" i="5" s="1"/>
  <c r="DG163" i="5"/>
  <c r="DG157" i="5"/>
  <c r="DO160" i="5" s="1"/>
  <c r="DG131" i="5"/>
  <c r="DO132" i="5" s="1"/>
  <c r="DG128" i="5"/>
  <c r="DO129" i="5" s="1"/>
  <c r="DG127" i="5"/>
  <c r="DG112" i="5"/>
  <c r="DG98" i="5"/>
  <c r="DG88" i="5"/>
  <c r="DG314" i="5" s="1"/>
  <c r="DG84" i="5"/>
  <c r="AB23" i="6"/>
  <c r="AA23" i="6"/>
  <c r="Z23" i="6"/>
  <c r="Y23" i="6"/>
  <c r="X23" i="6"/>
  <c r="DG74" i="5"/>
  <c r="DG51" i="5"/>
  <c r="DG52" i="5"/>
  <c r="DG53" i="5"/>
  <c r="DG48" i="5"/>
  <c r="DG44" i="5"/>
  <c r="T39" i="13"/>
  <c r="T33" i="13"/>
  <c r="T24" i="13"/>
  <c r="T10" i="13"/>
  <c r="T12" i="13" s="1"/>
  <c r="T5" i="13"/>
  <c r="T7" i="13" s="1"/>
  <c r="T14" i="13"/>
  <c r="AF53" i="12"/>
  <c r="AK53" i="12" s="1"/>
  <c r="AF48" i="12"/>
  <c r="AK48" i="12" s="1"/>
  <c r="AF55" i="12"/>
  <c r="AK55" i="12" s="1"/>
  <c r="AF51" i="12"/>
  <c r="AK51" i="12" s="1"/>
  <c r="AF54" i="12"/>
  <c r="AK54" i="12" s="1"/>
  <c r="AF46" i="12"/>
  <c r="AK46" i="12" s="1"/>
  <c r="AF49" i="12"/>
  <c r="AK49" i="12" s="1"/>
  <c r="AF50" i="12"/>
  <c r="AK50" i="12" s="1"/>
  <c r="AF52" i="12"/>
  <c r="AK52" i="12" s="1"/>
  <c r="AI40" i="12"/>
  <c r="AI34" i="12"/>
  <c r="AI25" i="12"/>
  <c r="AI15" i="12"/>
  <c r="AI11" i="12"/>
  <c r="AI13" i="12" s="1"/>
  <c r="AI6" i="12"/>
  <c r="AI8" i="12" s="1"/>
  <c r="T198" i="10"/>
  <c r="W207" i="10"/>
  <c r="AQ16" i="12" l="1"/>
  <c r="AQ19" i="12" s="1"/>
  <c r="DG325" i="5"/>
  <c r="T21" i="13"/>
  <c r="AB15" i="13"/>
  <c r="AB18" i="13" s="1"/>
  <c r="DG282" i="5"/>
  <c r="DG316" i="5"/>
  <c r="DG330" i="5"/>
  <c r="DH330" i="5" s="1"/>
  <c r="DH327" i="5"/>
  <c r="DH324" i="5"/>
  <c r="DH276" i="5"/>
  <c r="DH282" i="5"/>
  <c r="DG89" i="5"/>
  <c r="AI38" i="12"/>
  <c r="DG166" i="5"/>
  <c r="DG50" i="5"/>
  <c r="DG332" i="5"/>
  <c r="AI22" i="12"/>
  <c r="T37" i="13"/>
  <c r="T194" i="10"/>
  <c r="T188" i="10"/>
  <c r="T187" i="10"/>
  <c r="T178" i="10"/>
  <c r="T166" i="10"/>
  <c r="T165" i="10"/>
  <c r="T162" i="10"/>
  <c r="W165" i="10"/>
  <c r="W162" i="10"/>
  <c r="T155" i="10"/>
  <c r="T152" i="10"/>
  <c r="W156" i="10"/>
  <c r="T156" i="10" s="1"/>
  <c r="W155" i="10"/>
  <c r="W152" i="10"/>
  <c r="T147" i="10"/>
  <c r="DG76" i="5" l="1"/>
  <c r="DG91" i="5" s="1"/>
  <c r="DG100" i="5" s="1"/>
  <c r="T143" i="10"/>
  <c r="T142" i="10"/>
  <c r="DG114" i="5" l="1"/>
  <c r="DG118" i="5" s="1"/>
  <c r="T144" i="10"/>
  <c r="T58" i="10"/>
  <c r="Y58" i="10" s="1"/>
  <c r="T56" i="10"/>
  <c r="Y56" i="10" s="1"/>
  <c r="T55" i="10"/>
  <c r="Y55" i="10" s="1"/>
  <c r="T50" i="10"/>
  <c r="T49" i="10"/>
  <c r="Y49" i="10" s="1"/>
  <c r="W51" i="10"/>
  <c r="T44" i="10"/>
  <c r="Y44" i="10" s="1"/>
  <c r="T43" i="10"/>
  <c r="Y43" i="10" s="1"/>
  <c r="T42" i="10"/>
  <c r="Y42" i="10" s="1"/>
  <c r="T41" i="10"/>
  <c r="Y41" i="10" s="1"/>
  <c r="T40" i="10"/>
  <c r="Y40" i="10" s="1"/>
  <c r="AH287" i="9"/>
  <c r="AH248" i="9"/>
  <c r="AM248" i="9" s="1"/>
  <c r="AH224" i="9"/>
  <c r="AP225" i="9" s="1"/>
  <c r="AH262" i="9"/>
  <c r="DD123" i="5" s="1"/>
  <c r="AH261" i="9"/>
  <c r="DD125" i="5" s="1"/>
  <c r="AH75" i="9"/>
  <c r="AP87" i="9" s="1"/>
  <c r="AH74" i="9"/>
  <c r="AK77" i="9"/>
  <c r="AK76" i="9" s="1"/>
  <c r="AK54" i="9"/>
  <c r="AK55" i="9" s="1"/>
  <c r="AK52" i="9"/>
  <c r="AK47" i="9"/>
  <c r="AK38" i="9"/>
  <c r="AK34" i="9"/>
  <c r="AK26" i="9"/>
  <c r="AK23" i="9"/>
  <c r="AK20" i="9"/>
  <c r="AL20" i="9" s="1"/>
  <c r="AK10" i="9"/>
  <c r="AK13" i="9" s="1"/>
  <c r="DG309" i="5" l="1"/>
  <c r="DG320" i="5" s="1"/>
  <c r="AM74" i="9"/>
  <c r="AU86" i="9" s="1"/>
  <c r="AP86" i="9"/>
  <c r="DG156" i="5"/>
  <c r="DG165" i="5" s="1"/>
  <c r="AL76" i="9"/>
  <c r="DG319" i="5"/>
  <c r="T207" i="10"/>
  <c r="Y50" i="10"/>
  <c r="Y207" i="10" s="1"/>
  <c r="Y45" i="10"/>
  <c r="DD157" i="5"/>
  <c r="DL160" i="5" s="1"/>
  <c r="AM75" i="9"/>
  <c r="AU87" i="9" s="1"/>
  <c r="T45" i="10"/>
  <c r="T51" i="10"/>
  <c r="DD124" i="5"/>
  <c r="DD163" i="5"/>
  <c r="DD127" i="5"/>
  <c r="DD131" i="5"/>
  <c r="DL132" i="5" s="1"/>
  <c r="DD128" i="5"/>
  <c r="DL129" i="5" s="1"/>
  <c r="AK82" i="9"/>
  <c r="AK80" i="9"/>
  <c r="AK81" i="9"/>
  <c r="AK21" i="9"/>
  <c r="AL21" i="9" s="1"/>
  <c r="DG170" i="5" l="1"/>
  <c r="DO171" i="5" s="1"/>
  <c r="DO159" i="5"/>
  <c r="DG158" i="5"/>
  <c r="AJ76" i="9"/>
  <c r="DH156" i="5"/>
  <c r="DP159" i="5" s="1"/>
  <c r="DI157" i="5"/>
  <c r="DQ160" i="5" s="1"/>
  <c r="AK83" i="9"/>
  <c r="AG7" i="9"/>
  <c r="AO69" i="9" s="1"/>
  <c r="DG167" i="5" l="1"/>
  <c r="DO168" i="5" s="1"/>
  <c r="DO161" i="5"/>
  <c r="DH165" i="5"/>
  <c r="DH158" i="5"/>
  <c r="DP161" i="5" s="1"/>
  <c r="DH170" i="5"/>
  <c r="DP171" i="5" s="1"/>
  <c r="DF156" i="5"/>
  <c r="AG5" i="9"/>
  <c r="AO67" i="9" s="1"/>
  <c r="DH167" i="5" l="1"/>
  <c r="DP168" i="5" s="1"/>
  <c r="DF165" i="5"/>
  <c r="DF158" i="5"/>
  <c r="DF170" i="5"/>
  <c r="DC188" i="5"/>
  <c r="DK192" i="5" s="1"/>
  <c r="DC187" i="5"/>
  <c r="DK191" i="5" s="1"/>
  <c r="DC180" i="5"/>
  <c r="DK184" i="5" s="1"/>
  <c r="DC179" i="5"/>
  <c r="DK183" i="5" s="1"/>
  <c r="DC163" i="5"/>
  <c r="DC157" i="5"/>
  <c r="DK160" i="5" s="1"/>
  <c r="DC131" i="5"/>
  <c r="DK132" i="5" s="1"/>
  <c r="DC128" i="5"/>
  <c r="DK129" i="5" s="1"/>
  <c r="DC127" i="5"/>
  <c r="P10" i="13"/>
  <c r="P12" i="13" s="1"/>
  <c r="P5" i="13"/>
  <c r="P7" i="13" s="1"/>
  <c r="AE11" i="12"/>
  <c r="AE13" i="12" s="1"/>
  <c r="AE6" i="12"/>
  <c r="AE8" i="12" s="1"/>
  <c r="DF167" i="5" l="1"/>
  <c r="DC189" i="5"/>
  <c r="DK193" i="5" s="1"/>
  <c r="DC181" i="5"/>
  <c r="DK185" i="5" s="1"/>
  <c r="DC166" i="5"/>
  <c r="S144" i="10"/>
  <c r="DD166" i="5" l="1"/>
  <c r="DI166" i="5" s="1"/>
  <c r="S51" i="10"/>
  <c r="S72" i="10" s="1"/>
  <c r="AG287" i="9"/>
  <c r="AG195" i="9"/>
  <c r="AG87" i="9"/>
  <c r="AG86" i="9"/>
  <c r="AG77" i="9"/>
  <c r="AG76" i="9" s="1"/>
  <c r="AH76" i="9" s="1"/>
  <c r="DD156" i="5" s="1"/>
  <c r="DL159" i="5" s="1"/>
  <c r="DD158" i="5" l="1"/>
  <c r="DL161" i="5" s="1"/>
  <c r="AG82" i="9"/>
  <c r="DC156" i="5"/>
  <c r="DK159" i="5" s="1"/>
  <c r="AG80" i="9"/>
  <c r="AG81" i="9"/>
  <c r="AG83" i="9" l="1"/>
  <c r="DC158" i="5"/>
  <c r="DC165" i="5"/>
  <c r="DC167" i="5" l="1"/>
  <c r="DK168" i="5" s="1"/>
  <c r="DK161" i="5"/>
  <c r="DD165" i="5"/>
  <c r="DI165" i="5" s="1"/>
  <c r="DD167" i="5" l="1"/>
  <c r="CH22" i="12"/>
  <c r="DI167" i="5" l="1"/>
  <c r="DQ168" i="5" s="1"/>
  <c r="DL168" i="5"/>
  <c r="Q105" i="10"/>
  <c r="P105" i="10"/>
  <c r="O105" i="10"/>
  <c r="N105" i="10"/>
  <c r="M105" i="10"/>
  <c r="L105" i="10"/>
  <c r="K105" i="10"/>
  <c r="Z105" i="10"/>
  <c r="S105" i="10" s="1"/>
  <c r="V105" i="10" l="1"/>
  <c r="Y105" i="10"/>
  <c r="U105" i="10"/>
  <c r="X105" i="10"/>
  <c r="T105" i="10"/>
  <c r="W105" i="10"/>
  <c r="AA105" i="10" l="1"/>
  <c r="AD105" i="10"/>
  <c r="AF105" i="10"/>
  <c r="AB105" i="10"/>
  <c r="AE105" i="10"/>
  <c r="AC105" i="10"/>
  <c r="AG105" i="10"/>
  <c r="AP105" i="10"/>
  <c r="AK105" i="10" s="1"/>
  <c r="AN105" i="10" l="1"/>
  <c r="AI105" i="10"/>
  <c r="AX105" i="10"/>
  <c r="AQ105" i="10" s="1"/>
  <c r="AM105" i="10"/>
  <c r="AL105" i="10"/>
  <c r="AO105" i="10"/>
  <c r="AJ105" i="10"/>
  <c r="AR105" i="10" l="1"/>
  <c r="BF105" i="10"/>
  <c r="BB105" i="10" s="1"/>
  <c r="AW105" i="10"/>
  <c r="AV105" i="10"/>
  <c r="AT105" i="10"/>
  <c r="AS105" i="10"/>
  <c r="AU105" i="10"/>
  <c r="AY105" i="10" l="1"/>
  <c r="BD105" i="10"/>
  <c r="BE105" i="10"/>
  <c r="AZ105" i="10"/>
  <c r="BC105" i="10"/>
  <c r="BN105" i="10"/>
  <c r="BG105" i="10" s="1"/>
  <c r="BA105" i="10"/>
  <c r="BI105" i="10" l="1"/>
  <c r="BM105" i="10"/>
  <c r="BL105" i="10"/>
  <c r="BJ105" i="10"/>
  <c r="BK105" i="10"/>
  <c r="BV105" i="10"/>
  <c r="BU105" i="10" s="1"/>
  <c r="BH105" i="10"/>
  <c r="BQ105" i="10" l="1"/>
  <c r="BP105" i="10"/>
  <c r="BR105" i="10"/>
  <c r="BO105" i="10"/>
  <c r="BS105" i="10"/>
  <c r="BT105" i="10"/>
  <c r="J207" i="10"/>
  <c r="J177" i="10" l="1"/>
  <c r="BL218" i="9"/>
  <c r="BT218" i="9" s="1"/>
  <c r="CB218" i="9" s="1"/>
  <c r="CJ218" i="9" s="1"/>
  <c r="A214" i="9"/>
  <c r="A213" i="9"/>
  <c r="AF74" i="9"/>
  <c r="AN86" i="9" s="1"/>
  <c r="A237" i="9"/>
  <c r="A236" i="9"/>
  <c r="AC5" i="9"/>
  <c r="AW98" i="11" l="1"/>
  <c r="AF64" i="9"/>
  <c r="CZ349" i="5" l="1"/>
  <c r="CZ348" i="5"/>
  <c r="CZ347" i="5"/>
  <c r="CZ346" i="5"/>
  <c r="CZ331" i="5"/>
  <c r="CZ329" i="5"/>
  <c r="CZ318" i="5"/>
  <c r="CZ312" i="5"/>
  <c r="CZ311" i="5"/>
  <c r="CZ310" i="5"/>
  <c r="DB350" i="5"/>
  <c r="DB313" i="5"/>
  <c r="CZ305" i="5"/>
  <c r="CZ304" i="5"/>
  <c r="DB306" i="5"/>
  <c r="CZ294" i="5"/>
  <c r="CT290" i="5"/>
  <c r="CT289" i="5"/>
  <c r="CT288" i="5"/>
  <c r="DB290" i="5"/>
  <c r="CZ290" i="5" s="1"/>
  <c r="DB289" i="5"/>
  <c r="CZ289" i="5" s="1"/>
  <c r="DB288" i="5"/>
  <c r="CZ124" i="5"/>
  <c r="CX124" i="5" s="1"/>
  <c r="CZ111" i="5"/>
  <c r="CZ110" i="5"/>
  <c r="CZ106" i="5"/>
  <c r="CZ97" i="5"/>
  <c r="CZ96" i="5"/>
  <c r="CZ95" i="5"/>
  <c r="CZ83" i="5"/>
  <c r="CZ82" i="5"/>
  <c r="CZ73" i="5"/>
  <c r="CZ72" i="5"/>
  <c r="CZ47" i="5"/>
  <c r="U193" i="8"/>
  <c r="U192" i="8"/>
  <c r="U189" i="8"/>
  <c r="U197" i="8" s="1"/>
  <c r="V191" i="8" s="1"/>
  <c r="U184" i="8"/>
  <c r="U178" i="8"/>
  <c r="U173" i="8"/>
  <c r="U175" i="8" s="1"/>
  <c r="U166" i="8"/>
  <c r="U165" i="8"/>
  <c r="U161" i="8"/>
  <c r="U160" i="8"/>
  <c r="U147" i="8"/>
  <c r="U146" i="8"/>
  <c r="U122" i="8"/>
  <c r="U108" i="8"/>
  <c r="U101" i="8"/>
  <c r="V99" i="8" s="1"/>
  <c r="V100" i="8" s="1"/>
  <c r="U97" i="8"/>
  <c r="U90" i="8"/>
  <c r="U94" i="8" s="1"/>
  <c r="U87" i="8"/>
  <c r="U80" i="8" s="1"/>
  <c r="U79" i="8"/>
  <c r="U92" i="8" s="1"/>
  <c r="U76" i="8"/>
  <c r="U72" i="8"/>
  <c r="U70" i="8"/>
  <c r="U62" i="8"/>
  <c r="U67" i="8" s="1"/>
  <c r="U45" i="8"/>
  <c r="U46" i="8" s="1"/>
  <c r="U33" i="8"/>
  <c r="U38" i="8" s="1"/>
  <c r="U11" i="8"/>
  <c r="U112" i="8" s="1"/>
  <c r="U54" i="8"/>
  <c r="U26" i="8"/>
  <c r="U58" i="7"/>
  <c r="U41" i="7"/>
  <c r="U39" i="7"/>
  <c r="U38" i="7" s="1"/>
  <c r="U31" i="7"/>
  <c r="U33" i="7" s="1"/>
  <c r="U23" i="7"/>
  <c r="U128" i="6"/>
  <c r="U114" i="6"/>
  <c r="U113" i="6"/>
  <c r="U107" i="6"/>
  <c r="U105" i="6"/>
  <c r="U99" i="6"/>
  <c r="U124" i="6" s="1"/>
  <c r="U60" i="6"/>
  <c r="U58" i="6"/>
  <c r="U29" i="6"/>
  <c r="U78" i="6"/>
  <c r="U79" i="6" s="1"/>
  <c r="U75" i="6"/>
  <c r="O38" i="13"/>
  <c r="O36" i="13"/>
  <c r="O32" i="13"/>
  <c r="O26" i="13"/>
  <c r="O20" i="13"/>
  <c r="O24" i="13" s="1"/>
  <c r="L14" i="13"/>
  <c r="T15" i="13" s="1"/>
  <c r="T18" i="13" s="1"/>
  <c r="O10" i="13"/>
  <c r="O12" i="13" s="1"/>
  <c r="O16" i="13"/>
  <c r="O14" i="13"/>
  <c r="AB53" i="12"/>
  <c r="Z53" i="12" s="1"/>
  <c r="AB48" i="12"/>
  <c r="Z48" i="12" s="1"/>
  <c r="AB55" i="12"/>
  <c r="Z55" i="12" s="1"/>
  <c r="AB51" i="12"/>
  <c r="Z51" i="12" s="1"/>
  <c r="AB54" i="12"/>
  <c r="Z54" i="12" s="1"/>
  <c r="AB46" i="12"/>
  <c r="Z46" i="12" s="1"/>
  <c r="AB49" i="12"/>
  <c r="Z49" i="12" s="1"/>
  <c r="AB50" i="12"/>
  <c r="Z50" i="12" s="1"/>
  <c r="AB52" i="12"/>
  <c r="Z52" i="12" s="1"/>
  <c r="AD39" i="12"/>
  <c r="AD37" i="12"/>
  <c r="AD33" i="12"/>
  <c r="AB33" i="12" s="1"/>
  <c r="AD27" i="12"/>
  <c r="AD21" i="12"/>
  <c r="AD25" i="12" s="1"/>
  <c r="AD11" i="12"/>
  <c r="AD13" i="12" s="1"/>
  <c r="AD17" i="12"/>
  <c r="AD15" i="12"/>
  <c r="AL16" i="12" l="1"/>
  <c r="AL19" i="12" s="1"/>
  <c r="AD31" i="12"/>
  <c r="W15" i="13"/>
  <c r="W18" i="13" s="1"/>
  <c r="O30" i="13"/>
  <c r="U127" i="8"/>
  <c r="U15" i="8"/>
  <c r="U28" i="8" s="1"/>
  <c r="M14" i="13"/>
  <c r="U45" i="7"/>
  <c r="U73" i="8"/>
  <c r="CZ306" i="5"/>
  <c r="U83" i="8"/>
  <c r="CT291" i="5"/>
  <c r="CZ313" i="5"/>
  <c r="CZ350" i="5"/>
  <c r="U98" i="6"/>
  <c r="DB291" i="5"/>
  <c r="AD34" i="12"/>
  <c r="O33" i="13"/>
  <c r="M32" i="13"/>
  <c r="AD38" i="12"/>
  <c r="AD5" i="12"/>
  <c r="U120" i="8"/>
  <c r="O4" i="13"/>
  <c r="W5" i="13" s="1"/>
  <c r="W7" i="13" s="1"/>
  <c r="O37" i="13"/>
  <c r="CZ288" i="5"/>
  <c r="U116" i="8"/>
  <c r="U195" i="8"/>
  <c r="U121" i="8"/>
  <c r="U168" i="8"/>
  <c r="U169" i="8" s="1"/>
  <c r="U148" i="8"/>
  <c r="U81" i="8"/>
  <c r="U64" i="8"/>
  <c r="U66" i="8"/>
  <c r="U56" i="8"/>
  <c r="O21" i="13"/>
  <c r="AD22" i="12"/>
  <c r="R207" i="10"/>
  <c r="U129" i="6" s="1"/>
  <c r="K144" i="10"/>
  <c r="R144" i="10"/>
  <c r="U123" i="8" l="1"/>
  <c r="U170" i="8"/>
  <c r="U126" i="8"/>
  <c r="U128" i="8" s="1"/>
  <c r="W151" i="10"/>
  <c r="W153" i="10" s="1"/>
  <c r="T151" i="10"/>
  <c r="P50" i="10"/>
  <c r="P207" i="10" s="1"/>
  <c r="P49" i="10"/>
  <c r="R51" i="10"/>
  <c r="Z52" i="10" s="1"/>
  <c r="AD248" i="9"/>
  <c r="AB248" i="9" s="1"/>
  <c r="AF225" i="9"/>
  <c r="AD261" i="9"/>
  <c r="AB261" i="9" s="1"/>
  <c r="AD75" i="9"/>
  <c r="AD74" i="9"/>
  <c r="AD19" i="9"/>
  <c r="AF51" i="9"/>
  <c r="AF46" i="9"/>
  <c r="AF37" i="9"/>
  <c r="AD37" i="9" s="1"/>
  <c r="AF28" i="9"/>
  <c r="AF22" i="9"/>
  <c r="AF20" i="9"/>
  <c r="AF9" i="9"/>
  <c r="AN10" i="9" s="1"/>
  <c r="AN13" i="9" s="1"/>
  <c r="W132" i="4"/>
  <c r="W115" i="4"/>
  <c r="W88" i="4"/>
  <c r="W87" i="4"/>
  <c r="W86" i="4"/>
  <c r="W82" i="4"/>
  <c r="W72" i="4"/>
  <c r="W56" i="4"/>
  <c r="W55" i="4"/>
  <c r="W54" i="4"/>
  <c r="U130" i="6" s="1"/>
  <c r="AB75" i="9" l="1"/>
  <c r="AL87" i="9"/>
  <c r="AB74" i="9"/>
  <c r="AL86" i="9"/>
  <c r="AF5" i="9"/>
  <c r="AF98" i="9" s="1"/>
  <c r="N49" i="10"/>
  <c r="AF77" i="9"/>
  <c r="AF80" i="9" s="1"/>
  <c r="AF7" i="9"/>
  <c r="AF234" i="9" s="1"/>
  <c r="U130" i="8"/>
  <c r="V132" i="8" s="1"/>
  <c r="AF31" i="9"/>
  <c r="AF32" i="9" s="1"/>
  <c r="AF29" i="9"/>
  <c r="AF38" i="9"/>
  <c r="AF47" i="9"/>
  <c r="W121" i="4"/>
  <c r="U16" i="6"/>
  <c r="N50" i="10"/>
  <c r="N207" i="10" s="1"/>
  <c r="W92" i="4"/>
  <c r="U68" i="6" s="1"/>
  <c r="AF26" i="9"/>
  <c r="AF23" i="9"/>
  <c r="W83" i="4"/>
  <c r="W118" i="4"/>
  <c r="U71" i="6" s="1"/>
  <c r="W48" i="4"/>
  <c r="W22" i="4"/>
  <c r="W20" i="4"/>
  <c r="W19" i="4"/>
  <c r="W13" i="4"/>
  <c r="X32" i="4" s="1"/>
  <c r="U8" i="6" l="1"/>
  <c r="U109" i="8" s="1"/>
  <c r="U20" i="6"/>
  <c r="U24" i="6" s="1"/>
  <c r="AF76" i="9"/>
  <c r="AF82" i="9" s="1"/>
  <c r="AF236" i="9"/>
  <c r="AF232" i="9" s="1"/>
  <c r="AF233" i="9" s="1"/>
  <c r="AF213" i="9"/>
  <c r="AF81" i="9"/>
  <c r="W73" i="4"/>
  <c r="W93" i="4"/>
  <c r="W119" i="4"/>
  <c r="W51" i="4"/>
  <c r="W62" i="4"/>
  <c r="U131" i="6" s="1"/>
  <c r="U131" i="8" l="1"/>
  <c r="U117" i="8"/>
  <c r="U113" i="8"/>
  <c r="U88" i="8"/>
  <c r="U21" i="6"/>
  <c r="U13" i="6"/>
  <c r="U14" i="6" s="1"/>
  <c r="U32" i="6"/>
  <c r="U36" i="6" s="1"/>
  <c r="U39" i="6" s="1"/>
  <c r="U42" i="6" s="1"/>
  <c r="AF214" i="9"/>
  <c r="AF83" i="9"/>
  <c r="W134" i="4"/>
  <c r="U73" i="6"/>
  <c r="BN318" i="5"/>
  <c r="BN317" i="5"/>
  <c r="BN316" i="5"/>
  <c r="L10" i="13"/>
  <c r="L12" i="13" s="1"/>
  <c r="L5" i="13"/>
  <c r="L7" i="13" s="1"/>
  <c r="J17" i="13"/>
  <c r="J10" i="13"/>
  <c r="J12" i="13" s="1"/>
  <c r="J5" i="13"/>
  <c r="J7" i="13" s="1"/>
  <c r="H10" i="13"/>
  <c r="H12" i="13" s="1"/>
  <c r="H5" i="13"/>
  <c r="H7" i="13" s="1"/>
  <c r="G38" i="13"/>
  <c r="G36" i="13"/>
  <c r="G32" i="13"/>
  <c r="G26" i="13"/>
  <c r="G20" i="13"/>
  <c r="G16" i="13"/>
  <c r="G14" i="13"/>
  <c r="F38" i="13"/>
  <c r="F36" i="13"/>
  <c r="F32" i="13"/>
  <c r="F26" i="13"/>
  <c r="F20" i="13"/>
  <c r="F24" i="13" s="1"/>
  <c r="F16" i="13"/>
  <c r="F14" i="13"/>
  <c r="F30" i="13" s="1"/>
  <c r="E38" i="13"/>
  <c r="E36" i="13"/>
  <c r="E32" i="13"/>
  <c r="E29" i="13"/>
  <c r="E26" i="13"/>
  <c r="E20" i="13"/>
  <c r="E24" i="13" s="1"/>
  <c r="E16" i="13"/>
  <c r="E14" i="13"/>
  <c r="E4" i="13" s="1"/>
  <c r="D38" i="13"/>
  <c r="D36" i="13"/>
  <c r="D32" i="13"/>
  <c r="D29" i="13"/>
  <c r="D26" i="13"/>
  <c r="D20" i="13"/>
  <c r="D24" i="13" s="1"/>
  <c r="D14" i="13"/>
  <c r="C38" i="13"/>
  <c r="C36" i="13"/>
  <c r="C32" i="13"/>
  <c r="C29" i="13"/>
  <c r="C26" i="13"/>
  <c r="C20" i="13"/>
  <c r="C24" i="13" s="1"/>
  <c r="C14" i="13"/>
  <c r="C4" i="13" s="1"/>
  <c r="B66" i="13"/>
  <c r="L306" i="12"/>
  <c r="L241" i="12"/>
  <c r="L240" i="12"/>
  <c r="L215" i="12"/>
  <c r="L93" i="12"/>
  <c r="L90" i="12"/>
  <c r="L86" i="12"/>
  <c r="L83" i="12"/>
  <c r="L77" i="12"/>
  <c r="L71" i="12"/>
  <c r="L75" i="12" s="1"/>
  <c r="L65" i="12"/>
  <c r="K241" i="12"/>
  <c r="K240" i="12"/>
  <c r="K215" i="12"/>
  <c r="K93" i="12"/>
  <c r="K90" i="12"/>
  <c r="K86" i="12"/>
  <c r="K83" i="12"/>
  <c r="K77" i="12"/>
  <c r="K71" i="12"/>
  <c r="K65" i="12"/>
  <c r="K113" i="12" s="1"/>
  <c r="J215" i="12"/>
  <c r="J93" i="12"/>
  <c r="J90" i="12"/>
  <c r="J86" i="12"/>
  <c r="J83" i="12"/>
  <c r="J77" i="12"/>
  <c r="J71" i="12"/>
  <c r="J75" i="12" s="1"/>
  <c r="J65" i="12"/>
  <c r="J113" i="12" s="1"/>
  <c r="I237" i="12"/>
  <c r="I215" i="12"/>
  <c r="I93" i="12"/>
  <c r="I90" i="12"/>
  <c r="I86" i="12"/>
  <c r="I83" i="12"/>
  <c r="I77" i="12"/>
  <c r="I71" i="12"/>
  <c r="I75" i="12" s="1"/>
  <c r="I65" i="12"/>
  <c r="H215" i="12"/>
  <c r="H93" i="12"/>
  <c r="H90" i="12"/>
  <c r="H86" i="12"/>
  <c r="H83" i="12"/>
  <c r="H77" i="12"/>
  <c r="H71" i="12"/>
  <c r="H65" i="12"/>
  <c r="G93" i="12"/>
  <c r="G90" i="12"/>
  <c r="G86" i="12"/>
  <c r="G83" i="12"/>
  <c r="G77" i="12"/>
  <c r="G71" i="12"/>
  <c r="G65" i="12"/>
  <c r="G127" i="12" s="1"/>
  <c r="G123" i="12" s="1"/>
  <c r="F93" i="12"/>
  <c r="F90" i="12"/>
  <c r="F83" i="12"/>
  <c r="F77" i="12"/>
  <c r="F71" i="12"/>
  <c r="F65" i="12"/>
  <c r="E249" i="12"/>
  <c r="E246" i="12"/>
  <c r="E237" i="12"/>
  <c r="E231" i="12"/>
  <c r="E224" i="12"/>
  <c r="E215" i="12"/>
  <c r="E93" i="12"/>
  <c r="E90" i="12"/>
  <c r="E83" i="12"/>
  <c r="E77" i="12"/>
  <c r="E71" i="12"/>
  <c r="E75" i="12" s="1"/>
  <c r="E65" i="12"/>
  <c r="D249" i="12"/>
  <c r="D246" i="12"/>
  <c r="D237" i="12"/>
  <c r="D231" i="12"/>
  <c r="D224" i="12"/>
  <c r="D228" i="12" s="1"/>
  <c r="D215" i="12"/>
  <c r="D93" i="12"/>
  <c r="D90" i="12"/>
  <c r="D83" i="12"/>
  <c r="D77" i="12"/>
  <c r="D71" i="12"/>
  <c r="D75" i="12" s="1"/>
  <c r="D65" i="12"/>
  <c r="C249" i="12"/>
  <c r="C246" i="12"/>
  <c r="C237" i="12"/>
  <c r="C231" i="12"/>
  <c r="C224" i="12"/>
  <c r="C228" i="12" s="1"/>
  <c r="C215" i="12"/>
  <c r="C93" i="12"/>
  <c r="C90" i="12"/>
  <c r="C83" i="12"/>
  <c r="C77" i="12"/>
  <c r="C71" i="12"/>
  <c r="C65" i="12"/>
  <c r="B249" i="12"/>
  <c r="B246" i="12"/>
  <c r="B237" i="12"/>
  <c r="B231" i="12"/>
  <c r="B224" i="12"/>
  <c r="B215" i="12"/>
  <c r="B93" i="12"/>
  <c r="B90" i="12"/>
  <c r="B83" i="12"/>
  <c r="B71" i="12"/>
  <c r="B75" i="12" s="1"/>
  <c r="B65" i="12"/>
  <c r="B64" i="12" s="1"/>
  <c r="A43" i="12"/>
  <c r="AA11" i="12"/>
  <c r="AA13" i="12" s="1"/>
  <c r="AA6" i="12"/>
  <c r="AA8" i="12" s="1"/>
  <c r="Y11" i="12"/>
  <c r="Y13" i="12" s="1"/>
  <c r="Y6" i="12"/>
  <c r="Y8" i="12" s="1"/>
  <c r="W11" i="12"/>
  <c r="W13" i="12" s="1"/>
  <c r="W6" i="12"/>
  <c r="W8" i="12" s="1"/>
  <c r="V39" i="12"/>
  <c r="V37" i="12"/>
  <c r="V33" i="12"/>
  <c r="V27" i="12"/>
  <c r="V21" i="12"/>
  <c r="V17" i="12"/>
  <c r="V15" i="12"/>
  <c r="U39" i="12"/>
  <c r="U37" i="12"/>
  <c r="U33" i="12"/>
  <c r="U27" i="12"/>
  <c r="U21" i="12"/>
  <c r="U25" i="12" s="1"/>
  <c r="U17" i="12"/>
  <c r="U15" i="12"/>
  <c r="U31" i="12" s="1"/>
  <c r="T39" i="12"/>
  <c r="T37" i="12"/>
  <c r="T33" i="12"/>
  <c r="T30" i="12"/>
  <c r="T27" i="12"/>
  <c r="T21" i="12"/>
  <c r="T25" i="12" s="1"/>
  <c r="T17" i="12"/>
  <c r="T15" i="12"/>
  <c r="S39" i="12"/>
  <c r="S37" i="12"/>
  <c r="S33" i="12"/>
  <c r="S30" i="12"/>
  <c r="S27" i="12"/>
  <c r="S21" i="12"/>
  <c r="S25" i="12" s="1"/>
  <c r="S15" i="12"/>
  <c r="S5" i="12" s="1"/>
  <c r="R39" i="12"/>
  <c r="R37" i="12"/>
  <c r="R33" i="12"/>
  <c r="R30" i="12"/>
  <c r="R27" i="12"/>
  <c r="R21" i="12"/>
  <c r="R25" i="12" s="1"/>
  <c r="R15" i="12"/>
  <c r="Q306" i="12"/>
  <c r="Q249" i="12"/>
  <c r="Q246" i="12"/>
  <c r="Q240" i="12"/>
  <c r="Q242" i="12" s="1"/>
  <c r="Q237" i="12"/>
  <c r="Q231" i="12"/>
  <c r="Q218" i="12"/>
  <c r="Q212" i="12"/>
  <c r="Q93" i="12"/>
  <c r="Q90" i="12"/>
  <c r="Q83" i="12"/>
  <c r="Q77" i="12"/>
  <c r="Q71" i="12"/>
  <c r="Q65" i="12"/>
  <c r="P249" i="12"/>
  <c r="P246" i="12"/>
  <c r="P240" i="12"/>
  <c r="P242" i="12" s="1"/>
  <c r="P231" i="12"/>
  <c r="P218" i="12"/>
  <c r="P224" i="12" s="1"/>
  <c r="P212" i="12"/>
  <c r="P215" i="12" s="1"/>
  <c r="P93" i="12"/>
  <c r="P90" i="12"/>
  <c r="P77" i="12"/>
  <c r="P71" i="12"/>
  <c r="P75" i="12" s="1"/>
  <c r="P65" i="12"/>
  <c r="P114" i="12" s="1"/>
  <c r="O306" i="12"/>
  <c r="O249" i="12"/>
  <c r="O246" i="12"/>
  <c r="O240" i="12"/>
  <c r="O242" i="12" s="1"/>
  <c r="O237" i="12"/>
  <c r="O231" i="12"/>
  <c r="O218" i="12"/>
  <c r="O224" i="12" s="1"/>
  <c r="O212" i="12"/>
  <c r="O93" i="12"/>
  <c r="O90" i="12"/>
  <c r="O86" i="12"/>
  <c r="O83" i="12"/>
  <c r="P83" i="12" s="1"/>
  <c r="O77" i="12"/>
  <c r="O71" i="12"/>
  <c r="O65" i="12"/>
  <c r="N306" i="12"/>
  <c r="N249" i="12"/>
  <c r="N246" i="12"/>
  <c r="N240" i="12"/>
  <c r="N242" i="12" s="1"/>
  <c r="N237" i="12"/>
  <c r="N231" i="12"/>
  <c r="N218" i="12"/>
  <c r="N224" i="12" s="1"/>
  <c r="N212" i="12"/>
  <c r="N93" i="12"/>
  <c r="N90" i="12"/>
  <c r="N86" i="12"/>
  <c r="N83" i="12"/>
  <c r="N77" i="12"/>
  <c r="N71" i="12"/>
  <c r="N75" i="12" s="1"/>
  <c r="N65" i="12"/>
  <c r="M306" i="12"/>
  <c r="M241" i="12"/>
  <c r="M240" i="12"/>
  <c r="M93" i="12"/>
  <c r="M90" i="12"/>
  <c r="M86" i="12"/>
  <c r="M83" i="12"/>
  <c r="M77" i="12"/>
  <c r="M71" i="12"/>
  <c r="M65" i="12"/>
  <c r="M127" i="12" s="1"/>
  <c r="BE153" i="11"/>
  <c r="AO60" i="11"/>
  <c r="AN60" i="11"/>
  <c r="AM60" i="11"/>
  <c r="AL60" i="11"/>
  <c r="AK60" i="11"/>
  <c r="AJ60" i="11"/>
  <c r="AI60" i="11"/>
  <c r="AH153" i="11"/>
  <c r="AH60" i="11"/>
  <c r="AG153" i="11"/>
  <c r="AG60" i="11"/>
  <c r="AG61" i="11" s="1"/>
  <c r="M9" i="9"/>
  <c r="M8" i="9" s="1"/>
  <c r="L51" i="9"/>
  <c r="L46" i="9"/>
  <c r="L34" i="9"/>
  <c r="L28" i="9"/>
  <c r="L22" i="9"/>
  <c r="L9" i="9"/>
  <c r="L8" i="9" s="1"/>
  <c r="L297" i="9" s="1"/>
  <c r="K51" i="9"/>
  <c r="K46" i="9"/>
  <c r="K34" i="9"/>
  <c r="K28" i="9"/>
  <c r="K22" i="9"/>
  <c r="K9" i="9"/>
  <c r="K5" i="9" s="1"/>
  <c r="J51" i="9"/>
  <c r="J46" i="9"/>
  <c r="J34" i="9"/>
  <c r="J28" i="9"/>
  <c r="J22" i="9"/>
  <c r="J26" i="9" s="1"/>
  <c r="J9" i="9"/>
  <c r="J5" i="9" s="1"/>
  <c r="I51" i="9"/>
  <c r="I46" i="9"/>
  <c r="I34" i="9"/>
  <c r="I28" i="9"/>
  <c r="I22" i="9"/>
  <c r="I26" i="9" s="1"/>
  <c r="I9" i="9"/>
  <c r="I7" i="9" s="1"/>
  <c r="H51" i="9"/>
  <c r="H46" i="9"/>
  <c r="H34" i="9"/>
  <c r="H28" i="9"/>
  <c r="H22" i="9"/>
  <c r="H9" i="9"/>
  <c r="H8" i="9" s="1"/>
  <c r="H297" i="9" s="1"/>
  <c r="G51" i="9"/>
  <c r="G46" i="9"/>
  <c r="G34" i="9"/>
  <c r="G28" i="9"/>
  <c r="G22" i="9"/>
  <c r="G9" i="9"/>
  <c r="G7" i="9" s="1"/>
  <c r="G234" i="9" s="1"/>
  <c r="F51" i="9"/>
  <c r="F46" i="9"/>
  <c r="F34" i="9"/>
  <c r="F28" i="9"/>
  <c r="F22" i="9"/>
  <c r="F26" i="9" s="1"/>
  <c r="F9" i="9"/>
  <c r="E51" i="9"/>
  <c r="E46" i="9"/>
  <c r="E34" i="9"/>
  <c r="E28" i="9"/>
  <c r="E22" i="9"/>
  <c r="E26" i="9" s="1"/>
  <c r="E9" i="9"/>
  <c r="E77" i="9" s="1"/>
  <c r="D51" i="9"/>
  <c r="D46" i="9"/>
  <c r="D34" i="9"/>
  <c r="D22" i="9"/>
  <c r="D26" i="9" s="1"/>
  <c r="D9" i="9"/>
  <c r="CG262" i="9"/>
  <c r="FC123" i="5" s="1"/>
  <c r="FC131" i="5" s="1"/>
  <c r="CI3" i="9"/>
  <c r="BU2" i="10" s="1"/>
  <c r="CZ2" i="11" s="1"/>
  <c r="CG3" i="12" s="1"/>
  <c r="BR2" i="13" s="1"/>
  <c r="CH3" i="9"/>
  <c r="BT2" i="10" s="1"/>
  <c r="CY2" i="11" s="1"/>
  <c r="CF3" i="12" s="1"/>
  <c r="BQ2" i="13" s="1"/>
  <c r="CG3" i="9"/>
  <c r="BS2" i="10" s="1"/>
  <c r="CX2" i="11" s="1"/>
  <c r="CE3" i="12" s="1"/>
  <c r="BP2" i="13" s="1"/>
  <c r="CF3" i="9"/>
  <c r="BR2" i="10" s="1"/>
  <c r="CW2" i="11" s="1"/>
  <c r="CD3" i="12" s="1"/>
  <c r="BO2" i="13" s="1"/>
  <c r="CE3" i="9"/>
  <c r="BQ2" i="10" s="1"/>
  <c r="CV2" i="11" s="1"/>
  <c r="CC3" i="12" s="1"/>
  <c r="BN2" i="13" s="1"/>
  <c r="CD3" i="9"/>
  <c r="BP2" i="10" s="1"/>
  <c r="CU2" i="11" s="1"/>
  <c r="CB3" i="12" s="1"/>
  <c r="BM2" i="13" s="1"/>
  <c r="CC3" i="9"/>
  <c r="BO2" i="10" s="1"/>
  <c r="CT2" i="11" s="1"/>
  <c r="CA3" i="12" s="1"/>
  <c r="BL2" i="13" s="1"/>
  <c r="CA3" i="9"/>
  <c r="BM2" i="10" s="1"/>
  <c r="CR2" i="11" s="1"/>
  <c r="BY3" i="12" s="1"/>
  <c r="BJ2" i="13" s="1"/>
  <c r="BZ3" i="9"/>
  <c r="BL2" i="10" s="1"/>
  <c r="CQ2" i="11" s="1"/>
  <c r="BX3" i="12" s="1"/>
  <c r="BI2" i="13" s="1"/>
  <c r="BY3" i="9"/>
  <c r="BK2" i="10" s="1"/>
  <c r="CP2" i="11" s="1"/>
  <c r="BW3" i="12" s="1"/>
  <c r="BH2" i="13" s="1"/>
  <c r="BX3" i="9"/>
  <c r="BJ2" i="10" s="1"/>
  <c r="CO2" i="11" s="1"/>
  <c r="BV3" i="12" s="1"/>
  <c r="BG2" i="13" s="1"/>
  <c r="BW3" i="9"/>
  <c r="BI2" i="10" s="1"/>
  <c r="CN2" i="11" s="1"/>
  <c r="BU3" i="12" s="1"/>
  <c r="BF2" i="13" s="1"/>
  <c r="BV3" i="9"/>
  <c r="BH2" i="10" s="1"/>
  <c r="CM2" i="11" s="1"/>
  <c r="BT3" i="12" s="1"/>
  <c r="BE2" i="13" s="1"/>
  <c r="BU3" i="9"/>
  <c r="BG2" i="10" s="1"/>
  <c r="CL2" i="11" s="1"/>
  <c r="BS3" i="12" s="1"/>
  <c r="BD2" i="13" s="1"/>
  <c r="BQ262" i="9"/>
  <c r="EM123" i="5" s="1"/>
  <c r="EM124" i="5" s="1"/>
  <c r="BS3" i="9"/>
  <c r="BE2" i="10" s="1"/>
  <c r="CJ2" i="11" s="1"/>
  <c r="BQ3" i="12" s="1"/>
  <c r="BB2" i="13" s="1"/>
  <c r="BR3" i="9"/>
  <c r="BD2" i="10" s="1"/>
  <c r="CI2" i="11" s="1"/>
  <c r="BP3" i="12" s="1"/>
  <c r="BA2" i="13" s="1"/>
  <c r="BQ3" i="9"/>
  <c r="BC2" i="10" s="1"/>
  <c r="CH2" i="11" s="1"/>
  <c r="BO3" i="12" s="1"/>
  <c r="AZ2" i="13" s="1"/>
  <c r="BP3" i="9"/>
  <c r="BB2" i="10" s="1"/>
  <c r="CG2" i="11" s="1"/>
  <c r="BN3" i="12" s="1"/>
  <c r="AY2" i="13" s="1"/>
  <c r="BO3" i="9"/>
  <c r="BA2" i="10" s="1"/>
  <c r="CF2" i="11" s="1"/>
  <c r="BM3" i="12" s="1"/>
  <c r="AX2" i="13" s="1"/>
  <c r="BN3" i="9"/>
  <c r="AZ2" i="10" s="1"/>
  <c r="CE2" i="11" s="1"/>
  <c r="BL3" i="12" s="1"/>
  <c r="AW2" i="13" s="1"/>
  <c r="BM3" i="9"/>
  <c r="AY2" i="10" s="1"/>
  <c r="CD2" i="11" s="1"/>
  <c r="BK3" i="12" s="1"/>
  <c r="AV2" i="13" s="1"/>
  <c r="BK3" i="9"/>
  <c r="AW2" i="10" s="1"/>
  <c r="CB2" i="11" s="1"/>
  <c r="BI3" i="12" s="1"/>
  <c r="AT2" i="13" s="1"/>
  <c r="BJ3" i="9"/>
  <c r="AV2" i="10" s="1"/>
  <c r="CA2" i="11" s="1"/>
  <c r="BH3" i="12" s="1"/>
  <c r="AS2" i="13" s="1"/>
  <c r="BI3" i="9"/>
  <c r="AU2" i="10" s="1"/>
  <c r="BZ2" i="11" s="1"/>
  <c r="BG3" i="12" s="1"/>
  <c r="AR2" i="13" s="1"/>
  <c r="BH3" i="9"/>
  <c r="AT2" i="10" s="1"/>
  <c r="BY2" i="11" s="1"/>
  <c r="BF3" i="12" s="1"/>
  <c r="AQ2" i="13" s="1"/>
  <c r="BG3" i="9"/>
  <c r="AS2" i="10" s="1"/>
  <c r="BX2" i="11" s="1"/>
  <c r="BE3" i="12" s="1"/>
  <c r="AP2" i="13" s="1"/>
  <c r="BF3" i="9"/>
  <c r="AR2" i="10" s="1"/>
  <c r="BW2" i="11" s="1"/>
  <c r="BD3" i="12" s="1"/>
  <c r="AO2" i="13" s="1"/>
  <c r="BE3" i="9"/>
  <c r="AQ2" i="10" s="1"/>
  <c r="BV2" i="11" s="1"/>
  <c r="BC3" i="12" s="1"/>
  <c r="AN2" i="13" s="1"/>
  <c r="BC3" i="9"/>
  <c r="AO2" i="10" s="1"/>
  <c r="BT2" i="11" s="1"/>
  <c r="BA3" i="12" s="1"/>
  <c r="AL2" i="13" s="1"/>
  <c r="BB3" i="9"/>
  <c r="AN2" i="10" s="1"/>
  <c r="BS2" i="11" s="1"/>
  <c r="AZ3" i="12" s="1"/>
  <c r="AK2" i="13" s="1"/>
  <c r="AM2" i="10"/>
  <c r="AZ3" i="9"/>
  <c r="AL2" i="10" s="1"/>
  <c r="BQ2" i="11" s="1"/>
  <c r="AX3" i="12" s="1"/>
  <c r="AI2" i="13" s="1"/>
  <c r="AY3" i="9"/>
  <c r="AK2" i="10" s="1"/>
  <c r="BP2" i="11" s="1"/>
  <c r="AW3" i="12" s="1"/>
  <c r="AH2" i="13" s="1"/>
  <c r="AX3" i="9"/>
  <c r="AW3" i="9"/>
  <c r="AI2" i="10" s="1"/>
  <c r="BN2" i="11" s="1"/>
  <c r="AU3" i="12" s="1"/>
  <c r="AF2" i="13" s="1"/>
  <c r="AU3" i="9"/>
  <c r="AG2" i="10" s="1"/>
  <c r="BL2" i="11" s="1"/>
  <c r="AS3" i="12" s="1"/>
  <c r="AD2" i="13" s="1"/>
  <c r="AT3" i="9"/>
  <c r="AS3" i="9"/>
  <c r="AE2" i="10" s="1"/>
  <c r="BJ2" i="11" s="1"/>
  <c r="AQ3" i="12" s="1"/>
  <c r="AB2" i="13" s="1"/>
  <c r="AR3" i="9"/>
  <c r="AD2" i="10" s="1"/>
  <c r="BI2" i="11" s="1"/>
  <c r="AP3" i="12" s="1"/>
  <c r="AA2" i="13" s="1"/>
  <c r="AC2" i="10"/>
  <c r="BH2" i="11" s="1"/>
  <c r="AO3" i="12" s="1"/>
  <c r="Z2" i="13" s="1"/>
  <c r="AP3" i="9"/>
  <c r="AB2" i="10" s="1"/>
  <c r="BG2" i="11" s="1"/>
  <c r="AN3" i="12" s="1"/>
  <c r="Y2" i="13" s="1"/>
  <c r="AO3" i="9"/>
  <c r="AA2" i="10" s="1"/>
  <c r="BF2" i="11" s="1"/>
  <c r="AM3" i="12" s="1"/>
  <c r="X2" i="13" s="1"/>
  <c r="AJ264" i="9"/>
  <c r="AJ114" i="9" s="1"/>
  <c r="AM3" i="9"/>
  <c r="Y2" i="10" s="1"/>
  <c r="BD2" i="11" s="1"/>
  <c r="AK3" i="12" s="1"/>
  <c r="V2" i="13" s="1"/>
  <c r="AL3" i="9"/>
  <c r="X2" i="10" s="1"/>
  <c r="BC2" i="11" s="1"/>
  <c r="AJ3" i="12" s="1"/>
  <c r="U2" i="13" s="1"/>
  <c r="AK3" i="9"/>
  <c r="W2" i="10" s="1"/>
  <c r="BB2" i="11" s="1"/>
  <c r="AI3" i="12" s="1"/>
  <c r="T2" i="13" s="1"/>
  <c r="AJ3" i="9"/>
  <c r="V2" i="10" s="1"/>
  <c r="BA2" i="11" s="1"/>
  <c r="AH3" i="12" s="1"/>
  <c r="S2" i="13" s="1"/>
  <c r="AI3" i="9"/>
  <c r="U2" i="10" s="1"/>
  <c r="AZ2" i="11" s="1"/>
  <c r="AG3" i="12" s="1"/>
  <c r="R2" i="13" s="1"/>
  <c r="AH3" i="9"/>
  <c r="T2" i="10" s="1"/>
  <c r="AY2" i="11" s="1"/>
  <c r="AF3" i="12" s="1"/>
  <c r="Q2" i="13" s="1"/>
  <c r="AG3" i="9"/>
  <c r="S2" i="10" s="1"/>
  <c r="AX2" i="11" s="1"/>
  <c r="AE3" i="12" s="1"/>
  <c r="P2" i="13" s="1"/>
  <c r="AE3" i="9"/>
  <c r="Q2" i="10" s="1"/>
  <c r="AV2" i="11" s="1"/>
  <c r="AC3" i="12" s="1"/>
  <c r="N2" i="13" s="1"/>
  <c r="AD3" i="9"/>
  <c r="P2" i="10" s="1"/>
  <c r="AU2" i="11" s="1"/>
  <c r="AB3" i="12" s="1"/>
  <c r="M2" i="13" s="1"/>
  <c r="AC195" i="9"/>
  <c r="AC193" i="9"/>
  <c r="AC147" i="9" s="1"/>
  <c r="AC87" i="9"/>
  <c r="AC86" i="9"/>
  <c r="AC10" i="9"/>
  <c r="AC13" i="9" s="1"/>
  <c r="AC3" i="9"/>
  <c r="O2" i="10" s="1"/>
  <c r="AT2" i="11" s="1"/>
  <c r="AA3" i="12" s="1"/>
  <c r="L2" i="13" s="1"/>
  <c r="AB3" i="9"/>
  <c r="N2" i="10" s="1"/>
  <c r="AS2" i="11" s="1"/>
  <c r="Z3" i="12" s="1"/>
  <c r="K2" i="13" s="1"/>
  <c r="AA195" i="9"/>
  <c r="AA193" i="9"/>
  <c r="AA147" i="9" s="1"/>
  <c r="AA192" i="9"/>
  <c r="AA144" i="9" s="1"/>
  <c r="AA87" i="9"/>
  <c r="AA86" i="9"/>
  <c r="AA10" i="9"/>
  <c r="AA13" i="9" s="1"/>
  <c r="AA3" i="9"/>
  <c r="M2" i="10" s="1"/>
  <c r="AR2" i="11" s="1"/>
  <c r="Y3" i="12" s="1"/>
  <c r="J2" i="13" s="1"/>
  <c r="Z3" i="9"/>
  <c r="L2" i="10" s="1"/>
  <c r="AQ2" i="11" s="1"/>
  <c r="X3" i="12" s="1"/>
  <c r="I2" i="13" s="1"/>
  <c r="Y195" i="9"/>
  <c r="Y193" i="9"/>
  <c r="Y147" i="9" s="1"/>
  <c r="Y192" i="9"/>
  <c r="Y144" i="9" s="1"/>
  <c r="Y87" i="9"/>
  <c r="Y86" i="9"/>
  <c r="Y10" i="9"/>
  <c r="Y13" i="9" s="1"/>
  <c r="Y3" i="9"/>
  <c r="K2" i="10" s="1"/>
  <c r="AP2" i="11" s="1"/>
  <c r="W3" i="12" s="1"/>
  <c r="H2" i="13" s="1"/>
  <c r="G41" i="13"/>
  <c r="X51" i="9"/>
  <c r="X46" i="9"/>
  <c r="X37" i="9"/>
  <c r="X34" i="9"/>
  <c r="X28" i="9"/>
  <c r="X22" i="9"/>
  <c r="X9" i="9"/>
  <c r="X5" i="9" s="1"/>
  <c r="F41" i="13"/>
  <c r="W51" i="9"/>
  <c r="W46" i="9"/>
  <c r="W37" i="9"/>
  <c r="W34" i="9"/>
  <c r="W28" i="9"/>
  <c r="W22" i="9"/>
  <c r="W9" i="9"/>
  <c r="W6" i="9" s="1"/>
  <c r="E41" i="13"/>
  <c r="V51" i="9"/>
  <c r="V46" i="9"/>
  <c r="V37" i="9"/>
  <c r="V34" i="9"/>
  <c r="V28" i="9"/>
  <c r="V22" i="9"/>
  <c r="V9" i="9"/>
  <c r="V8" i="9" s="1"/>
  <c r="D41" i="13"/>
  <c r="U51" i="9"/>
  <c r="U46" i="9"/>
  <c r="U37" i="9"/>
  <c r="U34" i="9"/>
  <c r="U28" i="9"/>
  <c r="U22" i="9"/>
  <c r="U26" i="9" s="1"/>
  <c r="U9" i="9"/>
  <c r="T51" i="9"/>
  <c r="T46" i="9"/>
  <c r="T37" i="9"/>
  <c r="T34" i="9"/>
  <c r="T28" i="9"/>
  <c r="T22" i="9"/>
  <c r="T26" i="9" s="1"/>
  <c r="T9" i="9"/>
  <c r="T5" i="9" s="1"/>
  <c r="S51" i="9"/>
  <c r="S46" i="9"/>
  <c r="S37" i="9"/>
  <c r="S34" i="9"/>
  <c r="S28" i="9"/>
  <c r="S22" i="9"/>
  <c r="S9" i="9"/>
  <c r="S7" i="9" s="1"/>
  <c r="R51" i="9"/>
  <c r="R46" i="9"/>
  <c r="R28" i="9"/>
  <c r="R22" i="9"/>
  <c r="R9" i="9"/>
  <c r="AX138" i="5" s="1"/>
  <c r="R262" i="9"/>
  <c r="Q51" i="9"/>
  <c r="Q46" i="9"/>
  <c r="Q37" i="9"/>
  <c r="R37" i="9" s="1"/>
  <c r="Q34" i="9"/>
  <c r="R34" i="9" s="1"/>
  <c r="Q28" i="9"/>
  <c r="Q22" i="9"/>
  <c r="Q26" i="9" s="1"/>
  <c r="Q9" i="9"/>
  <c r="Q7" i="9" s="1"/>
  <c r="P51" i="9"/>
  <c r="P46" i="9"/>
  <c r="P37" i="9"/>
  <c r="P34" i="9"/>
  <c r="P28" i="9"/>
  <c r="P22" i="9"/>
  <c r="P9" i="9"/>
  <c r="P6" i="9" s="1"/>
  <c r="O51" i="9"/>
  <c r="O46" i="9"/>
  <c r="O37" i="9"/>
  <c r="O34" i="9"/>
  <c r="O28" i="9"/>
  <c r="O22" i="9"/>
  <c r="O9" i="9"/>
  <c r="O6" i="9" s="1"/>
  <c r="N51" i="9"/>
  <c r="N46" i="9"/>
  <c r="N37" i="9"/>
  <c r="N34" i="9"/>
  <c r="N28" i="9"/>
  <c r="N22" i="9"/>
  <c r="N9" i="9"/>
  <c r="N6" i="9" s="1"/>
  <c r="N211" i="9" s="1"/>
  <c r="M51" i="9"/>
  <c r="M46" i="9"/>
  <c r="M37" i="9"/>
  <c r="M34" i="9"/>
  <c r="M28" i="9"/>
  <c r="M22" i="9"/>
  <c r="M26" i="9" s="1"/>
  <c r="L193" i="8"/>
  <c r="L192" i="8"/>
  <c r="B171" i="8"/>
  <c r="AB100" i="8"/>
  <c r="AB67" i="8"/>
  <c r="AA100" i="8"/>
  <c r="AA67" i="8"/>
  <c r="Z100" i="8"/>
  <c r="Z67" i="8"/>
  <c r="Y100" i="8"/>
  <c r="Y67" i="8"/>
  <c r="X100" i="8"/>
  <c r="X67" i="8"/>
  <c r="T193" i="8"/>
  <c r="T192" i="8"/>
  <c r="S193" i="8"/>
  <c r="S192" i="8"/>
  <c r="R193" i="8"/>
  <c r="R192" i="8"/>
  <c r="Q193" i="8"/>
  <c r="P193" i="8"/>
  <c r="P192" i="8"/>
  <c r="O193" i="8"/>
  <c r="O192" i="8"/>
  <c r="N193" i="8"/>
  <c r="N192" i="8"/>
  <c r="M193" i="8"/>
  <c r="M192" i="8"/>
  <c r="L110" i="6"/>
  <c r="L107" i="6"/>
  <c r="K110" i="6"/>
  <c r="K107" i="6"/>
  <c r="J110" i="6"/>
  <c r="J107" i="6"/>
  <c r="I110" i="6"/>
  <c r="I107" i="6"/>
  <c r="H110" i="6"/>
  <c r="H107" i="6"/>
  <c r="G110" i="6"/>
  <c r="G107" i="6"/>
  <c r="F110" i="6"/>
  <c r="F107" i="6"/>
  <c r="E110" i="6"/>
  <c r="E107" i="6"/>
  <c r="D110" i="6"/>
  <c r="D107" i="6"/>
  <c r="C110" i="6"/>
  <c r="C107" i="6"/>
  <c r="B110" i="6"/>
  <c r="B107" i="6"/>
  <c r="B71" i="6"/>
  <c r="Y75" i="6"/>
  <c r="X193" i="8"/>
  <c r="T128" i="6"/>
  <c r="T110" i="6"/>
  <c r="CT303" i="5" s="1"/>
  <c r="T107" i="6"/>
  <c r="T105" i="6"/>
  <c r="T104" i="6" s="1"/>
  <c r="S128" i="6"/>
  <c r="S110" i="6"/>
  <c r="CL303" i="5" s="1"/>
  <c r="S107" i="6"/>
  <c r="S105" i="6"/>
  <c r="S104" i="6" s="1"/>
  <c r="R128" i="6"/>
  <c r="R110" i="6"/>
  <c r="CD303" i="5" s="1"/>
  <c r="R107" i="6"/>
  <c r="R105" i="6"/>
  <c r="R104" i="6" s="1"/>
  <c r="Q128" i="6"/>
  <c r="Q110" i="6"/>
  <c r="BV303" i="5" s="1"/>
  <c r="Q105" i="6"/>
  <c r="Q104" i="6" s="1"/>
  <c r="P128" i="6"/>
  <c r="P110" i="6"/>
  <c r="BF303" i="5" s="1"/>
  <c r="BN303" i="5" s="1"/>
  <c r="P107" i="6"/>
  <c r="P105" i="6"/>
  <c r="P104" i="6" s="1"/>
  <c r="O128" i="6"/>
  <c r="O110" i="6"/>
  <c r="AP303" i="5" s="1"/>
  <c r="O107" i="6"/>
  <c r="O105" i="6"/>
  <c r="O104" i="6" s="1"/>
  <c r="N128" i="6"/>
  <c r="N110" i="6"/>
  <c r="N107" i="6"/>
  <c r="N105" i="6"/>
  <c r="N104" i="6" s="1"/>
  <c r="M128" i="6"/>
  <c r="M110" i="6"/>
  <c r="M107" i="6"/>
  <c r="M105" i="6"/>
  <c r="M104" i="6" s="1"/>
  <c r="FF295" i="5"/>
  <c r="FF280" i="5"/>
  <c r="FC280" i="5" s="1"/>
  <c r="FF279" i="5"/>
  <c r="FF264" i="5"/>
  <c r="FF262" i="5"/>
  <c r="FC262" i="5" s="1"/>
  <c r="FF258" i="5"/>
  <c r="FC258" i="5" s="1"/>
  <c r="FD258" i="5" s="1"/>
  <c r="FF208" i="5"/>
  <c r="FF203" i="5"/>
  <c r="FF210" i="5"/>
  <c r="FF206" i="5"/>
  <c r="FF209" i="5"/>
  <c r="FF201" i="5"/>
  <c r="FF204" i="5"/>
  <c r="FF207" i="5"/>
  <c r="FF205" i="5"/>
  <c r="FF200" i="5"/>
  <c r="FF105" i="5"/>
  <c r="FC105" i="5" s="1"/>
  <c r="FD105" i="5" s="1"/>
  <c r="FF81" i="5"/>
  <c r="FF84" i="5" s="1"/>
  <c r="FF12" i="5"/>
  <c r="FC12" i="5" s="1"/>
  <c r="FE208" i="5"/>
  <c r="FE203" i="5"/>
  <c r="FE210" i="5"/>
  <c r="FE206" i="5"/>
  <c r="FE209" i="5"/>
  <c r="FE201" i="5"/>
  <c r="FE204" i="5"/>
  <c r="FE207" i="5"/>
  <c r="FE205" i="5"/>
  <c r="FE200" i="5"/>
  <c r="FD208" i="5"/>
  <c r="FD203" i="5"/>
  <c r="FD210" i="5"/>
  <c r="FD206" i="5"/>
  <c r="FD209" i="5"/>
  <c r="FD201" i="5"/>
  <c r="FD204" i="5"/>
  <c r="FD207" i="5"/>
  <c r="FD205" i="5"/>
  <c r="FD200" i="5"/>
  <c r="FC208" i="5"/>
  <c r="FC203" i="5"/>
  <c r="FC210" i="5"/>
  <c r="FC206" i="5"/>
  <c r="FC209" i="5"/>
  <c r="FC201" i="5"/>
  <c r="FC204" i="5"/>
  <c r="FC207" i="5"/>
  <c r="FC205" i="5"/>
  <c r="FC200" i="5"/>
  <c r="FB208" i="5"/>
  <c r="FB203" i="5"/>
  <c r="FB210" i="5"/>
  <c r="FB206" i="5"/>
  <c r="FB209" i="5"/>
  <c r="FB201" i="5"/>
  <c r="FB204" i="5"/>
  <c r="FB207" i="5"/>
  <c r="FB205" i="5"/>
  <c r="FB200" i="5"/>
  <c r="FA208" i="5"/>
  <c r="FA203" i="5"/>
  <c r="FA210" i="5"/>
  <c r="FA206" i="5"/>
  <c r="FA209" i="5"/>
  <c r="FA201" i="5"/>
  <c r="FA204" i="5"/>
  <c r="FA207" i="5"/>
  <c r="FA205" i="5"/>
  <c r="FA200" i="5"/>
  <c r="EZ208" i="5"/>
  <c r="EZ203" i="5"/>
  <c r="EZ210" i="5"/>
  <c r="EZ206" i="5"/>
  <c r="EZ209" i="5"/>
  <c r="EZ201" i="5"/>
  <c r="EZ204" i="5"/>
  <c r="EZ207" i="5"/>
  <c r="EZ205" i="5"/>
  <c r="EZ200" i="5"/>
  <c r="EY208" i="5"/>
  <c r="EY203" i="5"/>
  <c r="EY210" i="5"/>
  <c r="EY206" i="5"/>
  <c r="EY209" i="5"/>
  <c r="EY201" i="5"/>
  <c r="EY204" i="5"/>
  <c r="EY207" i="5"/>
  <c r="EY205" i="5"/>
  <c r="EY200" i="5"/>
  <c r="EX295" i="5"/>
  <c r="EU295" i="5" s="1"/>
  <c r="EV295" i="5" s="1"/>
  <c r="EX280" i="5"/>
  <c r="EX279" i="5"/>
  <c r="EX264" i="5"/>
  <c r="EX262" i="5"/>
  <c r="EX258" i="5"/>
  <c r="EU258" i="5" s="1"/>
  <c r="EV258" i="5" s="1"/>
  <c r="EX208" i="5"/>
  <c r="EX203" i="5"/>
  <c r="EX210" i="5"/>
  <c r="EX206" i="5"/>
  <c r="EX209" i="5"/>
  <c r="EX201" i="5"/>
  <c r="EX204" i="5"/>
  <c r="EX207" i="5"/>
  <c r="EX205" i="5"/>
  <c r="EX200" i="5"/>
  <c r="EX105" i="5"/>
  <c r="EX81" i="5"/>
  <c r="EU81" i="5" s="1"/>
  <c r="EX12" i="5"/>
  <c r="EU12" i="5" s="1"/>
  <c r="EW208" i="5"/>
  <c r="EW203" i="5"/>
  <c r="EW210" i="5"/>
  <c r="EW206" i="5"/>
  <c r="EW209" i="5"/>
  <c r="EW201" i="5"/>
  <c r="EW204" i="5"/>
  <c r="EW207" i="5"/>
  <c r="EW205" i="5"/>
  <c r="EW200" i="5"/>
  <c r="EV208" i="5"/>
  <c r="EV203" i="5"/>
  <c r="EV210" i="5"/>
  <c r="EV206" i="5"/>
  <c r="EV209" i="5"/>
  <c r="EV201" i="5"/>
  <c r="EV204" i="5"/>
  <c r="EV207" i="5"/>
  <c r="EV205" i="5"/>
  <c r="EV200" i="5"/>
  <c r="EU208" i="5"/>
  <c r="EU203" i="5"/>
  <c r="EU210" i="5"/>
  <c r="EU206" i="5"/>
  <c r="EU209" i="5"/>
  <c r="EU201" i="5"/>
  <c r="EU204" i="5"/>
  <c r="EU207" i="5"/>
  <c r="EU205" i="5"/>
  <c r="EU200" i="5"/>
  <c r="ET208" i="5"/>
  <c r="ET203" i="5"/>
  <c r="ET210" i="5"/>
  <c r="ET206" i="5"/>
  <c r="ET209" i="5"/>
  <c r="ET201" i="5"/>
  <c r="ET204" i="5"/>
  <c r="ET207" i="5"/>
  <c r="ET205" i="5"/>
  <c r="ET200" i="5"/>
  <c r="ES208" i="5"/>
  <c r="ES203" i="5"/>
  <c r="ES210" i="5"/>
  <c r="ES206" i="5"/>
  <c r="ES209" i="5"/>
  <c r="ES201" i="5"/>
  <c r="ES204" i="5"/>
  <c r="ES207" i="5"/>
  <c r="ES205" i="5"/>
  <c r="ES200" i="5"/>
  <c r="ER208" i="5"/>
  <c r="ER203" i="5"/>
  <c r="ER210" i="5"/>
  <c r="ER206" i="5"/>
  <c r="ER209" i="5"/>
  <c r="ER201" i="5"/>
  <c r="ER204" i="5"/>
  <c r="ER207" i="5"/>
  <c r="ER205" i="5"/>
  <c r="ER200" i="5"/>
  <c r="EQ208" i="5"/>
  <c r="EQ203" i="5"/>
  <c r="EQ210" i="5"/>
  <c r="EQ206" i="5"/>
  <c r="EQ209" i="5"/>
  <c r="EQ201" i="5"/>
  <c r="EQ204" i="5"/>
  <c r="EQ207" i="5"/>
  <c r="EQ205" i="5"/>
  <c r="EQ200" i="5"/>
  <c r="EP295" i="5"/>
  <c r="EM295" i="5" s="1"/>
  <c r="EN295" i="5" s="1"/>
  <c r="EP280" i="5"/>
  <c r="EP279" i="5"/>
  <c r="EM279" i="5" s="1"/>
  <c r="EP264" i="5"/>
  <c r="EM264" i="5" s="1"/>
  <c r="EP262" i="5"/>
  <c r="EP258" i="5"/>
  <c r="EM258" i="5" s="1"/>
  <c r="EN258" i="5" s="1"/>
  <c r="EP208" i="5"/>
  <c r="EP203" i="5"/>
  <c r="EP210" i="5"/>
  <c r="EP206" i="5"/>
  <c r="EP209" i="5"/>
  <c r="EP201" i="5"/>
  <c r="EP204" i="5"/>
  <c r="EP207" i="5"/>
  <c r="EP205" i="5"/>
  <c r="EP200" i="5"/>
  <c r="EP105" i="5"/>
  <c r="EP81" i="5"/>
  <c r="EP84" i="5" s="1"/>
  <c r="EP12" i="5"/>
  <c r="EM12" i="5" s="1"/>
  <c r="EO208" i="5"/>
  <c r="EO203" i="5"/>
  <c r="EO210" i="5"/>
  <c r="EO206" i="5"/>
  <c r="EO209" i="5"/>
  <c r="EO201" i="5"/>
  <c r="EO204" i="5"/>
  <c r="EO207" i="5"/>
  <c r="EO205" i="5"/>
  <c r="EO200" i="5"/>
  <c r="EN208" i="5"/>
  <c r="EN203" i="5"/>
  <c r="EN210" i="5"/>
  <c r="EN206" i="5"/>
  <c r="EN209" i="5"/>
  <c r="EN201" i="5"/>
  <c r="EN204" i="5"/>
  <c r="EN207" i="5"/>
  <c r="EN205" i="5"/>
  <c r="EN200" i="5"/>
  <c r="EM208" i="5"/>
  <c r="EM203" i="5"/>
  <c r="EM210" i="5"/>
  <c r="EM206" i="5"/>
  <c r="EM209" i="5"/>
  <c r="EM201" i="5"/>
  <c r="EM204" i="5"/>
  <c r="EM207" i="5"/>
  <c r="EM205" i="5"/>
  <c r="EM200" i="5"/>
  <c r="EL208" i="5"/>
  <c r="EL203" i="5"/>
  <c r="EL210" i="5"/>
  <c r="EL206" i="5"/>
  <c r="EL209" i="5"/>
  <c r="EL201" i="5"/>
  <c r="EL204" i="5"/>
  <c r="EL207" i="5"/>
  <c r="EL205" i="5"/>
  <c r="EL200" i="5"/>
  <c r="EK208" i="5"/>
  <c r="EK203" i="5"/>
  <c r="EK210" i="5"/>
  <c r="EK206" i="5"/>
  <c r="EK209" i="5"/>
  <c r="EK201" i="5"/>
  <c r="EK204" i="5"/>
  <c r="EK207" i="5"/>
  <c r="EK205" i="5"/>
  <c r="EK200" i="5"/>
  <c r="EJ208" i="5"/>
  <c r="EJ203" i="5"/>
  <c r="EJ210" i="5"/>
  <c r="EJ206" i="5"/>
  <c r="EJ209" i="5"/>
  <c r="EJ201" i="5"/>
  <c r="EJ204" i="5"/>
  <c r="EJ207" i="5"/>
  <c r="EJ205" i="5"/>
  <c r="EJ200" i="5"/>
  <c r="EI208" i="5"/>
  <c r="EI203" i="5"/>
  <c r="EI210" i="5"/>
  <c r="EI206" i="5"/>
  <c r="EI209" i="5"/>
  <c r="EI201" i="5"/>
  <c r="EI204" i="5"/>
  <c r="EI207" i="5"/>
  <c r="EI205" i="5"/>
  <c r="EI200" i="5"/>
  <c r="EH295" i="5"/>
  <c r="EH280" i="5"/>
  <c r="EE280" i="5" s="1"/>
  <c r="EF280" i="5" s="1"/>
  <c r="EH279" i="5"/>
  <c r="EE279" i="5" s="1"/>
  <c r="EF279" i="5" s="1"/>
  <c r="EH264" i="5"/>
  <c r="EE264" i="5" s="1"/>
  <c r="EF264" i="5" s="1"/>
  <c r="EH262" i="5"/>
  <c r="EE262" i="5" s="1"/>
  <c r="EF262" i="5" s="1"/>
  <c r="EH258" i="5"/>
  <c r="EE258" i="5" s="1"/>
  <c r="EH208" i="5"/>
  <c r="EH203" i="5"/>
  <c r="EH210" i="5"/>
  <c r="EH206" i="5"/>
  <c r="EH209" i="5"/>
  <c r="EH201" i="5"/>
  <c r="EH204" i="5"/>
  <c r="EH207" i="5"/>
  <c r="EH205" i="5"/>
  <c r="EH200" i="5"/>
  <c r="EH105" i="5"/>
  <c r="EE105" i="5" s="1"/>
  <c r="EH81" i="5"/>
  <c r="EH84" i="5" s="1"/>
  <c r="EH12" i="5"/>
  <c r="EE12" i="5" s="1"/>
  <c r="EG208" i="5"/>
  <c r="EG203" i="5"/>
  <c r="EG210" i="5"/>
  <c r="EG206" i="5"/>
  <c r="EG209" i="5"/>
  <c r="EG201" i="5"/>
  <c r="EG204" i="5"/>
  <c r="EG207" i="5"/>
  <c r="EG205" i="5"/>
  <c r="EG200" i="5"/>
  <c r="EF208" i="5"/>
  <c r="EF203" i="5"/>
  <c r="EF210" i="5"/>
  <c r="EF206" i="5"/>
  <c r="EF209" i="5"/>
  <c r="EF201" i="5"/>
  <c r="EF204" i="5"/>
  <c r="EF207" i="5"/>
  <c r="EF205" i="5"/>
  <c r="EF200" i="5"/>
  <c r="EE208" i="5"/>
  <c r="EE203" i="5"/>
  <c r="EE210" i="5"/>
  <c r="EE206" i="5"/>
  <c r="EE209" i="5"/>
  <c r="EE201" i="5"/>
  <c r="EE204" i="5"/>
  <c r="EE207" i="5"/>
  <c r="EE205" i="5"/>
  <c r="EE200" i="5"/>
  <c r="ED208" i="5"/>
  <c r="ED203" i="5"/>
  <c r="ED210" i="5"/>
  <c r="ED206" i="5"/>
  <c r="ED209" i="5"/>
  <c r="ED201" i="5"/>
  <c r="ED204" i="5"/>
  <c r="ED207" i="5"/>
  <c r="ED205" i="5"/>
  <c r="ED200" i="5"/>
  <c r="EC208" i="5"/>
  <c r="EC203" i="5"/>
  <c r="EC210" i="5"/>
  <c r="EC206" i="5"/>
  <c r="EC209" i="5"/>
  <c r="EC201" i="5"/>
  <c r="EC204" i="5"/>
  <c r="EC207" i="5"/>
  <c r="EC205" i="5"/>
  <c r="EC200" i="5"/>
  <c r="EB208" i="5"/>
  <c r="EB203" i="5"/>
  <c r="EB210" i="5"/>
  <c r="EB206" i="5"/>
  <c r="EB209" i="5"/>
  <c r="EB201" i="5"/>
  <c r="EB204" i="5"/>
  <c r="EB207" i="5"/>
  <c r="EB205" i="5"/>
  <c r="EB200" i="5"/>
  <c r="EA208" i="5"/>
  <c r="EA203" i="5"/>
  <c r="EA210" i="5"/>
  <c r="EA206" i="5"/>
  <c r="EA209" i="5"/>
  <c r="EA201" i="5"/>
  <c r="EA204" i="5"/>
  <c r="EA207" i="5"/>
  <c r="EA205" i="5"/>
  <c r="EA200" i="5"/>
  <c r="DZ295" i="5"/>
  <c r="DZ280" i="5"/>
  <c r="DZ279" i="5"/>
  <c r="DZ264" i="5"/>
  <c r="DZ262" i="5"/>
  <c r="DZ258" i="5"/>
  <c r="DX258" i="5" s="1"/>
  <c r="DZ208" i="5"/>
  <c r="DZ203" i="5"/>
  <c r="DZ210" i="5"/>
  <c r="DZ206" i="5"/>
  <c r="DZ209" i="5"/>
  <c r="DZ201" i="5"/>
  <c r="DZ204" i="5"/>
  <c r="DZ207" i="5"/>
  <c r="DZ205" i="5"/>
  <c r="DZ200" i="5"/>
  <c r="DZ105" i="5"/>
  <c r="DX105" i="5" s="1"/>
  <c r="DZ81" i="5"/>
  <c r="DZ84" i="5" s="1"/>
  <c r="DX84" i="5" s="1"/>
  <c r="DZ12" i="5"/>
  <c r="DY208" i="5"/>
  <c r="DY203" i="5"/>
  <c r="DY210" i="5"/>
  <c r="DY206" i="5"/>
  <c r="DY209" i="5"/>
  <c r="DY201" i="5"/>
  <c r="DY204" i="5"/>
  <c r="DY207" i="5"/>
  <c r="DY205" i="5"/>
  <c r="DY200" i="5"/>
  <c r="DX208" i="5"/>
  <c r="DX203" i="5"/>
  <c r="DX210" i="5"/>
  <c r="DX206" i="5"/>
  <c r="DX209" i="5"/>
  <c r="DX201" i="5"/>
  <c r="DX204" i="5"/>
  <c r="DX207" i="5"/>
  <c r="DX205" i="5"/>
  <c r="DX200" i="5"/>
  <c r="DW208" i="5"/>
  <c r="DW203" i="5"/>
  <c r="DW210" i="5"/>
  <c r="DW206" i="5"/>
  <c r="DW209" i="5"/>
  <c r="DW201" i="5"/>
  <c r="DW204" i="5"/>
  <c r="DW207" i="5"/>
  <c r="DW205" i="5"/>
  <c r="DW200" i="5"/>
  <c r="DV208" i="5"/>
  <c r="DV203" i="5"/>
  <c r="DV210" i="5"/>
  <c r="DV206" i="5"/>
  <c r="DV209" i="5"/>
  <c r="DV201" i="5"/>
  <c r="DV204" i="5"/>
  <c r="DV207" i="5"/>
  <c r="DV205" i="5"/>
  <c r="DV200" i="5"/>
  <c r="DU208" i="5"/>
  <c r="DU203" i="5"/>
  <c r="DU210" i="5"/>
  <c r="DU206" i="5"/>
  <c r="DU209" i="5"/>
  <c r="DU201" i="5"/>
  <c r="DU204" i="5"/>
  <c r="DU207" i="5"/>
  <c r="DU205" i="5"/>
  <c r="DU200" i="5"/>
  <c r="DT208" i="5"/>
  <c r="DT203" i="5"/>
  <c r="DT210" i="5"/>
  <c r="DT206" i="5"/>
  <c r="DT209" i="5"/>
  <c r="DT201" i="5"/>
  <c r="DT204" i="5"/>
  <c r="DT207" i="5"/>
  <c r="DT205" i="5"/>
  <c r="DT200" i="5"/>
  <c r="DS208" i="5"/>
  <c r="DS203" i="5"/>
  <c r="DS210" i="5"/>
  <c r="DS206" i="5"/>
  <c r="DS209" i="5"/>
  <c r="DS201" i="5"/>
  <c r="DS204" i="5"/>
  <c r="DS207" i="5"/>
  <c r="DS205" i="5"/>
  <c r="DS200" i="5"/>
  <c r="DO208" i="5"/>
  <c r="DO203" i="5"/>
  <c r="DO210" i="5"/>
  <c r="DO206" i="5"/>
  <c r="DO209" i="5"/>
  <c r="DO201" i="5"/>
  <c r="DO204" i="5"/>
  <c r="DO207" i="5"/>
  <c r="DO205" i="5"/>
  <c r="DO200" i="5"/>
  <c r="DN208" i="5"/>
  <c r="DN203" i="5"/>
  <c r="DN210" i="5"/>
  <c r="DN206" i="5"/>
  <c r="DN209" i="5"/>
  <c r="DN201" i="5"/>
  <c r="DN204" i="5"/>
  <c r="DN207" i="5"/>
  <c r="DN205" i="5"/>
  <c r="DN200" i="5"/>
  <c r="DL208" i="5"/>
  <c r="DL203" i="5"/>
  <c r="DL210" i="5"/>
  <c r="DL206" i="5"/>
  <c r="DL209" i="5"/>
  <c r="DL201" i="5"/>
  <c r="DL204" i="5"/>
  <c r="DL207" i="5"/>
  <c r="DL205" i="5"/>
  <c r="DL200" i="5"/>
  <c r="DK208" i="5"/>
  <c r="DK203" i="5"/>
  <c r="DK210" i="5"/>
  <c r="DK206" i="5"/>
  <c r="DK209" i="5"/>
  <c r="DK201" i="5"/>
  <c r="DK204" i="5"/>
  <c r="DK207" i="5"/>
  <c r="DK205" i="5"/>
  <c r="DK200" i="5"/>
  <c r="DJ208" i="5"/>
  <c r="DJ203" i="5"/>
  <c r="DJ210" i="5"/>
  <c r="DJ206" i="5"/>
  <c r="DJ209" i="5"/>
  <c r="DJ201" i="5"/>
  <c r="DJ204" i="5"/>
  <c r="DJ207" i="5"/>
  <c r="DJ205" i="5"/>
  <c r="DJ200" i="5"/>
  <c r="DJ105" i="5"/>
  <c r="DH105" i="5" s="1"/>
  <c r="DJ81" i="5"/>
  <c r="DJ12" i="5"/>
  <c r="DI208" i="5"/>
  <c r="DI203" i="5"/>
  <c r="DI210" i="5"/>
  <c r="DI206" i="5"/>
  <c r="DI209" i="5"/>
  <c r="DI201" i="5"/>
  <c r="DI204" i="5"/>
  <c r="DI207" i="5"/>
  <c r="DI205" i="5"/>
  <c r="DI200" i="5"/>
  <c r="DH208" i="5"/>
  <c r="DH203" i="5"/>
  <c r="DH210" i="5"/>
  <c r="DH206" i="5"/>
  <c r="DH209" i="5"/>
  <c r="DH201" i="5"/>
  <c r="DH204" i="5"/>
  <c r="DH207" i="5"/>
  <c r="DH205" i="5"/>
  <c r="DH200" i="5"/>
  <c r="DG208" i="5"/>
  <c r="DG203" i="5"/>
  <c r="DG210" i="5"/>
  <c r="DG206" i="5"/>
  <c r="DG209" i="5"/>
  <c r="DG201" i="5"/>
  <c r="DG204" i="5"/>
  <c r="DG207" i="5"/>
  <c r="DG205" i="5"/>
  <c r="DG200" i="5"/>
  <c r="DF208" i="5"/>
  <c r="DF203" i="5"/>
  <c r="DF210" i="5"/>
  <c r="DF206" i="5"/>
  <c r="DF209" i="5"/>
  <c r="DF201" i="5"/>
  <c r="DF204" i="5"/>
  <c r="DF207" i="5"/>
  <c r="DF205" i="5"/>
  <c r="DF200" i="5"/>
  <c r="DD208" i="5"/>
  <c r="DD203" i="5"/>
  <c r="DD210" i="5"/>
  <c r="DD206" i="5"/>
  <c r="DD209" i="5"/>
  <c r="DD201" i="5"/>
  <c r="DD204" i="5"/>
  <c r="DD207" i="5"/>
  <c r="DD205" i="5"/>
  <c r="DD200" i="5"/>
  <c r="DC208" i="5"/>
  <c r="DC203" i="5"/>
  <c r="DC210" i="5"/>
  <c r="DC206" i="5"/>
  <c r="DC209" i="5"/>
  <c r="DC201" i="5"/>
  <c r="DC204" i="5"/>
  <c r="DC207" i="5"/>
  <c r="DC205" i="5"/>
  <c r="DC200" i="5"/>
  <c r="DB295" i="5"/>
  <c r="CZ295" i="5" s="1"/>
  <c r="DB280" i="5"/>
  <c r="DB265" i="5"/>
  <c r="CZ265" i="5" s="1"/>
  <c r="DB264" i="5"/>
  <c r="CZ264" i="5" s="1"/>
  <c r="DB262" i="5"/>
  <c r="CZ262" i="5" s="1"/>
  <c r="DB258" i="5"/>
  <c r="CZ258" i="5" s="1"/>
  <c r="DB208" i="5"/>
  <c r="DB203" i="5"/>
  <c r="DB210" i="5"/>
  <c r="DB206" i="5"/>
  <c r="DB209" i="5"/>
  <c r="DB201" i="5"/>
  <c r="DB204" i="5"/>
  <c r="DB207" i="5"/>
  <c r="DB205" i="5"/>
  <c r="DB200" i="5"/>
  <c r="DB109" i="5"/>
  <c r="DB105" i="5"/>
  <c r="CZ105" i="5" s="1"/>
  <c r="DB103" i="5"/>
  <c r="CZ103" i="5" s="1"/>
  <c r="DB86" i="5"/>
  <c r="CZ86" i="5" s="1"/>
  <c r="DB81" i="5"/>
  <c r="DB58" i="5"/>
  <c r="CZ58" i="5" s="1"/>
  <c r="DB12" i="5"/>
  <c r="CZ12" i="5" s="1"/>
  <c r="CX12" i="5" s="1"/>
  <c r="DA27" i="5"/>
  <c r="CZ208" i="5"/>
  <c r="CZ203" i="5"/>
  <c r="CZ210" i="5"/>
  <c r="CZ206" i="5"/>
  <c r="CZ209" i="5"/>
  <c r="CZ201" i="5"/>
  <c r="CZ204" i="5"/>
  <c r="CZ207" i="5"/>
  <c r="CZ205" i="5"/>
  <c r="CZ200" i="5"/>
  <c r="CY208" i="5"/>
  <c r="CY203" i="5"/>
  <c r="CY210" i="5"/>
  <c r="CY206" i="5"/>
  <c r="CY209" i="5"/>
  <c r="CY201" i="5"/>
  <c r="CY204" i="5"/>
  <c r="CY207" i="5"/>
  <c r="CY205" i="5"/>
  <c r="CY200" i="5"/>
  <c r="CY199" i="5"/>
  <c r="CY198" i="5"/>
  <c r="CY196" i="5"/>
  <c r="CY197" i="5"/>
  <c r="CY188" i="5"/>
  <c r="CY187" i="5"/>
  <c r="CY180" i="5"/>
  <c r="DG184" i="5" s="1"/>
  <c r="CY179" i="5"/>
  <c r="DG183" i="5" s="1"/>
  <c r="CY157" i="5"/>
  <c r="CY3" i="5"/>
  <c r="CX208" i="5"/>
  <c r="CX203" i="5"/>
  <c r="CX210" i="5"/>
  <c r="CX206" i="5"/>
  <c r="CX209" i="5"/>
  <c r="CX201" i="5"/>
  <c r="CX204" i="5"/>
  <c r="CX207" i="5"/>
  <c r="CX205" i="5"/>
  <c r="CX200" i="5"/>
  <c r="CW208" i="5"/>
  <c r="CW203" i="5"/>
  <c r="CW210" i="5"/>
  <c r="CW206" i="5"/>
  <c r="CW209" i="5"/>
  <c r="CW201" i="5"/>
  <c r="CW204" i="5"/>
  <c r="CW207" i="5"/>
  <c r="CW205" i="5"/>
  <c r="CW200" i="5"/>
  <c r="CW199" i="5"/>
  <c r="CW198" i="5"/>
  <c r="CW196" i="5"/>
  <c r="CW197" i="5"/>
  <c r="CW188" i="5"/>
  <c r="DE192" i="5" s="1"/>
  <c r="CW187" i="5"/>
  <c r="DE191" i="5" s="1"/>
  <c r="CW180" i="5"/>
  <c r="DE184" i="5" s="1"/>
  <c r="CW179" i="5"/>
  <c r="CW157" i="5"/>
  <c r="DE160" i="5" s="1"/>
  <c r="CW3" i="5"/>
  <c r="CU208" i="5"/>
  <c r="CU203" i="5"/>
  <c r="CU210" i="5"/>
  <c r="CU206" i="5"/>
  <c r="CU209" i="5"/>
  <c r="CU201" i="5"/>
  <c r="CU204" i="5"/>
  <c r="CU207" i="5"/>
  <c r="CU205" i="5"/>
  <c r="CU200" i="5"/>
  <c r="CU199" i="5"/>
  <c r="CU198" i="5"/>
  <c r="CU196" i="5"/>
  <c r="CU197" i="5"/>
  <c r="CU188" i="5"/>
  <c r="DC192" i="5" s="1"/>
  <c r="CU187" i="5"/>
  <c r="DC191" i="5" s="1"/>
  <c r="CU180" i="5"/>
  <c r="CU179" i="5"/>
  <c r="DC183" i="5" s="1"/>
  <c r="CU157" i="5"/>
  <c r="DC160" i="5" s="1"/>
  <c r="CU3" i="5"/>
  <c r="CT300" i="5"/>
  <c r="CR300" i="5" s="1"/>
  <c r="CT295" i="5"/>
  <c r="CR295" i="5" s="1"/>
  <c r="CT286" i="5"/>
  <c r="CR286" i="5" s="1"/>
  <c r="CT285" i="5"/>
  <c r="CT284" i="5"/>
  <c r="CT280" i="5"/>
  <c r="CT328" i="5" s="1"/>
  <c r="CT278" i="5"/>
  <c r="CT323" i="5" s="1"/>
  <c r="CT275" i="5"/>
  <c r="CR275" i="5" s="1"/>
  <c r="CT270" i="5"/>
  <c r="CT269" i="5"/>
  <c r="CT265" i="5"/>
  <c r="CR265" i="5" s="1"/>
  <c r="CT264" i="5"/>
  <c r="CR264" i="5" s="1"/>
  <c r="CT262" i="5"/>
  <c r="CR262" i="5" s="1"/>
  <c r="CT261" i="5"/>
  <c r="CR261" i="5" s="1"/>
  <c r="CT259" i="5"/>
  <c r="CR259" i="5" s="1"/>
  <c r="CT258" i="5"/>
  <c r="CR258" i="5" s="1"/>
  <c r="CT257" i="5"/>
  <c r="CR257" i="5" s="1"/>
  <c r="CT188" i="5"/>
  <c r="CR188" i="5" s="1"/>
  <c r="CT180" i="5"/>
  <c r="CR180" i="5" s="1"/>
  <c r="CT157" i="5"/>
  <c r="CT144" i="5"/>
  <c r="CT117" i="5"/>
  <c r="CR117" i="5" s="1"/>
  <c r="CT109" i="5"/>
  <c r="CT107" i="5"/>
  <c r="CR107" i="5" s="1"/>
  <c r="CT103" i="5"/>
  <c r="CR103" i="5" s="1"/>
  <c r="CT94" i="5"/>
  <c r="CT86" i="5"/>
  <c r="CR86" i="5" s="1"/>
  <c r="CT81" i="5"/>
  <c r="CT84" i="5" s="1"/>
  <c r="CT79" i="5"/>
  <c r="CT71" i="5"/>
  <c r="CT74" i="5" s="1"/>
  <c r="CT58" i="5"/>
  <c r="CR58" i="5" s="1"/>
  <c r="CT53" i="5"/>
  <c r="CR53" i="5" s="1"/>
  <c r="CT52" i="5"/>
  <c r="CR52" i="5" s="1"/>
  <c r="CT51" i="5"/>
  <c r="CR51" i="5" s="1"/>
  <c r="CT46" i="5"/>
  <c r="CT48" i="5" s="1"/>
  <c r="CT35" i="5"/>
  <c r="CT29" i="5"/>
  <c r="CT28" i="5"/>
  <c r="CT27" i="5"/>
  <c r="CT12" i="5"/>
  <c r="CR12" i="5" s="1"/>
  <c r="CP12" i="5" s="1"/>
  <c r="CT10" i="5"/>
  <c r="CR10" i="5" s="1"/>
  <c r="CT5" i="5"/>
  <c r="CT4" i="5"/>
  <c r="CT3" i="5"/>
  <c r="CL300" i="5"/>
  <c r="CJ300" i="5" s="1"/>
  <c r="CL295" i="5"/>
  <c r="CJ295" i="5" s="1"/>
  <c r="CL291" i="5"/>
  <c r="CL286" i="5"/>
  <c r="CJ286" i="5" s="1"/>
  <c r="CL285" i="5"/>
  <c r="CL284" i="5"/>
  <c r="CL280" i="5"/>
  <c r="CJ280" i="5" s="1"/>
  <c r="CL278" i="5"/>
  <c r="CL275" i="5"/>
  <c r="CL270" i="5"/>
  <c r="CL269" i="5"/>
  <c r="CJ269" i="5" s="1"/>
  <c r="CL265" i="5"/>
  <c r="CJ265" i="5" s="1"/>
  <c r="CL264" i="5"/>
  <c r="CJ264" i="5" s="1"/>
  <c r="CL262" i="5"/>
  <c r="CJ262" i="5" s="1"/>
  <c r="CL261" i="5"/>
  <c r="CJ261" i="5" s="1"/>
  <c r="CL259" i="5"/>
  <c r="CJ259" i="5" s="1"/>
  <c r="CL258" i="5"/>
  <c r="CJ258" i="5" s="1"/>
  <c r="CL257" i="5"/>
  <c r="CJ257" i="5" s="1"/>
  <c r="CL188" i="5"/>
  <c r="CL192" i="5" s="1"/>
  <c r="CL180" i="5"/>
  <c r="CL157" i="5"/>
  <c r="CJ157" i="5" s="1"/>
  <c r="CL144" i="5"/>
  <c r="CL117" i="5"/>
  <c r="CL112" i="5"/>
  <c r="CJ112" i="5" s="1"/>
  <c r="CL109" i="5"/>
  <c r="CJ109" i="5" s="1"/>
  <c r="CL107" i="5"/>
  <c r="CJ107" i="5" s="1"/>
  <c r="CL103" i="5"/>
  <c r="CJ103" i="5" s="1"/>
  <c r="CL98" i="5"/>
  <c r="CJ98" i="5" s="1"/>
  <c r="CL94" i="5"/>
  <c r="CJ94" i="5" s="1"/>
  <c r="CL86" i="5"/>
  <c r="CJ86" i="5" s="1"/>
  <c r="CL81" i="5"/>
  <c r="CJ81" i="5" s="1"/>
  <c r="CL79" i="5"/>
  <c r="CJ79" i="5" s="1"/>
  <c r="CL71" i="5"/>
  <c r="CJ71" i="5" s="1"/>
  <c r="CL58" i="5"/>
  <c r="CJ58" i="5" s="1"/>
  <c r="CL53" i="5"/>
  <c r="CJ53" i="5" s="1"/>
  <c r="CL52" i="5"/>
  <c r="CL51" i="5"/>
  <c r="CJ51" i="5" s="1"/>
  <c r="CL48" i="5"/>
  <c r="CJ48" i="5" s="1"/>
  <c r="CL46" i="5"/>
  <c r="CJ46" i="5" s="1"/>
  <c r="CL29" i="5"/>
  <c r="CL28" i="5"/>
  <c r="CL27" i="5"/>
  <c r="CL12" i="5"/>
  <c r="CJ12" i="5" s="1"/>
  <c r="CL10" i="5"/>
  <c r="CJ10" i="5" s="1"/>
  <c r="CL5" i="5"/>
  <c r="CJ5" i="5" s="1"/>
  <c r="CL4" i="5"/>
  <c r="CJ4" i="5" s="1"/>
  <c r="CL3" i="5"/>
  <c r="CJ3" i="5" s="1"/>
  <c r="CD349" i="5"/>
  <c r="CB349" i="5" s="1"/>
  <c r="CD348" i="5"/>
  <c r="CB348" i="5" s="1"/>
  <c r="CD347" i="5"/>
  <c r="CB347" i="5" s="1"/>
  <c r="CD346" i="5"/>
  <c r="CB346" i="5" s="1"/>
  <c r="CD300" i="5"/>
  <c r="CB300" i="5" s="1"/>
  <c r="CD295" i="5"/>
  <c r="CB295" i="5" s="1"/>
  <c r="CD291" i="5"/>
  <c r="CD290" i="5"/>
  <c r="CB290" i="5" s="1"/>
  <c r="CD289" i="5"/>
  <c r="CB289" i="5" s="1"/>
  <c r="CD288" i="5"/>
  <c r="CB288" i="5" s="1"/>
  <c r="CD286" i="5"/>
  <c r="CB286" i="5" s="1"/>
  <c r="CD285" i="5"/>
  <c r="CD284" i="5"/>
  <c r="CD280" i="5"/>
  <c r="CB280" i="5" s="1"/>
  <c r="CD278" i="5"/>
  <c r="CD323" i="5" s="1"/>
  <c r="CB323" i="5" s="1"/>
  <c r="CD275" i="5"/>
  <c r="CD270" i="5"/>
  <c r="CD269" i="5"/>
  <c r="CD265" i="5"/>
  <c r="CB265" i="5" s="1"/>
  <c r="CD264" i="5"/>
  <c r="CB264" i="5" s="1"/>
  <c r="CD262" i="5"/>
  <c r="CB262" i="5" s="1"/>
  <c r="CD261" i="5"/>
  <c r="CB261" i="5" s="1"/>
  <c r="CD259" i="5"/>
  <c r="CB259" i="5" s="1"/>
  <c r="CD258" i="5"/>
  <c r="CB258" i="5" s="1"/>
  <c r="CD257" i="5"/>
  <c r="CB257" i="5" s="1"/>
  <c r="CD117" i="5"/>
  <c r="CD112" i="5"/>
  <c r="CB112" i="5" s="1"/>
  <c r="CD109" i="5"/>
  <c r="CB109" i="5" s="1"/>
  <c r="CD103" i="5"/>
  <c r="CB103" i="5" s="1"/>
  <c r="CD98" i="5"/>
  <c r="CB98" i="5" s="1"/>
  <c r="CD94" i="5"/>
  <c r="CD86" i="5"/>
  <c r="CB86" i="5" s="1"/>
  <c r="CD81" i="5"/>
  <c r="CB81" i="5" s="1"/>
  <c r="CD79" i="5"/>
  <c r="CD74" i="5"/>
  <c r="CB74" i="5" s="1"/>
  <c r="CD71" i="5"/>
  <c r="CB71" i="5" s="1"/>
  <c r="CD58" i="5"/>
  <c r="CB58" i="5" s="1"/>
  <c r="CD53" i="5"/>
  <c r="CD52" i="5"/>
  <c r="CB52" i="5" s="1"/>
  <c r="CD51" i="5"/>
  <c r="CB51" i="5" s="1"/>
  <c r="CD48" i="5"/>
  <c r="CB48" i="5" s="1"/>
  <c r="CD46" i="5"/>
  <c r="CB46" i="5" s="1"/>
  <c r="CD29" i="5"/>
  <c r="CD28" i="5"/>
  <c r="CD27" i="5"/>
  <c r="CD12" i="5"/>
  <c r="CB12" i="5" s="1"/>
  <c r="CD10" i="5"/>
  <c r="CB10" i="5" s="1"/>
  <c r="CD5" i="5"/>
  <c r="CB5" i="5" s="1"/>
  <c r="CD4" i="5"/>
  <c r="CB4" i="5" s="1"/>
  <c r="CD3" i="5"/>
  <c r="CB3" i="5" s="1"/>
  <c r="BV300" i="5"/>
  <c r="BV295" i="5"/>
  <c r="BV286" i="5"/>
  <c r="BT286" i="5" s="1"/>
  <c r="BV285" i="5"/>
  <c r="BT285" i="5" s="1"/>
  <c r="BV284" i="5"/>
  <c r="BV280" i="5"/>
  <c r="BT280" i="5" s="1"/>
  <c r="BV278" i="5"/>
  <c r="BV275" i="5"/>
  <c r="BT275" i="5" s="1"/>
  <c r="BV270" i="5"/>
  <c r="BV269" i="5"/>
  <c r="BT269" i="5" s="1"/>
  <c r="BV265" i="5"/>
  <c r="BT265" i="5" s="1"/>
  <c r="BV264" i="5"/>
  <c r="BT264" i="5" s="1"/>
  <c r="BV262" i="5"/>
  <c r="BT262" i="5" s="1"/>
  <c r="BV261" i="5"/>
  <c r="BT261" i="5" s="1"/>
  <c r="BV259" i="5"/>
  <c r="BV311" i="5" s="1"/>
  <c r="BV258" i="5"/>
  <c r="BT258" i="5" s="1"/>
  <c r="BV257" i="5"/>
  <c r="BV117" i="5"/>
  <c r="BV112" i="5"/>
  <c r="BT112" i="5" s="1"/>
  <c r="BV109" i="5"/>
  <c r="BT109" i="5" s="1"/>
  <c r="BV103" i="5"/>
  <c r="BT103" i="5" s="1"/>
  <c r="BV98" i="5"/>
  <c r="BT98" i="5" s="1"/>
  <c r="BV94" i="5"/>
  <c r="BT94" i="5" s="1"/>
  <c r="BV86" i="5"/>
  <c r="BT86" i="5" s="1"/>
  <c r="BV81" i="5"/>
  <c r="BT81" i="5" s="1"/>
  <c r="BV79" i="5"/>
  <c r="BT79" i="5" s="1"/>
  <c r="BV74" i="5"/>
  <c r="BT74" i="5" s="1"/>
  <c r="BV71" i="5"/>
  <c r="BT71" i="5" s="1"/>
  <c r="BV58" i="5"/>
  <c r="BT58" i="5" s="1"/>
  <c r="BV53" i="5"/>
  <c r="BT53" i="5" s="1"/>
  <c r="BV52" i="5"/>
  <c r="BV51" i="5"/>
  <c r="BT51" i="5" s="1"/>
  <c r="BV48" i="5"/>
  <c r="BT48" i="5" s="1"/>
  <c r="BV46" i="5"/>
  <c r="BT46" i="5" s="1"/>
  <c r="BV29" i="5"/>
  <c r="BV28" i="5"/>
  <c r="BV27" i="5"/>
  <c r="BV12" i="5"/>
  <c r="BV10" i="5"/>
  <c r="BV5" i="5"/>
  <c r="BV4" i="5"/>
  <c r="BV3" i="5"/>
  <c r="BN58" i="5"/>
  <c r="BL58" i="5" s="1"/>
  <c r="BN53" i="5"/>
  <c r="BL53" i="5" s="1"/>
  <c r="BN52" i="5"/>
  <c r="BL52" i="5" s="1"/>
  <c r="BN51" i="5"/>
  <c r="BL51" i="5" s="1"/>
  <c r="BN12" i="5"/>
  <c r="BF342" i="5"/>
  <c r="BD342" i="5" s="1"/>
  <c r="BF341" i="5"/>
  <c r="BD341" i="5" s="1"/>
  <c r="BF339" i="5"/>
  <c r="BD339" i="5" s="1"/>
  <c r="BF338" i="5"/>
  <c r="BD338" i="5" s="1"/>
  <c r="BF337" i="5"/>
  <c r="BD337" i="5" s="1"/>
  <c r="BF300" i="5"/>
  <c r="BN300" i="5" s="1"/>
  <c r="BF295" i="5"/>
  <c r="BN295" i="5" s="1"/>
  <c r="BF291" i="5"/>
  <c r="BF286" i="5"/>
  <c r="BN286" i="5" s="1"/>
  <c r="BF285" i="5"/>
  <c r="BD285" i="5" s="1"/>
  <c r="BL285" i="5" s="1"/>
  <c r="BF284" i="5"/>
  <c r="BF280" i="5"/>
  <c r="BF278" i="5"/>
  <c r="BF275" i="5"/>
  <c r="BD275" i="5" s="1"/>
  <c r="BL275" i="5" s="1"/>
  <c r="BF270" i="5"/>
  <c r="BF269" i="5"/>
  <c r="BF265" i="5"/>
  <c r="BF264" i="5"/>
  <c r="BN264" i="5" s="1"/>
  <c r="BF262" i="5"/>
  <c r="BF261" i="5"/>
  <c r="BD261" i="5" s="1"/>
  <c r="BL261" i="5" s="1"/>
  <c r="BF259" i="5"/>
  <c r="BD259" i="5" s="1"/>
  <c r="BL259" i="5" s="1"/>
  <c r="BF258" i="5"/>
  <c r="BD258" i="5" s="1"/>
  <c r="BL258" i="5" s="1"/>
  <c r="BF257" i="5"/>
  <c r="BN257" i="5" s="1"/>
  <c r="BF223" i="5"/>
  <c r="BF222" i="5"/>
  <c r="BD222" i="5" s="1"/>
  <c r="BF219" i="5"/>
  <c r="BF218" i="5"/>
  <c r="BF196" i="5"/>
  <c r="BN196" i="5" s="1"/>
  <c r="BF197" i="5"/>
  <c r="BF137" i="5"/>
  <c r="BF117" i="5"/>
  <c r="BN117" i="5" s="1"/>
  <c r="BF112" i="5"/>
  <c r="BF109" i="5"/>
  <c r="BN109" i="5" s="1"/>
  <c r="BF107" i="5"/>
  <c r="BD107" i="5" s="1"/>
  <c r="BF105" i="5"/>
  <c r="BD105" i="5" s="1"/>
  <c r="BF103" i="5"/>
  <c r="BD103" i="5" s="1"/>
  <c r="BF102" i="5"/>
  <c r="BD102" i="5" s="1"/>
  <c r="BF98" i="5"/>
  <c r="BN98" i="5" s="1"/>
  <c r="BF94" i="5"/>
  <c r="BN94" i="5" s="1"/>
  <c r="BF86" i="5"/>
  <c r="BN86" i="5" s="1"/>
  <c r="BF81" i="5"/>
  <c r="BN81" i="5" s="1"/>
  <c r="BF79" i="5"/>
  <c r="BN79" i="5" s="1"/>
  <c r="BF74" i="5"/>
  <c r="BN74" i="5" s="1"/>
  <c r="BF71" i="5"/>
  <c r="BN71" i="5" s="1"/>
  <c r="BF58" i="5"/>
  <c r="BD58" i="5" s="1"/>
  <c r="BF56" i="5"/>
  <c r="BF54" i="5"/>
  <c r="BD54" i="5" s="1"/>
  <c r="BF51" i="5"/>
  <c r="BD51" i="5" s="1"/>
  <c r="BF48" i="5"/>
  <c r="BN48" i="5" s="1"/>
  <c r="BF46" i="5"/>
  <c r="BN46" i="5" s="1"/>
  <c r="BF32" i="5"/>
  <c r="BF30" i="5"/>
  <c r="BF27" i="5"/>
  <c r="BF12" i="5"/>
  <c r="BF10" i="5"/>
  <c r="BD10" i="5" s="1"/>
  <c r="BF8" i="5"/>
  <c r="BD8" i="5" s="1"/>
  <c r="BF6" i="5"/>
  <c r="BF3" i="5"/>
  <c r="AX148" i="5"/>
  <c r="AX137" i="5"/>
  <c r="AX58" i="5"/>
  <c r="AV58" i="5" s="1"/>
  <c r="AX56" i="5"/>
  <c r="AV56" i="5" s="1"/>
  <c r="AX54" i="5"/>
  <c r="AX51" i="5"/>
  <c r="AV51" i="5" s="1"/>
  <c r="AP342" i="5"/>
  <c r="AX342" i="5" s="1"/>
  <c r="AP340" i="5"/>
  <c r="AX340" i="5" s="1"/>
  <c r="AP338" i="5"/>
  <c r="AX338" i="5" s="1"/>
  <c r="AP337" i="5"/>
  <c r="AP300" i="5"/>
  <c r="AP295" i="5"/>
  <c r="AP291" i="5"/>
  <c r="AP286" i="5"/>
  <c r="AN286" i="5" s="1"/>
  <c r="AP285" i="5"/>
  <c r="AN285" i="5" s="1"/>
  <c r="AP284" i="5"/>
  <c r="AP280" i="5"/>
  <c r="AN280" i="5" s="1"/>
  <c r="AP278" i="5"/>
  <c r="AP323" i="5" s="1"/>
  <c r="AP275" i="5"/>
  <c r="AN275" i="5" s="1"/>
  <c r="AP271" i="5"/>
  <c r="AN271" i="5" s="1"/>
  <c r="AP270" i="5"/>
  <c r="AN270" i="5" s="1"/>
  <c r="AP269" i="5"/>
  <c r="AN269" i="5" s="1"/>
  <c r="AP265" i="5"/>
  <c r="AN265" i="5" s="1"/>
  <c r="AP264" i="5"/>
  <c r="AP263" i="5"/>
  <c r="AN263" i="5" s="1"/>
  <c r="AP262" i="5"/>
  <c r="AN262" i="5" s="1"/>
  <c r="AP261" i="5"/>
  <c r="AN261" i="5" s="1"/>
  <c r="AP259" i="5"/>
  <c r="AN259" i="5" s="1"/>
  <c r="AP258" i="5"/>
  <c r="AP257" i="5"/>
  <c r="AN257" i="5" s="1"/>
  <c r="AP199" i="5"/>
  <c r="AX199" i="5" s="1"/>
  <c r="AP196" i="5"/>
  <c r="AN196" i="5" s="1"/>
  <c r="AL196" i="5" s="1"/>
  <c r="AT196" i="5" s="1"/>
  <c r="AP197" i="5"/>
  <c r="AX197" i="5" s="1"/>
  <c r="AP138" i="5"/>
  <c r="AP137" i="5"/>
  <c r="AP141" i="5" s="1"/>
  <c r="AP120" i="5"/>
  <c r="AP117" i="5"/>
  <c r="AP112" i="5"/>
  <c r="AP107" i="5"/>
  <c r="AP105" i="5"/>
  <c r="AN105" i="5" s="1"/>
  <c r="AP103" i="5"/>
  <c r="AP102" i="5"/>
  <c r="AP98" i="5"/>
  <c r="AP94" i="5"/>
  <c r="AN94" i="5" s="1"/>
  <c r="AP86" i="5"/>
  <c r="AN86" i="5" s="1"/>
  <c r="AP81" i="5"/>
  <c r="AN81" i="5" s="1"/>
  <c r="AP79" i="5"/>
  <c r="AN79" i="5" s="1"/>
  <c r="AP74" i="5"/>
  <c r="AP71" i="5"/>
  <c r="AN71" i="5" s="1"/>
  <c r="AP58" i="5"/>
  <c r="AN58" i="5" s="1"/>
  <c r="AP56" i="5"/>
  <c r="AP54" i="5"/>
  <c r="AN54" i="5" s="1"/>
  <c r="AP51" i="5"/>
  <c r="AN51" i="5" s="1"/>
  <c r="AP48" i="5"/>
  <c r="AP46" i="5"/>
  <c r="AN46" i="5" s="1"/>
  <c r="AP12" i="5"/>
  <c r="AN12" i="5" s="1"/>
  <c r="AP10" i="5"/>
  <c r="AN10" i="5" s="1"/>
  <c r="AP8" i="5"/>
  <c r="AN8" i="5" s="1"/>
  <c r="AP6" i="5"/>
  <c r="AN6" i="5" s="1"/>
  <c r="AP3" i="5"/>
  <c r="AN3" i="5" s="1"/>
  <c r="AH305" i="5"/>
  <c r="AH304" i="5"/>
  <c r="AH300" i="5"/>
  <c r="AH295" i="5"/>
  <c r="AH291" i="5"/>
  <c r="AH286" i="5"/>
  <c r="AF286" i="5" s="1"/>
  <c r="AH285" i="5"/>
  <c r="AH284" i="5"/>
  <c r="AH280" i="5"/>
  <c r="AH328" i="5" s="1"/>
  <c r="AH278" i="5"/>
  <c r="AF278" i="5" s="1"/>
  <c r="AH271" i="5"/>
  <c r="AF271" i="5" s="1"/>
  <c r="AH270" i="5"/>
  <c r="AF270" i="5" s="1"/>
  <c r="AH269" i="5"/>
  <c r="AF269" i="5" s="1"/>
  <c r="AH265" i="5"/>
  <c r="AF265" i="5" s="1"/>
  <c r="AH264" i="5"/>
  <c r="AF264" i="5" s="1"/>
  <c r="AH262" i="5"/>
  <c r="AF262" i="5" s="1"/>
  <c r="AH261" i="5"/>
  <c r="AH316" i="5" s="1"/>
  <c r="AH259" i="5"/>
  <c r="AF259" i="5" s="1"/>
  <c r="AH258" i="5"/>
  <c r="AF258" i="5" s="1"/>
  <c r="AH257" i="5"/>
  <c r="AH120" i="5"/>
  <c r="AH117" i="5"/>
  <c r="AH112" i="5"/>
  <c r="AH103" i="5"/>
  <c r="AH318" i="5" s="1"/>
  <c r="AH102" i="5"/>
  <c r="AF102" i="5" s="1"/>
  <c r="AH94" i="5"/>
  <c r="AF94" i="5" s="1"/>
  <c r="AH86" i="5"/>
  <c r="AF86" i="5" s="1"/>
  <c r="AH81" i="5"/>
  <c r="AH84" i="5" s="1"/>
  <c r="AH79" i="5"/>
  <c r="AF79" i="5" s="1"/>
  <c r="AH71" i="5"/>
  <c r="AF71" i="5" s="1"/>
  <c r="AH58" i="5"/>
  <c r="AF58" i="5" s="1"/>
  <c r="AH56" i="5"/>
  <c r="AF56" i="5" s="1"/>
  <c r="AH54" i="5"/>
  <c r="AH51" i="5"/>
  <c r="AF51" i="5" s="1"/>
  <c r="AH46" i="5"/>
  <c r="AH48" i="5" s="1"/>
  <c r="AF48" i="5" s="1"/>
  <c r="AH12" i="5"/>
  <c r="AF12" i="5" s="1"/>
  <c r="AD12" i="5" s="1"/>
  <c r="AH10" i="5"/>
  <c r="AF10" i="5" s="1"/>
  <c r="AH8" i="5"/>
  <c r="AF8" i="5" s="1"/>
  <c r="AH6" i="5"/>
  <c r="AF6" i="5" s="1"/>
  <c r="AH3" i="5"/>
  <c r="AF3" i="5" s="1"/>
  <c r="Z305" i="5"/>
  <c r="X305" i="5" s="1"/>
  <c r="Z304" i="5"/>
  <c r="X304" i="5" s="1"/>
  <c r="Z300" i="5"/>
  <c r="X300" i="5" s="1"/>
  <c r="Z295" i="5"/>
  <c r="X295" i="5" s="1"/>
  <c r="Z291" i="5"/>
  <c r="Z286" i="5"/>
  <c r="Z285" i="5"/>
  <c r="X285" i="5" s="1"/>
  <c r="Z284" i="5"/>
  <c r="Z280" i="5"/>
  <c r="Z278" i="5"/>
  <c r="Z271" i="5"/>
  <c r="X271" i="5" s="1"/>
  <c r="Z270" i="5"/>
  <c r="X270" i="5" s="1"/>
  <c r="Z269" i="5"/>
  <c r="X269" i="5" s="1"/>
  <c r="Z265" i="5"/>
  <c r="X265" i="5" s="1"/>
  <c r="Z264" i="5"/>
  <c r="Z262" i="5"/>
  <c r="X262" i="5" s="1"/>
  <c r="Z261" i="5"/>
  <c r="Z259" i="5"/>
  <c r="X259" i="5" s="1"/>
  <c r="Z258" i="5"/>
  <c r="Z257" i="5"/>
  <c r="X257" i="5" s="1"/>
  <c r="Z120" i="5"/>
  <c r="Z117" i="5"/>
  <c r="Z109" i="5"/>
  <c r="Z112" i="5" s="1"/>
  <c r="Z103" i="5"/>
  <c r="Z102" i="5"/>
  <c r="X102" i="5" s="1"/>
  <c r="Z94" i="5"/>
  <c r="Z86" i="5"/>
  <c r="X86" i="5" s="1"/>
  <c r="Z81" i="5"/>
  <c r="X81" i="5" s="1"/>
  <c r="Z79" i="5"/>
  <c r="X79" i="5" s="1"/>
  <c r="Z71" i="5"/>
  <c r="X71" i="5" s="1"/>
  <c r="Z58" i="5"/>
  <c r="X58" i="5" s="1"/>
  <c r="Z57" i="5"/>
  <c r="Z56" i="5"/>
  <c r="Z54" i="5"/>
  <c r="X54" i="5" s="1"/>
  <c r="Z51" i="5"/>
  <c r="X51" i="5" s="1"/>
  <c r="Z46" i="5"/>
  <c r="Z48" i="5" s="1"/>
  <c r="Z12" i="5"/>
  <c r="X12" i="5" s="1"/>
  <c r="Z10" i="5"/>
  <c r="X10" i="5" s="1"/>
  <c r="Z9" i="5"/>
  <c r="Z23" i="5" s="1"/>
  <c r="Z8" i="5"/>
  <c r="Z6" i="5"/>
  <c r="X6" i="5" s="1"/>
  <c r="Z3" i="5"/>
  <c r="X3" i="5" s="1"/>
  <c r="R342" i="5"/>
  <c r="P342" i="5" s="1"/>
  <c r="R341" i="5"/>
  <c r="P341" i="5" s="1"/>
  <c r="R340" i="5"/>
  <c r="P340" i="5" s="1"/>
  <c r="R338" i="5"/>
  <c r="R337" i="5"/>
  <c r="V103" i="4"/>
  <c r="V102" i="4" s="1"/>
  <c r="U103" i="4"/>
  <c r="U102" i="4" s="1"/>
  <c r="T103" i="4"/>
  <c r="T102" i="4" s="1"/>
  <c r="M9" i="3"/>
  <c r="M8" i="3"/>
  <c r="M125" i="6" s="1"/>
  <c r="M5" i="3"/>
  <c r="M6" i="3" s="1"/>
  <c r="L88" i="3"/>
  <c r="L87" i="3"/>
  <c r="L86" i="3"/>
  <c r="L85" i="3"/>
  <c r="L82" i="3"/>
  <c r="L81" i="3"/>
  <c r="L80" i="3"/>
  <c r="L79" i="3"/>
  <c r="L62" i="3"/>
  <c r="L57" i="3"/>
  <c r="L56" i="3"/>
  <c r="L55" i="3"/>
  <c r="L54" i="3"/>
  <c r="L20" i="3"/>
  <c r="L46" i="3" s="1"/>
  <c r="L9" i="3"/>
  <c r="L8" i="3"/>
  <c r="L125" i="6" s="1"/>
  <c r="L5" i="3"/>
  <c r="L6" i="3" s="1"/>
  <c r="K88" i="3"/>
  <c r="K87" i="3"/>
  <c r="K86" i="3"/>
  <c r="K85" i="3"/>
  <c r="K82" i="3"/>
  <c r="K81" i="3"/>
  <c r="K80" i="3"/>
  <c r="K79" i="3"/>
  <c r="K62" i="3"/>
  <c r="K57" i="3"/>
  <c r="K56" i="3"/>
  <c r="K55" i="3"/>
  <c r="K54" i="3"/>
  <c r="K20" i="3"/>
  <c r="K46" i="3" s="1"/>
  <c r="K9" i="3"/>
  <c r="K8" i="3"/>
  <c r="K5" i="3"/>
  <c r="K6" i="3" s="1"/>
  <c r="J88" i="3"/>
  <c r="J87" i="3"/>
  <c r="J86" i="3"/>
  <c r="J85" i="3"/>
  <c r="J82" i="3"/>
  <c r="J81" i="3"/>
  <c r="J80" i="3"/>
  <c r="J79" i="3"/>
  <c r="J62" i="3"/>
  <c r="J57" i="3"/>
  <c r="J56" i="3"/>
  <c r="J55" i="3"/>
  <c r="J54" i="3"/>
  <c r="J20" i="3"/>
  <c r="J46" i="3" s="1"/>
  <c r="J9" i="3"/>
  <c r="J8" i="3"/>
  <c r="J5" i="3"/>
  <c r="J6" i="3" s="1"/>
  <c r="I88" i="3"/>
  <c r="I87" i="3"/>
  <c r="I86" i="3"/>
  <c r="I85" i="3"/>
  <c r="I82" i="3"/>
  <c r="I81" i="3"/>
  <c r="I80" i="3"/>
  <c r="I79" i="3"/>
  <c r="I70" i="3"/>
  <c r="I72" i="3" s="1"/>
  <c r="I62" i="3"/>
  <c r="I57" i="3"/>
  <c r="I56" i="3"/>
  <c r="I55" i="3"/>
  <c r="I54" i="3"/>
  <c r="I20" i="3"/>
  <c r="I9" i="3"/>
  <c r="I8" i="3"/>
  <c r="I5" i="3"/>
  <c r="I6" i="3" s="1"/>
  <c r="H88" i="3"/>
  <c r="H87" i="3"/>
  <c r="H86" i="3"/>
  <c r="H85" i="3"/>
  <c r="H82" i="3"/>
  <c r="H81" i="3"/>
  <c r="H80" i="3"/>
  <c r="H79" i="3"/>
  <c r="H70" i="3"/>
  <c r="H72" i="3" s="1"/>
  <c r="H62" i="3"/>
  <c r="H57" i="3"/>
  <c r="H55" i="3"/>
  <c r="H20" i="3"/>
  <c r="H46" i="3" s="1"/>
  <c r="H9" i="3"/>
  <c r="H5" i="3"/>
  <c r="H6" i="3" s="1"/>
  <c r="G88" i="3"/>
  <c r="G87" i="3"/>
  <c r="G86" i="3"/>
  <c r="G85" i="3"/>
  <c r="G82" i="3"/>
  <c r="G81" i="3"/>
  <c r="G80" i="3"/>
  <c r="G79" i="3"/>
  <c r="G70" i="3"/>
  <c r="G72" i="3" s="1"/>
  <c r="G62" i="3"/>
  <c r="G57" i="3"/>
  <c r="G55" i="3"/>
  <c r="G20" i="3"/>
  <c r="G9" i="3"/>
  <c r="G5" i="3"/>
  <c r="G6" i="3" s="1"/>
  <c r="F88" i="3"/>
  <c r="F87" i="3"/>
  <c r="F86" i="3"/>
  <c r="F85" i="3"/>
  <c r="F82" i="3"/>
  <c r="F81" i="3"/>
  <c r="F80" i="3"/>
  <c r="F79" i="3"/>
  <c r="F70" i="3"/>
  <c r="F72" i="3" s="1"/>
  <c r="F62" i="3"/>
  <c r="F57" i="3"/>
  <c r="F55" i="3"/>
  <c r="F20" i="3"/>
  <c r="F46" i="3" s="1"/>
  <c r="F9" i="3"/>
  <c r="F5" i="3"/>
  <c r="F6" i="3" s="1"/>
  <c r="E88" i="3"/>
  <c r="E87" i="3"/>
  <c r="E86" i="3"/>
  <c r="E85" i="3"/>
  <c r="E82" i="3"/>
  <c r="E81" i="3"/>
  <c r="E80" i="3"/>
  <c r="E79" i="3"/>
  <c r="E70" i="3"/>
  <c r="E72" i="3" s="1"/>
  <c r="E62" i="3"/>
  <c r="E57" i="3"/>
  <c r="E55" i="3"/>
  <c r="E20" i="3"/>
  <c r="E9" i="3"/>
  <c r="E5" i="3"/>
  <c r="E6" i="3" s="1"/>
  <c r="D88" i="3"/>
  <c r="D87" i="3"/>
  <c r="D86" i="3"/>
  <c r="D85" i="3"/>
  <c r="D82" i="3"/>
  <c r="D81" i="3"/>
  <c r="D80" i="3"/>
  <c r="D79" i="3"/>
  <c r="D70" i="3"/>
  <c r="D62" i="3"/>
  <c r="D57" i="3"/>
  <c r="D55" i="3"/>
  <c r="D20" i="3"/>
  <c r="D46" i="3" s="1"/>
  <c r="D9" i="3"/>
  <c r="D5" i="3"/>
  <c r="D6" i="3" s="1"/>
  <c r="C88" i="3"/>
  <c r="C87" i="3"/>
  <c r="C86" i="3"/>
  <c r="C85" i="3"/>
  <c r="C82" i="3"/>
  <c r="C81" i="3"/>
  <c r="C80" i="3"/>
  <c r="C79" i="3"/>
  <c r="C70" i="3"/>
  <c r="C72" i="3" s="1"/>
  <c r="C62" i="3"/>
  <c r="C57" i="3"/>
  <c r="C55" i="3"/>
  <c r="C20" i="3"/>
  <c r="C46" i="3" s="1"/>
  <c r="C9" i="3"/>
  <c r="C5" i="3"/>
  <c r="C6" i="3" s="1"/>
  <c r="B88" i="3"/>
  <c r="B87" i="3"/>
  <c r="B86" i="3"/>
  <c r="B85" i="3"/>
  <c r="B82" i="3"/>
  <c r="B81" i="3"/>
  <c r="B80" i="3"/>
  <c r="B79" i="3"/>
  <c r="B62" i="3"/>
  <c r="B57" i="3"/>
  <c r="B56" i="3"/>
  <c r="B55" i="3"/>
  <c r="B20" i="3"/>
  <c r="B46" i="3" s="1"/>
  <c r="B9" i="3"/>
  <c r="B8" i="3"/>
  <c r="B5" i="3"/>
  <c r="B6" i="3" s="1"/>
  <c r="W88" i="3"/>
  <c r="U88" i="3"/>
  <c r="T88" i="3"/>
  <c r="T87" i="3"/>
  <c r="T86" i="3"/>
  <c r="T85" i="3"/>
  <c r="T82" i="3"/>
  <c r="T81" i="3"/>
  <c r="T80" i="3"/>
  <c r="T79" i="3"/>
  <c r="T62" i="3"/>
  <c r="T57" i="3"/>
  <c r="T56" i="3"/>
  <c r="T55" i="3"/>
  <c r="T54" i="3"/>
  <c r="T20" i="3"/>
  <c r="T46" i="3" s="1"/>
  <c r="T9" i="3"/>
  <c r="T8" i="3"/>
  <c r="T125" i="6" s="1"/>
  <c r="T5" i="3"/>
  <c r="T6" i="3" s="1"/>
  <c r="S88" i="3"/>
  <c r="S87" i="3"/>
  <c r="S86" i="3"/>
  <c r="S85" i="3"/>
  <c r="S82" i="3"/>
  <c r="S81" i="3"/>
  <c r="S80" i="3"/>
  <c r="S79" i="3"/>
  <c r="S62" i="3"/>
  <c r="S57" i="3"/>
  <c r="S56" i="3"/>
  <c r="S55" i="3"/>
  <c r="S54" i="3"/>
  <c r="S20" i="3"/>
  <c r="S46" i="3" s="1"/>
  <c r="S9" i="3"/>
  <c r="S8" i="3"/>
  <c r="S125" i="6" s="1"/>
  <c r="S5" i="3"/>
  <c r="S6" i="3" s="1"/>
  <c r="R88" i="3"/>
  <c r="R87" i="3"/>
  <c r="R86" i="3"/>
  <c r="R85" i="3"/>
  <c r="R82" i="3"/>
  <c r="R81" i="3"/>
  <c r="R80" i="3"/>
  <c r="R79" i="3"/>
  <c r="R62" i="3"/>
  <c r="R57" i="3"/>
  <c r="R56" i="3"/>
  <c r="R55" i="3"/>
  <c r="R20" i="3"/>
  <c r="R46" i="3" s="1"/>
  <c r="R9" i="3"/>
  <c r="R8" i="3"/>
  <c r="R125" i="6" s="1"/>
  <c r="R5" i="3"/>
  <c r="R6" i="3" s="1"/>
  <c r="Q88" i="3"/>
  <c r="Q87" i="3"/>
  <c r="Q86" i="3"/>
  <c r="Q85" i="3"/>
  <c r="Q82" i="3"/>
  <c r="Q81" i="3"/>
  <c r="Q80" i="3"/>
  <c r="Q79" i="3"/>
  <c r="Q62" i="3"/>
  <c r="Q57" i="3"/>
  <c r="Q56" i="3"/>
  <c r="Q55" i="3"/>
  <c r="Q20" i="3"/>
  <c r="Q9" i="3"/>
  <c r="Q8" i="3"/>
  <c r="Q125" i="6" s="1"/>
  <c r="Q5" i="3"/>
  <c r="Q6" i="3" s="1"/>
  <c r="P88" i="3"/>
  <c r="P87" i="3"/>
  <c r="P86" i="3"/>
  <c r="P85" i="3"/>
  <c r="P82" i="3"/>
  <c r="P81" i="3"/>
  <c r="P80" i="3"/>
  <c r="P79" i="3"/>
  <c r="P62" i="3"/>
  <c r="P57" i="3"/>
  <c r="P56" i="3"/>
  <c r="P55" i="3"/>
  <c r="P54" i="3"/>
  <c r="P20" i="3"/>
  <c r="P46" i="3" s="1"/>
  <c r="P9" i="3"/>
  <c r="P8" i="3"/>
  <c r="P125" i="6" s="1"/>
  <c r="P5" i="3"/>
  <c r="P6" i="3" s="1"/>
  <c r="O88" i="3"/>
  <c r="O87" i="3"/>
  <c r="O86" i="3"/>
  <c r="O85" i="3"/>
  <c r="O82" i="3"/>
  <c r="O81" i="3"/>
  <c r="O80" i="3"/>
  <c r="O79" i="3"/>
  <c r="O62" i="3"/>
  <c r="O59" i="3"/>
  <c r="O57" i="3"/>
  <c r="O56" i="3"/>
  <c r="O55" i="3"/>
  <c r="O54" i="3"/>
  <c r="O20" i="3"/>
  <c r="O9" i="3"/>
  <c r="O8" i="3"/>
  <c r="O125" i="6" s="1"/>
  <c r="O5" i="3"/>
  <c r="O6" i="3" s="1"/>
  <c r="N88" i="3"/>
  <c r="N87" i="3"/>
  <c r="N86" i="3"/>
  <c r="N85" i="3"/>
  <c r="N82" i="3"/>
  <c r="N81" i="3"/>
  <c r="N80" i="3"/>
  <c r="N79" i="3"/>
  <c r="N62" i="3"/>
  <c r="N59" i="3"/>
  <c r="N57" i="3"/>
  <c r="N56" i="3"/>
  <c r="N55" i="3"/>
  <c r="N54" i="3"/>
  <c r="N20" i="3"/>
  <c r="N46" i="3" s="1"/>
  <c r="N9" i="3"/>
  <c r="N8" i="3"/>
  <c r="N125" i="6" s="1"/>
  <c r="N5" i="3"/>
  <c r="N6" i="3" s="1"/>
  <c r="M88" i="3"/>
  <c r="M87" i="3"/>
  <c r="M86" i="3"/>
  <c r="M85" i="3"/>
  <c r="M82" i="3"/>
  <c r="M81" i="3"/>
  <c r="M80" i="3"/>
  <c r="M79" i="3"/>
  <c r="M62" i="3"/>
  <c r="M57" i="3"/>
  <c r="M56" i="3"/>
  <c r="M55" i="3"/>
  <c r="M54" i="3"/>
  <c r="M20" i="3"/>
  <c r="CD125" i="5"/>
  <c r="CC125" i="5" s="1"/>
  <c r="BV125" i="5"/>
  <c r="B83" i="13"/>
  <c r="B85" i="13" s="1"/>
  <c r="B79" i="13"/>
  <c r="B81" i="13" s="1"/>
  <c r="B76" i="13"/>
  <c r="B61" i="13"/>
  <c r="B60" i="13"/>
  <c r="B57" i="13"/>
  <c r="B56" i="13"/>
  <c r="B51" i="13"/>
  <c r="B74" i="13" s="1"/>
  <c r="L39" i="13"/>
  <c r="L33" i="13"/>
  <c r="L30" i="13"/>
  <c r="L24" i="13"/>
  <c r="BQ23" i="13"/>
  <c r="BI23" i="13"/>
  <c r="BA23" i="13"/>
  <c r="AS23" i="13"/>
  <c r="AK23" i="13"/>
  <c r="U23" i="13"/>
  <c r="M23" i="13"/>
  <c r="AR21" i="13"/>
  <c r="J14" i="13"/>
  <c r="H14" i="13"/>
  <c r="A12" i="13"/>
  <c r="BP11" i="13"/>
  <c r="BN11" i="13"/>
  <c r="BL11" i="13"/>
  <c r="BH11" i="13"/>
  <c r="BF11" i="13"/>
  <c r="BD11" i="13"/>
  <c r="AZ11" i="13"/>
  <c r="AX11" i="13"/>
  <c r="AV11" i="13"/>
  <c r="AR11" i="13"/>
  <c r="AP11" i="13"/>
  <c r="AN11" i="13"/>
  <c r="A11" i="13"/>
  <c r="G10" i="13"/>
  <c r="F10" i="13"/>
  <c r="E10" i="13"/>
  <c r="D10" i="13"/>
  <c r="I9" i="13"/>
  <c r="BP6" i="13"/>
  <c r="BN6" i="13"/>
  <c r="BL6" i="13"/>
  <c r="BH6" i="13"/>
  <c r="BF6" i="13"/>
  <c r="BD6" i="13"/>
  <c r="AZ6" i="13"/>
  <c r="AX6" i="13"/>
  <c r="AV6" i="13"/>
  <c r="AR6" i="13"/>
  <c r="AP6" i="13"/>
  <c r="AN6" i="13"/>
  <c r="I4" i="13"/>
  <c r="D2" i="13"/>
  <c r="E2" i="13" s="1"/>
  <c r="F2" i="13" s="1"/>
  <c r="G2" i="13" s="1"/>
  <c r="O2" i="13" s="1"/>
  <c r="W2" i="13" s="1"/>
  <c r="AE2" i="13" s="1"/>
  <c r="AM2" i="13" s="1"/>
  <c r="AU2" i="13" s="1"/>
  <c r="BC2" i="13" s="1"/>
  <c r="BK2" i="13" s="1"/>
  <c r="BS2" i="13" s="1"/>
  <c r="I323" i="12"/>
  <c r="I322" i="12"/>
  <c r="M300" i="12"/>
  <c r="L300" i="12"/>
  <c r="K300" i="12"/>
  <c r="J300" i="12"/>
  <c r="I300" i="12"/>
  <c r="E300" i="12"/>
  <c r="D300" i="12"/>
  <c r="C300" i="12"/>
  <c r="M299" i="12"/>
  <c r="L299" i="12"/>
  <c r="K299" i="12"/>
  <c r="J299" i="12"/>
  <c r="I299" i="12"/>
  <c r="H299" i="12"/>
  <c r="H298" i="12"/>
  <c r="M296" i="12"/>
  <c r="L296" i="12"/>
  <c r="K296" i="12"/>
  <c r="J296" i="12"/>
  <c r="Q295" i="12"/>
  <c r="O295" i="12"/>
  <c r="N295" i="12"/>
  <c r="M295" i="12"/>
  <c r="L295" i="12"/>
  <c r="K295" i="12"/>
  <c r="J295" i="12"/>
  <c r="I295" i="12"/>
  <c r="H295" i="12"/>
  <c r="H294" i="12"/>
  <c r="H290" i="12"/>
  <c r="M289" i="12"/>
  <c r="L289" i="12"/>
  <c r="K289" i="12"/>
  <c r="J289" i="12"/>
  <c r="I289" i="12"/>
  <c r="H289" i="12"/>
  <c r="H288" i="12"/>
  <c r="M283" i="12"/>
  <c r="L283" i="12"/>
  <c r="K283" i="12"/>
  <c r="J283" i="12"/>
  <c r="I283" i="12"/>
  <c r="M270" i="12"/>
  <c r="L270" i="12"/>
  <c r="L272" i="12" s="1"/>
  <c r="K270" i="12"/>
  <c r="K290" i="12" s="1"/>
  <c r="J270" i="12"/>
  <c r="J272" i="12" s="1"/>
  <c r="I270" i="12"/>
  <c r="Q266" i="12"/>
  <c r="P266" i="12"/>
  <c r="O266" i="12"/>
  <c r="N266" i="12"/>
  <c r="M266" i="12"/>
  <c r="L266" i="12"/>
  <c r="K266" i="12"/>
  <c r="K284" i="12" s="1"/>
  <c r="J266" i="12"/>
  <c r="J282" i="12" s="1"/>
  <c r="I266" i="12"/>
  <c r="M261" i="12"/>
  <c r="L261" i="12"/>
  <c r="K261" i="12"/>
  <c r="M257" i="12"/>
  <c r="L257" i="12"/>
  <c r="K257" i="12"/>
  <c r="A247" i="12"/>
  <c r="A253" i="12" s="1"/>
  <c r="M227" i="12"/>
  <c r="L227" i="12"/>
  <c r="H227" i="12"/>
  <c r="M224" i="12"/>
  <c r="L224" i="12"/>
  <c r="K224" i="12"/>
  <c r="J224" i="12"/>
  <c r="I224" i="12"/>
  <c r="H224" i="12"/>
  <c r="G224" i="12"/>
  <c r="F224" i="12"/>
  <c r="M222" i="12"/>
  <c r="L222" i="12"/>
  <c r="K222" i="12"/>
  <c r="J222" i="12"/>
  <c r="I222" i="12"/>
  <c r="H222" i="12"/>
  <c r="U219" i="12"/>
  <c r="M219" i="12"/>
  <c r="L219" i="12"/>
  <c r="K219" i="12"/>
  <c r="J219" i="12"/>
  <c r="I219" i="12"/>
  <c r="G213" i="12"/>
  <c r="G222" i="12" s="1"/>
  <c r="F213" i="12"/>
  <c r="AL212" i="12"/>
  <c r="AL215" i="12" s="1"/>
  <c r="AD212" i="12"/>
  <c r="AD215" i="12" s="1"/>
  <c r="V212" i="12"/>
  <c r="V215" i="12" s="1"/>
  <c r="U212" i="12"/>
  <c r="U215" i="12" s="1"/>
  <c r="T212" i="12"/>
  <c r="S212" i="12"/>
  <c r="S218" i="12" s="1"/>
  <c r="S224" i="12" s="1"/>
  <c r="H212" i="12"/>
  <c r="G212" i="12"/>
  <c r="G219" i="12" s="1"/>
  <c r="F212" i="12"/>
  <c r="E212" i="12"/>
  <c r="D212" i="12"/>
  <c r="C212" i="12"/>
  <c r="B212" i="12"/>
  <c r="C210" i="12"/>
  <c r="D210" i="12" s="1"/>
  <c r="E210" i="12" s="1"/>
  <c r="F210" i="12" s="1"/>
  <c r="G210" i="12" s="1"/>
  <c r="H210" i="12" s="1"/>
  <c r="I210" i="12" s="1"/>
  <c r="J210" i="12" s="1"/>
  <c r="K210" i="12" s="1"/>
  <c r="L210" i="12" s="1"/>
  <c r="M210" i="12" s="1"/>
  <c r="N210" i="12" s="1"/>
  <c r="O210" i="12" s="1"/>
  <c r="Q210" i="12" s="1"/>
  <c r="S210" i="12" s="1"/>
  <c r="T210" i="12" s="1"/>
  <c r="U210" i="12" s="1"/>
  <c r="V210" i="12" s="1"/>
  <c r="AD210" i="12" s="1"/>
  <c r="AL210" i="12" s="1"/>
  <c r="AT210" i="12" s="1"/>
  <c r="BB210" i="12" s="1"/>
  <c r="BJ210" i="12" s="1"/>
  <c r="BR210" i="12" s="1"/>
  <c r="BZ210" i="12" s="1"/>
  <c r="CH210" i="12" s="1"/>
  <c r="AT181" i="12"/>
  <c r="BB181" i="12" s="1"/>
  <c r="BJ181" i="12" s="1"/>
  <c r="BR181" i="12" s="1"/>
  <c r="BZ181" i="12" s="1"/>
  <c r="CH181" i="12" s="1"/>
  <c r="M181" i="12"/>
  <c r="AT177" i="12"/>
  <c r="AT172" i="12" s="1"/>
  <c r="AT176" i="12"/>
  <c r="AT171" i="12" s="1"/>
  <c r="AT173" i="12"/>
  <c r="Q159" i="12"/>
  <c r="P159" i="12"/>
  <c r="O159" i="12"/>
  <c r="N159" i="12"/>
  <c r="M159" i="12"/>
  <c r="L159" i="12"/>
  <c r="K159" i="12"/>
  <c r="Q158" i="12"/>
  <c r="P158" i="12"/>
  <c r="O158" i="12"/>
  <c r="AP147" i="5" s="1"/>
  <c r="AP151" i="5" s="1"/>
  <c r="N158" i="12"/>
  <c r="M158" i="12"/>
  <c r="L158" i="12"/>
  <c r="K158" i="12"/>
  <c r="M133" i="12"/>
  <c r="L133" i="12"/>
  <c r="K133" i="12"/>
  <c r="J133" i="12"/>
  <c r="I133" i="12"/>
  <c r="H133" i="12"/>
  <c r="G133" i="12"/>
  <c r="F133" i="12"/>
  <c r="E133" i="12"/>
  <c r="D133" i="12"/>
  <c r="C133" i="12"/>
  <c r="Q119" i="12"/>
  <c r="O119" i="12"/>
  <c r="N119" i="12"/>
  <c r="M119" i="12"/>
  <c r="L119" i="12"/>
  <c r="K119" i="12"/>
  <c r="J119" i="12"/>
  <c r="C115" i="12"/>
  <c r="B115" i="12"/>
  <c r="N104" i="12"/>
  <c r="M104" i="12"/>
  <c r="L104" i="12"/>
  <c r="K104" i="12"/>
  <c r="J104" i="12"/>
  <c r="I104" i="12"/>
  <c r="H104" i="12"/>
  <c r="G104" i="12"/>
  <c r="F104" i="12"/>
  <c r="T91" i="12"/>
  <c r="U91" i="12" s="1"/>
  <c r="V91" i="12" s="1"/>
  <c r="AD91" i="12" s="1"/>
  <c r="AL91" i="12" s="1"/>
  <c r="AT91" i="12" s="1"/>
  <c r="BB91" i="12" s="1"/>
  <c r="BJ91" i="12" s="1"/>
  <c r="BR91" i="12" s="1"/>
  <c r="BZ91" i="12" s="1"/>
  <c r="CH91" i="12" s="1"/>
  <c r="A91" i="12"/>
  <c r="A97" i="12" s="1"/>
  <c r="H74" i="12"/>
  <c r="AD70" i="12"/>
  <c r="V70" i="12"/>
  <c r="U70" i="12"/>
  <c r="T70" i="12"/>
  <c r="S70" i="12"/>
  <c r="BJ69" i="12"/>
  <c r="V69" i="12"/>
  <c r="AD69" i="12" s="1"/>
  <c r="AD68" i="12" s="1"/>
  <c r="U68" i="12"/>
  <c r="T68" i="12"/>
  <c r="S68" i="12"/>
  <c r="AL64" i="12"/>
  <c r="AD64" i="12"/>
  <c r="V64" i="12"/>
  <c r="U64" i="12"/>
  <c r="T64" i="12"/>
  <c r="S64" i="12"/>
  <c r="AL63" i="12"/>
  <c r="AD63" i="12"/>
  <c r="V63" i="12"/>
  <c r="U63" i="12"/>
  <c r="T63" i="12"/>
  <c r="S63" i="12"/>
  <c r="H63" i="12"/>
  <c r="G63" i="12"/>
  <c r="G119" i="12" s="1"/>
  <c r="E63" i="12"/>
  <c r="D63" i="12"/>
  <c r="AL62" i="12"/>
  <c r="AD62" i="12"/>
  <c r="V62" i="12"/>
  <c r="U62" i="12"/>
  <c r="T62" i="12"/>
  <c r="S62" i="12"/>
  <c r="Q62" i="12"/>
  <c r="P62" i="12"/>
  <c r="O62" i="12"/>
  <c r="N62" i="12"/>
  <c r="N157" i="12" s="1"/>
  <c r="M62" i="12"/>
  <c r="L62" i="12"/>
  <c r="K62" i="12"/>
  <c r="J62" i="12"/>
  <c r="I62" i="12"/>
  <c r="H62" i="12"/>
  <c r="G62" i="12"/>
  <c r="F62" i="12"/>
  <c r="E62" i="12"/>
  <c r="D62" i="12"/>
  <c r="C60" i="12"/>
  <c r="D60" i="12" s="1"/>
  <c r="E60" i="12" s="1"/>
  <c r="F60" i="12" s="1"/>
  <c r="G60" i="12" s="1"/>
  <c r="H60" i="12" s="1"/>
  <c r="I60" i="12" s="1"/>
  <c r="J60" i="12" s="1"/>
  <c r="K60" i="12" s="1"/>
  <c r="L60" i="12" s="1"/>
  <c r="M60" i="12" s="1"/>
  <c r="N60" i="12" s="1"/>
  <c r="O60" i="12" s="1"/>
  <c r="Q60" i="12" s="1"/>
  <c r="S60" i="12" s="1"/>
  <c r="T60" i="12" s="1"/>
  <c r="U60" i="12" s="1"/>
  <c r="V60" i="12" s="1"/>
  <c r="AD60" i="12" s="1"/>
  <c r="AL60" i="12" s="1"/>
  <c r="AT60" i="12" s="1"/>
  <c r="BB60" i="12" s="1"/>
  <c r="BJ60" i="12" s="1"/>
  <c r="BR60" i="12" s="1"/>
  <c r="BZ60" i="12" s="1"/>
  <c r="CH60" i="12" s="1"/>
  <c r="X53" i="12"/>
  <c r="CV208" i="5" s="1"/>
  <c r="X48" i="12"/>
  <c r="X55" i="12"/>
  <c r="CV210" i="5" s="1"/>
  <c r="X51" i="12"/>
  <c r="AC51" i="12" s="1"/>
  <c r="DA206" i="5" s="1"/>
  <c r="X54" i="12"/>
  <c r="X46" i="12"/>
  <c r="X49" i="12"/>
  <c r="CV204" i="5" s="1"/>
  <c r="X50" i="12"/>
  <c r="X52" i="12"/>
  <c r="AC52" i="12" s="1"/>
  <c r="DA207" i="5" s="1"/>
  <c r="AA40" i="12"/>
  <c r="BR38" i="12"/>
  <c r="AA34" i="12"/>
  <c r="AA25" i="12"/>
  <c r="CF24" i="12"/>
  <c r="BX24" i="12"/>
  <c r="BP24" i="12"/>
  <c r="BH24" i="12"/>
  <c r="AZ24" i="12"/>
  <c r="AJ24" i="12"/>
  <c r="AB24" i="12"/>
  <c r="CE22" i="12"/>
  <c r="BW22" i="12"/>
  <c r="BO22" i="12"/>
  <c r="BG22" i="12"/>
  <c r="CE18" i="12"/>
  <c r="CC18" i="12"/>
  <c r="CA18" i="12"/>
  <c r="BW18" i="12"/>
  <c r="BU18" i="12"/>
  <c r="BS18" i="12"/>
  <c r="BO18" i="12"/>
  <c r="BM18" i="12"/>
  <c r="BK18" i="12"/>
  <c r="BG18" i="12"/>
  <c r="BE18" i="12"/>
  <c r="BC18" i="12"/>
  <c r="AA15" i="12"/>
  <c r="Y15" i="12"/>
  <c r="W15" i="12"/>
  <c r="W31" i="12" s="1"/>
  <c r="A13" i="12"/>
  <c r="BW12" i="12"/>
  <c r="BO12" i="12"/>
  <c r="BM12" i="12"/>
  <c r="BK12" i="12"/>
  <c r="BG12" i="12"/>
  <c r="BE12" i="12"/>
  <c r="BC12" i="12"/>
  <c r="A12" i="12"/>
  <c r="V11" i="12"/>
  <c r="U11" i="12"/>
  <c r="T11" i="12"/>
  <c r="S11" i="12"/>
  <c r="X10" i="12"/>
  <c r="AC10" i="12" s="1"/>
  <c r="CE7" i="12"/>
  <c r="CC7" i="12"/>
  <c r="CA7" i="12"/>
  <c r="BW7" i="12"/>
  <c r="BU7" i="12"/>
  <c r="BS7" i="12"/>
  <c r="BO7" i="12"/>
  <c r="BM7" i="12"/>
  <c r="BK7" i="12"/>
  <c r="BG7" i="12"/>
  <c r="BE7" i="12"/>
  <c r="BC7" i="12"/>
  <c r="X5" i="12"/>
  <c r="AC5" i="12" s="1"/>
  <c r="C3" i="12"/>
  <c r="D3" i="12" s="1"/>
  <c r="E3" i="12" s="1"/>
  <c r="F3" i="12" s="1"/>
  <c r="G3" i="12" s="1"/>
  <c r="H3" i="12" s="1"/>
  <c r="I3" i="12" s="1"/>
  <c r="J3" i="12" s="1"/>
  <c r="K3" i="12" s="1"/>
  <c r="L3" i="12" s="1"/>
  <c r="M3" i="12" s="1"/>
  <c r="N3" i="12" s="1"/>
  <c r="O3" i="12" s="1"/>
  <c r="Q3" i="12" s="1"/>
  <c r="S3" i="12" s="1"/>
  <c r="T3" i="12" s="1"/>
  <c r="U3" i="12" s="1"/>
  <c r="V3" i="12" s="1"/>
  <c r="AD3" i="12" s="1"/>
  <c r="AL3" i="12" s="1"/>
  <c r="AT3" i="12" s="1"/>
  <c r="BB3" i="12" s="1"/>
  <c r="BJ3" i="12" s="1"/>
  <c r="BR3" i="12" s="1"/>
  <c r="BZ3" i="12" s="1"/>
  <c r="CH3" i="12" s="1"/>
  <c r="CS189" i="11"/>
  <c r="CK189" i="11"/>
  <c r="CC189" i="11"/>
  <c r="BU189" i="11"/>
  <c r="BM189" i="11"/>
  <c r="BE189" i="11"/>
  <c r="AW189" i="11"/>
  <c r="AO189" i="11"/>
  <c r="AN189" i="11"/>
  <c r="AM189" i="11"/>
  <c r="AL189" i="11"/>
  <c r="AK189" i="11"/>
  <c r="AJ189" i="11"/>
  <c r="AI189" i="11"/>
  <c r="CC181" i="11"/>
  <c r="BU181" i="11"/>
  <c r="AO181" i="11"/>
  <c r="CK180" i="11"/>
  <c r="CK181" i="11" s="1"/>
  <c r="AW180" i="11"/>
  <c r="AI180" i="11"/>
  <c r="CC175" i="11"/>
  <c r="CK175" i="11" s="1"/>
  <c r="CS175" i="11" s="1"/>
  <c r="DA175" i="11" s="1"/>
  <c r="AI175" i="11"/>
  <c r="AJ175" i="11" s="1"/>
  <c r="AK175" i="11" s="1"/>
  <c r="AL175" i="11" s="1"/>
  <c r="AH174" i="11"/>
  <c r="AI174" i="11" s="1"/>
  <c r="AJ174" i="11" s="1"/>
  <c r="AK174" i="11" s="1"/>
  <c r="AL174" i="11" s="1"/>
  <c r="AM174" i="11" s="1"/>
  <c r="AN174" i="11" s="1"/>
  <c r="AO174" i="11" s="1"/>
  <c r="AW174" i="11" s="1"/>
  <c r="BE174" i="11" s="1"/>
  <c r="BM174" i="11" s="1"/>
  <c r="BU174" i="11" s="1"/>
  <c r="CC174" i="11" s="1"/>
  <c r="CK174" i="11" s="1"/>
  <c r="CS174" i="11" s="1"/>
  <c r="DA174" i="11" s="1"/>
  <c r="AH173" i="11"/>
  <c r="CC172" i="11"/>
  <c r="CK172" i="11" s="1"/>
  <c r="CS172" i="11" s="1"/>
  <c r="DA172" i="11" s="1"/>
  <c r="AG171" i="11"/>
  <c r="AH171" i="11" s="1"/>
  <c r="DA157" i="11"/>
  <c r="CS157" i="11"/>
  <c r="CK157" i="11"/>
  <c r="CC157" i="11"/>
  <c r="BU157" i="11"/>
  <c r="BM157" i="11"/>
  <c r="BE157" i="11"/>
  <c r="AW157" i="11"/>
  <c r="AO157" i="11"/>
  <c r="AN157" i="11"/>
  <c r="AM157" i="11"/>
  <c r="AL157" i="11"/>
  <c r="AK157" i="11"/>
  <c r="AJ157" i="11"/>
  <c r="AI157" i="11"/>
  <c r="AH157" i="11"/>
  <c r="AG157" i="11"/>
  <c r="AG148" i="11" s="1"/>
  <c r="AH156" i="11"/>
  <c r="AI156" i="11" s="1"/>
  <c r="AH155" i="11"/>
  <c r="AI155" i="11" s="1"/>
  <c r="AM147" i="11"/>
  <c r="AL147" i="11"/>
  <c r="AK147" i="11"/>
  <c r="AJ147" i="11"/>
  <c r="AI147" i="11"/>
  <c r="AH147" i="11"/>
  <c r="AG147" i="11"/>
  <c r="AQ144" i="11"/>
  <c r="AQ9" i="11" s="1"/>
  <c r="DA112" i="11"/>
  <c r="CS112" i="11"/>
  <c r="CK112" i="11"/>
  <c r="CC112" i="11"/>
  <c r="BU112" i="11"/>
  <c r="BM112" i="11"/>
  <c r="BE112" i="11"/>
  <c r="AW112" i="11"/>
  <c r="AO112" i="11"/>
  <c r="AN112" i="11"/>
  <c r="AM112" i="11"/>
  <c r="AL112" i="11"/>
  <c r="AK112" i="11"/>
  <c r="AJ112" i="11"/>
  <c r="AI112" i="11"/>
  <c r="AH112" i="11"/>
  <c r="AG112" i="11"/>
  <c r="DA111" i="11"/>
  <c r="CS111" i="11"/>
  <c r="CK111" i="11"/>
  <c r="CC111" i="11"/>
  <c r="BU111" i="11"/>
  <c r="BM111" i="11"/>
  <c r="BE111" i="11"/>
  <c r="AW111" i="11"/>
  <c r="AO111" i="11"/>
  <c r="AN111" i="11"/>
  <c r="AM111" i="11"/>
  <c r="AL111" i="11"/>
  <c r="AK111" i="11"/>
  <c r="AJ111" i="11"/>
  <c r="AI111" i="11"/>
  <c r="AH111" i="11"/>
  <c r="AG111" i="11"/>
  <c r="AM106" i="11"/>
  <c r="AN106" i="11" s="1"/>
  <c r="AN119" i="11" s="1"/>
  <c r="AL106" i="11"/>
  <c r="AK106" i="11"/>
  <c r="AJ106" i="11"/>
  <c r="AI106" i="11"/>
  <c r="AH106" i="11"/>
  <c r="AG106" i="11"/>
  <c r="DA98" i="11"/>
  <c r="AO98" i="11"/>
  <c r="AN98" i="11"/>
  <c r="AK98" i="11"/>
  <c r="AL91" i="11"/>
  <c r="AM91" i="11" s="1"/>
  <c r="AK91" i="11"/>
  <c r="AK108" i="11" s="1"/>
  <c r="AJ91" i="11"/>
  <c r="AJ108" i="11" s="1"/>
  <c r="AI91" i="11"/>
  <c r="AH91" i="11"/>
  <c r="AH108" i="11" s="1"/>
  <c r="AG91" i="11"/>
  <c r="AG108" i="11" s="1"/>
  <c r="AF91" i="11"/>
  <c r="AE91" i="11"/>
  <c r="AD91" i="11"/>
  <c r="AC91" i="11"/>
  <c r="AB91" i="11"/>
  <c r="AA91" i="11"/>
  <c r="Z91" i="11"/>
  <c r="Y91" i="11"/>
  <c r="X91" i="11"/>
  <c r="W91" i="11"/>
  <c r="V91" i="11"/>
  <c r="U91" i="11"/>
  <c r="T91" i="11"/>
  <c r="DA90" i="11"/>
  <c r="DA114" i="11" s="1"/>
  <c r="CS90" i="11"/>
  <c r="CS114" i="11" s="1"/>
  <c r="CK90" i="11"/>
  <c r="CK114" i="11" s="1"/>
  <c r="CC90" i="11"/>
  <c r="CC114" i="11" s="1"/>
  <c r="BU90" i="11"/>
  <c r="BU114" i="11" s="1"/>
  <c r="BM90" i="11"/>
  <c r="BM114" i="11" s="1"/>
  <c r="BE90" i="11"/>
  <c r="BE114" i="11" s="1"/>
  <c r="AW90" i="11"/>
  <c r="AW114" i="11" s="1"/>
  <c r="AO90" i="11"/>
  <c r="AO114" i="11" s="1"/>
  <c r="AN90" i="11"/>
  <c r="AN114" i="11" s="1"/>
  <c r="AM90" i="11"/>
  <c r="AM114" i="11" s="1"/>
  <c r="AL90" i="11"/>
  <c r="AL114" i="11" s="1"/>
  <c r="AK90" i="11"/>
  <c r="AK114" i="11" s="1"/>
  <c r="AJ90" i="11"/>
  <c r="AJ114" i="11" s="1"/>
  <c r="AI90" i="11"/>
  <c r="AI114" i="11" s="1"/>
  <c r="AH90" i="11"/>
  <c r="AH114" i="11" s="1"/>
  <c r="AG90" i="11"/>
  <c r="AG114" i="11" s="1"/>
  <c r="AF90" i="11"/>
  <c r="AE90" i="11"/>
  <c r="AD90" i="11"/>
  <c r="AC90" i="11"/>
  <c r="AB90" i="11"/>
  <c r="AA90" i="11"/>
  <c r="Z90" i="11"/>
  <c r="Y90" i="11"/>
  <c r="X90" i="11"/>
  <c r="W90" i="11"/>
  <c r="V90" i="11"/>
  <c r="U90" i="11"/>
  <c r="T90" i="11"/>
  <c r="S90" i="11"/>
  <c r="S92" i="11" s="1"/>
  <c r="R90" i="11"/>
  <c r="R92" i="11" s="1"/>
  <c r="Q90" i="11"/>
  <c r="Q92" i="11" s="1"/>
  <c r="P90" i="11"/>
  <c r="P92" i="11" s="1"/>
  <c r="O90" i="11"/>
  <c r="O92" i="11" s="1"/>
  <c r="N90" i="11"/>
  <c r="N92" i="11" s="1"/>
  <c r="M90" i="11"/>
  <c r="M92" i="11" s="1"/>
  <c r="L90" i="11"/>
  <c r="L92" i="11" s="1"/>
  <c r="K90" i="11"/>
  <c r="K92" i="11" s="1"/>
  <c r="J90" i="11"/>
  <c r="J92" i="11" s="1"/>
  <c r="AF81" i="11"/>
  <c r="C81" i="11"/>
  <c r="AF80" i="11"/>
  <c r="D80" i="11"/>
  <c r="E80" i="11" s="1"/>
  <c r="F80" i="11" s="1"/>
  <c r="G80" i="11" s="1"/>
  <c r="H80" i="11" s="1"/>
  <c r="I80" i="11" s="1"/>
  <c r="J80" i="11" s="1"/>
  <c r="K80" i="11" s="1"/>
  <c r="B77" i="11"/>
  <c r="B76" i="11"/>
  <c r="B75" i="11"/>
  <c r="B73" i="11"/>
  <c r="AO67" i="11"/>
  <c r="AN67" i="11"/>
  <c r="AM67" i="11"/>
  <c r="AL67" i="11"/>
  <c r="AK67" i="11"/>
  <c r="AJ67" i="11"/>
  <c r="AI67" i="11"/>
  <c r="AH67" i="11"/>
  <c r="AG67" i="11"/>
  <c r="AF67" i="11"/>
  <c r="AO66" i="11"/>
  <c r="AN66" i="11"/>
  <c r="AM66" i="11"/>
  <c r="AL66" i="11"/>
  <c r="AK66" i="11"/>
  <c r="AJ66" i="11"/>
  <c r="AI66" i="11"/>
  <c r="AH66" i="11"/>
  <c r="AG66" i="11"/>
  <c r="L66" i="11"/>
  <c r="M66" i="11" s="1"/>
  <c r="N66" i="11" s="1"/>
  <c r="O66" i="11" s="1"/>
  <c r="P66" i="11" s="1"/>
  <c r="Q66" i="11" s="1"/>
  <c r="R66" i="11" s="1"/>
  <c r="S66" i="11" s="1"/>
  <c r="T66" i="11" s="1"/>
  <c r="U66" i="11" s="1"/>
  <c r="V66" i="11" s="1"/>
  <c r="W66" i="11" s="1"/>
  <c r="X66" i="11" s="1"/>
  <c r="Y66" i="11" s="1"/>
  <c r="Z66" i="11" s="1"/>
  <c r="AA66" i="11" s="1"/>
  <c r="AB66" i="11" s="1"/>
  <c r="AC66" i="11" s="1"/>
  <c r="AF61" i="11"/>
  <c r="AF63" i="11" s="1"/>
  <c r="AE61" i="11"/>
  <c r="AE63" i="11" s="1"/>
  <c r="AD61" i="11"/>
  <c r="AD63" i="11" s="1"/>
  <c r="AC61" i="11"/>
  <c r="AC63" i="11" s="1"/>
  <c r="AB61" i="11"/>
  <c r="AB63" i="11" s="1"/>
  <c r="AA61" i="11"/>
  <c r="AA63" i="11" s="1"/>
  <c r="Z61" i="11"/>
  <c r="Z63" i="11" s="1"/>
  <c r="Y61" i="11"/>
  <c r="Y63" i="11" s="1"/>
  <c r="X61" i="11"/>
  <c r="X63" i="11" s="1"/>
  <c r="W61" i="11"/>
  <c r="W63" i="11" s="1"/>
  <c r="V61" i="11"/>
  <c r="V63" i="11" s="1"/>
  <c r="U61" i="11"/>
  <c r="U63" i="11" s="1"/>
  <c r="T61" i="11"/>
  <c r="T63" i="11" s="1"/>
  <c r="S61" i="11"/>
  <c r="S63" i="11" s="1"/>
  <c r="R61" i="11"/>
  <c r="R63" i="11" s="1"/>
  <c r="Q61" i="11"/>
  <c r="Q63" i="11" s="1"/>
  <c r="P61" i="11"/>
  <c r="P63" i="11" s="1"/>
  <c r="O61" i="11"/>
  <c r="O63" i="11" s="1"/>
  <c r="N61" i="11"/>
  <c r="N63" i="11" s="1"/>
  <c r="M61" i="11"/>
  <c r="M63" i="11" s="1"/>
  <c r="L61" i="11"/>
  <c r="L63" i="11" s="1"/>
  <c r="K61" i="11"/>
  <c r="K63" i="11" s="1"/>
  <c r="J61" i="11"/>
  <c r="J63" i="11" s="1"/>
  <c r="I61" i="11"/>
  <c r="I63" i="11" s="1"/>
  <c r="H61" i="11"/>
  <c r="H63" i="11" s="1"/>
  <c r="G61" i="11"/>
  <c r="G63" i="11" s="1"/>
  <c r="F61" i="11"/>
  <c r="F63" i="11" s="1"/>
  <c r="E61" i="11"/>
  <c r="E63" i="11" s="1"/>
  <c r="D61" i="11"/>
  <c r="D63" i="11" s="1"/>
  <c r="C61" i="11"/>
  <c r="C63" i="11" s="1"/>
  <c r="AO61" i="11"/>
  <c r="AM51" i="11"/>
  <c r="AK51" i="11"/>
  <c r="AI51" i="11"/>
  <c r="AT50" i="11"/>
  <c r="AC203" i="9" s="1"/>
  <c r="CC49" i="11"/>
  <c r="CK49" i="11" s="1"/>
  <c r="CS49" i="11" s="1"/>
  <c r="DA49" i="11" s="1"/>
  <c r="AN49" i="11"/>
  <c r="DA189" i="11"/>
  <c r="AQ13" i="11"/>
  <c r="AP11" i="11"/>
  <c r="Y194" i="9" s="1"/>
  <c r="AG11" i="11"/>
  <c r="N194" i="9" s="1"/>
  <c r="AT9" i="11"/>
  <c r="AT46" i="11" s="1"/>
  <c r="AC201" i="9" s="1"/>
  <c r="AR9" i="11"/>
  <c r="AP9" i="11"/>
  <c r="AR7" i="11"/>
  <c r="AP7" i="11"/>
  <c r="D2" i="11"/>
  <c r="E2" i="11" s="1"/>
  <c r="F2" i="11" s="1"/>
  <c r="G2" i="11" s="1"/>
  <c r="H2" i="11" s="1"/>
  <c r="I2" i="11" s="1"/>
  <c r="J2" i="11" s="1"/>
  <c r="K2" i="11" s="1"/>
  <c r="L2" i="11" s="1"/>
  <c r="M2" i="11" s="1"/>
  <c r="N2" i="11" s="1"/>
  <c r="O2" i="11" s="1"/>
  <c r="P2" i="11" s="1"/>
  <c r="Q2" i="11" s="1"/>
  <c r="R2" i="11" s="1"/>
  <c r="S2" i="11" s="1"/>
  <c r="T2" i="11" s="1"/>
  <c r="U2" i="11" s="1"/>
  <c r="V2" i="11" s="1"/>
  <c r="W2" i="11" s="1"/>
  <c r="X2" i="11" s="1"/>
  <c r="Y2" i="11" s="1"/>
  <c r="Z2" i="11" s="1"/>
  <c r="AA2" i="11" s="1"/>
  <c r="AB2" i="11" s="1"/>
  <c r="AC2" i="11" s="1"/>
  <c r="AD2" i="11" s="1"/>
  <c r="AE2" i="11" s="1"/>
  <c r="AF2" i="11" s="1"/>
  <c r="AG2" i="11" s="1"/>
  <c r="AH2" i="11" s="1"/>
  <c r="AI2" i="11" s="1"/>
  <c r="AJ2" i="11" s="1"/>
  <c r="AK2" i="11" s="1"/>
  <c r="AL2" i="11" s="1"/>
  <c r="AM2" i="11" s="1"/>
  <c r="AN2" i="11" s="1"/>
  <c r="O207" i="10"/>
  <c r="M207" i="10"/>
  <c r="K207" i="10"/>
  <c r="I207" i="10"/>
  <c r="H207" i="10"/>
  <c r="G207" i="10"/>
  <c r="F207" i="10"/>
  <c r="E207" i="10"/>
  <c r="D207" i="10"/>
  <c r="C207" i="10"/>
  <c r="B207" i="10"/>
  <c r="C204" i="10"/>
  <c r="D204" i="10" s="1"/>
  <c r="E204" i="10" s="1"/>
  <c r="F204" i="10" s="1"/>
  <c r="G204" i="10" s="1"/>
  <c r="H204" i="10" s="1"/>
  <c r="I204" i="10" s="1"/>
  <c r="J204" i="10" s="1"/>
  <c r="R204" i="10" s="1"/>
  <c r="L204" i="10" s="1"/>
  <c r="Q201" i="10"/>
  <c r="P201" i="10"/>
  <c r="O201" i="10"/>
  <c r="N201" i="10"/>
  <c r="M201" i="10"/>
  <c r="L201" i="10"/>
  <c r="K201" i="10"/>
  <c r="BU198" i="10"/>
  <c r="BT198" i="10"/>
  <c r="BS198" i="10"/>
  <c r="BR198" i="10"/>
  <c r="BQ198" i="10"/>
  <c r="BP198" i="10"/>
  <c r="BO198" i="10"/>
  <c r="BM198" i="10"/>
  <c r="BL198" i="10"/>
  <c r="BK198" i="10"/>
  <c r="BJ198" i="10"/>
  <c r="BI198" i="10"/>
  <c r="BH198" i="10"/>
  <c r="BG198" i="10"/>
  <c r="BE198" i="10"/>
  <c r="BD198" i="10"/>
  <c r="BC198" i="10"/>
  <c r="BB198" i="10"/>
  <c r="BA198" i="10"/>
  <c r="AZ198" i="10"/>
  <c r="AY198" i="10"/>
  <c r="AW198" i="10"/>
  <c r="AV198" i="10"/>
  <c r="AU198" i="10"/>
  <c r="AT198" i="10"/>
  <c r="AS198" i="10"/>
  <c r="AR198" i="10"/>
  <c r="AQ198" i="10"/>
  <c r="AO198" i="10"/>
  <c r="AN198" i="10"/>
  <c r="AM198" i="10"/>
  <c r="AL198" i="10"/>
  <c r="AK198" i="10"/>
  <c r="AJ198" i="10"/>
  <c r="AI198" i="10"/>
  <c r="AG198" i="10"/>
  <c r="AE198" i="10"/>
  <c r="AC198" i="10"/>
  <c r="AB198" i="10"/>
  <c r="AA198" i="10"/>
  <c r="Y198" i="10"/>
  <c r="X198" i="10"/>
  <c r="W198" i="10"/>
  <c r="V198" i="10"/>
  <c r="U198" i="10"/>
  <c r="S198" i="10"/>
  <c r="Q198" i="10"/>
  <c r="P198" i="10"/>
  <c r="O198" i="10"/>
  <c r="O199" i="10" s="1"/>
  <c r="N198" i="10"/>
  <c r="M198" i="10"/>
  <c r="L198" i="10"/>
  <c r="K198" i="10"/>
  <c r="K199" i="10" s="1"/>
  <c r="AX197" i="10"/>
  <c r="AP197" i="10"/>
  <c r="AH197" i="10"/>
  <c r="AF197" i="10" s="1"/>
  <c r="AD197" i="10" s="1"/>
  <c r="Z197" i="10"/>
  <c r="Z199" i="10" s="1"/>
  <c r="R197" i="10"/>
  <c r="L197" i="10"/>
  <c r="J197" i="10"/>
  <c r="J199" i="10" s="1"/>
  <c r="I197" i="10"/>
  <c r="I199" i="10" s="1"/>
  <c r="H197" i="10"/>
  <c r="H199" i="10" s="1"/>
  <c r="G197" i="10"/>
  <c r="G199" i="10" s="1"/>
  <c r="F197" i="10"/>
  <c r="F199" i="10" s="1"/>
  <c r="E197" i="10"/>
  <c r="E199" i="10" s="1"/>
  <c r="D197" i="10"/>
  <c r="D199" i="10" s="1"/>
  <c r="C197" i="10"/>
  <c r="C199" i="10" s="1"/>
  <c r="B197" i="10"/>
  <c r="B199" i="10" s="1"/>
  <c r="C194" i="10"/>
  <c r="D194" i="10" s="1"/>
  <c r="E194" i="10" s="1"/>
  <c r="F194" i="10" s="1"/>
  <c r="G194" i="10" s="1"/>
  <c r="H194" i="10" s="1"/>
  <c r="I194" i="10" s="1"/>
  <c r="J194" i="10" s="1"/>
  <c r="R194" i="10" s="1"/>
  <c r="N191" i="10"/>
  <c r="AX189" i="10"/>
  <c r="AP189" i="10"/>
  <c r="AH189" i="10"/>
  <c r="Z189" i="10"/>
  <c r="R189" i="10"/>
  <c r="K189" i="10"/>
  <c r="J189" i="10"/>
  <c r="I189" i="10"/>
  <c r="I190" i="10" s="1"/>
  <c r="H189" i="10"/>
  <c r="BU188" i="10"/>
  <c r="BT188" i="10"/>
  <c r="BS188" i="10"/>
  <c r="BR188" i="10"/>
  <c r="BQ188" i="10"/>
  <c r="BP188" i="10"/>
  <c r="BO188" i="10"/>
  <c r="BM188" i="10"/>
  <c r="BL188" i="10"/>
  <c r="BK188" i="10"/>
  <c r="BJ188" i="10"/>
  <c r="BI188" i="10"/>
  <c r="BH188" i="10"/>
  <c r="BG188" i="10"/>
  <c r="BE188" i="10"/>
  <c r="BD188" i="10"/>
  <c r="BC188" i="10"/>
  <c r="BB188" i="10"/>
  <c r="BA188" i="10"/>
  <c r="AZ188" i="10"/>
  <c r="AY188" i="10"/>
  <c r="AW188" i="10"/>
  <c r="AV188" i="10"/>
  <c r="AU188" i="10"/>
  <c r="AT188" i="10"/>
  <c r="AS188" i="10"/>
  <c r="AR188" i="10"/>
  <c r="AQ188" i="10"/>
  <c r="AO188" i="10"/>
  <c r="AN188" i="10"/>
  <c r="AM188" i="10"/>
  <c r="AL188" i="10"/>
  <c r="AK188" i="10"/>
  <c r="AJ188" i="10"/>
  <c r="AI188" i="10"/>
  <c r="AG188" i="10"/>
  <c r="AE188" i="10"/>
  <c r="AC188" i="10"/>
  <c r="AB188" i="10"/>
  <c r="AA188" i="10"/>
  <c r="Y188" i="10"/>
  <c r="X188" i="10"/>
  <c r="W188" i="10"/>
  <c r="V188" i="10"/>
  <c r="U188" i="10"/>
  <c r="S188" i="10"/>
  <c r="Q188" i="10"/>
  <c r="P188" i="10"/>
  <c r="O188" i="10"/>
  <c r="O189" i="10" s="1"/>
  <c r="N188" i="10"/>
  <c r="M188" i="10"/>
  <c r="M189" i="10" s="1"/>
  <c r="L188" i="10"/>
  <c r="AU187" i="10"/>
  <c r="Q187" i="10"/>
  <c r="P187" i="10"/>
  <c r="N187" i="10" s="1"/>
  <c r="L187" i="10"/>
  <c r="G189" i="10"/>
  <c r="F187" i="10"/>
  <c r="F189" i="10" s="1"/>
  <c r="E187" i="10"/>
  <c r="E189" i="10" s="1"/>
  <c r="D187" i="10"/>
  <c r="D189" i="10" s="1"/>
  <c r="C187" i="10"/>
  <c r="C189" i="10" s="1"/>
  <c r="B187" i="10"/>
  <c r="B189" i="10" s="1"/>
  <c r="C182" i="10"/>
  <c r="C183" i="10" s="1"/>
  <c r="C185" i="10" s="1"/>
  <c r="BU178" i="10"/>
  <c r="BT178" i="10"/>
  <c r="BS178" i="10"/>
  <c r="BR178" i="10"/>
  <c r="BQ178" i="10"/>
  <c r="BP178" i="10"/>
  <c r="BO178" i="10"/>
  <c r="BM178" i="10"/>
  <c r="BL178" i="10"/>
  <c r="BK178" i="10"/>
  <c r="BJ178" i="10"/>
  <c r="BI178" i="10"/>
  <c r="BH178" i="10"/>
  <c r="BG178" i="10"/>
  <c r="BE178" i="10"/>
  <c r="BD178" i="10"/>
  <c r="BC178" i="10"/>
  <c r="BB178" i="10"/>
  <c r="BA178" i="10"/>
  <c r="AZ178" i="10"/>
  <c r="AY178" i="10"/>
  <c r="AW178" i="10"/>
  <c r="AV178" i="10"/>
  <c r="AU178" i="10"/>
  <c r="AT178" i="10"/>
  <c r="AS178" i="10"/>
  <c r="AR178" i="10"/>
  <c r="AQ178" i="10"/>
  <c r="AO178" i="10"/>
  <c r="AN178" i="10"/>
  <c r="AM178" i="10"/>
  <c r="AL178" i="10"/>
  <c r="AK178" i="10"/>
  <c r="AJ178" i="10"/>
  <c r="AI178" i="10"/>
  <c r="AG178" i="10"/>
  <c r="AE178" i="10"/>
  <c r="AC178" i="10"/>
  <c r="AB178" i="10"/>
  <c r="AA178" i="10"/>
  <c r="Y178" i="10"/>
  <c r="X178" i="10"/>
  <c r="W178" i="10"/>
  <c r="V178" i="10"/>
  <c r="U178" i="10"/>
  <c r="S178" i="10"/>
  <c r="Q178" i="10"/>
  <c r="P178" i="10"/>
  <c r="O178" i="10"/>
  <c r="N178" i="10"/>
  <c r="M178" i="10"/>
  <c r="L178" i="10"/>
  <c r="K178" i="10"/>
  <c r="J179" i="10"/>
  <c r="I177" i="10"/>
  <c r="I184" i="10" s="1"/>
  <c r="AN153" i="11" s="1"/>
  <c r="H177" i="10"/>
  <c r="G177" i="10"/>
  <c r="G184" i="10" s="1"/>
  <c r="AL153" i="11" s="1"/>
  <c r="F177" i="10"/>
  <c r="F179" i="10" s="1"/>
  <c r="E177" i="10"/>
  <c r="E184" i="10" s="1"/>
  <c r="AJ153" i="11" s="1"/>
  <c r="D177" i="10"/>
  <c r="C177" i="10"/>
  <c r="C179" i="10" s="1"/>
  <c r="B177" i="10"/>
  <c r="B179" i="10" s="1"/>
  <c r="J171" i="10"/>
  <c r="I171" i="10"/>
  <c r="H171" i="10"/>
  <c r="G171" i="10"/>
  <c r="F171" i="10"/>
  <c r="E171" i="10"/>
  <c r="D171" i="10"/>
  <c r="C171" i="10"/>
  <c r="B171" i="10"/>
  <c r="Z168" i="10"/>
  <c r="Q168" i="10"/>
  <c r="P168" i="10"/>
  <c r="O168" i="10"/>
  <c r="N168" i="10"/>
  <c r="M168" i="10"/>
  <c r="L168" i="10"/>
  <c r="K168" i="10"/>
  <c r="J168" i="10"/>
  <c r="AN166" i="10"/>
  <c r="P166" i="10"/>
  <c r="N166" i="10" s="1"/>
  <c r="K166" i="10"/>
  <c r="L166" i="10" s="1"/>
  <c r="BU165" i="10"/>
  <c r="BT165" i="10"/>
  <c r="BS165" i="10"/>
  <c r="BR165" i="10"/>
  <c r="BQ165" i="10"/>
  <c r="BP165" i="10"/>
  <c r="BO165" i="10"/>
  <c r="BM165" i="10"/>
  <c r="BL165" i="10"/>
  <c r="BK165" i="10"/>
  <c r="BJ165" i="10"/>
  <c r="BI165" i="10"/>
  <c r="BH165" i="10"/>
  <c r="BG165" i="10"/>
  <c r="BE165" i="10"/>
  <c r="BD165" i="10"/>
  <c r="BC165" i="10"/>
  <c r="BB165" i="10"/>
  <c r="BA165" i="10"/>
  <c r="AZ165" i="10"/>
  <c r="AY165" i="10"/>
  <c r="AW165" i="10"/>
  <c r="AV165" i="10"/>
  <c r="AU165" i="10"/>
  <c r="AT165" i="10"/>
  <c r="AS165" i="10"/>
  <c r="AR165" i="10"/>
  <c r="AQ165" i="10"/>
  <c r="AO165" i="10"/>
  <c r="AN165" i="10"/>
  <c r="AM165" i="10"/>
  <c r="AL165" i="10"/>
  <c r="AK165" i="10"/>
  <c r="AJ165" i="10"/>
  <c r="AG165" i="10"/>
  <c r="AE165" i="10"/>
  <c r="AC165" i="10"/>
  <c r="AB165" i="10"/>
  <c r="AA165" i="10"/>
  <c r="Y165" i="10"/>
  <c r="X165" i="10"/>
  <c r="V165" i="10"/>
  <c r="U165" i="10"/>
  <c r="S165" i="10"/>
  <c r="Q165" i="10"/>
  <c r="P165" i="10"/>
  <c r="O165" i="10"/>
  <c r="N165" i="10"/>
  <c r="M165" i="10"/>
  <c r="L165" i="10"/>
  <c r="K165" i="10"/>
  <c r="H163" i="10"/>
  <c r="AH162" i="10"/>
  <c r="Y162" i="10"/>
  <c r="X162" i="10"/>
  <c r="V162" i="10"/>
  <c r="U162" i="10"/>
  <c r="S162" i="10"/>
  <c r="Q162" i="10"/>
  <c r="P162" i="10"/>
  <c r="O162" i="10"/>
  <c r="N162" i="10"/>
  <c r="M162" i="10"/>
  <c r="L162" i="10"/>
  <c r="K162" i="10"/>
  <c r="BV161" i="10"/>
  <c r="BN161" i="10"/>
  <c r="BF161" i="10"/>
  <c r="AX161" i="10"/>
  <c r="AH161" i="10"/>
  <c r="AF161" i="10" s="1"/>
  <c r="AD161" i="10" s="1"/>
  <c r="Z161" i="10"/>
  <c r="R161" i="10"/>
  <c r="J161" i="10"/>
  <c r="J163" i="10" s="1"/>
  <c r="I161" i="10"/>
  <c r="I163" i="10" s="1"/>
  <c r="G161" i="10"/>
  <c r="G163" i="10" s="1"/>
  <c r="F161" i="10"/>
  <c r="F163" i="10" s="1"/>
  <c r="E161" i="10"/>
  <c r="E163" i="10" s="1"/>
  <c r="D161" i="10"/>
  <c r="D163" i="10" s="1"/>
  <c r="C161" i="10"/>
  <c r="C163" i="10" s="1"/>
  <c r="B161" i="10"/>
  <c r="B163" i="10" s="1"/>
  <c r="Z158" i="10"/>
  <c r="Q158" i="10"/>
  <c r="P158" i="10"/>
  <c r="O158" i="10"/>
  <c r="N158" i="10"/>
  <c r="M158" i="10"/>
  <c r="L158" i="10"/>
  <c r="K158" i="10"/>
  <c r="AH156" i="10"/>
  <c r="X156" i="10"/>
  <c r="O156" i="10"/>
  <c r="P156" i="10" s="1"/>
  <c r="BU155" i="10"/>
  <c r="BT155" i="10"/>
  <c r="BS155" i="10"/>
  <c r="BR155" i="10"/>
  <c r="BQ155" i="10"/>
  <c r="BP155" i="10"/>
  <c r="BO155" i="10"/>
  <c r="BM155" i="10"/>
  <c r="BL155" i="10"/>
  <c r="BK155" i="10"/>
  <c r="BJ155" i="10"/>
  <c r="BI155" i="10"/>
  <c r="BH155" i="10"/>
  <c r="BG155" i="10"/>
  <c r="BE155" i="10"/>
  <c r="BD155" i="10"/>
  <c r="BC155" i="10"/>
  <c r="BB155" i="10"/>
  <c r="BA155" i="10"/>
  <c r="AZ155" i="10"/>
  <c r="AY155" i="10"/>
  <c r="AW155" i="10"/>
  <c r="AV155" i="10"/>
  <c r="AU155" i="10"/>
  <c r="AT155" i="10"/>
  <c r="AS155" i="10"/>
  <c r="AR155" i="10"/>
  <c r="AQ155" i="10"/>
  <c r="AO155" i="10"/>
  <c r="AN155" i="10"/>
  <c r="AM155" i="10"/>
  <c r="AL155" i="10"/>
  <c r="AK155" i="10"/>
  <c r="AJ155" i="10"/>
  <c r="AG155" i="10"/>
  <c r="AE155" i="10"/>
  <c r="AB155" i="10"/>
  <c r="AA155" i="10"/>
  <c r="Y155" i="10"/>
  <c r="X155" i="10"/>
  <c r="V155" i="10"/>
  <c r="U155" i="10"/>
  <c r="Q155" i="10"/>
  <c r="P155" i="10"/>
  <c r="O155" i="10"/>
  <c r="N155" i="10"/>
  <c r="M155" i="10"/>
  <c r="L155" i="10"/>
  <c r="K155" i="10"/>
  <c r="AH152" i="10"/>
  <c r="Y152" i="10"/>
  <c r="X152" i="10"/>
  <c r="V152" i="10"/>
  <c r="U152" i="10"/>
  <c r="S152" i="10"/>
  <c r="Q152" i="10"/>
  <c r="P152" i="10"/>
  <c r="O152" i="10"/>
  <c r="N152" i="10"/>
  <c r="M152" i="10"/>
  <c r="L152" i="10"/>
  <c r="K152" i="10"/>
  <c r="J151" i="10"/>
  <c r="J153" i="10" s="1"/>
  <c r="I151" i="10"/>
  <c r="I153" i="10" s="1"/>
  <c r="H151" i="10"/>
  <c r="H153" i="10" s="1"/>
  <c r="G151" i="10"/>
  <c r="G153" i="10" s="1"/>
  <c r="F151" i="10"/>
  <c r="F153" i="10" s="1"/>
  <c r="E151" i="10"/>
  <c r="E153" i="10" s="1"/>
  <c r="D151" i="10"/>
  <c r="D153" i="10" s="1"/>
  <c r="C151" i="10"/>
  <c r="C153" i="10" s="1"/>
  <c r="B151" i="10"/>
  <c r="B153" i="10" s="1"/>
  <c r="AU147" i="10"/>
  <c r="AN147" i="10"/>
  <c r="AB147" i="10"/>
  <c r="O147" i="10"/>
  <c r="AX145" i="10"/>
  <c r="AP145" i="10"/>
  <c r="AH145" i="10"/>
  <c r="Z145" i="10"/>
  <c r="R145" i="10"/>
  <c r="J144" i="10"/>
  <c r="J145" i="10" s="1"/>
  <c r="I144" i="10"/>
  <c r="I145" i="10" s="1"/>
  <c r="G144" i="10"/>
  <c r="G145" i="10" s="1"/>
  <c r="F144" i="10"/>
  <c r="F145" i="10" s="1"/>
  <c r="E144" i="10"/>
  <c r="E145" i="10" s="1"/>
  <c r="D144" i="10"/>
  <c r="D145" i="10" s="1"/>
  <c r="C144" i="10"/>
  <c r="C145" i="10" s="1"/>
  <c r="B144" i="10"/>
  <c r="B145" i="10" s="1"/>
  <c r="AH143" i="10"/>
  <c r="AF143" i="10" s="1"/>
  <c r="Z143" i="10"/>
  <c r="BS142" i="10"/>
  <c r="BK142" i="10"/>
  <c r="BL142" i="10" s="1"/>
  <c r="BI142" i="10" s="1"/>
  <c r="BM142" i="10" s="1"/>
  <c r="BC142" i="10"/>
  <c r="AU142" i="10"/>
  <c r="AN142" i="10"/>
  <c r="AK142" i="10" s="1"/>
  <c r="H142" i="10"/>
  <c r="H144" i="10" s="1"/>
  <c r="H145" i="10" s="1"/>
  <c r="J139" i="10"/>
  <c r="J140" i="10" s="1"/>
  <c r="I139" i="10"/>
  <c r="I140" i="10" s="1"/>
  <c r="H139" i="10"/>
  <c r="H140" i="10" s="1"/>
  <c r="G139" i="10"/>
  <c r="G140" i="10" s="1"/>
  <c r="F139" i="10"/>
  <c r="F140" i="10" s="1"/>
  <c r="E139" i="10"/>
  <c r="E140" i="10" s="1"/>
  <c r="D139" i="10"/>
  <c r="D140" i="10" s="1"/>
  <c r="C139" i="10"/>
  <c r="C140" i="10" s="1"/>
  <c r="B139" i="10"/>
  <c r="B140" i="10" s="1"/>
  <c r="AB177" i="10"/>
  <c r="BT151" i="10"/>
  <c r="BR151" i="10"/>
  <c r="BQ151" i="10"/>
  <c r="BP151" i="10"/>
  <c r="BO151" i="10"/>
  <c r="BL151" i="10"/>
  <c r="BJ151" i="10"/>
  <c r="BI151" i="10"/>
  <c r="BH151" i="10"/>
  <c r="BG151" i="10"/>
  <c r="BD151" i="10"/>
  <c r="BB151" i="10"/>
  <c r="BA151" i="10"/>
  <c r="AZ151" i="10"/>
  <c r="AY151" i="10"/>
  <c r="AV151" i="10"/>
  <c r="AT151" i="10"/>
  <c r="AS151" i="10"/>
  <c r="AR151" i="10"/>
  <c r="AQ151" i="10"/>
  <c r="AN151" i="10"/>
  <c r="AL151" i="10"/>
  <c r="AK151" i="10"/>
  <c r="AJ151" i="10"/>
  <c r="AI151" i="10"/>
  <c r="AC151" i="10"/>
  <c r="AB151" i="10"/>
  <c r="AA151" i="10"/>
  <c r="X151" i="10"/>
  <c r="V151" i="10"/>
  <c r="U151" i="10"/>
  <c r="S151" i="10"/>
  <c r="P151" i="10"/>
  <c r="N151" i="10"/>
  <c r="M151" i="10"/>
  <c r="L151" i="10"/>
  <c r="K151" i="10"/>
  <c r="BS132" i="10"/>
  <c r="BT132" i="10" s="1"/>
  <c r="BK132" i="10"/>
  <c r="BL132" i="10" s="1"/>
  <c r="BC132" i="10"/>
  <c r="BD132" i="10" s="1"/>
  <c r="AU132" i="10"/>
  <c r="AV132" i="10" s="1"/>
  <c r="AM132" i="10"/>
  <c r="AN132" i="10" s="1"/>
  <c r="AE132" i="10"/>
  <c r="AF132" i="10" s="1"/>
  <c r="X132" i="10"/>
  <c r="P132" i="10"/>
  <c r="BS131" i="10"/>
  <c r="BK131" i="10"/>
  <c r="BC131" i="10"/>
  <c r="AU131" i="10"/>
  <c r="AM131" i="10"/>
  <c r="AE131" i="10"/>
  <c r="BS130" i="10"/>
  <c r="BK130" i="10"/>
  <c r="BC130" i="10"/>
  <c r="AU130" i="10"/>
  <c r="AM130" i="10"/>
  <c r="AE130" i="10"/>
  <c r="BS129" i="10"/>
  <c r="BK129" i="10"/>
  <c r="BC129" i="10"/>
  <c r="AU129" i="10"/>
  <c r="AM129" i="10"/>
  <c r="AE129" i="10"/>
  <c r="Z128" i="10"/>
  <c r="AH128" i="10" s="1"/>
  <c r="Z125" i="10"/>
  <c r="U125" i="10" s="1"/>
  <c r="Q125" i="10"/>
  <c r="P125" i="10"/>
  <c r="O125" i="10"/>
  <c r="N125" i="10"/>
  <c r="M125" i="10"/>
  <c r="L125" i="10"/>
  <c r="K125" i="10"/>
  <c r="Z124" i="10"/>
  <c r="T124" i="10" s="1"/>
  <c r="Q124" i="10"/>
  <c r="P124" i="10"/>
  <c r="O124" i="10"/>
  <c r="N124" i="10"/>
  <c r="M124" i="10"/>
  <c r="L124" i="10"/>
  <c r="K124" i="10"/>
  <c r="Z123" i="10"/>
  <c r="AH123" i="10" s="1"/>
  <c r="Q123" i="10"/>
  <c r="P123" i="10"/>
  <c r="O123" i="10"/>
  <c r="N123" i="10"/>
  <c r="M123" i="10"/>
  <c r="L123" i="10"/>
  <c r="K123" i="10"/>
  <c r="Z122" i="10"/>
  <c r="Q122" i="10"/>
  <c r="P122" i="10"/>
  <c r="O122" i="10"/>
  <c r="N122" i="10"/>
  <c r="M122" i="10"/>
  <c r="L122" i="10"/>
  <c r="K122" i="10"/>
  <c r="Z121" i="10"/>
  <c r="U121" i="10" s="1"/>
  <c r="Q121" i="10"/>
  <c r="P121" i="10"/>
  <c r="O121" i="10"/>
  <c r="N121" i="10"/>
  <c r="M121" i="10"/>
  <c r="L121" i="10"/>
  <c r="K121" i="10"/>
  <c r="Z120" i="10"/>
  <c r="AH120" i="10" s="1"/>
  <c r="AH12" i="10" s="1"/>
  <c r="Q120" i="10"/>
  <c r="P120" i="10"/>
  <c r="O120" i="10"/>
  <c r="N120" i="10"/>
  <c r="M120" i="10"/>
  <c r="L120" i="10"/>
  <c r="K120" i="10"/>
  <c r="Z119" i="10"/>
  <c r="Q119" i="10"/>
  <c r="P119" i="10"/>
  <c r="O119" i="10"/>
  <c r="N119" i="10"/>
  <c r="M119" i="10"/>
  <c r="L119" i="10"/>
  <c r="K119" i="10"/>
  <c r="Z104" i="10"/>
  <c r="V104" i="10" s="1"/>
  <c r="Q104" i="10"/>
  <c r="P104" i="10"/>
  <c r="O104" i="10"/>
  <c r="N104" i="10"/>
  <c r="M104" i="10"/>
  <c r="L104" i="10"/>
  <c r="K104" i="10"/>
  <c r="A104" i="10"/>
  <c r="A114" i="10" s="1"/>
  <c r="Z103" i="10"/>
  <c r="T103" i="10" s="1"/>
  <c r="Q103" i="10"/>
  <c r="P103" i="10"/>
  <c r="O103" i="10"/>
  <c r="N103" i="10"/>
  <c r="M103" i="10"/>
  <c r="L103" i="10"/>
  <c r="K103" i="10"/>
  <c r="A103" i="10"/>
  <c r="A113" i="10" s="1"/>
  <c r="Z102" i="10"/>
  <c r="Q102" i="10"/>
  <c r="P102" i="10"/>
  <c r="O102" i="10"/>
  <c r="N102" i="10"/>
  <c r="M102" i="10"/>
  <c r="L102" i="10"/>
  <c r="K102" i="10"/>
  <c r="A102" i="10"/>
  <c r="A112" i="10" s="1"/>
  <c r="Z101" i="10"/>
  <c r="Q101" i="10"/>
  <c r="P101" i="10"/>
  <c r="O101" i="10"/>
  <c r="N101" i="10"/>
  <c r="M101" i="10"/>
  <c r="L101" i="10"/>
  <c r="K101" i="10"/>
  <c r="A101" i="10"/>
  <c r="A111" i="10" s="1"/>
  <c r="Z100" i="10"/>
  <c r="Q100" i="10"/>
  <c r="P100" i="10"/>
  <c r="O100" i="10"/>
  <c r="N100" i="10"/>
  <c r="M100" i="10"/>
  <c r="L100" i="10"/>
  <c r="K100" i="10"/>
  <c r="A100" i="10"/>
  <c r="A110" i="10" s="1"/>
  <c r="Q99" i="10"/>
  <c r="P99" i="10"/>
  <c r="O99" i="10"/>
  <c r="N99" i="10"/>
  <c r="M99" i="10"/>
  <c r="L99" i="10"/>
  <c r="K99" i="10"/>
  <c r="A99" i="10"/>
  <c r="A109" i="10" s="1"/>
  <c r="Z98" i="10"/>
  <c r="Q98" i="10"/>
  <c r="P98" i="10"/>
  <c r="O98" i="10"/>
  <c r="N98" i="10"/>
  <c r="M98" i="10"/>
  <c r="L98" i="10"/>
  <c r="K98" i="10"/>
  <c r="A98" i="10"/>
  <c r="A108" i="10" s="1"/>
  <c r="Y95" i="10"/>
  <c r="X95" i="10"/>
  <c r="W95" i="10"/>
  <c r="V95" i="10"/>
  <c r="U95" i="10"/>
  <c r="T95" i="10"/>
  <c r="S95" i="10"/>
  <c r="Q95" i="10"/>
  <c r="P95" i="10"/>
  <c r="O95" i="10"/>
  <c r="N95" i="10"/>
  <c r="M95" i="10"/>
  <c r="L95" i="10"/>
  <c r="K95" i="10"/>
  <c r="Y94" i="10"/>
  <c r="X94" i="10"/>
  <c r="W94" i="10"/>
  <c r="V94" i="10"/>
  <c r="U94" i="10"/>
  <c r="T94" i="10"/>
  <c r="S94" i="10"/>
  <c r="Q94" i="10"/>
  <c r="P94" i="10"/>
  <c r="O94" i="10"/>
  <c r="N94" i="10"/>
  <c r="M94" i="10"/>
  <c r="L94" i="10"/>
  <c r="K94" i="10"/>
  <c r="Y93" i="10"/>
  <c r="X93" i="10"/>
  <c r="W93" i="10"/>
  <c r="V93" i="10"/>
  <c r="U93" i="10"/>
  <c r="T93" i="10"/>
  <c r="S93" i="10"/>
  <c r="Q93" i="10"/>
  <c r="P93" i="10"/>
  <c r="O93" i="10"/>
  <c r="N93" i="10"/>
  <c r="M93" i="10"/>
  <c r="L93" i="10"/>
  <c r="K93" i="10"/>
  <c r="Y92" i="10"/>
  <c r="X92" i="10"/>
  <c r="W92" i="10"/>
  <c r="V92" i="10"/>
  <c r="U92" i="10"/>
  <c r="T92" i="10"/>
  <c r="S92" i="10"/>
  <c r="Q92" i="10"/>
  <c r="P92" i="10"/>
  <c r="O92" i="10"/>
  <c r="N92" i="10"/>
  <c r="M92" i="10"/>
  <c r="L92" i="10"/>
  <c r="K92" i="10"/>
  <c r="Y91" i="10"/>
  <c r="X91" i="10"/>
  <c r="W91" i="10"/>
  <c r="V91" i="10"/>
  <c r="U91" i="10"/>
  <c r="T91" i="10"/>
  <c r="S91" i="10"/>
  <c r="Q91" i="10"/>
  <c r="P91" i="10"/>
  <c r="O91" i="10"/>
  <c r="N91" i="10"/>
  <c r="M91" i="10"/>
  <c r="L91" i="10"/>
  <c r="K91" i="10"/>
  <c r="AL90" i="10"/>
  <c r="AG90" i="10"/>
  <c r="AE90" i="10"/>
  <c r="AC90" i="10"/>
  <c r="AB90" i="10"/>
  <c r="AA90" i="10"/>
  <c r="Y90" i="10"/>
  <c r="X90" i="10"/>
  <c r="W90" i="10"/>
  <c r="V90" i="10"/>
  <c r="U90" i="10"/>
  <c r="T90" i="10"/>
  <c r="S90" i="10"/>
  <c r="Q90" i="10"/>
  <c r="P90" i="10"/>
  <c r="O90" i="10"/>
  <c r="N90" i="10"/>
  <c r="M90" i="10"/>
  <c r="L90" i="10"/>
  <c r="K90" i="10"/>
  <c r="I90" i="10"/>
  <c r="C90" i="10"/>
  <c r="D90" i="10" s="1"/>
  <c r="E90" i="10" s="1"/>
  <c r="F90" i="10" s="1"/>
  <c r="AG89" i="10"/>
  <c r="AE89" i="10"/>
  <c r="AC89" i="10"/>
  <c r="AB89" i="10"/>
  <c r="AA89" i="10"/>
  <c r="Y89" i="10"/>
  <c r="X89" i="10"/>
  <c r="W89" i="10"/>
  <c r="V89" i="10"/>
  <c r="U89" i="10"/>
  <c r="T89" i="10"/>
  <c r="S89" i="10"/>
  <c r="Q89" i="10"/>
  <c r="P89" i="10"/>
  <c r="O89" i="10"/>
  <c r="N89" i="10"/>
  <c r="M89" i="10"/>
  <c r="L89" i="10"/>
  <c r="K89" i="10"/>
  <c r="C86" i="10"/>
  <c r="D86" i="10" s="1"/>
  <c r="E86" i="10" s="1"/>
  <c r="F86" i="10" s="1"/>
  <c r="G86" i="10" s="1"/>
  <c r="H86" i="10" s="1"/>
  <c r="I86" i="10" s="1"/>
  <c r="J86" i="10" s="1"/>
  <c r="R86" i="10" s="1"/>
  <c r="C85" i="10"/>
  <c r="C84" i="10"/>
  <c r="D84" i="10" s="1"/>
  <c r="E84" i="10" s="1"/>
  <c r="F84" i="10" s="1"/>
  <c r="G84" i="10" s="1"/>
  <c r="H84" i="10" s="1"/>
  <c r="I84" i="10" s="1"/>
  <c r="J84" i="10" s="1"/>
  <c r="R84" i="10" s="1"/>
  <c r="R17" i="10" s="1"/>
  <c r="C83" i="10"/>
  <c r="D83" i="10" s="1"/>
  <c r="E83" i="10" s="1"/>
  <c r="F83" i="10" s="1"/>
  <c r="G83" i="10" s="1"/>
  <c r="H83" i="10" s="1"/>
  <c r="I83" i="10" s="1"/>
  <c r="J83" i="10" s="1"/>
  <c r="R83" i="10" s="1"/>
  <c r="R16" i="10" s="1"/>
  <c r="C82" i="10"/>
  <c r="D82" i="10" s="1"/>
  <c r="E82" i="10" s="1"/>
  <c r="F82" i="10" s="1"/>
  <c r="G82" i="10" s="1"/>
  <c r="H82" i="10" s="1"/>
  <c r="I82" i="10" s="1"/>
  <c r="J82" i="10" s="1"/>
  <c r="R82" i="10" s="1"/>
  <c r="C80" i="10"/>
  <c r="D80" i="10" s="1"/>
  <c r="A68" i="10"/>
  <c r="A73" i="10" s="1"/>
  <c r="A67" i="10"/>
  <c r="A72" i="10" s="1"/>
  <c r="BF66" i="10"/>
  <c r="BN66" i="10" s="1"/>
  <c r="BV66" i="10" s="1"/>
  <c r="A66" i="10"/>
  <c r="A71" i="10" s="1"/>
  <c r="G59" i="10"/>
  <c r="G73" i="10" s="1"/>
  <c r="F59" i="10"/>
  <c r="F73" i="10" s="1"/>
  <c r="E59" i="10"/>
  <c r="D59" i="10"/>
  <c r="D73" i="10" s="1"/>
  <c r="C59" i="10"/>
  <c r="C73" i="10" s="1"/>
  <c r="B59" i="10"/>
  <c r="B73" i="10" s="1"/>
  <c r="H58" i="10"/>
  <c r="H59" i="10" s="1"/>
  <c r="L57" i="10"/>
  <c r="Q57" i="10" s="1"/>
  <c r="BS56" i="10"/>
  <c r="BT56" i="10" s="1"/>
  <c r="BK56" i="10"/>
  <c r="BG56" i="10" s="1"/>
  <c r="BC56" i="10"/>
  <c r="AY56" i="10" s="1"/>
  <c r="AU56" i="10"/>
  <c r="AV56" i="10" s="1"/>
  <c r="AE56" i="10"/>
  <c r="O56" i="10"/>
  <c r="P56" i="10" s="1"/>
  <c r="BV55" i="10"/>
  <c r="BS55" i="10" s="1"/>
  <c r="BN55" i="10"/>
  <c r="BK55" i="10" s="1"/>
  <c r="BL55" i="10" s="1"/>
  <c r="BF55" i="10"/>
  <c r="BC55" i="10" s="1"/>
  <c r="AX55" i="10"/>
  <c r="AU55" i="10" s="1"/>
  <c r="AP55" i="10"/>
  <c r="X55" i="10"/>
  <c r="O55" i="10"/>
  <c r="K55" i="10" s="1"/>
  <c r="BS54" i="10"/>
  <c r="BK54" i="10"/>
  <c r="BG54" i="10" s="1"/>
  <c r="BC54" i="10"/>
  <c r="BD54" i="10" s="1"/>
  <c r="AU54" i="10"/>
  <c r="AQ54" i="10" s="1"/>
  <c r="AR54" i="10" s="1"/>
  <c r="R54" i="10"/>
  <c r="J54" i="10"/>
  <c r="I54" i="10"/>
  <c r="O51" i="10"/>
  <c r="M51" i="10"/>
  <c r="K51" i="10"/>
  <c r="J51" i="10"/>
  <c r="I51" i="10"/>
  <c r="H51" i="10"/>
  <c r="G51" i="10"/>
  <c r="F51" i="10"/>
  <c r="E51" i="10"/>
  <c r="D51" i="10"/>
  <c r="C51" i="10"/>
  <c r="B51" i="10"/>
  <c r="L50" i="10"/>
  <c r="L49" i="10"/>
  <c r="R45" i="10"/>
  <c r="P44" i="10"/>
  <c r="P43" i="10"/>
  <c r="J43" i="10"/>
  <c r="I43" i="10"/>
  <c r="H43" i="10"/>
  <c r="G43" i="10"/>
  <c r="F43" i="10"/>
  <c r="BS42" i="10"/>
  <c r="BO42" i="10" s="1"/>
  <c r="BP42" i="10" s="1"/>
  <c r="BK42" i="10"/>
  <c r="BL42" i="10" s="1"/>
  <c r="BC42" i="10"/>
  <c r="AU42" i="10"/>
  <c r="AQ42" i="10" s="1"/>
  <c r="AR42" i="10" s="1"/>
  <c r="AN42" i="10"/>
  <c r="X42" i="10"/>
  <c r="P42" i="10"/>
  <c r="N42" i="10" s="1"/>
  <c r="P41" i="10"/>
  <c r="P40" i="10"/>
  <c r="J40" i="10"/>
  <c r="I40" i="10"/>
  <c r="H40" i="10"/>
  <c r="G40" i="10"/>
  <c r="F40" i="10"/>
  <c r="E40" i="10"/>
  <c r="E45" i="10" s="1"/>
  <c r="D40" i="10"/>
  <c r="D45" i="10" s="1"/>
  <c r="C40" i="10"/>
  <c r="C45" i="10" s="1"/>
  <c r="B40" i="10"/>
  <c r="B45" i="10" s="1"/>
  <c r="B19" i="10"/>
  <c r="B18" i="10"/>
  <c r="B17" i="10"/>
  <c r="B16" i="10"/>
  <c r="B15" i="10"/>
  <c r="C2" i="10"/>
  <c r="D2" i="10" s="1"/>
  <c r="E2" i="10" s="1"/>
  <c r="F2" i="10" s="1"/>
  <c r="G2" i="10" s="1"/>
  <c r="H2" i="10" s="1"/>
  <c r="I2" i="10" s="1"/>
  <c r="J2" i="10" s="1"/>
  <c r="T300" i="9"/>
  <c r="R300" i="9"/>
  <c r="R20" i="9" s="1"/>
  <c r="S297" i="9"/>
  <c r="U297" i="9" s="1"/>
  <c r="V297" i="9" s="1"/>
  <c r="W297" i="9" s="1"/>
  <c r="X297" i="9" s="1"/>
  <c r="AB287" i="9"/>
  <c r="AA287" i="9"/>
  <c r="Z287" i="9"/>
  <c r="Y287" i="9"/>
  <c r="Z262" i="9"/>
  <c r="CV123" i="5" s="1"/>
  <c r="CX125" i="5"/>
  <c r="Z261" i="9"/>
  <c r="CV125" i="5" s="1"/>
  <c r="N259" i="9"/>
  <c r="O258" i="9"/>
  <c r="P258" i="9" s="1"/>
  <c r="P251" i="9"/>
  <c r="O251" i="9"/>
  <c r="N251" i="9"/>
  <c r="Z248" i="9"/>
  <c r="CV200" i="5" s="1"/>
  <c r="R248" i="9"/>
  <c r="BL241" i="9"/>
  <c r="BT241" i="9" s="1"/>
  <c r="CB241" i="9" s="1"/>
  <c r="CJ241" i="9" s="1"/>
  <c r="BL240" i="9"/>
  <c r="BT240" i="9" s="1"/>
  <c r="CB240" i="9" s="1"/>
  <c r="CJ240" i="9" s="1"/>
  <c r="Z233" i="9"/>
  <c r="AE233" i="9" s="1"/>
  <c r="X225" i="9"/>
  <c r="W225" i="9"/>
  <c r="V225" i="9"/>
  <c r="U225" i="9"/>
  <c r="Q225" i="9"/>
  <c r="P225" i="9"/>
  <c r="O225" i="9"/>
  <c r="N225" i="9"/>
  <c r="DB199" i="5"/>
  <c r="Z224" i="9"/>
  <c r="R224" i="9"/>
  <c r="S225" i="9" s="1"/>
  <c r="N137" i="9"/>
  <c r="N133" i="9"/>
  <c r="N132" i="9" s="1"/>
  <c r="P114" i="9"/>
  <c r="O114" i="9"/>
  <c r="N114" i="9"/>
  <c r="X87" i="9"/>
  <c r="W87" i="9"/>
  <c r="V87" i="9"/>
  <c r="U87" i="9"/>
  <c r="S87" i="9"/>
  <c r="Q87" i="9"/>
  <c r="P87" i="9"/>
  <c r="O87" i="9"/>
  <c r="N87" i="9"/>
  <c r="M87" i="9"/>
  <c r="L87" i="9"/>
  <c r="X86" i="9"/>
  <c r="E83" i="9"/>
  <c r="D83" i="9"/>
  <c r="AC77" i="9"/>
  <c r="AC80" i="9" s="1"/>
  <c r="AA77" i="9"/>
  <c r="AA76" i="9" s="1"/>
  <c r="CW156" i="5" s="1"/>
  <c r="DE159" i="5" s="1"/>
  <c r="Y77" i="9"/>
  <c r="Y80" i="9" s="1"/>
  <c r="Z75" i="9"/>
  <c r="J75" i="9"/>
  <c r="I75" i="9"/>
  <c r="I87" i="9" s="1"/>
  <c r="G75" i="9"/>
  <c r="F75" i="9"/>
  <c r="Z74" i="9"/>
  <c r="AE74" i="9" s="1"/>
  <c r="AM86" i="9" s="1"/>
  <c r="V74" i="9"/>
  <c r="U74" i="9"/>
  <c r="T74" i="9"/>
  <c r="S74" i="9"/>
  <c r="R74" i="9"/>
  <c r="Q74" i="9"/>
  <c r="AP136" i="5" s="1"/>
  <c r="P74" i="9"/>
  <c r="O74" i="9"/>
  <c r="N74" i="9"/>
  <c r="M74" i="9"/>
  <c r="L74" i="9"/>
  <c r="K74" i="9"/>
  <c r="J74" i="9"/>
  <c r="I74" i="9"/>
  <c r="H74" i="9"/>
  <c r="G74" i="9"/>
  <c r="F74" i="9"/>
  <c r="AC64" i="9"/>
  <c r="AA64" i="9"/>
  <c r="X64" i="9"/>
  <c r="W64" i="9"/>
  <c r="V64" i="9"/>
  <c r="U64" i="9"/>
  <c r="S64" i="9"/>
  <c r="R64" i="9"/>
  <c r="Q64" i="9"/>
  <c r="P64" i="9"/>
  <c r="O64" i="9"/>
  <c r="N64" i="9"/>
  <c r="M64" i="9"/>
  <c r="L64" i="9"/>
  <c r="K64" i="9"/>
  <c r="J64" i="9"/>
  <c r="I64" i="9"/>
  <c r="H64" i="9"/>
  <c r="G64" i="9"/>
  <c r="F64" i="9"/>
  <c r="E64" i="9"/>
  <c r="D64" i="9"/>
  <c r="C63" i="9"/>
  <c r="C62" i="9"/>
  <c r="C61" i="9"/>
  <c r="C60" i="9"/>
  <c r="AC54" i="9"/>
  <c r="AC52" i="9"/>
  <c r="R49" i="9"/>
  <c r="BL47" i="9"/>
  <c r="AC47" i="9"/>
  <c r="AC38" i="9"/>
  <c r="A35" i="9"/>
  <c r="A47" i="9" s="1"/>
  <c r="A55" i="9" s="1"/>
  <c r="AC34" i="9"/>
  <c r="AC26" i="9"/>
  <c r="CG25" i="9"/>
  <c r="BY25" i="9"/>
  <c r="BZ25" i="9" s="1"/>
  <c r="BQ25" i="9"/>
  <c r="BI25" i="9"/>
  <c r="BJ25" i="9" s="1"/>
  <c r="Z75" i="6"/>
  <c r="AD25" i="9"/>
  <c r="R25" i="9"/>
  <c r="AC23" i="9"/>
  <c r="L26" i="9"/>
  <c r="H26" i="9"/>
  <c r="CJ20" i="9"/>
  <c r="CH20" i="9"/>
  <c r="CG20" i="9"/>
  <c r="CB20" i="9"/>
  <c r="BZ20" i="9"/>
  <c r="BY20" i="9"/>
  <c r="BT20" i="9"/>
  <c r="BR20" i="9"/>
  <c r="BQ20" i="9"/>
  <c r="BL20" i="9"/>
  <c r="BJ20" i="9"/>
  <c r="BI20" i="9"/>
  <c r="BD20" i="9"/>
  <c r="BB20" i="9"/>
  <c r="AC20" i="9"/>
  <c r="AD20" i="9" s="1"/>
  <c r="X20" i="9"/>
  <c r="W20" i="9"/>
  <c r="V20" i="9"/>
  <c r="U20" i="9"/>
  <c r="S20" i="9"/>
  <c r="Q20" i="9"/>
  <c r="P20" i="9"/>
  <c r="CJ19" i="9"/>
  <c r="CB19" i="9"/>
  <c r="BY19" i="9" s="1"/>
  <c r="BT19" i="9"/>
  <c r="BQ19" i="9" s="1"/>
  <c r="BL19" i="9"/>
  <c r="BD19" i="9"/>
  <c r="BA19" i="9" s="1"/>
  <c r="AN19" i="9"/>
  <c r="AL19" i="9" s="1"/>
  <c r="R17" i="9"/>
  <c r="Q17" i="9"/>
  <c r="D77" i="9"/>
  <c r="CJ8" i="9"/>
  <c r="CI8" i="9"/>
  <c r="CH8" i="9"/>
  <c r="CG8" i="9"/>
  <c r="CF8" i="9"/>
  <c r="CE8" i="9"/>
  <c r="CD8" i="9"/>
  <c r="CC8" i="9"/>
  <c r="CB8" i="9"/>
  <c r="CA8" i="9"/>
  <c r="BZ8" i="9"/>
  <c r="BY8" i="9"/>
  <c r="BX8" i="9"/>
  <c r="BW8" i="9"/>
  <c r="BV8" i="9"/>
  <c r="BU8" i="9"/>
  <c r="BT8" i="9"/>
  <c r="BS8" i="9"/>
  <c r="BR8" i="9"/>
  <c r="BQ8" i="9"/>
  <c r="BP8" i="9"/>
  <c r="BO8" i="9"/>
  <c r="BN8" i="9"/>
  <c r="BM8" i="9"/>
  <c r="BL8" i="9"/>
  <c r="BK8" i="9"/>
  <c r="BJ8" i="9"/>
  <c r="BI8" i="9"/>
  <c r="BH8" i="9"/>
  <c r="BG8" i="9"/>
  <c r="BF8" i="9"/>
  <c r="BE8" i="9"/>
  <c r="BD8" i="9"/>
  <c r="BC8" i="9"/>
  <c r="BB8" i="9"/>
  <c r="AZ8" i="9"/>
  <c r="AY8" i="9"/>
  <c r="AW8" i="9"/>
  <c r="AX8" i="9" s="1"/>
  <c r="AC8" i="9"/>
  <c r="AA8" i="9"/>
  <c r="D8" i="9"/>
  <c r="D297" i="9" s="1"/>
  <c r="AC7" i="9"/>
  <c r="AC234" i="9" s="1"/>
  <c r="AA7" i="9"/>
  <c r="Y7" i="9"/>
  <c r="N7" i="9"/>
  <c r="D7" i="9"/>
  <c r="D234" i="9" s="1"/>
  <c r="AC6" i="9"/>
  <c r="AC211" i="9" s="1"/>
  <c r="AA6" i="9"/>
  <c r="Y6" i="9"/>
  <c r="D6" i="9"/>
  <c r="D211" i="9" s="1"/>
  <c r="AA5" i="9"/>
  <c r="Y5" i="9"/>
  <c r="D5" i="9"/>
  <c r="O3" i="9"/>
  <c r="P3" i="9" s="1"/>
  <c r="Q3" i="9" s="1"/>
  <c r="S3" i="9" s="1"/>
  <c r="U3" i="9" s="1"/>
  <c r="V3" i="9" s="1"/>
  <c r="W3" i="9" s="1"/>
  <c r="X3" i="9" s="1"/>
  <c r="E3" i="9"/>
  <c r="F3" i="9" s="1"/>
  <c r="G3" i="9" s="1"/>
  <c r="H3" i="9" s="1"/>
  <c r="I3" i="9" s="1"/>
  <c r="J3" i="9" s="1"/>
  <c r="BD2" i="9"/>
  <c r="BL2" i="9" s="1"/>
  <c r="BT2" i="9" s="1"/>
  <c r="CB2" i="9" s="1"/>
  <c r="CJ2" i="9" s="1"/>
  <c r="M189" i="8"/>
  <c r="M197" i="8" s="1"/>
  <c r="L189" i="8"/>
  <c r="Q188" i="8"/>
  <c r="P188" i="8"/>
  <c r="O188" i="8"/>
  <c r="N187" i="8"/>
  <c r="O187" i="8" s="1"/>
  <c r="T184" i="8"/>
  <c r="S184" i="8"/>
  <c r="R184" i="8"/>
  <c r="Q184" i="8"/>
  <c r="P184" i="8"/>
  <c r="O184" i="8"/>
  <c r="N184" i="8"/>
  <c r="M184" i="8"/>
  <c r="L184" i="8"/>
  <c r="K184" i="8"/>
  <c r="J184" i="8"/>
  <c r="T178" i="8"/>
  <c r="T179" i="8" s="1"/>
  <c r="S178" i="8"/>
  <c r="S179" i="8" s="1"/>
  <c r="R178" i="8"/>
  <c r="R179" i="8" s="1"/>
  <c r="Q178" i="8"/>
  <c r="Q179" i="8" s="1"/>
  <c r="P178" i="8"/>
  <c r="P179" i="8" s="1"/>
  <c r="O178" i="8"/>
  <c r="O179" i="8" s="1"/>
  <c r="N178" i="8"/>
  <c r="N179" i="8" s="1"/>
  <c r="M178" i="8"/>
  <c r="M179" i="8" s="1"/>
  <c r="L178" i="8"/>
  <c r="L179" i="8" s="1"/>
  <c r="K178" i="8"/>
  <c r="K179" i="8" s="1"/>
  <c r="J178" i="8"/>
  <c r="J179" i="8" s="1"/>
  <c r="I178" i="8"/>
  <c r="I179" i="8" s="1"/>
  <c r="H178" i="8"/>
  <c r="H179" i="8" s="1"/>
  <c r="G178" i="8"/>
  <c r="G179" i="8" s="1"/>
  <c r="F178" i="8"/>
  <c r="E178" i="8"/>
  <c r="E179" i="8" s="1"/>
  <c r="D178" i="8"/>
  <c r="C178" i="8"/>
  <c r="Z175" i="8"/>
  <c r="AA175" i="8" s="1"/>
  <c r="AB175" i="8" s="1"/>
  <c r="T173" i="8"/>
  <c r="S173" i="8"/>
  <c r="S175" i="8" s="1"/>
  <c r="R173" i="8"/>
  <c r="R175" i="8" s="1"/>
  <c r="Q173" i="8"/>
  <c r="Q175" i="8" s="1"/>
  <c r="P173" i="8"/>
  <c r="P175" i="8" s="1"/>
  <c r="O173" i="8"/>
  <c r="O175" i="8" s="1"/>
  <c r="N173" i="8"/>
  <c r="N175" i="8" s="1"/>
  <c r="M173" i="8"/>
  <c r="M175" i="8" s="1"/>
  <c r="L173" i="8"/>
  <c r="L175" i="8" s="1"/>
  <c r="K173" i="8"/>
  <c r="K175" i="8" s="1"/>
  <c r="J173" i="8"/>
  <c r="J175" i="8" s="1"/>
  <c r="I173" i="8"/>
  <c r="I175" i="8" s="1"/>
  <c r="H173" i="8"/>
  <c r="H175" i="8" s="1"/>
  <c r="G173" i="8"/>
  <c r="G175" i="8" s="1"/>
  <c r="F173" i="8"/>
  <c r="F175" i="8" s="1"/>
  <c r="E173" i="8"/>
  <c r="E175" i="8" s="1"/>
  <c r="D173" i="8"/>
  <c r="D175" i="8" s="1"/>
  <c r="C173" i="8"/>
  <c r="C175" i="8" s="1"/>
  <c r="T166" i="8"/>
  <c r="S166" i="8"/>
  <c r="R166" i="8"/>
  <c r="Q166" i="8"/>
  <c r="P166" i="8"/>
  <c r="O166" i="8"/>
  <c r="N166" i="8"/>
  <c r="M166" i="8"/>
  <c r="L166" i="8"/>
  <c r="K166" i="8"/>
  <c r="J166" i="8"/>
  <c r="H166" i="8"/>
  <c r="G166" i="8"/>
  <c r="F166" i="8"/>
  <c r="E166" i="8"/>
  <c r="D166" i="8"/>
  <c r="C166" i="8"/>
  <c r="B166" i="8"/>
  <c r="T165" i="8"/>
  <c r="S165" i="8"/>
  <c r="R165" i="8"/>
  <c r="Q165" i="8"/>
  <c r="P165" i="8"/>
  <c r="O165" i="8"/>
  <c r="N165" i="8"/>
  <c r="M165" i="8"/>
  <c r="L165" i="8"/>
  <c r="K165" i="8"/>
  <c r="J165" i="8"/>
  <c r="H165" i="8"/>
  <c r="G165" i="8"/>
  <c r="F165" i="8"/>
  <c r="E165" i="8"/>
  <c r="D165" i="8"/>
  <c r="C165" i="8"/>
  <c r="B165" i="8"/>
  <c r="T161" i="8"/>
  <c r="S161" i="8"/>
  <c r="R161" i="8"/>
  <c r="Q161" i="8"/>
  <c r="P161" i="8"/>
  <c r="O161" i="8"/>
  <c r="N161" i="8"/>
  <c r="M161" i="8"/>
  <c r="L161" i="8"/>
  <c r="K161" i="8"/>
  <c r="J161" i="8"/>
  <c r="I161" i="8"/>
  <c r="H161" i="8"/>
  <c r="G161" i="8"/>
  <c r="F161" i="8"/>
  <c r="E161" i="8"/>
  <c r="D161" i="8"/>
  <c r="C161" i="8"/>
  <c r="B161" i="8"/>
  <c r="T160" i="8"/>
  <c r="S160" i="8"/>
  <c r="R160" i="8"/>
  <c r="Q160" i="8"/>
  <c r="P160" i="8"/>
  <c r="O160" i="8"/>
  <c r="N160" i="8"/>
  <c r="M160" i="8"/>
  <c r="L160" i="8"/>
  <c r="K160" i="8"/>
  <c r="J160" i="8"/>
  <c r="I160" i="8"/>
  <c r="H160" i="8"/>
  <c r="G160" i="8"/>
  <c r="F160" i="8"/>
  <c r="E160" i="8"/>
  <c r="D160" i="8"/>
  <c r="C160" i="8"/>
  <c r="B160" i="8"/>
  <c r="X157" i="8"/>
  <c r="Y157" i="8" s="1"/>
  <c r="I157" i="8"/>
  <c r="I166" i="8" s="1"/>
  <c r="A157" i="8"/>
  <c r="A166" i="8" s="1"/>
  <c r="I156" i="8"/>
  <c r="I165" i="8" s="1"/>
  <c r="A156" i="8"/>
  <c r="A165" i="8" s="1"/>
  <c r="A155" i="8"/>
  <c r="A164" i="8" s="1"/>
  <c r="X153" i="8"/>
  <c r="A153" i="8"/>
  <c r="A162" i="8" s="1"/>
  <c r="X152" i="8"/>
  <c r="A152" i="8"/>
  <c r="A161" i="8" s="1"/>
  <c r="A151" i="8"/>
  <c r="A160" i="8" s="1"/>
  <c r="T147" i="8"/>
  <c r="S147" i="8"/>
  <c r="R147" i="8"/>
  <c r="Q147" i="8"/>
  <c r="P147" i="8"/>
  <c r="O147" i="8"/>
  <c r="N147" i="8"/>
  <c r="M147" i="8"/>
  <c r="L147" i="8"/>
  <c r="K147" i="8"/>
  <c r="J147" i="8"/>
  <c r="I147" i="8"/>
  <c r="H147" i="8"/>
  <c r="G147" i="8"/>
  <c r="F147" i="8"/>
  <c r="E147" i="8"/>
  <c r="D147" i="8"/>
  <c r="C147" i="8"/>
  <c r="B147" i="8"/>
  <c r="T146" i="8"/>
  <c r="S146" i="8"/>
  <c r="R146" i="8"/>
  <c r="Q146" i="8"/>
  <c r="P146" i="8"/>
  <c r="O146" i="8"/>
  <c r="N146" i="8"/>
  <c r="M146" i="8"/>
  <c r="L146" i="8"/>
  <c r="K146" i="8"/>
  <c r="J146" i="8"/>
  <c r="I146" i="8"/>
  <c r="H146" i="8"/>
  <c r="G146" i="8"/>
  <c r="F146" i="8"/>
  <c r="E146" i="8"/>
  <c r="D146" i="8"/>
  <c r="C146" i="8"/>
  <c r="B146" i="8"/>
  <c r="O127" i="8"/>
  <c r="M127" i="8"/>
  <c r="L127" i="8"/>
  <c r="K127" i="8"/>
  <c r="J127" i="8"/>
  <c r="I127" i="8"/>
  <c r="D127" i="8"/>
  <c r="C127" i="8"/>
  <c r="B127" i="8"/>
  <c r="O122" i="8"/>
  <c r="N122" i="8"/>
  <c r="M122" i="8"/>
  <c r="L122" i="8"/>
  <c r="K122" i="8"/>
  <c r="J122" i="8"/>
  <c r="I122" i="8"/>
  <c r="H122" i="8"/>
  <c r="G122" i="8"/>
  <c r="F122" i="8"/>
  <c r="E122" i="8"/>
  <c r="D122" i="8"/>
  <c r="C122" i="8"/>
  <c r="B122" i="8"/>
  <c r="O116" i="8"/>
  <c r="O126" i="8" s="1"/>
  <c r="N116" i="8"/>
  <c r="M116" i="8"/>
  <c r="L116" i="8"/>
  <c r="K116" i="8"/>
  <c r="K126" i="8" s="1"/>
  <c r="K128" i="8" s="1"/>
  <c r="J116" i="8"/>
  <c r="I116" i="8"/>
  <c r="F116" i="8"/>
  <c r="E116" i="8"/>
  <c r="D116" i="8"/>
  <c r="D126" i="8" s="1"/>
  <c r="C116" i="8"/>
  <c r="C126" i="8" s="1"/>
  <c r="B116" i="8"/>
  <c r="B126" i="8" s="1"/>
  <c r="O112" i="8"/>
  <c r="O121" i="8" s="1"/>
  <c r="N112" i="8"/>
  <c r="N121" i="8" s="1"/>
  <c r="M112" i="8"/>
  <c r="L112" i="8"/>
  <c r="K112" i="8"/>
  <c r="K121" i="8" s="1"/>
  <c r="J112" i="8"/>
  <c r="J121" i="8" s="1"/>
  <c r="I112" i="8"/>
  <c r="F112" i="8"/>
  <c r="E112" i="8"/>
  <c r="D112" i="8"/>
  <c r="C112" i="8"/>
  <c r="C121" i="8" s="1"/>
  <c r="B112" i="8"/>
  <c r="B121" i="8" s="1"/>
  <c r="T108" i="8"/>
  <c r="S108" i="8"/>
  <c r="S120" i="8" s="1"/>
  <c r="R108" i="8"/>
  <c r="R120" i="8" s="1"/>
  <c r="Q108" i="8"/>
  <c r="P108" i="8"/>
  <c r="O108" i="8"/>
  <c r="O120" i="8" s="1"/>
  <c r="N108" i="8"/>
  <c r="N120" i="8" s="1"/>
  <c r="M108" i="8"/>
  <c r="L108" i="8"/>
  <c r="K108" i="8"/>
  <c r="K120" i="8" s="1"/>
  <c r="J108" i="8"/>
  <c r="J120" i="8" s="1"/>
  <c r="I108" i="8"/>
  <c r="H108" i="8"/>
  <c r="G108" i="8"/>
  <c r="G120" i="8" s="1"/>
  <c r="F108" i="8"/>
  <c r="F120" i="8" s="1"/>
  <c r="E108" i="8"/>
  <c r="D108" i="8"/>
  <c r="D120" i="8" s="1"/>
  <c r="C108" i="8"/>
  <c r="C120" i="8" s="1"/>
  <c r="B108" i="8"/>
  <c r="B120" i="8" s="1"/>
  <c r="T101" i="8"/>
  <c r="U99" i="8" s="1"/>
  <c r="U100" i="8" s="1"/>
  <c r="S101" i="8"/>
  <c r="T99" i="8" s="1"/>
  <c r="R101" i="8"/>
  <c r="S99" i="8" s="1"/>
  <c r="Q101" i="8"/>
  <c r="R99" i="8" s="1"/>
  <c r="P101" i="8"/>
  <c r="O101" i="8"/>
  <c r="P99" i="8" s="1"/>
  <c r="N101" i="8"/>
  <c r="O99" i="8" s="1"/>
  <c r="M101" i="8"/>
  <c r="N99" i="8" s="1"/>
  <c r="L101" i="8"/>
  <c r="K101" i="8"/>
  <c r="L99" i="8" s="1"/>
  <c r="J101" i="8"/>
  <c r="K99" i="8" s="1"/>
  <c r="I101" i="8"/>
  <c r="J99" i="8" s="1"/>
  <c r="H101" i="8"/>
  <c r="G101" i="8"/>
  <c r="H99" i="8" s="1"/>
  <c r="F101" i="8"/>
  <c r="G99" i="8" s="1"/>
  <c r="E101" i="8"/>
  <c r="F99" i="8" s="1"/>
  <c r="D101" i="8"/>
  <c r="C101" i="8"/>
  <c r="D99" i="8" s="1"/>
  <c r="C99" i="8"/>
  <c r="T97" i="8"/>
  <c r="S97" i="8"/>
  <c r="R97" i="8"/>
  <c r="Q97" i="8"/>
  <c r="P97" i="8"/>
  <c r="O97" i="8"/>
  <c r="N97" i="8"/>
  <c r="M97" i="8"/>
  <c r="L97" i="8"/>
  <c r="K97" i="8"/>
  <c r="J97" i="8"/>
  <c r="I97" i="8"/>
  <c r="H97" i="8"/>
  <c r="G97" i="8"/>
  <c r="F97" i="8"/>
  <c r="E97" i="8"/>
  <c r="D97" i="8"/>
  <c r="C97" i="8"/>
  <c r="B97" i="8"/>
  <c r="P94" i="8"/>
  <c r="M93" i="8"/>
  <c r="P92" i="8"/>
  <c r="T90" i="8"/>
  <c r="T94" i="8" s="1"/>
  <c r="S90" i="8"/>
  <c r="S94" i="8" s="1"/>
  <c r="R90" i="8"/>
  <c r="R94" i="8" s="1"/>
  <c r="Q90" i="8"/>
  <c r="Q94" i="8" s="1"/>
  <c r="O90" i="8"/>
  <c r="O94" i="8" s="1"/>
  <c r="N90" i="8"/>
  <c r="N94" i="8" s="1"/>
  <c r="M90" i="8"/>
  <c r="L90" i="8"/>
  <c r="L94" i="8" s="1"/>
  <c r="K90" i="8"/>
  <c r="K94" i="8" s="1"/>
  <c r="J90" i="8"/>
  <c r="J94" i="8" s="1"/>
  <c r="I90" i="8"/>
  <c r="I94" i="8" s="1"/>
  <c r="H90" i="8"/>
  <c r="H94" i="8" s="1"/>
  <c r="G90" i="8"/>
  <c r="G94" i="8" s="1"/>
  <c r="F90" i="8"/>
  <c r="F94" i="8" s="1"/>
  <c r="E90" i="8"/>
  <c r="E94" i="8" s="1"/>
  <c r="D90" i="8"/>
  <c r="D94" i="8" s="1"/>
  <c r="C90" i="8"/>
  <c r="C94" i="8" s="1"/>
  <c r="Y88" i="8"/>
  <c r="Z88" i="8" s="1"/>
  <c r="T87" i="8"/>
  <c r="T80" i="8" s="1"/>
  <c r="S87" i="8"/>
  <c r="S80" i="8" s="1"/>
  <c r="R87" i="8"/>
  <c r="R80" i="8" s="1"/>
  <c r="Q87" i="8"/>
  <c r="P87" i="8"/>
  <c r="P80" i="8" s="1"/>
  <c r="P81" i="8" s="1"/>
  <c r="O87" i="8"/>
  <c r="O80" i="8" s="1"/>
  <c r="N87" i="8"/>
  <c r="N80" i="8" s="1"/>
  <c r="M87" i="8"/>
  <c r="L87" i="8"/>
  <c r="N82" i="8"/>
  <c r="M82" i="8"/>
  <c r="L82" i="8"/>
  <c r="T79" i="8"/>
  <c r="T92" i="8" s="1"/>
  <c r="S79" i="8"/>
  <c r="S92" i="8" s="1"/>
  <c r="R79" i="8"/>
  <c r="R92" i="8" s="1"/>
  <c r="Q79" i="8"/>
  <c r="Q92" i="8" s="1"/>
  <c r="O79" i="8"/>
  <c r="O92" i="8" s="1"/>
  <c r="N79" i="8"/>
  <c r="N92" i="8" s="1"/>
  <c r="M79" i="8"/>
  <c r="M92" i="8" s="1"/>
  <c r="L79" i="8"/>
  <c r="L92" i="8" s="1"/>
  <c r="K79" i="8"/>
  <c r="K92" i="8" s="1"/>
  <c r="J79" i="8"/>
  <c r="J92" i="8" s="1"/>
  <c r="I79" i="8"/>
  <c r="I92" i="8" s="1"/>
  <c r="H79" i="8"/>
  <c r="G79" i="8"/>
  <c r="G92" i="8" s="1"/>
  <c r="F79" i="8"/>
  <c r="F92" i="8" s="1"/>
  <c r="E79" i="8"/>
  <c r="E92" i="8" s="1"/>
  <c r="D79" i="8"/>
  <c r="D92" i="8" s="1"/>
  <c r="C79" i="8"/>
  <c r="C92" i="8" s="1"/>
  <c r="T76" i="8"/>
  <c r="S76" i="8"/>
  <c r="R76" i="8"/>
  <c r="Q76" i="8"/>
  <c r="P76" i="8"/>
  <c r="O76" i="8"/>
  <c r="N76" i="8"/>
  <c r="M76" i="8"/>
  <c r="L76" i="8"/>
  <c r="K76" i="8"/>
  <c r="J76" i="8"/>
  <c r="I76" i="8"/>
  <c r="H76" i="8"/>
  <c r="G76" i="8"/>
  <c r="F76" i="8"/>
  <c r="E76" i="8"/>
  <c r="D76" i="8"/>
  <c r="C76" i="8"/>
  <c r="T72" i="8"/>
  <c r="S72" i="8"/>
  <c r="R72" i="8"/>
  <c r="D72" i="8"/>
  <c r="A72" i="8"/>
  <c r="T70" i="8"/>
  <c r="S70" i="8"/>
  <c r="R70" i="8"/>
  <c r="Q70" i="8"/>
  <c r="Q73" i="8" s="1"/>
  <c r="P70" i="8"/>
  <c r="P73" i="8" s="1"/>
  <c r="O70" i="8"/>
  <c r="O73" i="8" s="1"/>
  <c r="N70" i="8"/>
  <c r="N73" i="8" s="1"/>
  <c r="M70" i="8"/>
  <c r="M73" i="8" s="1"/>
  <c r="L70" i="8"/>
  <c r="L73" i="8" s="1"/>
  <c r="K70" i="8"/>
  <c r="K73" i="8" s="1"/>
  <c r="J70" i="8"/>
  <c r="J73" i="8" s="1"/>
  <c r="I70" i="8"/>
  <c r="I73" i="8" s="1"/>
  <c r="H70" i="8"/>
  <c r="H73" i="8" s="1"/>
  <c r="G70" i="8"/>
  <c r="G73" i="8" s="1"/>
  <c r="F70" i="8"/>
  <c r="F73" i="8" s="1"/>
  <c r="E70" i="8"/>
  <c r="E73" i="8" s="1"/>
  <c r="D70" i="8"/>
  <c r="C70" i="8"/>
  <c r="C73" i="8" s="1"/>
  <c r="Q63" i="8"/>
  <c r="P63" i="8"/>
  <c r="T62" i="8"/>
  <c r="T67" i="8" s="1"/>
  <c r="S62" i="8"/>
  <c r="S66" i="8" s="1"/>
  <c r="R62" i="8"/>
  <c r="R66" i="8" s="1"/>
  <c r="Q62" i="8"/>
  <c r="Q66" i="8" s="1"/>
  <c r="P62" i="8"/>
  <c r="P66" i="8" s="1"/>
  <c r="O62" i="8"/>
  <c r="O66" i="8" s="1"/>
  <c r="N62" i="8"/>
  <c r="N66" i="8" s="1"/>
  <c r="M62" i="8"/>
  <c r="M67" i="8" s="1"/>
  <c r="L62" i="8"/>
  <c r="L67" i="8" s="1"/>
  <c r="K62" i="8"/>
  <c r="K66" i="8" s="1"/>
  <c r="J62" i="8"/>
  <c r="J66" i="8" s="1"/>
  <c r="I62" i="8"/>
  <c r="I67" i="8" s="1"/>
  <c r="H62" i="8"/>
  <c r="G62" i="8"/>
  <c r="G66" i="8" s="1"/>
  <c r="F62" i="8"/>
  <c r="F66" i="8" s="1"/>
  <c r="E62" i="8"/>
  <c r="E67" i="8" s="1"/>
  <c r="D62" i="8"/>
  <c r="D67" i="8" s="1"/>
  <c r="C62" i="8"/>
  <c r="C66" i="8" s="1"/>
  <c r="T54" i="8"/>
  <c r="S54" i="8"/>
  <c r="P54" i="8"/>
  <c r="O54" i="8"/>
  <c r="N54" i="8"/>
  <c r="M54" i="8"/>
  <c r="L54" i="8"/>
  <c r="K54" i="8"/>
  <c r="J54" i="8"/>
  <c r="I54" i="8"/>
  <c r="X52" i="8"/>
  <c r="Y52" i="8" s="1"/>
  <c r="Z52" i="8" s="1"/>
  <c r="AA52" i="8" s="1"/>
  <c r="AB52" i="8" s="1"/>
  <c r="Q52" i="8"/>
  <c r="F52" i="8"/>
  <c r="D52" i="8"/>
  <c r="C52" i="8"/>
  <c r="O46" i="8"/>
  <c r="N46" i="8"/>
  <c r="M46" i="8"/>
  <c r="L46" i="8"/>
  <c r="K46" i="8"/>
  <c r="J46" i="8"/>
  <c r="I46" i="8"/>
  <c r="H46" i="8"/>
  <c r="G46" i="8"/>
  <c r="F46" i="8"/>
  <c r="D46" i="8"/>
  <c r="C46" i="8"/>
  <c r="B46" i="8"/>
  <c r="T45" i="8"/>
  <c r="S45" i="8"/>
  <c r="R45" i="8"/>
  <c r="Q45" i="8"/>
  <c r="Q46" i="8" s="1"/>
  <c r="P45" i="8"/>
  <c r="E45" i="8"/>
  <c r="O38" i="8"/>
  <c r="M38" i="8"/>
  <c r="L38" i="8"/>
  <c r="I38" i="8"/>
  <c r="B38" i="8"/>
  <c r="T37" i="8"/>
  <c r="N37" i="8"/>
  <c r="N38" i="8" s="1"/>
  <c r="H37" i="8"/>
  <c r="H127" i="8" s="1"/>
  <c r="G37" i="8"/>
  <c r="F37" i="8"/>
  <c r="F127" i="8" s="1"/>
  <c r="T36" i="8"/>
  <c r="X36" i="8" s="1"/>
  <c r="Y36" i="8" s="1"/>
  <c r="Z36" i="8" s="1"/>
  <c r="AA36" i="8" s="1"/>
  <c r="AB36" i="8" s="1"/>
  <c r="K35" i="8"/>
  <c r="J35" i="8"/>
  <c r="J38" i="8" s="1"/>
  <c r="H35" i="8"/>
  <c r="G35" i="8"/>
  <c r="X34" i="8"/>
  <c r="Y34" i="8" s="1"/>
  <c r="Z34" i="8" s="1"/>
  <c r="AA34" i="8" s="1"/>
  <c r="AB34" i="8" s="1"/>
  <c r="T33" i="8"/>
  <c r="S33" i="8"/>
  <c r="R33" i="8"/>
  <c r="R38" i="8" s="1"/>
  <c r="Q33" i="8"/>
  <c r="P33" i="8"/>
  <c r="H30" i="8"/>
  <c r="G30" i="8"/>
  <c r="F30" i="8"/>
  <c r="E30" i="8"/>
  <c r="D30" i="8"/>
  <c r="C30" i="8"/>
  <c r="O26" i="8"/>
  <c r="N26" i="8"/>
  <c r="M26" i="8"/>
  <c r="L26" i="8"/>
  <c r="K26" i="8"/>
  <c r="J26" i="8"/>
  <c r="I26" i="8"/>
  <c r="H26" i="8"/>
  <c r="G26" i="8"/>
  <c r="F26" i="8"/>
  <c r="E26" i="8"/>
  <c r="D26" i="8"/>
  <c r="C26" i="8"/>
  <c r="B26" i="8"/>
  <c r="T25" i="8"/>
  <c r="S25" i="8"/>
  <c r="R25" i="8"/>
  <c r="Q25" i="8"/>
  <c r="P25" i="8"/>
  <c r="X21" i="8"/>
  <c r="Y21" i="8" s="1"/>
  <c r="Z21" i="8" s="1"/>
  <c r="AA21" i="8" s="1"/>
  <c r="AB21" i="8" s="1"/>
  <c r="O15" i="8"/>
  <c r="F15" i="8"/>
  <c r="E15" i="8"/>
  <c r="D15" i="8"/>
  <c r="C15" i="8"/>
  <c r="B15" i="8"/>
  <c r="X13" i="8"/>
  <c r="Y13" i="8" s="1"/>
  <c r="Z13" i="8" s="1"/>
  <c r="AA13" i="8" s="1"/>
  <c r="AB13" i="8" s="1"/>
  <c r="Q13" i="8"/>
  <c r="K13" i="8"/>
  <c r="K15" i="8" s="1"/>
  <c r="H13" i="8"/>
  <c r="H11" i="8" s="1"/>
  <c r="G13" i="8"/>
  <c r="G11" i="8" s="1"/>
  <c r="X12" i="8"/>
  <c r="Y12" i="8" s="1"/>
  <c r="Z12" i="8" s="1"/>
  <c r="AA12" i="8" s="1"/>
  <c r="AB12" i="8" s="1"/>
  <c r="T11" i="8"/>
  <c r="S11" i="8"/>
  <c r="R11" i="8"/>
  <c r="Q11" i="8"/>
  <c r="P11" i="8"/>
  <c r="J9" i="8"/>
  <c r="J15" i="8" s="1"/>
  <c r="R8" i="8"/>
  <c r="L8" i="8"/>
  <c r="I8" i="8"/>
  <c r="I15" i="8" s="1"/>
  <c r="C5" i="8"/>
  <c r="D5" i="8" s="1"/>
  <c r="E5" i="8" s="1"/>
  <c r="F5" i="8" s="1"/>
  <c r="G5" i="8" s="1"/>
  <c r="H5" i="8" s="1"/>
  <c r="I5" i="8" s="1"/>
  <c r="J5" i="8" s="1"/>
  <c r="K5" i="8" s="1"/>
  <c r="L5" i="8" s="1"/>
  <c r="M5" i="8" s="1"/>
  <c r="N5" i="8" s="1"/>
  <c r="O5" i="8" s="1"/>
  <c r="P5" i="8" s="1"/>
  <c r="Q5" i="8" s="1"/>
  <c r="R5" i="8" s="1"/>
  <c r="S5" i="8" s="1"/>
  <c r="T5" i="8" s="1"/>
  <c r="U5" i="8" s="1"/>
  <c r="V5" i="8" s="1"/>
  <c r="W5" i="8" s="1"/>
  <c r="X5" i="8" s="1"/>
  <c r="Y5" i="8" s="1"/>
  <c r="Z5" i="8" s="1"/>
  <c r="AA5" i="8" s="1"/>
  <c r="AB5" i="8" s="1"/>
  <c r="DB300" i="5"/>
  <c r="CZ300" i="5" s="1"/>
  <c r="P66" i="7"/>
  <c r="O66" i="7"/>
  <c r="T58" i="7"/>
  <c r="S58" i="7"/>
  <c r="R58" i="7"/>
  <c r="P58" i="7"/>
  <c r="O58" i="7"/>
  <c r="N58" i="7"/>
  <c r="M58" i="7"/>
  <c r="L58" i="7"/>
  <c r="K58" i="7"/>
  <c r="J58" i="7"/>
  <c r="I58" i="7"/>
  <c r="H58" i="7"/>
  <c r="G58" i="7"/>
  <c r="F58" i="7"/>
  <c r="E58" i="7"/>
  <c r="D58" i="7"/>
  <c r="C58" i="7"/>
  <c r="B58" i="7"/>
  <c r="Q48" i="7"/>
  <c r="Q58" i="7" s="1"/>
  <c r="I45" i="7"/>
  <c r="H45" i="7"/>
  <c r="G45" i="7"/>
  <c r="F45" i="7"/>
  <c r="E45" i="7"/>
  <c r="D45" i="7"/>
  <c r="C45" i="7"/>
  <c r="B45" i="7"/>
  <c r="T41" i="7"/>
  <c r="S41" i="7"/>
  <c r="R41" i="7"/>
  <c r="Q41" i="7"/>
  <c r="P41" i="7"/>
  <c r="O41" i="7"/>
  <c r="N41" i="7"/>
  <c r="M41" i="7"/>
  <c r="L41" i="7"/>
  <c r="K41" i="7"/>
  <c r="T39" i="7"/>
  <c r="S39" i="7"/>
  <c r="R39" i="7"/>
  <c r="Q39" i="7"/>
  <c r="P39" i="7"/>
  <c r="O39" i="7"/>
  <c r="N39" i="7"/>
  <c r="M39" i="7"/>
  <c r="L39" i="7"/>
  <c r="K39" i="7"/>
  <c r="J39" i="7"/>
  <c r="J45" i="7" s="1"/>
  <c r="O33" i="7"/>
  <c r="N33" i="7"/>
  <c r="M33" i="7"/>
  <c r="L33" i="7"/>
  <c r="K33" i="7"/>
  <c r="J33" i="7"/>
  <c r="I33" i="7"/>
  <c r="H33" i="7"/>
  <c r="G33" i="7"/>
  <c r="F33" i="7"/>
  <c r="E33" i="7"/>
  <c r="D33" i="7"/>
  <c r="C33" i="7"/>
  <c r="B33" i="7"/>
  <c r="T31" i="7"/>
  <c r="CT271" i="5" s="1"/>
  <c r="S31" i="7"/>
  <c r="CL271" i="5" s="1"/>
  <c r="R31" i="7"/>
  <c r="Q31" i="7"/>
  <c r="P31" i="7"/>
  <c r="BF271" i="5" s="1"/>
  <c r="BN271" i="5" s="1"/>
  <c r="I27" i="7"/>
  <c r="H27" i="7"/>
  <c r="G27" i="7"/>
  <c r="F27" i="7"/>
  <c r="E27" i="7"/>
  <c r="D27" i="7"/>
  <c r="C27" i="7"/>
  <c r="B27" i="7"/>
  <c r="T23" i="7"/>
  <c r="S23" i="7"/>
  <c r="S27" i="7" s="1"/>
  <c r="R23" i="7"/>
  <c r="Q23" i="7"/>
  <c r="P23" i="7"/>
  <c r="O23" i="7"/>
  <c r="N23" i="7"/>
  <c r="M23" i="7"/>
  <c r="L23" i="7"/>
  <c r="K23" i="7"/>
  <c r="J23" i="7"/>
  <c r="J27" i="7" s="1"/>
  <c r="D9" i="7"/>
  <c r="C9" i="7"/>
  <c r="B9" i="7"/>
  <c r="C5" i="7"/>
  <c r="D5" i="7" s="1"/>
  <c r="E5" i="7" s="1"/>
  <c r="F5" i="7" s="1"/>
  <c r="G5" i="7" s="1"/>
  <c r="H5" i="7" s="1"/>
  <c r="I5" i="7" s="1"/>
  <c r="J5" i="7" s="1"/>
  <c r="K5" i="7" s="1"/>
  <c r="L5" i="7" s="1"/>
  <c r="M5" i="7" s="1"/>
  <c r="N5" i="7" s="1"/>
  <c r="O5" i="7" s="1"/>
  <c r="P5" i="7" s="1"/>
  <c r="Q5" i="7" s="1"/>
  <c r="R5" i="7" s="1"/>
  <c r="S5" i="7" s="1"/>
  <c r="T5" i="7" s="1"/>
  <c r="U5" i="7" s="1"/>
  <c r="V5" i="7" s="1"/>
  <c r="W5" i="7" s="1"/>
  <c r="X5" i="7" s="1"/>
  <c r="Y5" i="7" s="1"/>
  <c r="Z5" i="7" s="1"/>
  <c r="AA5" i="7" s="1"/>
  <c r="AB5" i="7" s="1"/>
  <c r="Y115" i="6"/>
  <c r="Z115" i="6" s="1"/>
  <c r="AA115" i="6" s="1"/>
  <c r="AB115" i="6" s="1"/>
  <c r="T114" i="6"/>
  <c r="S114" i="6"/>
  <c r="R114" i="6"/>
  <c r="Q114" i="6"/>
  <c r="P114" i="6"/>
  <c r="O114" i="6"/>
  <c r="N114" i="6"/>
  <c r="M114" i="6"/>
  <c r="L114" i="6"/>
  <c r="K114" i="6"/>
  <c r="J114" i="6"/>
  <c r="I114" i="6"/>
  <c r="H114" i="6"/>
  <c r="G114" i="6"/>
  <c r="F114" i="6"/>
  <c r="E114" i="6"/>
  <c r="D114" i="6"/>
  <c r="T113" i="6"/>
  <c r="S113" i="6"/>
  <c r="R113" i="6"/>
  <c r="Q113" i="6"/>
  <c r="P113" i="6"/>
  <c r="O113" i="6"/>
  <c r="N113" i="6"/>
  <c r="M113" i="6"/>
  <c r="L113" i="6"/>
  <c r="K113" i="6"/>
  <c r="J113" i="6"/>
  <c r="I113" i="6"/>
  <c r="H113" i="6"/>
  <c r="G113" i="6"/>
  <c r="F113" i="6"/>
  <c r="E113" i="6"/>
  <c r="D113" i="6"/>
  <c r="C113" i="6"/>
  <c r="B113" i="6"/>
  <c r="L104" i="6"/>
  <c r="K104" i="6"/>
  <c r="J104" i="6"/>
  <c r="I104" i="6"/>
  <c r="H104" i="6"/>
  <c r="G104" i="6"/>
  <c r="F104" i="6"/>
  <c r="E104" i="6"/>
  <c r="D104" i="6"/>
  <c r="C104" i="6"/>
  <c r="B104" i="6"/>
  <c r="T103" i="6"/>
  <c r="S103" i="6"/>
  <c r="R103" i="6"/>
  <c r="Q103" i="6"/>
  <c r="P103" i="6"/>
  <c r="O103" i="6"/>
  <c r="N103" i="6"/>
  <c r="M103" i="6"/>
  <c r="L103" i="6"/>
  <c r="K103" i="6"/>
  <c r="J103" i="6"/>
  <c r="I103" i="6"/>
  <c r="H103" i="6"/>
  <c r="G103" i="6"/>
  <c r="F103" i="6"/>
  <c r="E103" i="6"/>
  <c r="D103" i="6"/>
  <c r="C103" i="6"/>
  <c r="R101" i="6"/>
  <c r="O101" i="6"/>
  <c r="N101" i="6"/>
  <c r="M101" i="6"/>
  <c r="L101" i="6"/>
  <c r="K101" i="6"/>
  <c r="T99" i="6"/>
  <c r="T124" i="6" s="1"/>
  <c r="S99" i="6"/>
  <c r="S124" i="6" s="1"/>
  <c r="R99" i="6"/>
  <c r="Q99" i="6"/>
  <c r="P99" i="6"/>
  <c r="O99" i="6"/>
  <c r="O124" i="6" s="1"/>
  <c r="N99" i="6"/>
  <c r="M99" i="6"/>
  <c r="L99" i="6"/>
  <c r="K99" i="6"/>
  <c r="K98" i="6" s="1"/>
  <c r="K124" i="6" s="1"/>
  <c r="J99" i="6"/>
  <c r="J98" i="6" s="1"/>
  <c r="J124" i="6" s="1"/>
  <c r="I99" i="6"/>
  <c r="I98" i="6" s="1"/>
  <c r="I124" i="6" s="1"/>
  <c r="H99" i="6"/>
  <c r="H98" i="6" s="1"/>
  <c r="H124" i="6" s="1"/>
  <c r="G99" i="6"/>
  <c r="G98" i="6" s="1"/>
  <c r="G124" i="6" s="1"/>
  <c r="F99" i="6"/>
  <c r="F98" i="6" s="1"/>
  <c r="F124" i="6" s="1"/>
  <c r="E99" i="6"/>
  <c r="E98" i="6" s="1"/>
  <c r="E124" i="6" s="1"/>
  <c r="D99" i="6"/>
  <c r="D98" i="6" s="1"/>
  <c r="D124" i="6" s="1"/>
  <c r="C99" i="6"/>
  <c r="C98" i="6" s="1"/>
  <c r="C124" i="6" s="1"/>
  <c r="B99" i="6"/>
  <c r="B98" i="6" s="1"/>
  <c r="B124" i="6" s="1"/>
  <c r="B97" i="6"/>
  <c r="N93" i="6"/>
  <c r="M93" i="6"/>
  <c r="L93" i="6"/>
  <c r="K93" i="6"/>
  <c r="J93" i="6"/>
  <c r="I93" i="6"/>
  <c r="H93" i="6"/>
  <c r="G93" i="6"/>
  <c r="F93" i="6"/>
  <c r="E93" i="6"/>
  <c r="D93" i="6"/>
  <c r="C93" i="6"/>
  <c r="B93" i="6"/>
  <c r="Q86" i="6"/>
  <c r="K86" i="6"/>
  <c r="L86" i="6" s="1"/>
  <c r="M86" i="6" s="1"/>
  <c r="X84" i="6"/>
  <c r="Y84" i="6" s="1"/>
  <c r="Z84" i="6" s="1"/>
  <c r="AA84" i="6" s="1"/>
  <c r="AB84" i="6" s="1"/>
  <c r="I79" i="6"/>
  <c r="E79" i="6"/>
  <c r="D79" i="6"/>
  <c r="C79" i="6"/>
  <c r="B79" i="6"/>
  <c r="T78" i="6"/>
  <c r="T79" i="6" s="1"/>
  <c r="S78" i="6"/>
  <c r="S79" i="6" s="1"/>
  <c r="R78" i="6"/>
  <c r="R79" i="6" s="1"/>
  <c r="Q78" i="6"/>
  <c r="Q79" i="6" s="1"/>
  <c r="P78" i="6"/>
  <c r="P79" i="6" s="1"/>
  <c r="O78" i="6"/>
  <c r="O79" i="6" s="1"/>
  <c r="N78" i="6"/>
  <c r="N79" i="6" s="1"/>
  <c r="M78" i="6"/>
  <c r="M79" i="6" s="1"/>
  <c r="L78" i="6"/>
  <c r="L79" i="6" s="1"/>
  <c r="K78" i="6"/>
  <c r="K79" i="6" s="1"/>
  <c r="J78" i="6"/>
  <c r="J79" i="6" s="1"/>
  <c r="H78" i="6"/>
  <c r="H79" i="6" s="1"/>
  <c r="G78" i="6"/>
  <c r="G79" i="6" s="1"/>
  <c r="F78" i="6"/>
  <c r="F79" i="6" s="1"/>
  <c r="Q76" i="6"/>
  <c r="T75" i="6"/>
  <c r="S75" i="6"/>
  <c r="U10" i="6"/>
  <c r="U11" i="6" s="1"/>
  <c r="U12" i="6" s="1"/>
  <c r="C63" i="6"/>
  <c r="P60" i="6"/>
  <c r="O60" i="6"/>
  <c r="N60" i="6"/>
  <c r="J60" i="6"/>
  <c r="I60" i="6"/>
  <c r="H60" i="6"/>
  <c r="G60" i="6"/>
  <c r="F60" i="6"/>
  <c r="E60" i="6"/>
  <c r="T58" i="6"/>
  <c r="S58" i="6"/>
  <c r="R58" i="6"/>
  <c r="Q58" i="6"/>
  <c r="P58" i="6"/>
  <c r="O58" i="6"/>
  <c r="N58" i="6"/>
  <c r="M58" i="6"/>
  <c r="L58" i="6"/>
  <c r="K58" i="6"/>
  <c r="J58" i="6"/>
  <c r="I58" i="6"/>
  <c r="H58" i="6"/>
  <c r="G58" i="6"/>
  <c r="F58" i="6"/>
  <c r="E58" i="6"/>
  <c r="O40" i="6"/>
  <c r="N40" i="6"/>
  <c r="T37" i="6"/>
  <c r="S37" i="6"/>
  <c r="R37" i="6"/>
  <c r="Q37" i="6"/>
  <c r="M37" i="6"/>
  <c r="L37" i="6"/>
  <c r="K37" i="6"/>
  <c r="T29" i="6"/>
  <c r="S29" i="6"/>
  <c r="R29" i="6"/>
  <c r="Q29" i="6"/>
  <c r="P29" i="6"/>
  <c r="O29" i="6"/>
  <c r="N29" i="6"/>
  <c r="M29" i="6"/>
  <c r="L29" i="6"/>
  <c r="K29" i="6"/>
  <c r="J29" i="6"/>
  <c r="I29" i="6"/>
  <c r="H29" i="6"/>
  <c r="G29" i="6"/>
  <c r="E29" i="6"/>
  <c r="F26" i="6"/>
  <c r="T10" i="6"/>
  <c r="S10" i="6"/>
  <c r="R10" i="6"/>
  <c r="Q10" i="6"/>
  <c r="P10" i="6"/>
  <c r="O10" i="6"/>
  <c r="N10" i="6"/>
  <c r="M10" i="6"/>
  <c r="L10" i="6"/>
  <c r="K10" i="6"/>
  <c r="J10" i="6"/>
  <c r="I10" i="6"/>
  <c r="H10" i="6"/>
  <c r="G10" i="6"/>
  <c r="F10" i="6"/>
  <c r="F7" i="6"/>
  <c r="G7" i="6" s="1"/>
  <c r="H7" i="6" s="1"/>
  <c r="I7" i="6" s="1"/>
  <c r="J7" i="6" s="1"/>
  <c r="K7" i="6" s="1"/>
  <c r="L7" i="6" s="1"/>
  <c r="M7" i="6" s="1"/>
  <c r="N7" i="6" s="1"/>
  <c r="O7" i="6" s="1"/>
  <c r="P7" i="6" s="1"/>
  <c r="Q7" i="6" s="1"/>
  <c r="R7" i="6" s="1"/>
  <c r="S7" i="6" s="1"/>
  <c r="T7" i="6" s="1"/>
  <c r="W6" i="6"/>
  <c r="X6" i="6" s="1"/>
  <c r="Y6" i="6" s="1"/>
  <c r="Z6" i="6" s="1"/>
  <c r="AA6" i="6" s="1"/>
  <c r="AB6" i="6" s="1"/>
  <c r="C5" i="6"/>
  <c r="D5" i="6" s="1"/>
  <c r="E5" i="6" s="1"/>
  <c r="F5" i="6" s="1"/>
  <c r="G5" i="6" s="1"/>
  <c r="H5" i="6" s="1"/>
  <c r="I5" i="6" s="1"/>
  <c r="J5" i="6" s="1"/>
  <c r="K5" i="6" s="1"/>
  <c r="L5" i="6" s="1"/>
  <c r="M5" i="6" s="1"/>
  <c r="N5" i="6" s="1"/>
  <c r="O5" i="6" s="1"/>
  <c r="P5" i="6" s="1"/>
  <c r="Q5" i="6" s="1"/>
  <c r="R5" i="6" s="1"/>
  <c r="S5" i="6" s="1"/>
  <c r="T5" i="6" s="1"/>
  <c r="U5" i="6" s="1"/>
  <c r="V5" i="6" s="1"/>
  <c r="W5" i="6" s="1"/>
  <c r="X5" i="6" s="1"/>
  <c r="Y5" i="6" s="1"/>
  <c r="Z5" i="6" s="1"/>
  <c r="AA5" i="6" s="1"/>
  <c r="AB5" i="6" s="1"/>
  <c r="CY350" i="5"/>
  <c r="CT350" i="5"/>
  <c r="CQ350" i="5"/>
  <c r="CL350" i="5"/>
  <c r="CI350" i="5"/>
  <c r="CA350" i="5"/>
  <c r="BV350" i="5"/>
  <c r="BS350" i="5"/>
  <c r="BN350" i="5"/>
  <c r="BK350" i="5"/>
  <c r="CR349" i="5"/>
  <c r="CJ349" i="5"/>
  <c r="BT349" i="5"/>
  <c r="BL349" i="5"/>
  <c r="CR348" i="5"/>
  <c r="CJ348" i="5"/>
  <c r="BT348" i="5"/>
  <c r="BL348" i="5"/>
  <c r="CR347" i="5"/>
  <c r="CJ347" i="5"/>
  <c r="BT347" i="5"/>
  <c r="BL347" i="5"/>
  <c r="CR346" i="5"/>
  <c r="CJ346" i="5"/>
  <c r="BT346" i="5"/>
  <c r="BL346" i="5"/>
  <c r="BC343" i="5"/>
  <c r="AU343" i="5"/>
  <c r="AM343" i="5"/>
  <c r="AH343" i="5"/>
  <c r="AE343" i="5"/>
  <c r="Z343" i="5"/>
  <c r="W343" i="5"/>
  <c r="O343" i="5"/>
  <c r="X342" i="5"/>
  <c r="AX341" i="5"/>
  <c r="X341" i="5"/>
  <c r="X340" i="5"/>
  <c r="X338" i="5"/>
  <c r="P338" i="5"/>
  <c r="X337" i="5"/>
  <c r="CB333" i="5"/>
  <c r="BK333" i="5"/>
  <c r="G333" i="5"/>
  <c r="CR331" i="5"/>
  <c r="CJ331" i="5"/>
  <c r="BC331" i="5"/>
  <c r="BK331" i="5" s="1"/>
  <c r="AM331" i="5"/>
  <c r="AH331" i="5"/>
  <c r="X331" i="5"/>
  <c r="P331" i="5"/>
  <c r="H331" i="5"/>
  <c r="BS330" i="5"/>
  <c r="BS331" i="5" s="1"/>
  <c r="BN330" i="5"/>
  <c r="CR329" i="5"/>
  <c r="CI329" i="5"/>
  <c r="BN329" i="5"/>
  <c r="BK329" i="5"/>
  <c r="CY328" i="5"/>
  <c r="CQ328" i="5"/>
  <c r="CQ330" i="5" s="1"/>
  <c r="CI328" i="5"/>
  <c r="BN328" i="5"/>
  <c r="BK328" i="5"/>
  <c r="AM328" i="5"/>
  <c r="AE328" i="5"/>
  <c r="W328" i="5"/>
  <c r="R328" i="5"/>
  <c r="J328" i="5"/>
  <c r="CR327" i="5"/>
  <c r="BN327" i="5"/>
  <c r="BK327" i="5"/>
  <c r="AE327" i="5"/>
  <c r="CY326" i="5"/>
  <c r="CQ326" i="5"/>
  <c r="BK326" i="5"/>
  <c r="BS325" i="5"/>
  <c r="AU325" i="5"/>
  <c r="AV325" i="5" s="1"/>
  <c r="CA324" i="5"/>
  <c r="CA325" i="5" s="1"/>
  <c r="BK324" i="5"/>
  <c r="CY323" i="5"/>
  <c r="CQ323" i="5"/>
  <c r="CI323" i="5"/>
  <c r="BK323" i="5"/>
  <c r="AM323" i="5"/>
  <c r="AE323" i="5"/>
  <c r="W323" i="5"/>
  <c r="R323" i="5"/>
  <c r="O323" i="5"/>
  <c r="J323" i="5"/>
  <c r="G323" i="5"/>
  <c r="BK322" i="5"/>
  <c r="BC320" i="5"/>
  <c r="BC321" i="5" s="1"/>
  <c r="BC325" i="5" s="1"/>
  <c r="X320" i="5"/>
  <c r="P320" i="5"/>
  <c r="H320" i="5"/>
  <c r="CR318" i="5"/>
  <c r="BC318" i="5"/>
  <c r="BK318" i="5" s="1"/>
  <c r="AM318" i="5"/>
  <c r="AE318" i="5"/>
  <c r="W318" i="5"/>
  <c r="R318" i="5"/>
  <c r="O318" i="5"/>
  <c r="J318" i="5"/>
  <c r="CY317" i="5"/>
  <c r="CQ317" i="5"/>
  <c r="CI317" i="5"/>
  <c r="CA317" i="5"/>
  <c r="BS317" i="5"/>
  <c r="BC317" i="5"/>
  <c r="BK317" i="5" s="1"/>
  <c r="AM317" i="5"/>
  <c r="AE317" i="5"/>
  <c r="W317" i="5"/>
  <c r="R317" i="5"/>
  <c r="O317" i="5"/>
  <c r="J317" i="5"/>
  <c r="CI316" i="5"/>
  <c r="CA316" i="5"/>
  <c r="BS316" i="5"/>
  <c r="BC316" i="5"/>
  <c r="BK316" i="5" s="1"/>
  <c r="AM316" i="5"/>
  <c r="AE316" i="5"/>
  <c r="W316" i="5"/>
  <c r="R316" i="5"/>
  <c r="O316" i="5"/>
  <c r="J316" i="5"/>
  <c r="CY315" i="5"/>
  <c r="CQ315" i="5"/>
  <c r="CI315" i="5"/>
  <c r="CA315" i="5"/>
  <c r="BS315" i="5"/>
  <c r="BC315" i="5"/>
  <c r="BK315" i="5" s="1"/>
  <c r="AM315" i="5"/>
  <c r="AE315" i="5"/>
  <c r="W315" i="5"/>
  <c r="R315" i="5"/>
  <c r="J315" i="5"/>
  <c r="CY313" i="5"/>
  <c r="CT313" i="5"/>
  <c r="CQ313" i="5"/>
  <c r="CA313" i="5"/>
  <c r="BK313" i="5"/>
  <c r="AM313" i="5"/>
  <c r="AM320" i="5" s="1"/>
  <c r="AH313" i="5"/>
  <c r="Z313" i="5"/>
  <c r="P313" i="5"/>
  <c r="H313" i="5"/>
  <c r="CR312" i="5"/>
  <c r="W312" i="5"/>
  <c r="X312" i="5" s="1"/>
  <c r="R312" i="5"/>
  <c r="CR311" i="5"/>
  <c r="X311" i="5"/>
  <c r="CR310" i="5"/>
  <c r="CI310" i="5"/>
  <c r="CI313" i="5" s="1"/>
  <c r="X310" i="5"/>
  <c r="P310" i="5"/>
  <c r="BK309" i="5"/>
  <c r="CY306" i="5"/>
  <c r="CT306" i="5"/>
  <c r="CQ306" i="5"/>
  <c r="CI306" i="5"/>
  <c r="CA306" i="5"/>
  <c r="BS306" i="5"/>
  <c r="BC306" i="5"/>
  <c r="BK306" i="5" s="1"/>
  <c r="AM306" i="5"/>
  <c r="AE306" i="5"/>
  <c r="W306" i="5"/>
  <c r="R306" i="5"/>
  <c r="O306" i="5"/>
  <c r="J306" i="5"/>
  <c r="G306" i="5"/>
  <c r="CR305" i="5"/>
  <c r="BK305" i="5"/>
  <c r="P305" i="5"/>
  <c r="H305" i="5"/>
  <c r="CR304" i="5"/>
  <c r="BK304" i="5"/>
  <c r="P304" i="5"/>
  <c r="H304" i="5"/>
  <c r="BK303" i="5"/>
  <c r="P303" i="5"/>
  <c r="H303" i="5"/>
  <c r="BK300" i="5"/>
  <c r="H300" i="5"/>
  <c r="BK299" i="5"/>
  <c r="H299" i="5"/>
  <c r="BV297" i="5"/>
  <c r="BK297" i="5"/>
  <c r="AP297" i="5"/>
  <c r="AM297" i="5"/>
  <c r="BK295" i="5"/>
  <c r="P295" i="5"/>
  <c r="H295" i="5"/>
  <c r="CR294" i="5"/>
  <c r="CJ294" i="5"/>
  <c r="CB294" i="5"/>
  <c r="BK294" i="5"/>
  <c r="AM294" i="5"/>
  <c r="AH294" i="5"/>
  <c r="CY291" i="5"/>
  <c r="CQ291" i="5"/>
  <c r="CR291" i="5" s="1"/>
  <c r="CI291" i="5"/>
  <c r="CA291" i="5"/>
  <c r="BS291" i="5"/>
  <c r="BC291" i="5"/>
  <c r="BK291" i="5" s="1"/>
  <c r="AM291" i="5"/>
  <c r="AE291" i="5"/>
  <c r="W291" i="5"/>
  <c r="R291" i="5"/>
  <c r="O291" i="5"/>
  <c r="J291" i="5"/>
  <c r="G291" i="5"/>
  <c r="CR290" i="5"/>
  <c r="CJ290" i="5"/>
  <c r="BN290" i="5"/>
  <c r="BL290" i="5"/>
  <c r="BK290" i="5"/>
  <c r="AF290" i="5"/>
  <c r="X290" i="5"/>
  <c r="P290" i="5"/>
  <c r="H290" i="5"/>
  <c r="CR289" i="5"/>
  <c r="CJ289" i="5"/>
  <c r="BN289" i="5"/>
  <c r="BL289" i="5"/>
  <c r="BK289" i="5"/>
  <c r="AF289" i="5"/>
  <c r="X289" i="5"/>
  <c r="P289" i="5"/>
  <c r="H289" i="5"/>
  <c r="CR288" i="5"/>
  <c r="CJ288" i="5"/>
  <c r="BN288" i="5"/>
  <c r="BL288" i="5"/>
  <c r="BK288" i="5"/>
  <c r="AF288" i="5"/>
  <c r="X288" i="5"/>
  <c r="P288" i="5"/>
  <c r="H288" i="5"/>
  <c r="CY287" i="5"/>
  <c r="CQ287" i="5"/>
  <c r="CI287" i="5"/>
  <c r="CA287" i="5"/>
  <c r="BS287" i="5"/>
  <c r="BC287" i="5"/>
  <c r="BK287" i="5" s="1"/>
  <c r="AM287" i="5"/>
  <c r="AM326" i="5" s="1"/>
  <c r="AE287" i="5"/>
  <c r="AE326" i="5" s="1"/>
  <c r="W287" i="5"/>
  <c r="W326" i="5" s="1"/>
  <c r="R287" i="5"/>
  <c r="R326" i="5" s="1"/>
  <c r="O287" i="5"/>
  <c r="O326" i="5" s="1"/>
  <c r="J287" i="5"/>
  <c r="J326" i="5" s="1"/>
  <c r="G287" i="5"/>
  <c r="BK286" i="5"/>
  <c r="P286" i="5"/>
  <c r="H286" i="5"/>
  <c r="BK285" i="5"/>
  <c r="P285" i="5"/>
  <c r="H285" i="5"/>
  <c r="CY284" i="5"/>
  <c r="CQ284" i="5"/>
  <c r="CI284" i="5"/>
  <c r="CA284" i="5"/>
  <c r="BS284" i="5"/>
  <c r="BC284" i="5"/>
  <c r="BK284" i="5" s="1"/>
  <c r="AM284" i="5"/>
  <c r="AE284" i="5"/>
  <c r="W284" i="5"/>
  <c r="R284" i="5"/>
  <c r="O284" i="5"/>
  <c r="J284" i="5"/>
  <c r="G284" i="5"/>
  <c r="BS281" i="5"/>
  <c r="BC281" i="5"/>
  <c r="BK281" i="5" s="1"/>
  <c r="AE281" i="5"/>
  <c r="BK280" i="5"/>
  <c r="P280" i="5"/>
  <c r="H280" i="5"/>
  <c r="CY279" i="5"/>
  <c r="CY281" i="5" s="1"/>
  <c r="CQ279" i="5"/>
  <c r="CQ281" i="5" s="1"/>
  <c r="CI279" i="5"/>
  <c r="CI327" i="5" s="1"/>
  <c r="CA279" i="5"/>
  <c r="BK279" i="5"/>
  <c r="AM279" i="5"/>
  <c r="W279" i="5"/>
  <c r="W281" i="5" s="1"/>
  <c r="R279" i="5"/>
  <c r="O279" i="5"/>
  <c r="O281" i="5" s="1"/>
  <c r="J279" i="5"/>
  <c r="G279" i="5"/>
  <c r="G281" i="5" s="1"/>
  <c r="BK278" i="5"/>
  <c r="P278" i="5"/>
  <c r="P323" i="5" s="1"/>
  <c r="H278" i="5"/>
  <c r="H323" i="5" s="1"/>
  <c r="CY277" i="5"/>
  <c r="CY324" i="5" s="1"/>
  <c r="CQ277" i="5"/>
  <c r="CQ324" i="5" s="1"/>
  <c r="CI277" i="5"/>
  <c r="CA277" i="5"/>
  <c r="BS277" i="5"/>
  <c r="BC277" i="5"/>
  <c r="BK277" i="5" s="1"/>
  <c r="AM277" i="5"/>
  <c r="AM324" i="5" s="1"/>
  <c r="AH277" i="5"/>
  <c r="AH324" i="5" s="1"/>
  <c r="AE277" i="5"/>
  <c r="Z277" i="5"/>
  <c r="Z324" i="5" s="1"/>
  <c r="W277" i="5"/>
  <c r="R277" i="5"/>
  <c r="R324" i="5" s="1"/>
  <c r="O277" i="5"/>
  <c r="O324" i="5" s="1"/>
  <c r="J277" i="5"/>
  <c r="G277" i="5"/>
  <c r="BK276" i="5"/>
  <c r="AF276" i="5"/>
  <c r="X276" i="5"/>
  <c r="P276" i="5"/>
  <c r="H276" i="5"/>
  <c r="BK275" i="5"/>
  <c r="AF275" i="5"/>
  <c r="X275" i="5"/>
  <c r="P275" i="5"/>
  <c r="H275" i="5"/>
  <c r="AM272" i="5"/>
  <c r="AM322" i="5" s="1"/>
  <c r="AE272" i="5"/>
  <c r="AE322" i="5" s="1"/>
  <c r="W272" i="5"/>
  <c r="W322" i="5" s="1"/>
  <c r="R272" i="5"/>
  <c r="R322" i="5" s="1"/>
  <c r="O272" i="5"/>
  <c r="O322" i="5" s="1"/>
  <c r="J272" i="5"/>
  <c r="J322" i="5" s="1"/>
  <c r="G272" i="5"/>
  <c r="G322" i="5" s="1"/>
  <c r="CY271" i="5"/>
  <c r="CQ271" i="5"/>
  <c r="CI271" i="5"/>
  <c r="CA271" i="5"/>
  <c r="BS271" i="5"/>
  <c r="BC271" i="5"/>
  <c r="P271" i="5"/>
  <c r="H271" i="5"/>
  <c r="CY270" i="5"/>
  <c r="CQ270" i="5"/>
  <c r="CI270" i="5"/>
  <c r="CA270" i="5"/>
  <c r="BS270" i="5"/>
  <c r="BK270" i="5"/>
  <c r="P270" i="5"/>
  <c r="H270" i="5"/>
  <c r="BK269" i="5"/>
  <c r="P269" i="5"/>
  <c r="H269" i="5"/>
  <c r="CY267" i="5"/>
  <c r="CQ267" i="5"/>
  <c r="CI267" i="5"/>
  <c r="CA267" i="5"/>
  <c r="BS267" i="5"/>
  <c r="BC267" i="5"/>
  <c r="BK267" i="5" s="1"/>
  <c r="AM267" i="5"/>
  <c r="AE267" i="5"/>
  <c r="W267" i="5"/>
  <c r="R267" i="5"/>
  <c r="O267" i="5"/>
  <c r="J267" i="5"/>
  <c r="G267" i="5"/>
  <c r="BK266" i="5"/>
  <c r="P266" i="5"/>
  <c r="H266" i="5"/>
  <c r="BK265" i="5"/>
  <c r="P265" i="5"/>
  <c r="H265" i="5"/>
  <c r="BK264" i="5"/>
  <c r="P264" i="5"/>
  <c r="H264" i="5"/>
  <c r="CJ263" i="5"/>
  <c r="CB263" i="5"/>
  <c r="BT263" i="5"/>
  <c r="BK263" i="5"/>
  <c r="BD263" i="5"/>
  <c r="BL263" i="5" s="1"/>
  <c r="BK262" i="5"/>
  <c r="P262" i="5"/>
  <c r="H262" i="5"/>
  <c r="BK261" i="5"/>
  <c r="P261" i="5"/>
  <c r="P316" i="5" s="1"/>
  <c r="H261" i="5"/>
  <c r="CY260" i="5"/>
  <c r="CQ260" i="5"/>
  <c r="CI260" i="5"/>
  <c r="CA260" i="5"/>
  <c r="BS260" i="5"/>
  <c r="BC260" i="5"/>
  <c r="BK260" i="5" s="1"/>
  <c r="AM260" i="5"/>
  <c r="AE260" i="5"/>
  <c r="W260" i="5"/>
  <c r="R260" i="5"/>
  <c r="O260" i="5"/>
  <c r="J260" i="5"/>
  <c r="G260" i="5"/>
  <c r="BK259" i="5"/>
  <c r="P259" i="5"/>
  <c r="H259" i="5"/>
  <c r="BK258" i="5"/>
  <c r="P258" i="5"/>
  <c r="H258" i="5"/>
  <c r="BK257" i="5"/>
  <c r="P257" i="5"/>
  <c r="H257" i="5"/>
  <c r="X251" i="5"/>
  <c r="P251" i="5"/>
  <c r="BC248" i="5"/>
  <c r="AU248" i="5"/>
  <c r="AM248" i="5"/>
  <c r="AH248" i="5"/>
  <c r="AE248" i="5"/>
  <c r="Z248" i="5"/>
  <c r="W248" i="5"/>
  <c r="R248" i="5"/>
  <c r="O248" i="5"/>
  <c r="J248" i="5"/>
  <c r="X247" i="5"/>
  <c r="P247" i="5"/>
  <c r="X246" i="5"/>
  <c r="P246" i="5"/>
  <c r="X244" i="5"/>
  <c r="P244" i="5"/>
  <c r="X243" i="5"/>
  <c r="P243" i="5"/>
  <c r="X240" i="5"/>
  <c r="P240" i="5"/>
  <c r="BC238" i="5"/>
  <c r="AU238" i="5"/>
  <c r="AU241" i="5" s="1"/>
  <c r="AM238" i="5"/>
  <c r="AM241" i="5" s="1"/>
  <c r="AH238" i="5"/>
  <c r="AE238" i="5"/>
  <c r="Z238" i="5"/>
  <c r="W238" i="5"/>
  <c r="W241" i="5" s="1"/>
  <c r="R238" i="5"/>
  <c r="O238" i="5"/>
  <c r="J238" i="5"/>
  <c r="J241" i="5" s="1"/>
  <c r="X237" i="5"/>
  <c r="P237" i="5"/>
  <c r="X236" i="5"/>
  <c r="P236" i="5"/>
  <c r="X234" i="5"/>
  <c r="P234" i="5"/>
  <c r="X233" i="5"/>
  <c r="P233" i="5"/>
  <c r="CN208" i="5"/>
  <c r="CP208" i="5" s="1"/>
  <c r="CR208" i="5" s="1"/>
  <c r="CF208" i="5"/>
  <c r="CC208" i="5"/>
  <c r="BX208" i="5"/>
  <c r="BZ208" i="5" s="1"/>
  <c r="CB208" i="5" s="1"/>
  <c r="BS208" i="5"/>
  <c r="BT208" i="5" s="1"/>
  <c r="BR208" i="5"/>
  <c r="BE208" i="5"/>
  <c r="CN203" i="5"/>
  <c r="CS203" i="5" s="1"/>
  <c r="CF203" i="5"/>
  <c r="CC203" i="5"/>
  <c r="BX203" i="5"/>
  <c r="BZ203" i="5" s="1"/>
  <c r="CB203" i="5" s="1"/>
  <c r="BS203" i="5"/>
  <c r="BT203" i="5" s="1"/>
  <c r="BR203" i="5"/>
  <c r="BE203" i="5"/>
  <c r="CN210" i="5"/>
  <c r="CS210" i="5" s="1"/>
  <c r="CF210" i="5"/>
  <c r="CK210" i="5" s="1"/>
  <c r="CC210" i="5"/>
  <c r="BX210" i="5"/>
  <c r="BZ210" i="5" s="1"/>
  <c r="CB210" i="5" s="1"/>
  <c r="BS210" i="5"/>
  <c r="BT210" i="5" s="1"/>
  <c r="BR210" i="5"/>
  <c r="BE210" i="5"/>
  <c r="CS230" i="5"/>
  <c r="CF230" i="5"/>
  <c r="CK230" i="5" s="1"/>
  <c r="CC230" i="5"/>
  <c r="BX230" i="5"/>
  <c r="BZ230" i="5" s="1"/>
  <c r="CB230" i="5" s="1"/>
  <c r="BS230" i="5"/>
  <c r="BT230" i="5" s="1"/>
  <c r="BR230" i="5"/>
  <c r="BE230" i="5"/>
  <c r="CN206" i="5"/>
  <c r="CP206" i="5" s="1"/>
  <c r="CR206" i="5" s="1"/>
  <c r="CF206" i="5"/>
  <c r="CH206" i="5" s="1"/>
  <c r="CJ206" i="5" s="1"/>
  <c r="CC206" i="5"/>
  <c r="BX206" i="5"/>
  <c r="BZ206" i="5" s="1"/>
  <c r="CB206" i="5" s="1"/>
  <c r="BS206" i="5"/>
  <c r="BP206" i="5" s="1"/>
  <c r="BR206" i="5"/>
  <c r="BE206" i="5"/>
  <c r="BC226" i="5"/>
  <c r="BC221" i="5"/>
  <c r="BC223" i="5" s="1"/>
  <c r="BO217" i="5"/>
  <c r="BC217" i="5"/>
  <c r="BC219" i="5" s="1"/>
  <c r="BA217" i="5"/>
  <c r="AY217" i="5"/>
  <c r="P214" i="5"/>
  <c r="N214" i="5"/>
  <c r="M214" i="5"/>
  <c r="L214" i="5"/>
  <c r="CN209" i="5"/>
  <c r="CS209" i="5" s="1"/>
  <c r="CF209" i="5"/>
  <c r="CK209" i="5" s="1"/>
  <c r="CC209" i="5"/>
  <c r="BX209" i="5"/>
  <c r="BZ209" i="5" s="1"/>
  <c r="CB209" i="5" s="1"/>
  <c r="BT209" i="5"/>
  <c r="BP209" i="5"/>
  <c r="BU209" i="5" s="1"/>
  <c r="BR209" i="5" s="1"/>
  <c r="BN209" i="5"/>
  <c r="BK209" i="5"/>
  <c r="BI209" i="5"/>
  <c r="BG209" i="5"/>
  <c r="AZ209" i="5"/>
  <c r="BH209" i="5" s="1"/>
  <c r="AX209" i="5"/>
  <c r="AU209" i="5"/>
  <c r="AS209" i="5"/>
  <c r="AQ209" i="5"/>
  <c r="AO209" i="5"/>
  <c r="AW209" i="5" s="1"/>
  <c r="AJ209" i="5"/>
  <c r="AR209" i="5" s="1"/>
  <c r="AG209" i="5"/>
  <c r="AD209" i="5" s="1"/>
  <c r="AF209" i="5"/>
  <c r="AB209" i="5"/>
  <c r="X209" i="5"/>
  <c r="T209" i="5"/>
  <c r="Y209" i="5" s="1"/>
  <c r="V209" i="5" s="1"/>
  <c r="P209" i="5"/>
  <c r="N209" i="5"/>
  <c r="M209" i="5"/>
  <c r="L209" i="5"/>
  <c r="CC213" i="5"/>
  <c r="BX213" i="5"/>
  <c r="BZ213" i="5" s="1"/>
  <c r="CB213" i="5" s="1"/>
  <c r="BT213" i="5"/>
  <c r="BP213" i="5"/>
  <c r="BU213" i="5" s="1"/>
  <c r="BR213" i="5" s="1"/>
  <c r="BN213" i="5"/>
  <c r="BK213" i="5"/>
  <c r="BI213" i="5"/>
  <c r="BG213" i="5"/>
  <c r="AZ213" i="5"/>
  <c r="BE213" i="5" s="1"/>
  <c r="BB213" i="5" s="1"/>
  <c r="AX213" i="5"/>
  <c r="AU213" i="5"/>
  <c r="AS213" i="5"/>
  <c r="AQ213" i="5"/>
  <c r="AO213" i="5"/>
  <c r="AW213" i="5" s="1"/>
  <c r="AJ213" i="5"/>
  <c r="AR213" i="5" s="1"/>
  <c r="AG213" i="5"/>
  <c r="AD213" i="5" s="1"/>
  <c r="AF213" i="5"/>
  <c r="AB213" i="5"/>
  <c r="X213" i="5"/>
  <c r="T213" i="5"/>
  <c r="Y213" i="5" s="1"/>
  <c r="V213" i="5" s="1"/>
  <c r="P213" i="5"/>
  <c r="N213" i="5"/>
  <c r="M213" i="5"/>
  <c r="L213" i="5"/>
  <c r="CN201" i="5"/>
  <c r="CP201" i="5" s="1"/>
  <c r="CR201" i="5" s="1"/>
  <c r="CF201" i="5"/>
  <c r="CK201" i="5" s="1"/>
  <c r="CC201" i="5"/>
  <c r="BX201" i="5"/>
  <c r="BZ201" i="5" s="1"/>
  <c r="CB201" i="5" s="1"/>
  <c r="BT201" i="5"/>
  <c r="BP201" i="5"/>
  <c r="BU201" i="5" s="1"/>
  <c r="BR201" i="5" s="1"/>
  <c r="BN201" i="5"/>
  <c r="BK201" i="5"/>
  <c r="BI201" i="5"/>
  <c r="BG201" i="5"/>
  <c r="AZ201" i="5"/>
  <c r="BH201" i="5" s="1"/>
  <c r="AX201" i="5"/>
  <c r="AU201" i="5"/>
  <c r="AS201" i="5"/>
  <c r="AR201" i="5"/>
  <c r="AQ201" i="5"/>
  <c r="AO201" i="5"/>
  <c r="AW201" i="5" s="1"/>
  <c r="AG201" i="5"/>
  <c r="AD201" i="5" s="1"/>
  <c r="AF201" i="5"/>
  <c r="CN204" i="5"/>
  <c r="CS204" i="5" s="1"/>
  <c r="CF204" i="5"/>
  <c r="CK204" i="5" s="1"/>
  <c r="CC204" i="5"/>
  <c r="BX204" i="5"/>
  <c r="BZ204" i="5" s="1"/>
  <c r="CB204" i="5" s="1"/>
  <c r="BT204" i="5"/>
  <c r="BP204" i="5"/>
  <c r="BU204" i="5" s="1"/>
  <c r="BR204" i="5" s="1"/>
  <c r="BN212" i="5"/>
  <c r="BK212" i="5"/>
  <c r="BI212" i="5"/>
  <c r="BG212" i="5"/>
  <c r="AZ212" i="5"/>
  <c r="AX212" i="5"/>
  <c r="AU212" i="5"/>
  <c r="AS212" i="5"/>
  <c r="AQ212" i="5"/>
  <c r="AO212" i="5"/>
  <c r="AW212" i="5" s="1"/>
  <c r="AJ212" i="5"/>
  <c r="AR212" i="5" s="1"/>
  <c r="AG212" i="5"/>
  <c r="AD212" i="5" s="1"/>
  <c r="AF212" i="5"/>
  <c r="AB212" i="5"/>
  <c r="X212" i="5"/>
  <c r="T212" i="5"/>
  <c r="Y212" i="5" s="1"/>
  <c r="V212" i="5" s="1"/>
  <c r="P212" i="5"/>
  <c r="N212" i="5"/>
  <c r="M212" i="5"/>
  <c r="L212" i="5"/>
  <c r="CC211" i="5"/>
  <c r="BX211" i="5"/>
  <c r="BZ211" i="5" s="1"/>
  <c r="CB211" i="5" s="1"/>
  <c r="BT211" i="5"/>
  <c r="BP211" i="5"/>
  <c r="BU211" i="5" s="1"/>
  <c r="BR211" i="5" s="1"/>
  <c r="BN211" i="5"/>
  <c r="BK211" i="5"/>
  <c r="BI211" i="5"/>
  <c r="BG211" i="5"/>
  <c r="AZ211" i="5"/>
  <c r="BE211" i="5" s="1"/>
  <c r="AX211" i="5"/>
  <c r="AU211" i="5"/>
  <c r="AS211" i="5"/>
  <c r="AQ211" i="5"/>
  <c r="AO211" i="5"/>
  <c r="AW211" i="5" s="1"/>
  <c r="AJ211" i="5"/>
  <c r="AR211" i="5" s="1"/>
  <c r="AG211" i="5"/>
  <c r="AD211" i="5" s="1"/>
  <c r="AF211" i="5"/>
  <c r="AB211" i="5"/>
  <c r="X211" i="5"/>
  <c r="T211" i="5"/>
  <c r="Y211" i="5" s="1"/>
  <c r="V211" i="5" s="1"/>
  <c r="P211" i="5"/>
  <c r="N211" i="5"/>
  <c r="M211" i="5"/>
  <c r="L211" i="5"/>
  <c r="CN207" i="5"/>
  <c r="CP207" i="5" s="1"/>
  <c r="CR207" i="5" s="1"/>
  <c r="CF207" i="5"/>
  <c r="CC207" i="5"/>
  <c r="BX207" i="5"/>
  <c r="BZ207" i="5" s="1"/>
  <c r="CB207" i="5" s="1"/>
  <c r="BT207" i="5"/>
  <c r="BP207" i="5"/>
  <c r="BU207" i="5" s="1"/>
  <c r="BR207" i="5" s="1"/>
  <c r="BN207" i="5"/>
  <c r="BK207" i="5"/>
  <c r="BI207" i="5"/>
  <c r="BG207" i="5"/>
  <c r="AZ207" i="5"/>
  <c r="BH207" i="5" s="1"/>
  <c r="AX207" i="5"/>
  <c r="AU207" i="5"/>
  <c r="AS207" i="5"/>
  <c r="AQ207" i="5"/>
  <c r="AO207" i="5"/>
  <c r="AW207" i="5" s="1"/>
  <c r="AJ207" i="5"/>
  <c r="AR207" i="5" s="1"/>
  <c r="AG207" i="5"/>
  <c r="AD207" i="5" s="1"/>
  <c r="AF207" i="5"/>
  <c r="AB207" i="5"/>
  <c r="X207" i="5"/>
  <c r="T207" i="5"/>
  <c r="Y207" i="5" s="1"/>
  <c r="V207" i="5" s="1"/>
  <c r="P207" i="5"/>
  <c r="N207" i="5"/>
  <c r="M207" i="5"/>
  <c r="L207" i="5"/>
  <c r="CN205" i="5"/>
  <c r="CP205" i="5" s="1"/>
  <c r="CR205" i="5" s="1"/>
  <c r="CF205" i="5"/>
  <c r="CH205" i="5" s="1"/>
  <c r="CJ205" i="5" s="1"/>
  <c r="CC205" i="5"/>
  <c r="BX205" i="5"/>
  <c r="BZ205" i="5" s="1"/>
  <c r="CB205" i="5" s="1"/>
  <c r="BT205" i="5"/>
  <c r="BP205" i="5"/>
  <c r="BU205" i="5" s="1"/>
  <c r="BR205" i="5" s="1"/>
  <c r="BN205" i="5"/>
  <c r="BK205" i="5"/>
  <c r="BI205" i="5"/>
  <c r="BG205" i="5"/>
  <c r="AZ205" i="5"/>
  <c r="BH205" i="5" s="1"/>
  <c r="AX205" i="5"/>
  <c r="AU205" i="5"/>
  <c r="AS205" i="5"/>
  <c r="AQ205" i="5"/>
  <c r="AO205" i="5"/>
  <c r="AW205" i="5" s="1"/>
  <c r="AJ205" i="5"/>
  <c r="AR205" i="5" s="1"/>
  <c r="AG205" i="5"/>
  <c r="AD205" i="5" s="1"/>
  <c r="AF205" i="5"/>
  <c r="AB205" i="5"/>
  <c r="X205" i="5"/>
  <c r="T205" i="5"/>
  <c r="Y205" i="5" s="1"/>
  <c r="V205" i="5" s="1"/>
  <c r="P205" i="5"/>
  <c r="L205" i="5"/>
  <c r="CN200" i="5"/>
  <c r="CP200" i="5" s="1"/>
  <c r="CR200" i="5" s="1"/>
  <c r="CF200" i="5"/>
  <c r="CC200" i="5"/>
  <c r="BX200" i="5"/>
  <c r="BZ200" i="5" s="1"/>
  <c r="CB200" i="5" s="1"/>
  <c r="BT200" i="5"/>
  <c r="BP200" i="5"/>
  <c r="BU200" i="5" s="1"/>
  <c r="BR200" i="5" s="1"/>
  <c r="BN200" i="5"/>
  <c r="BK200" i="5"/>
  <c r="BI200" i="5"/>
  <c r="BG200" i="5"/>
  <c r="AZ200" i="5"/>
  <c r="BH200" i="5" s="1"/>
  <c r="AX200" i="5"/>
  <c r="AU200" i="5"/>
  <c r="AS200" i="5"/>
  <c r="AQ200" i="5"/>
  <c r="AO200" i="5"/>
  <c r="AW200" i="5" s="1"/>
  <c r="AJ200" i="5"/>
  <c r="AR200" i="5" s="1"/>
  <c r="AG200" i="5"/>
  <c r="AD200" i="5" s="1"/>
  <c r="AF200" i="5"/>
  <c r="AB200" i="5"/>
  <c r="Y200" i="5"/>
  <c r="V200" i="5" s="1"/>
  <c r="X200" i="5"/>
  <c r="P200" i="5"/>
  <c r="N200" i="5"/>
  <c r="M200" i="5"/>
  <c r="L200" i="5"/>
  <c r="CN199" i="5"/>
  <c r="CF199" i="5"/>
  <c r="CK199" i="5" s="1"/>
  <c r="CC199" i="5"/>
  <c r="BX199" i="5"/>
  <c r="BZ199" i="5" s="1"/>
  <c r="CB199" i="5" s="1"/>
  <c r="BT199" i="5"/>
  <c r="BP199" i="5"/>
  <c r="BU199" i="5" s="1"/>
  <c r="BR199" i="5" s="1"/>
  <c r="BN199" i="5"/>
  <c r="BK199" i="5"/>
  <c r="BI199" i="5"/>
  <c r="BG199" i="5"/>
  <c r="AZ199" i="5"/>
  <c r="BE199" i="5" s="1"/>
  <c r="BM199" i="5" s="1"/>
  <c r="AU199" i="5"/>
  <c r="AS199" i="5"/>
  <c r="AQ199" i="5"/>
  <c r="AO199" i="5"/>
  <c r="AW199" i="5" s="1"/>
  <c r="AJ199" i="5"/>
  <c r="AR199" i="5" s="1"/>
  <c r="AG199" i="5"/>
  <c r="AD199" i="5" s="1"/>
  <c r="AF199" i="5"/>
  <c r="AB199" i="5"/>
  <c r="X199" i="5"/>
  <c r="T199" i="5"/>
  <c r="Y199" i="5" s="1"/>
  <c r="V199" i="5" s="1"/>
  <c r="P199" i="5"/>
  <c r="N199" i="5"/>
  <c r="M199" i="5"/>
  <c r="L199" i="5"/>
  <c r="CN198" i="5"/>
  <c r="CS198" i="5" s="1"/>
  <c r="CF198" i="5"/>
  <c r="CC198" i="5"/>
  <c r="BX198" i="5"/>
  <c r="BZ198" i="5" s="1"/>
  <c r="CB198" i="5" s="1"/>
  <c r="BT198" i="5"/>
  <c r="BP198" i="5"/>
  <c r="BU198" i="5" s="1"/>
  <c r="BR198" i="5" s="1"/>
  <c r="BN198" i="5"/>
  <c r="BK198" i="5"/>
  <c r="BI198" i="5"/>
  <c r="BG198" i="5"/>
  <c r="AZ198" i="5"/>
  <c r="AU198" i="5"/>
  <c r="AS198" i="5"/>
  <c r="AQ198" i="5"/>
  <c r="AO198" i="5"/>
  <c r="AW198" i="5" s="1"/>
  <c r="AJ198" i="5"/>
  <c r="AR198" i="5" s="1"/>
  <c r="AG198" i="5"/>
  <c r="AD198" i="5" s="1"/>
  <c r="AF198" i="5"/>
  <c r="AB198" i="5"/>
  <c r="X198" i="5"/>
  <c r="T198" i="5"/>
  <c r="Y198" i="5" s="1"/>
  <c r="V198" i="5" s="1"/>
  <c r="P198" i="5"/>
  <c r="N198" i="5"/>
  <c r="M198" i="5"/>
  <c r="L198" i="5"/>
  <c r="CN196" i="5"/>
  <c r="CF196" i="5"/>
  <c r="CK196" i="5" s="1"/>
  <c r="CC196" i="5"/>
  <c r="BX196" i="5"/>
  <c r="BZ196" i="5" s="1"/>
  <c r="CB196" i="5" s="1"/>
  <c r="BT196" i="5"/>
  <c r="BP196" i="5"/>
  <c r="BU196" i="5" s="1"/>
  <c r="BR196" i="5" s="1"/>
  <c r="BK196" i="5"/>
  <c r="BI196" i="5"/>
  <c r="BG196" i="5"/>
  <c r="AZ196" i="5"/>
  <c r="BH196" i="5" s="1"/>
  <c r="AU196" i="5"/>
  <c r="AS196" i="5"/>
  <c r="AQ196" i="5"/>
  <c r="AO196" i="5"/>
  <c r="AW196" i="5" s="1"/>
  <c r="AJ196" i="5"/>
  <c r="AR196" i="5" s="1"/>
  <c r="AG196" i="5"/>
  <c r="AD196" i="5" s="1"/>
  <c r="AF196" i="5"/>
  <c r="CN197" i="5"/>
  <c r="CS197" i="5" s="1"/>
  <c r="CF197" i="5"/>
  <c r="CH197" i="5" s="1"/>
  <c r="CJ197" i="5" s="1"/>
  <c r="CC197" i="5"/>
  <c r="BX197" i="5"/>
  <c r="BZ197" i="5" s="1"/>
  <c r="CB197" i="5" s="1"/>
  <c r="BT197" i="5"/>
  <c r="BP197" i="5"/>
  <c r="BU197" i="5" s="1"/>
  <c r="BR197" i="5" s="1"/>
  <c r="BK197" i="5"/>
  <c r="BI197" i="5"/>
  <c r="BG197" i="5"/>
  <c r="AZ197" i="5"/>
  <c r="BE197" i="5" s="1"/>
  <c r="BM197" i="5" s="1"/>
  <c r="AU197" i="5"/>
  <c r="AS197" i="5"/>
  <c r="AQ197" i="5"/>
  <c r="AO197" i="5"/>
  <c r="AW197" i="5" s="1"/>
  <c r="AJ197" i="5"/>
  <c r="AR197" i="5" s="1"/>
  <c r="AG197" i="5"/>
  <c r="AD197" i="5" s="1"/>
  <c r="AF197" i="5"/>
  <c r="AB197" i="5"/>
  <c r="X197" i="5"/>
  <c r="T197" i="5"/>
  <c r="Y197" i="5" s="1"/>
  <c r="V197" i="5" s="1"/>
  <c r="P197" i="5"/>
  <c r="N197" i="5"/>
  <c r="M197" i="5"/>
  <c r="L197" i="5"/>
  <c r="CQ192" i="5"/>
  <c r="CO192" i="5"/>
  <c r="CM192" i="5"/>
  <c r="CI192" i="5"/>
  <c r="CG192" i="5"/>
  <c r="CE192" i="5"/>
  <c r="CD192" i="5"/>
  <c r="BY192" i="5"/>
  <c r="BW192" i="5"/>
  <c r="BV192" i="5"/>
  <c r="BU192" i="5"/>
  <c r="BQ192" i="5"/>
  <c r="CQ191" i="5"/>
  <c r="CO191" i="5"/>
  <c r="CM191" i="5"/>
  <c r="CI191" i="5"/>
  <c r="CG191" i="5"/>
  <c r="CE191" i="5"/>
  <c r="CD191" i="5"/>
  <c r="BY191" i="5"/>
  <c r="BW191" i="5"/>
  <c r="BV191" i="5"/>
  <c r="BU191" i="5"/>
  <c r="BQ191" i="5"/>
  <c r="CQ189" i="5"/>
  <c r="CO189" i="5"/>
  <c r="CM189" i="5"/>
  <c r="CI189" i="5"/>
  <c r="CG189" i="5"/>
  <c r="CE189" i="5"/>
  <c r="CD189" i="5"/>
  <c r="CA189" i="5"/>
  <c r="BY189" i="5"/>
  <c r="BW189" i="5"/>
  <c r="BV189" i="5"/>
  <c r="BU189" i="5"/>
  <c r="BQ189" i="5"/>
  <c r="BO189" i="5"/>
  <c r="BN189" i="5"/>
  <c r="BM189" i="5"/>
  <c r="BI189" i="5"/>
  <c r="CN188" i="5"/>
  <c r="CF188" i="5"/>
  <c r="CC188" i="5"/>
  <c r="CC192" i="5" s="1"/>
  <c r="BX188" i="5"/>
  <c r="BZ188" i="5" s="1"/>
  <c r="BS188" i="5"/>
  <c r="BR188" i="5"/>
  <c r="BT188" i="5" s="1"/>
  <c r="BK188" i="5"/>
  <c r="BJ188" i="5"/>
  <c r="BL188" i="5" s="1"/>
  <c r="CN187" i="5"/>
  <c r="I6" i="13" s="1"/>
  <c r="CF187" i="5"/>
  <c r="CK187" i="5" s="1"/>
  <c r="CC187" i="5"/>
  <c r="CC191" i="5" s="1"/>
  <c r="BX187" i="5"/>
  <c r="BS187" i="5"/>
  <c r="BR187" i="5"/>
  <c r="BK187" i="5"/>
  <c r="BJ187" i="5"/>
  <c r="BL187" i="5" s="1"/>
  <c r="CQ184" i="5"/>
  <c r="CO184" i="5"/>
  <c r="CM184" i="5"/>
  <c r="CI184" i="5"/>
  <c r="CG184" i="5"/>
  <c r="CE184" i="5"/>
  <c r="CD184" i="5"/>
  <c r="BY184" i="5"/>
  <c r="BW184" i="5"/>
  <c r="BV184" i="5"/>
  <c r="BU184" i="5"/>
  <c r="BQ184" i="5"/>
  <c r="BO184" i="5"/>
  <c r="CQ183" i="5"/>
  <c r="CO183" i="5"/>
  <c r="CM183" i="5"/>
  <c r="CI183" i="5"/>
  <c r="CG183" i="5"/>
  <c r="CE183" i="5"/>
  <c r="CD183" i="5"/>
  <c r="BY183" i="5"/>
  <c r="BW183" i="5"/>
  <c r="BV183" i="5"/>
  <c r="BU183" i="5"/>
  <c r="BQ183" i="5"/>
  <c r="BO183" i="5"/>
  <c r="CQ181" i="5"/>
  <c r="CO181" i="5"/>
  <c r="CM181" i="5"/>
  <c r="CI181" i="5"/>
  <c r="CG181" i="5"/>
  <c r="CE181" i="5"/>
  <c r="CD181" i="5"/>
  <c r="CA181" i="5"/>
  <c r="BY181" i="5"/>
  <c r="BW181" i="5"/>
  <c r="BV181" i="5"/>
  <c r="BU181" i="5"/>
  <c r="BQ181" i="5"/>
  <c r="BO181" i="5"/>
  <c r="BN181" i="5"/>
  <c r="BM181" i="5"/>
  <c r="BI181" i="5"/>
  <c r="BG181" i="5"/>
  <c r="CN180" i="5"/>
  <c r="X12" i="12" s="1"/>
  <c r="CF180" i="5"/>
  <c r="CK180" i="5" s="1"/>
  <c r="CC180" i="5"/>
  <c r="CC184" i="5" s="1"/>
  <c r="BX180" i="5"/>
  <c r="BZ180" i="5" s="1"/>
  <c r="BS180" i="5"/>
  <c r="CA184" i="5" s="1"/>
  <c r="BR180" i="5"/>
  <c r="BK180" i="5"/>
  <c r="BH180" i="5" s="1"/>
  <c r="BJ180" i="5"/>
  <c r="BL180" i="5" s="1"/>
  <c r="CN179" i="5"/>
  <c r="X7" i="12" s="1"/>
  <c r="CF179" i="5"/>
  <c r="CK179" i="5" s="1"/>
  <c r="CC179" i="5"/>
  <c r="CC183" i="5" s="1"/>
  <c r="BX179" i="5"/>
  <c r="BZ179" i="5" s="1"/>
  <c r="BS179" i="5"/>
  <c r="BR179" i="5"/>
  <c r="BK179" i="5"/>
  <c r="BJ179" i="5"/>
  <c r="BL179" i="5" s="1"/>
  <c r="CI170" i="5"/>
  <c r="CE170" i="5"/>
  <c r="CD170" i="5"/>
  <c r="CA170" i="5"/>
  <c r="BY170" i="5"/>
  <c r="BW170" i="5"/>
  <c r="BV170" i="5"/>
  <c r="BU170" i="5"/>
  <c r="BQ170" i="5"/>
  <c r="BO170" i="5"/>
  <c r="CI166" i="5"/>
  <c r="CE166" i="5"/>
  <c r="CD166" i="5"/>
  <c r="CD173" i="5" s="1"/>
  <c r="CA166" i="5"/>
  <c r="BW166" i="5"/>
  <c r="BV166" i="5"/>
  <c r="BU166" i="5"/>
  <c r="BO166" i="5"/>
  <c r="CI165" i="5"/>
  <c r="CE165" i="5"/>
  <c r="CD165" i="5"/>
  <c r="CA165" i="5"/>
  <c r="BW165" i="5"/>
  <c r="BV165" i="5"/>
  <c r="BU165" i="5"/>
  <c r="BO165" i="5"/>
  <c r="DA163" i="5"/>
  <c r="CY163" i="5"/>
  <c r="CW163" i="5"/>
  <c r="CU163" i="5"/>
  <c r="CP163" i="5"/>
  <c r="CO163" i="5"/>
  <c r="CO166" i="5" s="1"/>
  <c r="CO176" i="5" s="1"/>
  <c r="CN163" i="5"/>
  <c r="CM163" i="5"/>
  <c r="CM166" i="5" s="1"/>
  <c r="CC163" i="5"/>
  <c r="CQ160" i="5"/>
  <c r="CO160" i="5"/>
  <c r="CM160" i="5"/>
  <c r="CI160" i="5"/>
  <c r="CG160" i="5"/>
  <c r="CE160" i="5"/>
  <c r="CD160" i="5"/>
  <c r="BY160" i="5"/>
  <c r="BW160" i="5"/>
  <c r="BV160" i="5"/>
  <c r="BU160" i="5"/>
  <c r="BQ160" i="5"/>
  <c r="BO160" i="5"/>
  <c r="CQ159" i="5"/>
  <c r="CO159" i="5"/>
  <c r="CM159" i="5"/>
  <c r="CI159" i="5"/>
  <c r="CG159" i="5"/>
  <c r="CE159" i="5"/>
  <c r="CD159" i="5"/>
  <c r="BY159" i="5"/>
  <c r="BW159" i="5"/>
  <c r="BV159" i="5"/>
  <c r="BU159" i="5"/>
  <c r="BQ159" i="5"/>
  <c r="BO159" i="5"/>
  <c r="CQ158" i="5"/>
  <c r="CO158" i="5"/>
  <c r="CM158" i="5"/>
  <c r="CI158" i="5"/>
  <c r="CI167" i="5" s="1"/>
  <c r="CG158" i="5"/>
  <c r="CE158" i="5"/>
  <c r="CE167" i="5" s="1"/>
  <c r="CD158" i="5"/>
  <c r="CA158" i="5"/>
  <c r="CA167" i="5" s="1"/>
  <c r="BY158" i="5"/>
  <c r="BW158" i="5"/>
  <c r="BV158" i="5"/>
  <c r="BV167" i="5" s="1"/>
  <c r="BU158" i="5"/>
  <c r="BU167" i="5" s="1"/>
  <c r="BQ158" i="5"/>
  <c r="BO158" i="5"/>
  <c r="BN158" i="5"/>
  <c r="BM158" i="5"/>
  <c r="BI158" i="5"/>
  <c r="BG158" i="5"/>
  <c r="CN157" i="5"/>
  <c r="CS157" i="5" s="1"/>
  <c r="CF157" i="5"/>
  <c r="CF166" i="5" s="1"/>
  <c r="CC157" i="5"/>
  <c r="BX157" i="5"/>
  <c r="BX166" i="5" s="1"/>
  <c r="BS157" i="5"/>
  <c r="BP157" i="5" s="1"/>
  <c r="BR157" i="5"/>
  <c r="BT157" i="5" s="1"/>
  <c r="BK157" i="5"/>
  <c r="BH157" i="5" s="1"/>
  <c r="BJ157" i="5"/>
  <c r="BL157" i="5" s="1"/>
  <c r="CN156" i="5"/>
  <c r="CF156" i="5"/>
  <c r="CF170" i="5" s="1"/>
  <c r="CC156" i="5"/>
  <c r="BX156" i="5"/>
  <c r="BS156" i="5"/>
  <c r="BR156" i="5"/>
  <c r="BK156" i="5"/>
  <c r="BH156" i="5" s="1"/>
  <c r="BJ156" i="5"/>
  <c r="BL156" i="5" s="1"/>
  <c r="BO151" i="5"/>
  <c r="BC151" i="5"/>
  <c r="BA151" i="5"/>
  <c r="AY151" i="5"/>
  <c r="AM151" i="5"/>
  <c r="AI151" i="5"/>
  <c r="AH151" i="5"/>
  <c r="AC151" i="5"/>
  <c r="AA151" i="5"/>
  <c r="Z151" i="5"/>
  <c r="Y151" i="5"/>
  <c r="U151" i="5"/>
  <c r="S151" i="5"/>
  <c r="BO150" i="5"/>
  <c r="BC150" i="5"/>
  <c r="BA150" i="5"/>
  <c r="AY150" i="5"/>
  <c r="AM150" i="5"/>
  <c r="AI150" i="5"/>
  <c r="AH150" i="5"/>
  <c r="AC150" i="5"/>
  <c r="AA150" i="5"/>
  <c r="Z150" i="5"/>
  <c r="Y150" i="5"/>
  <c r="U150" i="5"/>
  <c r="S150" i="5"/>
  <c r="BO148" i="5"/>
  <c r="BC148" i="5"/>
  <c r="BA148" i="5"/>
  <c r="AY148" i="5"/>
  <c r="AU148" i="5"/>
  <c r="AS148" i="5"/>
  <c r="AQ148" i="5"/>
  <c r="AO148" i="5"/>
  <c r="AM148" i="5"/>
  <c r="AI148" i="5"/>
  <c r="AH148" i="5"/>
  <c r="AE148" i="5"/>
  <c r="AC148" i="5"/>
  <c r="AA148" i="5"/>
  <c r="Z148" i="5"/>
  <c r="Y148" i="5"/>
  <c r="U148" i="5"/>
  <c r="S148" i="5"/>
  <c r="R148" i="5"/>
  <c r="Q148" i="5"/>
  <c r="M148" i="5"/>
  <c r="K148" i="5"/>
  <c r="AZ147" i="5"/>
  <c r="AR147" i="5"/>
  <c r="AK147" i="5"/>
  <c r="AK151" i="5" s="1"/>
  <c r="AJ147" i="5"/>
  <c r="AG147" i="5"/>
  <c r="AD147" i="5" s="1"/>
  <c r="AF147" i="5"/>
  <c r="AB147" i="5"/>
  <c r="W147" i="5"/>
  <c r="V147" i="5"/>
  <c r="O147" i="5"/>
  <c r="P147" i="5" s="1"/>
  <c r="N147" i="5"/>
  <c r="AZ146" i="5"/>
  <c r="AR146" i="5"/>
  <c r="AK146" i="5"/>
  <c r="AK150" i="5" s="1"/>
  <c r="AJ146" i="5"/>
  <c r="AG146" i="5"/>
  <c r="AO150" i="5" s="1"/>
  <c r="AF146" i="5"/>
  <c r="AB146" i="5"/>
  <c r="W146" i="5"/>
  <c r="X146" i="5" s="1"/>
  <c r="V146" i="5"/>
  <c r="O146" i="5"/>
  <c r="L146" i="5" s="1"/>
  <c r="N146" i="5"/>
  <c r="CB144" i="5"/>
  <c r="BT144" i="5"/>
  <c r="BN144" i="5"/>
  <c r="BM144" i="5"/>
  <c r="BK144" i="5"/>
  <c r="BJ144" i="5"/>
  <c r="BI144" i="5"/>
  <c r="BH144" i="5"/>
  <c r="BG144" i="5"/>
  <c r="BD144" i="5"/>
  <c r="BL144" i="5" s="1"/>
  <c r="AF144" i="5"/>
  <c r="X144" i="5"/>
  <c r="V144" i="5"/>
  <c r="BO141" i="5"/>
  <c r="BC141" i="5"/>
  <c r="BA141" i="5"/>
  <c r="AY141" i="5"/>
  <c r="AM141" i="5"/>
  <c r="AI141" i="5"/>
  <c r="AH141" i="5"/>
  <c r="AE141" i="5"/>
  <c r="AC141" i="5"/>
  <c r="AA141" i="5"/>
  <c r="Z141" i="5"/>
  <c r="W141" i="5"/>
  <c r="U141" i="5"/>
  <c r="S141" i="5"/>
  <c r="BO140" i="5"/>
  <c r="BC140" i="5"/>
  <c r="BA140" i="5"/>
  <c r="AY140" i="5"/>
  <c r="AM140" i="5"/>
  <c r="AI140" i="5"/>
  <c r="AH140" i="5"/>
  <c r="AE140" i="5"/>
  <c r="AC140" i="5"/>
  <c r="AA140" i="5"/>
  <c r="Z140" i="5"/>
  <c r="W140" i="5"/>
  <c r="U140" i="5"/>
  <c r="S140" i="5"/>
  <c r="BO138" i="5"/>
  <c r="BC138" i="5"/>
  <c r="BA138" i="5"/>
  <c r="AY138" i="5"/>
  <c r="AU138" i="5"/>
  <c r="AS138" i="5"/>
  <c r="AQ138" i="5"/>
  <c r="AO138" i="5"/>
  <c r="AM138" i="5"/>
  <c r="AI138" i="5"/>
  <c r="AH138" i="5"/>
  <c r="AE138" i="5"/>
  <c r="AC138" i="5"/>
  <c r="AA138" i="5"/>
  <c r="Z138" i="5"/>
  <c r="W138" i="5"/>
  <c r="U138" i="5"/>
  <c r="S138" i="5"/>
  <c r="R138" i="5"/>
  <c r="O138" i="5"/>
  <c r="M138" i="5"/>
  <c r="K138" i="5"/>
  <c r="BE137" i="5"/>
  <c r="AZ137" i="5"/>
  <c r="AW137" i="5"/>
  <c r="AR137" i="5"/>
  <c r="AK137" i="5"/>
  <c r="AK141" i="5" s="1"/>
  <c r="AJ137" i="5"/>
  <c r="AG137" i="5"/>
  <c r="AO141" i="5" s="1"/>
  <c r="AF137" i="5"/>
  <c r="AB137" i="5"/>
  <c r="Y137" i="5"/>
  <c r="V137" i="5" s="1"/>
  <c r="X137" i="5"/>
  <c r="T137" i="5"/>
  <c r="Q137" i="5"/>
  <c r="N137" i="5" s="1"/>
  <c r="P137" i="5"/>
  <c r="L137" i="5"/>
  <c r="AZ136" i="5"/>
  <c r="AW136" i="5"/>
  <c r="AR136" i="5"/>
  <c r="AK136" i="5"/>
  <c r="AK140" i="5" s="1"/>
  <c r="AJ136" i="5"/>
  <c r="AG136" i="5"/>
  <c r="AF136" i="5"/>
  <c r="AB136" i="5"/>
  <c r="Y136" i="5"/>
  <c r="X136" i="5"/>
  <c r="T136" i="5"/>
  <c r="Q136" i="5"/>
  <c r="P136" i="5"/>
  <c r="L136" i="5"/>
  <c r="DA131" i="5"/>
  <c r="DI132" i="5" s="1"/>
  <c r="CY131" i="5"/>
  <c r="DG132" i="5" s="1"/>
  <c r="CW131" i="5"/>
  <c r="DE132" i="5" s="1"/>
  <c r="CU131" i="5"/>
  <c r="DC132" i="5" s="1"/>
  <c r="CR131" i="5"/>
  <c r="CQ131" i="5"/>
  <c r="CP131" i="5"/>
  <c r="CO131" i="5"/>
  <c r="CN131" i="5"/>
  <c r="CM131" i="5"/>
  <c r="CK131" i="5"/>
  <c r="CI131" i="5"/>
  <c r="CH131" i="5"/>
  <c r="CG131" i="5"/>
  <c r="CF131" i="5"/>
  <c r="CE131" i="5"/>
  <c r="CA131" i="5"/>
  <c r="BZ131" i="5"/>
  <c r="BY131" i="5"/>
  <c r="BW131" i="5"/>
  <c r="BU131" i="5"/>
  <c r="BQ131" i="5"/>
  <c r="BP131" i="5"/>
  <c r="BO131" i="5"/>
  <c r="BF131" i="5"/>
  <c r="BE131" i="5"/>
  <c r="BC131" i="5"/>
  <c r="BK131" i="5" s="1"/>
  <c r="BA131" i="5"/>
  <c r="AZ131" i="5"/>
  <c r="AY131" i="5"/>
  <c r="AP131" i="5"/>
  <c r="AO131" i="5"/>
  <c r="AM131" i="5"/>
  <c r="AL131" i="5"/>
  <c r="AK131" i="5"/>
  <c r="AJ131" i="5"/>
  <c r="AI131" i="5"/>
  <c r="U131" i="5"/>
  <c r="DA128" i="5"/>
  <c r="DI129" i="5" s="1"/>
  <c r="CY128" i="5"/>
  <c r="DG129" i="5" s="1"/>
  <c r="CW128" i="5"/>
  <c r="DE129" i="5" s="1"/>
  <c r="CU128" i="5"/>
  <c r="DC129" i="5" s="1"/>
  <c r="CQ128" i="5"/>
  <c r="CP128" i="5"/>
  <c r="CO128" i="5"/>
  <c r="CN128" i="5"/>
  <c r="CM128" i="5"/>
  <c r="CI128" i="5"/>
  <c r="CG128" i="5"/>
  <c r="CF128" i="5"/>
  <c r="CE128" i="5"/>
  <c r="CA128" i="5"/>
  <c r="BZ128" i="5"/>
  <c r="BY128" i="5"/>
  <c r="BW128" i="5"/>
  <c r="BU128" i="5"/>
  <c r="BO128" i="5"/>
  <c r="BC128" i="5"/>
  <c r="BK128" i="5" s="1"/>
  <c r="AZ128" i="5"/>
  <c r="BH128" i="5" s="1"/>
  <c r="AY128" i="5"/>
  <c r="BG128" i="5" s="1"/>
  <c r="DA127" i="5"/>
  <c r="CY127" i="5"/>
  <c r="CW127" i="5"/>
  <c r="CU127" i="5"/>
  <c r="CQ127" i="5"/>
  <c r="CP127" i="5"/>
  <c r="CO127" i="5"/>
  <c r="CN127" i="5"/>
  <c r="CM127" i="5"/>
  <c r="CI127" i="5"/>
  <c r="CG127" i="5"/>
  <c r="CG163" i="5" s="1"/>
  <c r="CF127" i="5"/>
  <c r="CE127" i="5"/>
  <c r="CA127" i="5"/>
  <c r="BZ127" i="5"/>
  <c r="BY127" i="5"/>
  <c r="BW127" i="5"/>
  <c r="BU127" i="5"/>
  <c r="BO127" i="5"/>
  <c r="BC127" i="5"/>
  <c r="BK127" i="5" s="1"/>
  <c r="AZ127" i="5"/>
  <c r="BH127" i="5" s="1"/>
  <c r="AY127" i="5"/>
  <c r="BG127" i="5" s="1"/>
  <c r="AP127" i="5"/>
  <c r="AP128" i="5" s="1"/>
  <c r="AO127" i="5"/>
  <c r="AO128" i="5" s="1"/>
  <c r="AM127" i="5"/>
  <c r="AM128" i="5" s="1"/>
  <c r="AK127" i="5"/>
  <c r="AK128" i="5" s="1"/>
  <c r="AJ127" i="5"/>
  <c r="AJ128" i="5" s="1"/>
  <c r="AI127" i="5"/>
  <c r="AI128" i="5" s="1"/>
  <c r="U127" i="5"/>
  <c r="U128" i="5" s="1"/>
  <c r="BP125" i="5"/>
  <c r="BQ125" i="5" s="1"/>
  <c r="BR125" i="5" s="1"/>
  <c r="BS125" i="5" s="1"/>
  <c r="BK125" i="5"/>
  <c r="BH125" i="5"/>
  <c r="BG125" i="5"/>
  <c r="BD125" i="5"/>
  <c r="BE125" i="5" s="1"/>
  <c r="BM125" i="5" s="1"/>
  <c r="BA125" i="5"/>
  <c r="BI125" i="5" s="1"/>
  <c r="AX125" i="5"/>
  <c r="AW125" i="5"/>
  <c r="AU125" i="5"/>
  <c r="AS125" i="5"/>
  <c r="AR125" i="5"/>
  <c r="AQ125" i="5"/>
  <c r="AF125" i="5"/>
  <c r="CN124" i="5"/>
  <c r="CK124" i="5"/>
  <c r="CJ124" i="5"/>
  <c r="CH124" i="5"/>
  <c r="CG124" i="5"/>
  <c r="CF124" i="5"/>
  <c r="CD124" i="5"/>
  <c r="CA124" i="5"/>
  <c r="BT124" i="5"/>
  <c r="BS124" i="5"/>
  <c r="BN124" i="5"/>
  <c r="BM124" i="5"/>
  <c r="BK124" i="5"/>
  <c r="BI124" i="5"/>
  <c r="BH124" i="5"/>
  <c r="BG124" i="5"/>
  <c r="BD124" i="5"/>
  <c r="BL124" i="5" s="1"/>
  <c r="BB124" i="5"/>
  <c r="BJ124" i="5" s="1"/>
  <c r="AU124" i="5"/>
  <c r="AR124" i="5"/>
  <c r="AQ124" i="5"/>
  <c r="AO124" i="5"/>
  <c r="AW124" i="5" s="1"/>
  <c r="AL124" i="5"/>
  <c r="AT124" i="5" s="1"/>
  <c r="AK124" i="5"/>
  <c r="AS124" i="5" s="1"/>
  <c r="AF124" i="5"/>
  <c r="CT123" i="5"/>
  <c r="CT131" i="5" s="1"/>
  <c r="CS123" i="5"/>
  <c r="CS131" i="5" s="1"/>
  <c r="CB123" i="5"/>
  <c r="CB131" i="5" s="1"/>
  <c r="BX123" i="5"/>
  <c r="CC123" i="5" s="1"/>
  <c r="BS123" i="5"/>
  <c r="BS131" i="5" s="1"/>
  <c r="BR123" i="5"/>
  <c r="BR131" i="5" s="1"/>
  <c r="BN123" i="5"/>
  <c r="BM123" i="5"/>
  <c r="BK123" i="5"/>
  <c r="BI123" i="5"/>
  <c r="BH123" i="5"/>
  <c r="BG123" i="5"/>
  <c r="BB123" i="5"/>
  <c r="BB131" i="5" s="1"/>
  <c r="AX123" i="5"/>
  <c r="AW123" i="5"/>
  <c r="AU123" i="5"/>
  <c r="AT123" i="5"/>
  <c r="AS123" i="5"/>
  <c r="AR123" i="5"/>
  <c r="AQ123" i="5"/>
  <c r="AN123" i="5"/>
  <c r="AF123" i="5"/>
  <c r="BK117" i="5"/>
  <c r="CY112" i="5"/>
  <c r="CQ112" i="5"/>
  <c r="BK112" i="5"/>
  <c r="AM112" i="5"/>
  <c r="AE112" i="5"/>
  <c r="W112" i="5"/>
  <c r="R112" i="5"/>
  <c r="O112" i="5"/>
  <c r="J112" i="5"/>
  <c r="H112" i="5" s="1"/>
  <c r="CR111" i="5"/>
  <c r="BS111" i="5"/>
  <c r="BN111" i="5"/>
  <c r="BL111" i="5"/>
  <c r="BK111" i="5"/>
  <c r="AF111" i="5"/>
  <c r="X111" i="5"/>
  <c r="P111" i="5"/>
  <c r="CR110" i="5"/>
  <c r="BS110" i="5"/>
  <c r="BN110" i="5"/>
  <c r="BL110" i="5"/>
  <c r="BK110" i="5"/>
  <c r="X110" i="5"/>
  <c r="P110" i="5"/>
  <c r="BK109" i="5"/>
  <c r="P109" i="5"/>
  <c r="H109" i="5"/>
  <c r="AH107" i="5"/>
  <c r="CR106" i="5"/>
  <c r="CJ106" i="5"/>
  <c r="CB106" i="5"/>
  <c r="BT106" i="5"/>
  <c r="BD106" i="5"/>
  <c r="P103" i="5"/>
  <c r="P318" i="5" s="1"/>
  <c r="H103" i="5"/>
  <c r="P102" i="5"/>
  <c r="H102" i="5"/>
  <c r="CY98" i="5"/>
  <c r="CQ98" i="5"/>
  <c r="BK98" i="5"/>
  <c r="AM98" i="5"/>
  <c r="AE98" i="5"/>
  <c r="W98" i="5"/>
  <c r="R98" i="5"/>
  <c r="H98" i="5"/>
  <c r="CR97" i="5"/>
  <c r="BN97" i="5"/>
  <c r="BL97" i="5"/>
  <c r="BK97" i="5"/>
  <c r="AF97" i="5"/>
  <c r="X97" i="5"/>
  <c r="P97" i="5"/>
  <c r="CR96" i="5"/>
  <c r="BN96" i="5"/>
  <c r="BL96" i="5"/>
  <c r="BK96" i="5"/>
  <c r="AF96" i="5"/>
  <c r="X96" i="5"/>
  <c r="P96" i="5"/>
  <c r="CR95" i="5"/>
  <c r="BN95" i="5"/>
  <c r="BL95" i="5"/>
  <c r="BK95" i="5"/>
  <c r="AF95" i="5"/>
  <c r="X95" i="5"/>
  <c r="P95" i="5"/>
  <c r="BK94" i="5"/>
  <c r="O94" i="5"/>
  <c r="O315" i="5" s="1"/>
  <c r="H94" i="5"/>
  <c r="CI89" i="5"/>
  <c r="CA89" i="5"/>
  <c r="BS89" i="5"/>
  <c r="BC89" i="5"/>
  <c r="BK89" i="5" s="1"/>
  <c r="AU89" i="5"/>
  <c r="G89" i="5"/>
  <c r="CY88" i="5"/>
  <c r="CQ88" i="5"/>
  <c r="CI88" i="5"/>
  <c r="CA88" i="5"/>
  <c r="BS88" i="5"/>
  <c r="BC88" i="5"/>
  <c r="AU88" i="5"/>
  <c r="AM88" i="5"/>
  <c r="AE88" i="5"/>
  <c r="W88" i="5"/>
  <c r="R88" i="5"/>
  <c r="O88" i="5"/>
  <c r="J88" i="5"/>
  <c r="G88" i="5"/>
  <c r="BK86" i="5"/>
  <c r="P86" i="5"/>
  <c r="H86" i="5"/>
  <c r="CY84" i="5"/>
  <c r="CY89" i="5" s="1"/>
  <c r="CQ84" i="5"/>
  <c r="CQ89" i="5" s="1"/>
  <c r="CJ84" i="5"/>
  <c r="CB84" i="5"/>
  <c r="BT84" i="5"/>
  <c r="BN84" i="5"/>
  <c r="BK84" i="5"/>
  <c r="AM84" i="5"/>
  <c r="AM89" i="5" s="1"/>
  <c r="AE84" i="5"/>
  <c r="AE89" i="5" s="1"/>
  <c r="W84" i="5"/>
  <c r="W89" i="5" s="1"/>
  <c r="R84" i="5"/>
  <c r="R89" i="5" s="1"/>
  <c r="O84" i="5"/>
  <c r="O89" i="5" s="1"/>
  <c r="J84" i="5"/>
  <c r="H84" i="5" s="1"/>
  <c r="CR83" i="5"/>
  <c r="BN83" i="5"/>
  <c r="BL83" i="5"/>
  <c r="BK83" i="5"/>
  <c r="AF83" i="5"/>
  <c r="X83" i="5"/>
  <c r="P83" i="5"/>
  <c r="CR82" i="5"/>
  <c r="BN82" i="5"/>
  <c r="BL82" i="5"/>
  <c r="BK82" i="5"/>
  <c r="AF82" i="5"/>
  <c r="X82" i="5"/>
  <c r="P82" i="5"/>
  <c r="BK81" i="5"/>
  <c r="P81" i="5"/>
  <c r="H81" i="5"/>
  <c r="BK79" i="5"/>
  <c r="P79" i="5"/>
  <c r="H79" i="5"/>
  <c r="BN78" i="5"/>
  <c r="BL78" i="5"/>
  <c r="BK78" i="5"/>
  <c r="AU77" i="5"/>
  <c r="CY74" i="5"/>
  <c r="CQ74" i="5"/>
  <c r="BK74" i="5"/>
  <c r="AM74" i="5"/>
  <c r="AE74" i="5"/>
  <c r="W74" i="5"/>
  <c r="H74" i="5"/>
  <c r="CR73" i="5"/>
  <c r="CJ73" i="5"/>
  <c r="CB73" i="5"/>
  <c r="BT73" i="5"/>
  <c r="BN73" i="5"/>
  <c r="BL73" i="5"/>
  <c r="BK73" i="5"/>
  <c r="AN73" i="5"/>
  <c r="AF73" i="5"/>
  <c r="X73" i="5"/>
  <c r="CR72" i="5"/>
  <c r="CJ72" i="5"/>
  <c r="CB72" i="5"/>
  <c r="BT72" i="5"/>
  <c r="BN72" i="5"/>
  <c r="BL72" i="5"/>
  <c r="BK72" i="5"/>
  <c r="AN72" i="5"/>
  <c r="X72" i="5"/>
  <c r="BK71" i="5"/>
  <c r="P71" i="5"/>
  <c r="H71" i="5"/>
  <c r="AE66" i="5"/>
  <c r="W66" i="5"/>
  <c r="R66" i="5"/>
  <c r="BC65" i="5"/>
  <c r="AM65" i="5"/>
  <c r="AE65" i="5"/>
  <c r="W65" i="5"/>
  <c r="R65" i="5"/>
  <c r="BC64" i="5"/>
  <c r="BC63" i="5"/>
  <c r="AM63" i="5"/>
  <c r="AE63" i="5"/>
  <c r="W63" i="5"/>
  <c r="R63" i="5"/>
  <c r="CQ62" i="5"/>
  <c r="CI62" i="5"/>
  <c r="CA62" i="5"/>
  <c r="CQ61" i="5"/>
  <c r="CI61" i="5"/>
  <c r="CA61" i="5"/>
  <c r="CQ60" i="5"/>
  <c r="CI60" i="5"/>
  <c r="CA60" i="5"/>
  <c r="BC60" i="5"/>
  <c r="AM60" i="5"/>
  <c r="AE60" i="5"/>
  <c r="W60" i="5"/>
  <c r="R60" i="5"/>
  <c r="CK58" i="5"/>
  <c r="P58" i="5"/>
  <c r="H58" i="5"/>
  <c r="P57" i="5"/>
  <c r="H57" i="5"/>
  <c r="P56" i="5"/>
  <c r="H56" i="5"/>
  <c r="P54" i="5"/>
  <c r="H54" i="5"/>
  <c r="P51" i="5"/>
  <c r="H51" i="5"/>
  <c r="CY50" i="5"/>
  <c r="CQ50" i="5"/>
  <c r="CI50" i="5"/>
  <c r="AU50" i="5"/>
  <c r="AU76" i="5" s="1"/>
  <c r="CY48" i="5"/>
  <c r="CY316" i="5" s="1"/>
  <c r="CQ48" i="5"/>
  <c r="CQ316" i="5" s="1"/>
  <c r="BK48" i="5"/>
  <c r="AM48" i="5"/>
  <c r="W48" i="5"/>
  <c r="R48" i="5"/>
  <c r="O48" i="5"/>
  <c r="J48" i="5"/>
  <c r="G48" i="5"/>
  <c r="CR47" i="5"/>
  <c r="BS47" i="5"/>
  <c r="BN47" i="5"/>
  <c r="BL47" i="5"/>
  <c r="BK47" i="5"/>
  <c r="AF47" i="5"/>
  <c r="BK46" i="5"/>
  <c r="P46" i="5"/>
  <c r="P48" i="5" s="1"/>
  <c r="H46" i="5"/>
  <c r="H48" i="5" s="1"/>
  <c r="CY44" i="5"/>
  <c r="CQ44" i="5"/>
  <c r="BK44" i="5"/>
  <c r="AM44" i="5"/>
  <c r="AE44" i="5"/>
  <c r="W44" i="5"/>
  <c r="R44" i="5"/>
  <c r="J44" i="5"/>
  <c r="G44" i="5"/>
  <c r="CZ43" i="5"/>
  <c r="CR43" i="5"/>
  <c r="CI43" i="5"/>
  <c r="CA43" i="5"/>
  <c r="BN43" i="5"/>
  <c r="BL43" i="5"/>
  <c r="BK43" i="5"/>
  <c r="AF43" i="5"/>
  <c r="X43" i="5"/>
  <c r="P43" i="5"/>
  <c r="CZ42" i="5"/>
  <c r="CR42" i="5"/>
  <c r="CI42" i="5"/>
  <c r="CA42" i="5"/>
  <c r="BN42" i="5"/>
  <c r="BL42" i="5"/>
  <c r="BK42" i="5"/>
  <c r="AF42" i="5"/>
  <c r="X42" i="5"/>
  <c r="P42" i="5"/>
  <c r="CZ41" i="5"/>
  <c r="CR41" i="5"/>
  <c r="BN41" i="5"/>
  <c r="BL41" i="5"/>
  <c r="BK41" i="5"/>
  <c r="AF41" i="5"/>
  <c r="X41" i="5"/>
  <c r="P41" i="5"/>
  <c r="CZ40" i="5"/>
  <c r="CR40" i="5"/>
  <c r="CI40" i="5"/>
  <c r="CA40" i="5"/>
  <c r="BN40" i="5"/>
  <c r="BL40" i="5"/>
  <c r="BK40" i="5"/>
  <c r="AF40" i="5"/>
  <c r="X40" i="5"/>
  <c r="P40" i="5"/>
  <c r="BK39" i="5"/>
  <c r="O39" i="5"/>
  <c r="P39" i="5" s="1"/>
  <c r="H39" i="5"/>
  <c r="CY37" i="5"/>
  <c r="AB36" i="5"/>
  <c r="AD36" i="5" s="1"/>
  <c r="X36" i="5"/>
  <c r="T36" i="5"/>
  <c r="AB35" i="5"/>
  <c r="AD35" i="5" s="1"/>
  <c r="X35" i="5"/>
  <c r="T35" i="5"/>
  <c r="V35" i="5" s="1"/>
  <c r="CW34" i="5"/>
  <c r="CU34" i="5"/>
  <c r="CO34" i="5"/>
  <c r="CM34" i="5"/>
  <c r="AB34" i="5"/>
  <c r="AD34" i="5" s="1"/>
  <c r="X34" i="5"/>
  <c r="T34" i="5"/>
  <c r="V34" i="5" s="1"/>
  <c r="AB33" i="5"/>
  <c r="AD33" i="5" s="1"/>
  <c r="X33" i="5"/>
  <c r="T33" i="5"/>
  <c r="V33" i="5" s="1"/>
  <c r="AB32" i="5"/>
  <c r="AD32" i="5" s="1"/>
  <c r="X32" i="5"/>
  <c r="T32" i="5"/>
  <c r="V32" i="5" s="1"/>
  <c r="AB30" i="5"/>
  <c r="AD30" i="5" s="1"/>
  <c r="X30" i="5"/>
  <c r="T30" i="5"/>
  <c r="V30" i="5" s="1"/>
  <c r="BO28" i="5"/>
  <c r="AB27" i="5"/>
  <c r="AD27" i="5" s="1"/>
  <c r="X27" i="5"/>
  <c r="T27" i="5"/>
  <c r="V27" i="5" s="1"/>
  <c r="AG23" i="5"/>
  <c r="AE23" i="5"/>
  <c r="AA23" i="5"/>
  <c r="Y23" i="5"/>
  <c r="S23" i="5"/>
  <c r="M23" i="5"/>
  <c r="L23" i="5"/>
  <c r="K23" i="5"/>
  <c r="BA22" i="5"/>
  <c r="AY22" i="5"/>
  <c r="AM22" i="5"/>
  <c r="AI22" i="5"/>
  <c r="AG22" i="5"/>
  <c r="AE22" i="5"/>
  <c r="AA22" i="5"/>
  <c r="Y22" i="5"/>
  <c r="S22" i="5"/>
  <c r="M22" i="5"/>
  <c r="L22" i="5"/>
  <c r="K22" i="5"/>
  <c r="BA20" i="5"/>
  <c r="AM20" i="5"/>
  <c r="AI20" i="5"/>
  <c r="AG20" i="5"/>
  <c r="AE20" i="5"/>
  <c r="AA20" i="5"/>
  <c r="Y20" i="5"/>
  <c r="S20" i="5"/>
  <c r="M20" i="5"/>
  <c r="L20" i="5"/>
  <c r="K20" i="5"/>
  <c r="CQ19" i="5"/>
  <c r="CO19" i="5"/>
  <c r="CM19" i="5"/>
  <c r="CI19" i="5"/>
  <c r="CG19" i="5"/>
  <c r="CE19" i="5"/>
  <c r="BY19" i="5"/>
  <c r="BW19" i="5"/>
  <c r="BQ19" i="5"/>
  <c r="BP19" i="5"/>
  <c r="BO19" i="5"/>
  <c r="CQ18" i="5"/>
  <c r="CO18" i="5"/>
  <c r="CM18" i="5"/>
  <c r="CI18" i="5"/>
  <c r="CG18" i="5"/>
  <c r="CE18" i="5"/>
  <c r="BY18" i="5"/>
  <c r="BW18" i="5"/>
  <c r="BQ18" i="5"/>
  <c r="BP18" i="5"/>
  <c r="BO18" i="5"/>
  <c r="CQ17" i="5"/>
  <c r="CO17" i="5"/>
  <c r="CM17" i="5"/>
  <c r="CI17" i="5"/>
  <c r="CG17" i="5"/>
  <c r="CE17" i="5"/>
  <c r="BY17" i="5"/>
  <c r="BW17" i="5"/>
  <c r="BQ17" i="5"/>
  <c r="BP17" i="5"/>
  <c r="BO17" i="5"/>
  <c r="BA17" i="5"/>
  <c r="AY17" i="5"/>
  <c r="AM17" i="5"/>
  <c r="AI17" i="5"/>
  <c r="AG17" i="5"/>
  <c r="AE17" i="5"/>
  <c r="AA17" i="5"/>
  <c r="Y17" i="5"/>
  <c r="S17" i="5"/>
  <c r="M17" i="5"/>
  <c r="L17" i="5"/>
  <c r="K17" i="5"/>
  <c r="CV12" i="5"/>
  <c r="DA12" i="5" s="1"/>
  <c r="CN12" i="5"/>
  <c r="CS12" i="5" s="1"/>
  <c r="CF12" i="5"/>
  <c r="CK12" i="5" s="1"/>
  <c r="BX12" i="5"/>
  <c r="CC12" i="5" s="1"/>
  <c r="BU12" i="5"/>
  <c r="BS12" i="5"/>
  <c r="BM12" i="5"/>
  <c r="BH12" i="5"/>
  <c r="BE12" i="5"/>
  <c r="AZ12" i="5"/>
  <c r="AJ12" i="5"/>
  <c r="AB12" i="5"/>
  <c r="U12" i="5"/>
  <c r="T12" i="5"/>
  <c r="P12" i="5"/>
  <c r="N12" i="5"/>
  <c r="L12" i="5"/>
  <c r="H12" i="5"/>
  <c r="F12" i="5"/>
  <c r="D12" i="5"/>
  <c r="CO11" i="5"/>
  <c r="CM11" i="5"/>
  <c r="CI11" i="5"/>
  <c r="CG11" i="5"/>
  <c r="CE11" i="5"/>
  <c r="CA11" i="5"/>
  <c r="BY11" i="5"/>
  <c r="BW11" i="5"/>
  <c r="BQ11" i="5"/>
  <c r="BP11" i="5"/>
  <c r="BO11" i="5"/>
  <c r="BJ11" i="5"/>
  <c r="BR35" i="5" s="1"/>
  <c r="BI11" i="5"/>
  <c r="BQ34" i="5" s="1"/>
  <c r="BH11" i="5"/>
  <c r="BP35" i="5" s="1"/>
  <c r="BG11" i="5"/>
  <c r="BC11" i="5"/>
  <c r="BA11" i="5"/>
  <c r="AT11" i="5"/>
  <c r="AS11" i="5"/>
  <c r="BA34" i="5" s="1"/>
  <c r="AR11" i="5"/>
  <c r="AZ36" i="5" s="1"/>
  <c r="AQ11" i="5"/>
  <c r="AM11" i="5"/>
  <c r="AK11" i="5"/>
  <c r="AI11" i="5"/>
  <c r="AG11" i="5"/>
  <c r="AE11" i="5"/>
  <c r="AA11" i="5"/>
  <c r="Y11" i="5"/>
  <c r="W11" i="5"/>
  <c r="S11" i="5"/>
  <c r="R11" i="5"/>
  <c r="R50" i="5" s="1"/>
  <c r="Q11" i="5"/>
  <c r="M11" i="5"/>
  <c r="L11" i="5"/>
  <c r="K11" i="5"/>
  <c r="F11" i="5"/>
  <c r="E11" i="5"/>
  <c r="D11" i="5"/>
  <c r="C11" i="5"/>
  <c r="CV10" i="5"/>
  <c r="CN10" i="5"/>
  <c r="CS10" i="5" s="1"/>
  <c r="CF10" i="5"/>
  <c r="CK10" i="5" s="1"/>
  <c r="BX10" i="5"/>
  <c r="CC10" i="5" s="1"/>
  <c r="BU10" i="5"/>
  <c r="BS10" i="5"/>
  <c r="BN10" i="5"/>
  <c r="BM10" i="5"/>
  <c r="BL10" i="5"/>
  <c r="BK10" i="5"/>
  <c r="AZ10" i="5"/>
  <c r="BE10" i="5" s="1"/>
  <c r="AX10" i="5"/>
  <c r="AW10" i="5"/>
  <c r="AV10" i="5"/>
  <c r="AU10" i="5"/>
  <c r="AJ10" i="5"/>
  <c r="AO10" i="5" s="1"/>
  <c r="AC10" i="5"/>
  <c r="AB10" i="5"/>
  <c r="U10" i="5"/>
  <c r="T10" i="5"/>
  <c r="O10" i="5"/>
  <c r="P10" i="5" s="1"/>
  <c r="N10" i="5"/>
  <c r="J10" i="5"/>
  <c r="I10" i="5"/>
  <c r="H10" i="5"/>
  <c r="G10" i="5"/>
  <c r="CS9" i="5"/>
  <c r="CQ9" i="5"/>
  <c r="CQ11" i="5" s="1"/>
  <c r="BU9" i="5"/>
  <c r="BS9" i="5"/>
  <c r="BT9" i="5" s="1"/>
  <c r="AC9" i="5"/>
  <c r="AB9" i="5"/>
  <c r="U9" i="5"/>
  <c r="U23" i="5" s="1"/>
  <c r="T9" i="5"/>
  <c r="T23" i="5" s="1"/>
  <c r="O9" i="5"/>
  <c r="N9" i="5"/>
  <c r="N23" i="5" s="1"/>
  <c r="J9" i="5"/>
  <c r="I9" i="5"/>
  <c r="Q23" i="5" s="1"/>
  <c r="H9" i="5"/>
  <c r="G9" i="5"/>
  <c r="G66" i="5" s="1"/>
  <c r="AZ8" i="5"/>
  <c r="AZ22" i="5" s="1"/>
  <c r="AX8" i="5"/>
  <c r="AW8" i="5"/>
  <c r="AV8" i="5"/>
  <c r="AU8" i="5"/>
  <c r="AJ8" i="5"/>
  <c r="AO8" i="5" s="1"/>
  <c r="AO22" i="5" s="1"/>
  <c r="AC8" i="5"/>
  <c r="AB8" i="5"/>
  <c r="U8" i="5"/>
  <c r="U22" i="5" s="1"/>
  <c r="T8" i="5"/>
  <c r="T22" i="5" s="1"/>
  <c r="O8" i="5"/>
  <c r="N8" i="5"/>
  <c r="N22" i="5" s="1"/>
  <c r="J8" i="5"/>
  <c r="I8" i="5"/>
  <c r="Q22" i="5" s="1"/>
  <c r="H8" i="5"/>
  <c r="G8" i="5"/>
  <c r="G65" i="5" s="1"/>
  <c r="AZ7" i="5"/>
  <c r="AZ217" i="5" s="1"/>
  <c r="AY6" i="5"/>
  <c r="AY20" i="5" s="1"/>
  <c r="AX6" i="5"/>
  <c r="AW6" i="5"/>
  <c r="AV6" i="5"/>
  <c r="AU6" i="5"/>
  <c r="AJ6" i="5"/>
  <c r="AO6" i="5" s="1"/>
  <c r="AC6" i="5"/>
  <c r="AB6" i="5"/>
  <c r="U6" i="5"/>
  <c r="U20" i="5" s="1"/>
  <c r="T6" i="5"/>
  <c r="T20" i="5" s="1"/>
  <c r="O6" i="5"/>
  <c r="P6" i="5" s="1"/>
  <c r="N6" i="5"/>
  <c r="N20" i="5" s="1"/>
  <c r="J6" i="5"/>
  <c r="I6" i="5"/>
  <c r="Q20" i="5" s="1"/>
  <c r="H6" i="5"/>
  <c r="G6" i="5"/>
  <c r="G63" i="5" s="1"/>
  <c r="CN5" i="5"/>
  <c r="CS5" i="5" s="1"/>
  <c r="CF5" i="5"/>
  <c r="CK5" i="5" s="1"/>
  <c r="BX5" i="5"/>
  <c r="CC5" i="5" s="1"/>
  <c r="BU5" i="5"/>
  <c r="BS5" i="5"/>
  <c r="BN5" i="5"/>
  <c r="BM5" i="5"/>
  <c r="BL5" i="5"/>
  <c r="BK5" i="5"/>
  <c r="CN4" i="5"/>
  <c r="CS4" i="5" s="1"/>
  <c r="CF4" i="5"/>
  <c r="CK4" i="5" s="1"/>
  <c r="BX4" i="5"/>
  <c r="CC4" i="5" s="1"/>
  <c r="BU4" i="5"/>
  <c r="BS4" i="5"/>
  <c r="BN4" i="5"/>
  <c r="BM4" i="5"/>
  <c r="BL4" i="5"/>
  <c r="BK4" i="5"/>
  <c r="CN3" i="5"/>
  <c r="CS3" i="5" s="1"/>
  <c r="CF3" i="5"/>
  <c r="CK3" i="5" s="1"/>
  <c r="BX3" i="5"/>
  <c r="CC3" i="5" s="1"/>
  <c r="BU3" i="5"/>
  <c r="BS3" i="5"/>
  <c r="BN3" i="5"/>
  <c r="BM3" i="5"/>
  <c r="BL3" i="5"/>
  <c r="BK3" i="5"/>
  <c r="AZ3" i="5"/>
  <c r="BE3" i="5" s="1"/>
  <c r="AX3" i="5"/>
  <c r="AW3" i="5"/>
  <c r="AV3" i="5"/>
  <c r="AU3" i="5"/>
  <c r="AJ3" i="5"/>
  <c r="AO3" i="5" s="1"/>
  <c r="AO17" i="5" s="1"/>
  <c r="AC3" i="5"/>
  <c r="AB3" i="5"/>
  <c r="U3" i="5"/>
  <c r="U17" i="5" s="1"/>
  <c r="T3" i="5"/>
  <c r="T17" i="5" s="1"/>
  <c r="O3" i="5"/>
  <c r="N3" i="5"/>
  <c r="N17" i="5" s="1"/>
  <c r="J3" i="5"/>
  <c r="I3" i="5"/>
  <c r="Q17" i="5" s="1"/>
  <c r="H3" i="5"/>
  <c r="G3" i="5"/>
  <c r="G60" i="5" s="1"/>
  <c r="V132" i="4"/>
  <c r="U132" i="4"/>
  <c r="T132" i="4"/>
  <c r="S132" i="4"/>
  <c r="R132" i="4"/>
  <c r="P132" i="4"/>
  <c r="O132" i="4"/>
  <c r="N132" i="4"/>
  <c r="M132" i="4"/>
  <c r="L132" i="4"/>
  <c r="K132" i="4"/>
  <c r="J132" i="4"/>
  <c r="I132" i="4"/>
  <c r="H132" i="4"/>
  <c r="G132" i="4"/>
  <c r="F132" i="4"/>
  <c r="A131" i="4"/>
  <c r="Q129" i="4"/>
  <c r="A126" i="4"/>
  <c r="A125" i="4"/>
  <c r="A124" i="4"/>
  <c r="B121" i="4"/>
  <c r="V115" i="4"/>
  <c r="U115" i="4"/>
  <c r="T115" i="4"/>
  <c r="S115" i="4"/>
  <c r="R115" i="4"/>
  <c r="R118" i="4" s="1"/>
  <c r="P115" i="4"/>
  <c r="P118" i="4" s="1"/>
  <c r="P71" i="6" s="1"/>
  <c r="O115" i="4"/>
  <c r="N115" i="4"/>
  <c r="N121" i="4" s="1"/>
  <c r="E115" i="4"/>
  <c r="E121" i="4" s="1"/>
  <c r="D115" i="4"/>
  <c r="D118" i="4" s="1"/>
  <c r="D71" i="6" s="1"/>
  <c r="D71" i="8" s="1"/>
  <c r="C115" i="4"/>
  <c r="C118" i="4" s="1"/>
  <c r="C71" i="6" s="1"/>
  <c r="A114" i="4"/>
  <c r="A113" i="4"/>
  <c r="Q112" i="4"/>
  <c r="B64" i="13" s="1"/>
  <c r="M111" i="4"/>
  <c r="M231" i="12" s="1"/>
  <c r="L111" i="4"/>
  <c r="K111" i="4"/>
  <c r="J111" i="4"/>
  <c r="J231" i="12" s="1"/>
  <c r="I111" i="4"/>
  <c r="I231" i="12" s="1"/>
  <c r="H111" i="4"/>
  <c r="G111" i="4"/>
  <c r="F111" i="4"/>
  <c r="F231" i="12" s="1"/>
  <c r="A109" i="4"/>
  <c r="A108" i="4"/>
  <c r="A107" i="4"/>
  <c r="S103" i="4"/>
  <c r="R103" i="4"/>
  <c r="Q103" i="4"/>
  <c r="P103" i="4"/>
  <c r="O103" i="4"/>
  <c r="N103" i="4"/>
  <c r="I103" i="4"/>
  <c r="E103" i="4"/>
  <c r="D103" i="4"/>
  <c r="C103" i="4"/>
  <c r="B103" i="4"/>
  <c r="A102" i="4"/>
  <c r="M100" i="4"/>
  <c r="L100" i="4"/>
  <c r="K100" i="4"/>
  <c r="J100" i="4"/>
  <c r="H100" i="4"/>
  <c r="H237" i="12" s="1"/>
  <c r="G100" i="4"/>
  <c r="G237" i="12" s="1"/>
  <c r="F100" i="4"/>
  <c r="A98" i="4"/>
  <c r="A97" i="4"/>
  <c r="A96" i="4"/>
  <c r="A93" i="4"/>
  <c r="A104" i="4" s="1"/>
  <c r="A119" i="4" s="1"/>
  <c r="Q91" i="4"/>
  <c r="D91" i="4"/>
  <c r="C91" i="4"/>
  <c r="B91" i="4"/>
  <c r="Q90" i="4"/>
  <c r="P90" i="4"/>
  <c r="O90" i="4"/>
  <c r="N90" i="4"/>
  <c r="E90" i="4"/>
  <c r="D90" i="4"/>
  <c r="C90" i="4"/>
  <c r="B90" i="4"/>
  <c r="Q89" i="4"/>
  <c r="P89" i="4"/>
  <c r="O89" i="4"/>
  <c r="N89" i="4"/>
  <c r="M89" i="4"/>
  <c r="L89" i="4"/>
  <c r="K89" i="4"/>
  <c r="J89" i="4"/>
  <c r="I89" i="4"/>
  <c r="H89" i="4"/>
  <c r="G89" i="4"/>
  <c r="F89" i="4"/>
  <c r="E89" i="4"/>
  <c r="D89" i="4"/>
  <c r="C89" i="4"/>
  <c r="B89" i="4"/>
  <c r="V88" i="4"/>
  <c r="U88" i="4"/>
  <c r="T88" i="4"/>
  <c r="S88" i="4"/>
  <c r="R88" i="4"/>
  <c r="A88" i="4"/>
  <c r="V87" i="4"/>
  <c r="U87" i="4"/>
  <c r="T87" i="4"/>
  <c r="S87" i="4"/>
  <c r="R87" i="4"/>
  <c r="A87" i="4"/>
  <c r="V86" i="4"/>
  <c r="U86" i="4"/>
  <c r="T86" i="4"/>
  <c r="S86" i="4"/>
  <c r="R86" i="4"/>
  <c r="Q86" i="4"/>
  <c r="P86" i="4"/>
  <c r="O86" i="4"/>
  <c r="N86" i="4"/>
  <c r="M86" i="4"/>
  <c r="L86" i="4"/>
  <c r="K86" i="4"/>
  <c r="J86" i="4"/>
  <c r="I86" i="4"/>
  <c r="H86" i="4"/>
  <c r="G86" i="4"/>
  <c r="F86" i="4"/>
  <c r="E86" i="4"/>
  <c r="D86" i="4"/>
  <c r="C86" i="4"/>
  <c r="B86" i="4"/>
  <c r="A86" i="4"/>
  <c r="V82" i="4"/>
  <c r="U82" i="4"/>
  <c r="T82" i="4"/>
  <c r="S82" i="4"/>
  <c r="R82" i="4"/>
  <c r="Q82" i="4"/>
  <c r="P82" i="4"/>
  <c r="O82" i="4"/>
  <c r="N82" i="4"/>
  <c r="E82" i="4"/>
  <c r="D82" i="4"/>
  <c r="D80" i="8" s="1"/>
  <c r="C82" i="4"/>
  <c r="C80" i="8" s="1"/>
  <c r="B82" i="4"/>
  <c r="A82" i="4"/>
  <c r="A92" i="4" s="1"/>
  <c r="A103" i="4" s="1"/>
  <c r="M80" i="4"/>
  <c r="M249" i="12" s="1"/>
  <c r="L80" i="4"/>
  <c r="K80" i="4"/>
  <c r="J80" i="4"/>
  <c r="J249" i="12" s="1"/>
  <c r="I80" i="4"/>
  <c r="I249" i="12" s="1"/>
  <c r="H80" i="4"/>
  <c r="G80" i="4"/>
  <c r="F80" i="4"/>
  <c r="F249" i="12" s="1"/>
  <c r="A80" i="4"/>
  <c r="A90" i="4" s="1"/>
  <c r="A100" i="4" s="1"/>
  <c r="A111" i="4" s="1"/>
  <c r="A78" i="4"/>
  <c r="A77" i="4"/>
  <c r="A76" i="4"/>
  <c r="V72" i="4"/>
  <c r="U72" i="4"/>
  <c r="T72" i="4"/>
  <c r="S72" i="4"/>
  <c r="R72" i="4"/>
  <c r="Q72" i="4"/>
  <c r="P72" i="4"/>
  <c r="O72" i="4"/>
  <c r="N72" i="4"/>
  <c r="E72" i="4"/>
  <c r="D72" i="4"/>
  <c r="C72" i="4"/>
  <c r="B72" i="4"/>
  <c r="M69" i="4"/>
  <c r="L69" i="4"/>
  <c r="L72" i="4" s="1"/>
  <c r="K69" i="4"/>
  <c r="J69" i="4"/>
  <c r="I69" i="4"/>
  <c r="H69" i="4"/>
  <c r="H72" i="4" s="1"/>
  <c r="G69" i="4"/>
  <c r="G246" i="12" s="1"/>
  <c r="F69" i="4"/>
  <c r="A67" i="4"/>
  <c r="A66" i="4"/>
  <c r="A65" i="4"/>
  <c r="D61" i="4"/>
  <c r="C61" i="4"/>
  <c r="B61" i="4"/>
  <c r="M60" i="4"/>
  <c r="L60" i="4"/>
  <c r="K60" i="4"/>
  <c r="J60" i="4"/>
  <c r="I60" i="4"/>
  <c r="H60" i="4"/>
  <c r="G60" i="4"/>
  <c r="F60" i="4"/>
  <c r="A59" i="4"/>
  <c r="A70" i="4" s="1"/>
  <c r="A81" i="4" s="1"/>
  <c r="Q58" i="4"/>
  <c r="P58" i="4"/>
  <c r="O58" i="4"/>
  <c r="N58" i="4"/>
  <c r="M58" i="4"/>
  <c r="L58" i="4"/>
  <c r="K58" i="4"/>
  <c r="J58" i="4"/>
  <c r="I58" i="4"/>
  <c r="H58" i="4"/>
  <c r="E58" i="4"/>
  <c r="D58" i="4"/>
  <c r="C58" i="4"/>
  <c r="B58" i="4"/>
  <c r="Q57" i="4"/>
  <c r="P57" i="4"/>
  <c r="O57" i="4"/>
  <c r="N57" i="4"/>
  <c r="M57" i="4"/>
  <c r="L57" i="4"/>
  <c r="K57" i="4"/>
  <c r="J57" i="4"/>
  <c r="I57" i="4"/>
  <c r="H57" i="4"/>
  <c r="G57" i="4"/>
  <c r="F57" i="4"/>
  <c r="E57" i="4"/>
  <c r="D57" i="4"/>
  <c r="C57" i="4"/>
  <c r="B57" i="4"/>
  <c r="V56" i="4"/>
  <c r="U56" i="4"/>
  <c r="T56" i="4"/>
  <c r="S56" i="4"/>
  <c r="R56" i="4"/>
  <c r="A56" i="4"/>
  <c r="V55" i="4"/>
  <c r="U55" i="4"/>
  <c r="T55" i="4"/>
  <c r="S55" i="4"/>
  <c r="R55" i="4"/>
  <c r="A55" i="4"/>
  <c r="V54" i="4"/>
  <c r="U54" i="4"/>
  <c r="T54" i="4"/>
  <c r="S54" i="4"/>
  <c r="R54" i="4"/>
  <c r="Q54" i="4"/>
  <c r="P130" i="6" s="1"/>
  <c r="P54" i="4"/>
  <c r="O54" i="4"/>
  <c r="O130" i="6" s="1"/>
  <c r="N54" i="4"/>
  <c r="N130" i="6" s="1"/>
  <c r="M54" i="4"/>
  <c r="M130" i="6" s="1"/>
  <c r="L54" i="4"/>
  <c r="L130" i="6" s="1"/>
  <c r="K54" i="4"/>
  <c r="J54" i="4"/>
  <c r="I54" i="4"/>
  <c r="H54" i="4"/>
  <c r="G54" i="4"/>
  <c r="F54" i="4"/>
  <c r="E54" i="4"/>
  <c r="D54" i="4"/>
  <c r="C54" i="4"/>
  <c r="B54" i="4"/>
  <c r="A54" i="4"/>
  <c r="S50" i="4"/>
  <c r="M50" i="4"/>
  <c r="A50" i="4"/>
  <c r="M49" i="4"/>
  <c r="A49" i="4"/>
  <c r="V48" i="4"/>
  <c r="U48" i="4"/>
  <c r="S20" i="6" s="1"/>
  <c r="T48" i="4"/>
  <c r="S48" i="4"/>
  <c r="Q20" i="6" s="1"/>
  <c r="R48" i="4"/>
  <c r="R51" i="4" s="1"/>
  <c r="P48" i="4"/>
  <c r="P51" i="4" s="1"/>
  <c r="O48" i="4"/>
  <c r="O20" i="6" s="1"/>
  <c r="N48" i="4"/>
  <c r="M48" i="4"/>
  <c r="M20" i="6" s="1"/>
  <c r="L48" i="4"/>
  <c r="L20" i="6" s="1"/>
  <c r="K48" i="4"/>
  <c r="K20" i="6" s="1"/>
  <c r="J48" i="4"/>
  <c r="I48" i="4"/>
  <c r="I20" i="6" s="1"/>
  <c r="H48" i="4"/>
  <c r="H20" i="6" s="1"/>
  <c r="G48" i="4"/>
  <c r="G20" i="6" s="1"/>
  <c r="F48" i="4"/>
  <c r="E48" i="4"/>
  <c r="D48" i="4"/>
  <c r="C48" i="4"/>
  <c r="B48" i="4"/>
  <c r="A47" i="4"/>
  <c r="A46" i="4"/>
  <c r="A44" i="4"/>
  <c r="A60" i="4" s="1"/>
  <c r="Q43" i="4"/>
  <c r="A42" i="4"/>
  <c r="A58" i="4" s="1"/>
  <c r="A41" i="4"/>
  <c r="A57" i="4" s="1"/>
  <c r="A68" i="4" s="1"/>
  <c r="A79" i="4" s="1"/>
  <c r="A89" i="4" s="1"/>
  <c r="A99" i="4" s="1"/>
  <c r="A110" i="4" s="1"/>
  <c r="A40" i="4"/>
  <c r="A39" i="4"/>
  <c r="A38" i="4"/>
  <c r="V22" i="4"/>
  <c r="U22" i="4"/>
  <c r="T22" i="4"/>
  <c r="S22" i="4"/>
  <c r="A22" i="4"/>
  <c r="A28" i="4" s="1"/>
  <c r="Q21" i="4"/>
  <c r="O21" i="4"/>
  <c r="N21" i="4"/>
  <c r="M21" i="4"/>
  <c r="L21" i="4"/>
  <c r="K21" i="4"/>
  <c r="J21" i="4"/>
  <c r="I21" i="4"/>
  <c r="E21" i="4"/>
  <c r="D21" i="4"/>
  <c r="C21" i="4"/>
  <c r="A21" i="4"/>
  <c r="V20" i="4"/>
  <c r="U20" i="4"/>
  <c r="T20" i="4"/>
  <c r="S20" i="4"/>
  <c r="Q20" i="4"/>
  <c r="O20" i="4"/>
  <c r="N20" i="4"/>
  <c r="M20" i="4"/>
  <c r="L20" i="4"/>
  <c r="K20" i="4"/>
  <c r="J20" i="4"/>
  <c r="I20" i="4"/>
  <c r="H20" i="4"/>
  <c r="G20" i="4"/>
  <c r="F20" i="4"/>
  <c r="E20" i="4"/>
  <c r="D20" i="4"/>
  <c r="C20" i="4"/>
  <c r="A20" i="4"/>
  <c r="A27" i="4" s="1"/>
  <c r="V19" i="4"/>
  <c r="U19" i="4"/>
  <c r="T19" i="4"/>
  <c r="S19" i="4"/>
  <c r="Q19" i="4"/>
  <c r="O19" i="4"/>
  <c r="N19" i="4"/>
  <c r="M19" i="4"/>
  <c r="L19" i="4"/>
  <c r="K19" i="4"/>
  <c r="J19" i="4"/>
  <c r="I19" i="4"/>
  <c r="H19" i="4"/>
  <c r="G19" i="4"/>
  <c r="F19" i="4"/>
  <c r="E19" i="4"/>
  <c r="D19" i="4"/>
  <c r="C19" i="4"/>
  <c r="A19" i="4"/>
  <c r="A26" i="4" s="1"/>
  <c r="R15" i="4"/>
  <c r="I15" i="4"/>
  <c r="J15" i="4" s="1"/>
  <c r="K15" i="4" s="1"/>
  <c r="V13" i="4"/>
  <c r="U13" i="4"/>
  <c r="T13" i="4"/>
  <c r="S13" i="4"/>
  <c r="R13" i="4"/>
  <c r="S33" i="4" s="1"/>
  <c r="BV36" i="5" s="1"/>
  <c r="P13" i="4"/>
  <c r="Q34" i="4" s="1"/>
  <c r="O13" i="4"/>
  <c r="N13" i="4"/>
  <c r="M13" i="4"/>
  <c r="L13" i="4"/>
  <c r="K13" i="4"/>
  <c r="J13" i="4"/>
  <c r="I13" i="4"/>
  <c r="I8" i="6" s="1"/>
  <c r="H13" i="4"/>
  <c r="H8" i="6" s="1"/>
  <c r="E13" i="4"/>
  <c r="E8" i="6" s="1"/>
  <c r="E11" i="6" s="1"/>
  <c r="D13" i="4"/>
  <c r="C13" i="4"/>
  <c r="B13" i="4"/>
  <c r="C22" i="16"/>
  <c r="Q9" i="4"/>
  <c r="G8" i="4"/>
  <c r="F8" i="4"/>
  <c r="J2" i="4"/>
  <c r="K2" i="4" s="1"/>
  <c r="L2" i="4" s="1"/>
  <c r="M2" i="4" s="1"/>
  <c r="N2" i="4" s="1"/>
  <c r="O2" i="4" s="1"/>
  <c r="Q2" i="4" s="1"/>
  <c r="S2" i="4" s="1"/>
  <c r="T2" i="4" s="1"/>
  <c r="U2" i="4" s="1"/>
  <c r="V2" i="4" s="1"/>
  <c r="E2" i="4"/>
  <c r="C3" i="3"/>
  <c r="D3" i="3" s="1"/>
  <c r="E3" i="3" s="1"/>
  <c r="F3" i="3" s="1"/>
  <c r="G3" i="3" s="1"/>
  <c r="H3" i="3" s="1"/>
  <c r="I3" i="3" s="1"/>
  <c r="J3" i="3" s="1"/>
  <c r="K3" i="3" s="1"/>
  <c r="L3" i="3" s="1"/>
  <c r="M3" i="3" s="1"/>
  <c r="N3" i="3" s="1"/>
  <c r="O3" i="3" s="1"/>
  <c r="P3" i="3" s="1"/>
  <c r="Q3" i="3" s="1"/>
  <c r="R3" i="3" s="1"/>
  <c r="S3" i="3" s="1"/>
  <c r="T3" i="3" s="1"/>
  <c r="U3" i="3" s="1"/>
  <c r="V3" i="3" s="1"/>
  <c r="W3" i="3" s="1"/>
  <c r="X3" i="3" s="1"/>
  <c r="Y3" i="3" s="1"/>
  <c r="Z3" i="3" s="1"/>
  <c r="AA3" i="3" s="1"/>
  <c r="AB3" i="3" s="1"/>
  <c r="BM91" i="11" l="1"/>
  <c r="CS91" i="11"/>
  <c r="AV187" i="10"/>
  <c r="AV143" i="10" s="1"/>
  <c r="AU143" i="10"/>
  <c r="AO142" i="10"/>
  <c r="AK161" i="10"/>
  <c r="V5" i="9"/>
  <c r="V98" i="9" s="1"/>
  <c r="AJ54" i="10"/>
  <c r="AJ2" i="10"/>
  <c r="BO2" i="11" s="1"/>
  <c r="AV3" i="12" s="1"/>
  <c r="AG2" i="13" s="1"/>
  <c r="W8" i="9"/>
  <c r="W77" i="9"/>
  <c r="CL158" i="5" s="1"/>
  <c r="BR2" i="11"/>
  <c r="AY3" i="12" s="1"/>
  <c r="AJ2" i="13" s="1"/>
  <c r="W5" i="9"/>
  <c r="W98" i="9" s="1"/>
  <c r="W255" i="9" s="1"/>
  <c r="V7" i="9"/>
  <c r="V234" i="9" s="1"/>
  <c r="X10" i="9"/>
  <c r="W71" i="9"/>
  <c r="V6" i="9"/>
  <c r="W7" i="9"/>
  <c r="W234" i="9" s="1"/>
  <c r="P5" i="9"/>
  <c r="AE101" i="10"/>
  <c r="AD101" i="10"/>
  <c r="AF101" i="10"/>
  <c r="AD162" i="10"/>
  <c r="AF162" i="10"/>
  <c r="AE58" i="10"/>
  <c r="AF58" i="10" s="1"/>
  <c r="AF56" i="10"/>
  <c r="AE102" i="10"/>
  <c r="AD102" i="10"/>
  <c r="AF102" i="10"/>
  <c r="AF144" i="10"/>
  <c r="AD143" i="10"/>
  <c r="AD144" i="10" s="1"/>
  <c r="AF2" i="10"/>
  <c r="BK2" i="11" s="1"/>
  <c r="AR3" i="12" s="1"/>
  <c r="AC2" i="13" s="1"/>
  <c r="AB152" i="10"/>
  <c r="AF152" i="10"/>
  <c r="AD152" i="10"/>
  <c r="AD120" i="10"/>
  <c r="AF120" i="10"/>
  <c r="AE123" i="10"/>
  <c r="AF123" i="10"/>
  <c r="AD123" i="10"/>
  <c r="E8" i="9"/>
  <c r="O7" i="9"/>
  <c r="O234" i="9" s="1"/>
  <c r="I77" i="9"/>
  <c r="I35" i="9" s="1"/>
  <c r="BU91" i="11"/>
  <c r="CC91" i="11"/>
  <c r="CK91" i="11"/>
  <c r="AH323" i="5"/>
  <c r="CL189" i="5"/>
  <c r="CL193" i="5" s="1"/>
  <c r="G8" i="9"/>
  <c r="H70" i="9" s="1"/>
  <c r="K8" i="9"/>
  <c r="K297" i="9" s="1"/>
  <c r="L298" i="9" s="1"/>
  <c r="G5" i="9"/>
  <c r="G6" i="9"/>
  <c r="G211" i="9" s="1"/>
  <c r="K6" i="9"/>
  <c r="K211" i="9" s="1"/>
  <c r="K7" i="9"/>
  <c r="K234" i="9" s="1"/>
  <c r="M91" i="3"/>
  <c r="O91" i="3"/>
  <c r="T92" i="3"/>
  <c r="O5" i="9"/>
  <c r="O98" i="9" s="1"/>
  <c r="R77" i="9"/>
  <c r="R29" i="9" s="1"/>
  <c r="CR278" i="5"/>
  <c r="CR323" i="5" s="1"/>
  <c r="F115" i="6"/>
  <c r="J115" i="6"/>
  <c r="AI61" i="11"/>
  <c r="BM121" i="11"/>
  <c r="O8" i="9"/>
  <c r="O297" i="9" s="1"/>
  <c r="CU160" i="5"/>
  <c r="P8" i="9"/>
  <c r="F4" i="13"/>
  <c r="CL187" i="5" s="1"/>
  <c r="CJ187" i="5" s="1"/>
  <c r="AJ61" i="11"/>
  <c r="V3" i="5"/>
  <c r="V17" i="5" s="1"/>
  <c r="BZ3" i="5"/>
  <c r="Q6" i="9"/>
  <c r="Q211" i="9" s="1"/>
  <c r="BT5" i="5"/>
  <c r="BT19" i="5" s="1"/>
  <c r="N5" i="9"/>
  <c r="N141" i="9" s="1"/>
  <c r="R6" i="9"/>
  <c r="R211" i="9" s="1"/>
  <c r="R222" i="9" s="1"/>
  <c r="N8" i="9"/>
  <c r="Q77" i="9"/>
  <c r="Q47" i="9" s="1"/>
  <c r="R5" i="9"/>
  <c r="R98" i="9" s="1"/>
  <c r="R255" i="9" s="1"/>
  <c r="P7" i="9"/>
  <c r="P234" i="9" s="1"/>
  <c r="Q8" i="9"/>
  <c r="P41" i="9"/>
  <c r="CJ270" i="5"/>
  <c r="R8" i="9"/>
  <c r="P10" i="9"/>
  <c r="O77" i="9"/>
  <c r="O29" i="9" s="1"/>
  <c r="R7" i="9"/>
  <c r="R234" i="9" s="1"/>
  <c r="I232" i="12"/>
  <c r="CU192" i="5"/>
  <c r="CW192" i="5"/>
  <c r="F31" i="9"/>
  <c r="J31" i="9"/>
  <c r="J32" i="9" s="1"/>
  <c r="T91" i="3"/>
  <c r="G42" i="13"/>
  <c r="N39" i="3"/>
  <c r="Z74" i="5"/>
  <c r="V10" i="5"/>
  <c r="I115" i="6"/>
  <c r="Q92" i="3"/>
  <c r="J91" i="3"/>
  <c r="E35" i="9"/>
  <c r="Q93" i="3"/>
  <c r="D91" i="3"/>
  <c r="H91" i="3"/>
  <c r="K91" i="3"/>
  <c r="L39" i="3"/>
  <c r="CL123" i="5"/>
  <c r="CL131" i="5" s="1"/>
  <c r="CR46" i="5"/>
  <c r="I8" i="9"/>
  <c r="I70" i="9" s="1"/>
  <c r="M6" i="9"/>
  <c r="M211" i="9" s="1"/>
  <c r="N219" i="9" s="1"/>
  <c r="M7" i="9"/>
  <c r="M234" i="9" s="1"/>
  <c r="I6" i="9"/>
  <c r="M77" i="9"/>
  <c r="M76" i="9" s="1"/>
  <c r="M82" i="9" s="1"/>
  <c r="E115" i="6"/>
  <c r="BN62" i="5"/>
  <c r="AD6" i="5"/>
  <c r="AL30" i="5" s="1"/>
  <c r="AF112" i="5"/>
  <c r="CW166" i="5"/>
  <c r="X109" i="5"/>
  <c r="X317" i="5" s="1"/>
  <c r="E6" i="9"/>
  <c r="E211" i="9" s="1"/>
  <c r="E7" i="9"/>
  <c r="E234" i="9" s="1"/>
  <c r="E242" i="9" s="1"/>
  <c r="AX68" i="10"/>
  <c r="BF68" i="10" s="1"/>
  <c r="BN68" i="10" s="1"/>
  <c r="BV68" i="10" s="1"/>
  <c r="DH81" i="5"/>
  <c r="DJ84" i="5"/>
  <c r="AG16" i="12"/>
  <c r="AG19" i="12" s="1"/>
  <c r="Y31" i="12"/>
  <c r="G4" i="13"/>
  <c r="O5" i="13" s="1"/>
  <c r="O7" i="13" s="1"/>
  <c r="G30" i="13"/>
  <c r="CT181" i="5"/>
  <c r="V31" i="12"/>
  <c r="AN278" i="5"/>
  <c r="N112" i="6"/>
  <c r="M115" i="6"/>
  <c r="EE81" i="5"/>
  <c r="EF81" i="5" s="1"/>
  <c r="X19" i="6"/>
  <c r="BD94" i="5"/>
  <c r="BL94" i="5" s="1"/>
  <c r="BJ199" i="5"/>
  <c r="U34" i="6"/>
  <c r="CW183" i="5"/>
  <c r="DE183" i="5"/>
  <c r="AA211" i="9"/>
  <c r="AI219" i="9" s="1"/>
  <c r="AI68" i="9"/>
  <c r="DE17" i="5"/>
  <c r="AA98" i="9"/>
  <c r="AI104" i="9" s="1"/>
  <c r="AI67" i="9"/>
  <c r="AA234" i="9"/>
  <c r="AI69" i="9"/>
  <c r="K14" i="13"/>
  <c r="R15" i="13"/>
  <c r="R18" i="13" s="1"/>
  <c r="AN98" i="5"/>
  <c r="BY171" i="5"/>
  <c r="BC330" i="5"/>
  <c r="BK330" i="5" s="1"/>
  <c r="AH287" i="5"/>
  <c r="AH326" i="5" s="1"/>
  <c r="K127" i="12"/>
  <c r="K125" i="12" s="1"/>
  <c r="M80" i="12"/>
  <c r="M81" i="12" s="1"/>
  <c r="V28" i="12"/>
  <c r="CY184" i="5"/>
  <c r="D234" i="12"/>
  <c r="D235" i="12" s="1"/>
  <c r="J64" i="12"/>
  <c r="J114" i="12" s="1"/>
  <c r="AP287" i="5"/>
  <c r="AP326" i="5" s="1"/>
  <c r="CW189" i="5"/>
  <c r="AF285" i="5"/>
  <c r="AF287" i="5" s="1"/>
  <c r="BT4" i="5"/>
  <c r="CB18" i="5" s="1"/>
  <c r="EH281" i="5"/>
  <c r="EE281" i="5" s="1"/>
  <c r="CW191" i="5"/>
  <c r="CJ188" i="5"/>
  <c r="CR192" i="5" s="1"/>
  <c r="BD264" i="5"/>
  <c r="BL264" i="5" s="1"/>
  <c r="CB278" i="5"/>
  <c r="U153" i="10"/>
  <c r="S153" i="10"/>
  <c r="T153" i="10" s="1"/>
  <c r="R52" i="9"/>
  <c r="M96" i="12"/>
  <c r="M97" i="12" s="1"/>
  <c r="S40" i="12"/>
  <c r="E225" i="12"/>
  <c r="E247" i="12"/>
  <c r="H80" i="12"/>
  <c r="H81" i="12" s="1"/>
  <c r="I94" i="12"/>
  <c r="C111" i="6"/>
  <c r="N115" i="6"/>
  <c r="E250" i="12"/>
  <c r="BB12" i="5"/>
  <c r="BD12" i="5" s="1"/>
  <c r="BD79" i="5"/>
  <c r="BL79" i="5" s="1"/>
  <c r="BN258" i="5"/>
  <c r="O115" i="6"/>
  <c r="G115" i="6"/>
  <c r="K115" i="6"/>
  <c r="K72" i="12"/>
  <c r="I96" i="12"/>
  <c r="I97" i="12" s="1"/>
  <c r="AN74" i="5"/>
  <c r="AL147" i="5"/>
  <c r="AL151" i="5" s="1"/>
  <c r="AP311" i="5"/>
  <c r="M111" i="6"/>
  <c r="E111" i="6"/>
  <c r="I112" i="6"/>
  <c r="M112" i="6"/>
  <c r="K100" i="12"/>
  <c r="E214" i="12"/>
  <c r="AI16" i="12"/>
  <c r="AI19" i="12" s="1"/>
  <c r="M195" i="8"/>
  <c r="O195" i="8"/>
  <c r="G54" i="9"/>
  <c r="T161" i="10"/>
  <c r="W163" i="10"/>
  <c r="Y201" i="10"/>
  <c r="T201" i="10"/>
  <c r="W158" i="10"/>
  <c r="T158" i="10"/>
  <c r="CY191" i="5"/>
  <c r="DG191" i="5"/>
  <c r="S168" i="10"/>
  <c r="T168" i="10"/>
  <c r="W168" i="10"/>
  <c r="CY160" i="5"/>
  <c r="DG160" i="5"/>
  <c r="CY192" i="5"/>
  <c r="DG192" i="5"/>
  <c r="M242" i="12"/>
  <c r="M243" i="12" s="1"/>
  <c r="N252" i="12"/>
  <c r="O252" i="12"/>
  <c r="J84" i="12"/>
  <c r="L94" i="12"/>
  <c r="G190" i="10"/>
  <c r="G192" i="10" s="1"/>
  <c r="H112" i="12"/>
  <c r="E39" i="13"/>
  <c r="CU184" i="5"/>
  <c r="DC184" i="5"/>
  <c r="N250" i="12"/>
  <c r="F33" i="13"/>
  <c r="AU91" i="5"/>
  <c r="AU114" i="5" s="1"/>
  <c r="AU118" i="5" s="1"/>
  <c r="AF280" i="5"/>
  <c r="S34" i="12"/>
  <c r="H78" i="12"/>
  <c r="H54" i="9"/>
  <c r="M94" i="12"/>
  <c r="P234" i="12"/>
  <c r="P235" i="12" s="1"/>
  <c r="B225" i="12"/>
  <c r="B252" i="12"/>
  <c r="B253" i="12" s="1"/>
  <c r="E252" i="12"/>
  <c r="E253" i="12" s="1"/>
  <c r="G91" i="12"/>
  <c r="J87" i="12"/>
  <c r="K87" i="12"/>
  <c r="W314" i="5"/>
  <c r="W319" i="5" s="1"/>
  <c r="E238" i="12"/>
  <c r="G84" i="12"/>
  <c r="H87" i="12"/>
  <c r="I91" i="12"/>
  <c r="C33" i="13"/>
  <c r="B91" i="3"/>
  <c r="Q84" i="12"/>
  <c r="S84" i="12" s="1"/>
  <c r="T84" i="12" s="1"/>
  <c r="U84" i="12" s="1"/>
  <c r="V84" i="12" s="1"/>
  <c r="AD84" i="12" s="1"/>
  <c r="AL84" i="12" s="1"/>
  <c r="AT84" i="12" s="1"/>
  <c r="BB84" i="12" s="1"/>
  <c r="BJ84" i="12" s="1"/>
  <c r="BR84" i="12" s="1"/>
  <c r="BZ84" i="12" s="1"/>
  <c r="CH84" i="12" s="1"/>
  <c r="R34" i="12"/>
  <c r="K242" i="12"/>
  <c r="K243" i="12" s="1"/>
  <c r="AN147" i="5"/>
  <c r="AN151" i="5" s="1"/>
  <c r="BN285" i="5"/>
  <c r="N80" i="12"/>
  <c r="N81" i="12" s="1"/>
  <c r="N96" i="12"/>
  <c r="N97" i="12" s="1"/>
  <c r="O250" i="12"/>
  <c r="P80" i="12"/>
  <c r="P81" i="12" s="1"/>
  <c r="AX196" i="5"/>
  <c r="H127" i="12"/>
  <c r="H125" i="12" s="1"/>
  <c r="E21" i="13"/>
  <c r="J39" i="3"/>
  <c r="CL88" i="5"/>
  <c r="AN284" i="5"/>
  <c r="U40" i="12"/>
  <c r="B72" i="12"/>
  <c r="C238" i="12"/>
  <c r="D80" i="12"/>
  <c r="D81" i="12" s="1"/>
  <c r="J120" i="12"/>
  <c r="L80" i="12"/>
  <c r="L81" i="12" s="1"/>
  <c r="L96" i="12"/>
  <c r="L97" i="12" s="1"/>
  <c r="L242" i="12"/>
  <c r="L243" i="12" s="1"/>
  <c r="D39" i="13"/>
  <c r="P91" i="3"/>
  <c r="Q91" i="3"/>
  <c r="R91" i="3"/>
  <c r="C91" i="3"/>
  <c r="G91" i="3"/>
  <c r="L91" i="3"/>
  <c r="CL272" i="5"/>
  <c r="CL322" i="5" s="1"/>
  <c r="R195" i="8"/>
  <c r="T195" i="8"/>
  <c r="O38" i="9"/>
  <c r="Y76" i="9"/>
  <c r="Y82" i="9" s="1"/>
  <c r="BB10" i="5"/>
  <c r="V12" i="5"/>
  <c r="BS314" i="5"/>
  <c r="CT192" i="5"/>
  <c r="BD257" i="5"/>
  <c r="BL257" i="5" s="1"/>
  <c r="CR280" i="5"/>
  <c r="R26" i="9"/>
  <c r="K114" i="12"/>
  <c r="H75" i="12"/>
  <c r="K84" i="12"/>
  <c r="K91" i="12"/>
  <c r="P219" i="12"/>
  <c r="AM61" i="11"/>
  <c r="AC76" i="9"/>
  <c r="BZ4" i="5"/>
  <c r="BT259" i="5"/>
  <c r="CV197" i="5"/>
  <c r="AH89" i="5"/>
  <c r="AF89" i="5" s="1"/>
  <c r="CR71" i="5"/>
  <c r="CB270" i="5"/>
  <c r="BM106" i="11"/>
  <c r="AK61" i="11"/>
  <c r="AN197" i="5"/>
  <c r="AV197" i="5" s="1"/>
  <c r="E19" i="10"/>
  <c r="R15" i="10"/>
  <c r="I17" i="10"/>
  <c r="Y158" i="10"/>
  <c r="J52" i="9"/>
  <c r="E42" i="13"/>
  <c r="F42" i="13"/>
  <c r="CU17" i="5"/>
  <c r="CR157" i="5"/>
  <c r="AN199" i="5"/>
  <c r="AV199" i="5" s="1"/>
  <c r="R54" i="9"/>
  <c r="CT163" i="5"/>
  <c r="CT166" i="5" s="1"/>
  <c r="D111" i="6"/>
  <c r="EM81" i="5"/>
  <c r="EN81" i="5" s="1"/>
  <c r="B111" i="6"/>
  <c r="J112" i="6"/>
  <c r="I52" i="9"/>
  <c r="O314" i="5"/>
  <c r="O319" i="5" s="1"/>
  <c r="AM314" i="5"/>
  <c r="AM319" i="5" s="1"/>
  <c r="Z303" i="5"/>
  <c r="X303" i="5" s="1"/>
  <c r="BV123" i="5"/>
  <c r="BV131" i="5" s="1"/>
  <c r="BV132" i="5" s="1"/>
  <c r="CI314" i="5"/>
  <c r="AH303" i="5"/>
  <c r="AH315" i="5" s="1"/>
  <c r="CD260" i="5"/>
  <c r="CB260" i="5" s="1"/>
  <c r="CD287" i="5"/>
  <c r="CD326" i="5" s="1"/>
  <c r="CB326" i="5" s="1"/>
  <c r="CL287" i="5"/>
  <c r="CL326" i="5" s="1"/>
  <c r="CJ326" i="5" s="1"/>
  <c r="N195" i="8"/>
  <c r="P195" i="8"/>
  <c r="S195" i="8"/>
  <c r="M52" i="9"/>
  <c r="N54" i="9"/>
  <c r="N21" i="9" s="1"/>
  <c r="S31" i="9"/>
  <c r="S32" i="9" s="1"/>
  <c r="T54" i="9"/>
  <c r="T55" i="9" s="1"/>
  <c r="V54" i="9"/>
  <c r="V21" i="9" s="1"/>
  <c r="E52" i="9"/>
  <c r="G31" i="9"/>
  <c r="N219" i="12"/>
  <c r="V40" i="12"/>
  <c r="B96" i="12"/>
  <c r="B97" i="12" s="1"/>
  <c r="C94" i="12"/>
  <c r="D96" i="12"/>
  <c r="D97" i="12" s="1"/>
  <c r="E17" i="10"/>
  <c r="CT184" i="5"/>
  <c r="O292" i="5"/>
  <c r="W29" i="9"/>
  <c r="V16" i="12"/>
  <c r="N91" i="3"/>
  <c r="R92" i="3"/>
  <c r="S91" i="3"/>
  <c r="F91" i="3"/>
  <c r="I91" i="3"/>
  <c r="BF20" i="5"/>
  <c r="BD81" i="5"/>
  <c r="BL81" i="5" s="1"/>
  <c r="BD109" i="5"/>
  <c r="BL109" i="5" s="1"/>
  <c r="CJ180" i="5"/>
  <c r="CR184" i="5" s="1"/>
  <c r="BN259" i="5"/>
  <c r="BF260" i="5"/>
  <c r="BD260" i="5" s="1"/>
  <c r="BL260" i="5" s="1"/>
  <c r="AF261" i="5"/>
  <c r="Z272" i="5"/>
  <c r="Z322" i="5" s="1"/>
  <c r="T38" i="9"/>
  <c r="BZ5" i="5"/>
  <c r="BT10" i="5"/>
  <c r="X46" i="5"/>
  <c r="CD88" i="5"/>
  <c r="I54" i="9"/>
  <c r="BR10" i="5"/>
  <c r="BJ12" i="5"/>
  <c r="BL12" i="5" s="1"/>
  <c r="AN48" i="5"/>
  <c r="AN112" i="5"/>
  <c r="X284" i="5"/>
  <c r="R115" i="6"/>
  <c r="J314" i="5"/>
  <c r="J319" i="5" s="1"/>
  <c r="AE314" i="5"/>
  <c r="AE319" i="5" s="1"/>
  <c r="CY314" i="5"/>
  <c r="O249" i="5"/>
  <c r="CD350" i="5"/>
  <c r="CB350" i="5" s="1"/>
  <c r="D28" i="7"/>
  <c r="D35" i="7" s="1"/>
  <c r="D64" i="7" s="1"/>
  <c r="D122" i="6" s="1"/>
  <c r="U29" i="9"/>
  <c r="I28" i="8"/>
  <c r="F16" i="10"/>
  <c r="AB56" i="10"/>
  <c r="Q130" i="6"/>
  <c r="R130" i="6"/>
  <c r="I111" i="6"/>
  <c r="S130" i="6"/>
  <c r="T130" i="6"/>
  <c r="H84" i="12"/>
  <c r="Z260" i="5"/>
  <c r="AH88" i="5"/>
  <c r="AF88" i="5" s="1"/>
  <c r="AH260" i="5"/>
  <c r="AP260" i="5"/>
  <c r="AP272" i="5"/>
  <c r="AP322" i="5" s="1"/>
  <c r="BV88" i="5"/>
  <c r="BV287" i="5"/>
  <c r="BT287" i="5" s="1"/>
  <c r="V34" i="12"/>
  <c r="CO167" i="5"/>
  <c r="P306" i="5"/>
  <c r="Y150" i="9"/>
  <c r="Y117" i="9" s="1"/>
  <c r="Y196" i="9" s="1"/>
  <c r="AN287" i="5"/>
  <c r="BF272" i="5"/>
  <c r="BF322" i="5" s="1"/>
  <c r="BN322" i="5" s="1"/>
  <c r="BL322" i="5" s="1"/>
  <c r="CT89" i="5"/>
  <c r="AB138" i="5"/>
  <c r="CW170" i="5"/>
  <c r="DE171" i="5" s="1"/>
  <c r="R93" i="3"/>
  <c r="E91" i="3"/>
  <c r="R2" i="10"/>
  <c r="Z2" i="10" s="1"/>
  <c r="AH2" i="10" s="1"/>
  <c r="AP2" i="10" s="1"/>
  <c r="AX2" i="10" s="1"/>
  <c r="BF2" i="10" s="1"/>
  <c r="BN2" i="10" s="1"/>
  <c r="BV2" i="10" s="1"/>
  <c r="B65" i="13"/>
  <c r="V9" i="5"/>
  <c r="V23" i="5" s="1"/>
  <c r="CP10" i="5"/>
  <c r="BT12" i="5"/>
  <c r="BF88" i="5"/>
  <c r="AF81" i="5"/>
  <c r="AF103" i="5"/>
  <c r="Z317" i="5"/>
  <c r="FC124" i="5"/>
  <c r="V148" i="5"/>
  <c r="BD196" i="5"/>
  <c r="BL196" i="5" s="1"/>
  <c r="AF257" i="5"/>
  <c r="AF260" i="5" s="1"/>
  <c r="X258" i="5"/>
  <c r="X260" i="5" s="1"/>
  <c r="BN261" i="5"/>
  <c r="BN269" i="5"/>
  <c r="CR270" i="5"/>
  <c r="H284" i="5"/>
  <c r="AF284" i="5"/>
  <c r="CB291" i="5"/>
  <c r="Q111" i="6"/>
  <c r="M38" i="9"/>
  <c r="E15" i="10"/>
  <c r="AC91" i="10"/>
  <c r="DB317" i="5"/>
  <c r="CZ317" i="5" s="1"/>
  <c r="CZ109" i="5"/>
  <c r="DB112" i="5"/>
  <c r="CZ112" i="5" s="1"/>
  <c r="AD3" i="5"/>
  <c r="AL27" i="5" s="1"/>
  <c r="X9" i="5"/>
  <c r="BR12" i="5"/>
  <c r="R314" i="5"/>
  <c r="R319" i="5" s="1"/>
  <c r="L138" i="5"/>
  <c r="AN291" i="5"/>
  <c r="S115" i="6"/>
  <c r="Q112" i="6"/>
  <c r="D35" i="9"/>
  <c r="M54" i="9"/>
  <c r="M55" i="9" s="1"/>
  <c r="F15" i="10"/>
  <c r="I15" i="10"/>
  <c r="DA106" i="11"/>
  <c r="DA119" i="11" s="1"/>
  <c r="X29" i="9"/>
  <c r="CT189" i="5"/>
  <c r="O15" i="13"/>
  <c r="U69" i="6"/>
  <c r="U80" i="6"/>
  <c r="DB84" i="5"/>
  <c r="CZ84" i="5" s="1"/>
  <c r="CZ81" i="5"/>
  <c r="BT3" i="5"/>
  <c r="CB17" i="5" s="1"/>
  <c r="BC314" i="5"/>
  <c r="BK314" i="5" s="1"/>
  <c r="AT137" i="5"/>
  <c r="AV137" i="5" s="1"/>
  <c r="CN170" i="5"/>
  <c r="CN171" i="5" s="1"/>
  <c r="CL184" i="5"/>
  <c r="BL212" i="5"/>
  <c r="AN258" i="5"/>
  <c r="AN260" i="5" s="1"/>
  <c r="BD269" i="5"/>
  <c r="BL269" i="5" s="1"/>
  <c r="AB75" i="6"/>
  <c r="R112" i="6"/>
  <c r="Q115" i="6"/>
  <c r="J15" i="10"/>
  <c r="D19" i="10"/>
  <c r="U16" i="12"/>
  <c r="C91" i="12"/>
  <c r="CZ280" i="5"/>
  <c r="DB328" i="5"/>
  <c r="CZ328" i="5" s="1"/>
  <c r="U43" i="6"/>
  <c r="U47" i="6" s="1"/>
  <c r="U50" i="6"/>
  <c r="U53" i="6"/>
  <c r="U46" i="6"/>
  <c r="AE282" i="5"/>
  <c r="T39" i="3"/>
  <c r="U7" i="6"/>
  <c r="V7" i="6" s="1"/>
  <c r="W7" i="6" s="1"/>
  <c r="X7" i="6" s="1"/>
  <c r="Y7" i="6" s="1"/>
  <c r="Z7" i="6" s="1"/>
  <c r="AA7" i="6" s="1"/>
  <c r="AB7" i="6" s="1"/>
  <c r="S71" i="12"/>
  <c r="S75" i="12" s="1"/>
  <c r="J16" i="10"/>
  <c r="C16" i="10"/>
  <c r="P57" i="10"/>
  <c r="N57" i="10" s="1"/>
  <c r="R58" i="10"/>
  <c r="R59" i="10" s="1"/>
  <c r="G16" i="10"/>
  <c r="F172" i="10"/>
  <c r="J172" i="10"/>
  <c r="AI189" i="10"/>
  <c r="AF3" i="9"/>
  <c r="AN3" i="9" s="1"/>
  <c r="AV3" i="9" s="1"/>
  <c r="BD3" i="9" s="1"/>
  <c r="BL3" i="9" s="1"/>
  <c r="BT3" i="9" s="1"/>
  <c r="CB3" i="9" s="1"/>
  <c r="CJ3" i="9" s="1"/>
  <c r="Y98" i="9"/>
  <c r="Y211" i="9"/>
  <c r="CT160" i="5"/>
  <c r="X8" i="9"/>
  <c r="V25" i="12"/>
  <c r="X6" i="9"/>
  <c r="X7" i="9"/>
  <c r="X234" i="9" s="1"/>
  <c r="CR303" i="5"/>
  <c r="CT315" i="5"/>
  <c r="CR315" i="5" s="1"/>
  <c r="BE205" i="5"/>
  <c r="BM205" i="5" s="1"/>
  <c r="BJ205" i="5" s="1"/>
  <c r="O128" i="8"/>
  <c r="T99" i="10"/>
  <c r="S102" i="10"/>
  <c r="K153" i="10"/>
  <c r="AC179" i="10"/>
  <c r="L98" i="6"/>
  <c r="L124" i="6" s="1"/>
  <c r="T102" i="10"/>
  <c r="K27" i="7"/>
  <c r="X102" i="10"/>
  <c r="AI113" i="11"/>
  <c r="AM113" i="11"/>
  <c r="BE113" i="11"/>
  <c r="CK113" i="11"/>
  <c r="AG107" i="11"/>
  <c r="AK107" i="11"/>
  <c r="CM132" i="5"/>
  <c r="BS191" i="5"/>
  <c r="K28" i="8"/>
  <c r="S73" i="8"/>
  <c r="AN54" i="10"/>
  <c r="AK54" i="10" s="1"/>
  <c r="F60" i="10"/>
  <c r="AC93" i="10"/>
  <c r="AF82" i="11"/>
  <c r="AF84" i="11" s="1"/>
  <c r="W2" i="4"/>
  <c r="X2" i="4" s="1"/>
  <c r="Y2" i="4" s="1"/>
  <c r="Z2" i="4" s="1"/>
  <c r="AA2" i="4" s="1"/>
  <c r="AB2" i="4" s="1"/>
  <c r="AC2" i="4" s="1"/>
  <c r="AD2" i="4" s="1"/>
  <c r="BL199" i="5"/>
  <c r="AE330" i="5"/>
  <c r="F100" i="8"/>
  <c r="J100" i="8"/>
  <c r="N100" i="8"/>
  <c r="R100" i="8"/>
  <c r="AG93" i="10"/>
  <c r="AB94" i="10"/>
  <c r="AB95" i="10"/>
  <c r="X104" i="10"/>
  <c r="S65" i="12"/>
  <c r="S113" i="12" s="1"/>
  <c r="K272" i="12"/>
  <c r="W32" i="4"/>
  <c r="W23" i="4"/>
  <c r="W35" i="4"/>
  <c r="BS132" i="5"/>
  <c r="P287" i="5"/>
  <c r="P326" i="5" s="1"/>
  <c r="AA93" i="10"/>
  <c r="M153" i="10"/>
  <c r="AG74" i="11"/>
  <c r="AH113" i="11"/>
  <c r="AJ107" i="11"/>
  <c r="AX136" i="5"/>
  <c r="AT136" i="5" s="1"/>
  <c r="AV136" i="5" s="1"/>
  <c r="Q96" i="12"/>
  <c r="Q97" i="12" s="1"/>
  <c r="Q250" i="12"/>
  <c r="S250" i="12" s="1"/>
  <c r="T250" i="12" s="1"/>
  <c r="U250" i="12" s="1"/>
  <c r="V250" i="12" s="1"/>
  <c r="AD250" i="12" s="1"/>
  <c r="AL250" i="12" s="1"/>
  <c r="AT250" i="12" s="1"/>
  <c r="BB250" i="12" s="1"/>
  <c r="BJ250" i="12" s="1"/>
  <c r="BR250" i="12" s="1"/>
  <c r="BZ250" i="12" s="1"/>
  <c r="CH250" i="12" s="1"/>
  <c r="R40" i="12"/>
  <c r="B234" i="12"/>
  <c r="B235" i="12" s="1"/>
  <c r="C234" i="12"/>
  <c r="C235" i="12" s="1"/>
  <c r="G39" i="13"/>
  <c r="R343" i="5"/>
  <c r="B250" i="12"/>
  <c r="C250" i="12"/>
  <c r="R28" i="12"/>
  <c r="T38" i="12"/>
  <c r="D232" i="12"/>
  <c r="E232" i="12"/>
  <c r="G78" i="12"/>
  <c r="I84" i="12"/>
  <c r="L87" i="12"/>
  <c r="L216" i="12"/>
  <c r="D33" i="13"/>
  <c r="F39" i="13"/>
  <c r="G124" i="12"/>
  <c r="D54" i="9"/>
  <c r="D55" i="9" s="1"/>
  <c r="F54" i="9"/>
  <c r="J54" i="9"/>
  <c r="J55" i="9" s="1"/>
  <c r="L54" i="9"/>
  <c r="L55" i="9" s="1"/>
  <c r="BB125" i="5"/>
  <c r="BJ125" i="5" s="1"/>
  <c r="BA132" i="5"/>
  <c r="BI132" i="5" s="1"/>
  <c r="CB166" i="5"/>
  <c r="BR189" i="5"/>
  <c r="BT189" i="5" s="1"/>
  <c r="BE17" i="5"/>
  <c r="P20" i="5"/>
  <c r="P138" i="5"/>
  <c r="AZ138" i="5"/>
  <c r="V150" i="5"/>
  <c r="CP209" i="5"/>
  <c r="CR209" i="5" s="1"/>
  <c r="AN131" i="5"/>
  <c r="BR191" i="5"/>
  <c r="CN189" i="5"/>
  <c r="I16" i="13" s="1"/>
  <c r="CL160" i="5"/>
  <c r="DB71" i="5"/>
  <c r="DZ71" i="5"/>
  <c r="DX71" i="5" s="1"/>
  <c r="X75" i="6"/>
  <c r="FF71" i="5"/>
  <c r="FC71" i="5" s="1"/>
  <c r="FD71" i="5" s="1"/>
  <c r="BL56" i="10"/>
  <c r="BI56" i="10" s="1"/>
  <c r="BJ56" i="10" s="1"/>
  <c r="L195" i="8"/>
  <c r="L38" i="9"/>
  <c r="O31" i="9"/>
  <c r="O32" i="9" s="1"/>
  <c r="P54" i="9"/>
  <c r="P21" i="9" s="1"/>
  <c r="S38" i="9"/>
  <c r="V52" i="9"/>
  <c r="X54" i="9"/>
  <c r="X21" i="9" s="1"/>
  <c r="BE7" i="5"/>
  <c r="BE217" i="5" s="1"/>
  <c r="AK138" i="5"/>
  <c r="AK142" i="5" s="1"/>
  <c r="CK184" i="5"/>
  <c r="CH196" i="5"/>
  <c r="CJ196" i="5" s="1"/>
  <c r="CS206" i="5"/>
  <c r="CP210" i="5"/>
  <c r="CR210" i="5" s="1"/>
  <c r="X248" i="5"/>
  <c r="B28" i="8"/>
  <c r="F28" i="8"/>
  <c r="H33" i="8"/>
  <c r="H45" i="10"/>
  <c r="H62" i="10" s="1"/>
  <c r="BT42" i="10"/>
  <c r="BQ42" i="10" s="1"/>
  <c r="BU42" i="10" s="1"/>
  <c r="J190" i="10"/>
  <c r="J192" i="10" s="1"/>
  <c r="J193" i="10" s="1"/>
  <c r="J195" i="10" s="1"/>
  <c r="AH190" i="10"/>
  <c r="AH192" i="10" s="1"/>
  <c r="AH193" i="10" s="1"/>
  <c r="AJ68" i="11"/>
  <c r="AJ70" i="11" s="1"/>
  <c r="AN68" i="11"/>
  <c r="AN70" i="11" s="1"/>
  <c r="AD71" i="12"/>
  <c r="AD75" i="12" s="1"/>
  <c r="K268" i="12"/>
  <c r="K278" i="12" s="1"/>
  <c r="BS272" i="5"/>
  <c r="AE248" i="9"/>
  <c r="DA200" i="5" s="1"/>
  <c r="AV54" i="10"/>
  <c r="AS54" i="10" s="1"/>
  <c r="AT54" i="10" s="1"/>
  <c r="S123" i="10"/>
  <c r="T71" i="12"/>
  <c r="T75" i="12" s="1"/>
  <c r="BC142" i="5"/>
  <c r="AJ148" i="5"/>
  <c r="BV193" i="5"/>
  <c r="BL211" i="5"/>
  <c r="T83" i="8"/>
  <c r="AI42" i="10"/>
  <c r="AJ42" i="10" s="1"/>
  <c r="AY54" i="10"/>
  <c r="AZ54" i="10" s="1"/>
  <c r="T123" i="10"/>
  <c r="M298" i="12"/>
  <c r="O307" i="12"/>
  <c r="O310" i="12" s="1"/>
  <c r="M115" i="4"/>
  <c r="Q115" i="4"/>
  <c r="Q121" i="4" s="1"/>
  <c r="BS127" i="5"/>
  <c r="CQ132" i="5"/>
  <c r="O98" i="6"/>
  <c r="B148" i="8"/>
  <c r="B68" i="7" s="1"/>
  <c r="F148" i="8"/>
  <c r="F68" i="7" s="1"/>
  <c r="J148" i="8"/>
  <c r="J68" i="7" s="1"/>
  <c r="N148" i="8"/>
  <c r="N68" i="7" s="1"/>
  <c r="AH299" i="5" s="1"/>
  <c r="AH301" i="5" s="1"/>
  <c r="R148" i="8"/>
  <c r="R68" i="7" s="1"/>
  <c r="CD299" i="5" s="1"/>
  <c r="CB299" i="5" s="1"/>
  <c r="O259" i="9"/>
  <c r="S104" i="10"/>
  <c r="V123" i="10"/>
  <c r="AG147" i="10"/>
  <c r="U158" i="10"/>
  <c r="E190" i="10"/>
  <c r="E192" i="10" s="1"/>
  <c r="E193" i="10" s="1"/>
  <c r="E195" i="10" s="1"/>
  <c r="U201" i="10"/>
  <c r="AL113" i="11"/>
  <c r="AW113" i="11"/>
  <c r="CC113" i="11"/>
  <c r="I14" i="13"/>
  <c r="CA129" i="5"/>
  <c r="CN132" i="5"/>
  <c r="CH209" i="5"/>
  <c r="CJ209" i="5" s="1"/>
  <c r="CQ272" i="5"/>
  <c r="CQ322" i="5" s="1"/>
  <c r="CQ325" i="5" s="1"/>
  <c r="CQ332" i="5" s="1"/>
  <c r="R67" i="8"/>
  <c r="T73" i="8"/>
  <c r="J123" i="8"/>
  <c r="N123" i="8"/>
  <c r="AC81" i="9"/>
  <c r="G45" i="10"/>
  <c r="P55" i="10"/>
  <c r="M55" i="10" s="1"/>
  <c r="N55" i="10" s="1"/>
  <c r="BD56" i="10"/>
  <c r="BA56" i="10" s="1"/>
  <c r="AC92" i="10"/>
  <c r="V99" i="10"/>
  <c r="T101" i="10"/>
  <c r="AH124" i="11"/>
  <c r="E118" i="12"/>
  <c r="M118" i="12"/>
  <c r="S215" i="12"/>
  <c r="S225" i="12" s="1"/>
  <c r="J82" i="4"/>
  <c r="J80" i="8" s="1"/>
  <c r="J83" i="8" s="1"/>
  <c r="S92" i="4"/>
  <c r="Q68" i="6" s="1"/>
  <c r="DA10" i="5"/>
  <c r="P44" i="5"/>
  <c r="CR48" i="5"/>
  <c r="CR84" i="5"/>
  <c r="CS132" i="5"/>
  <c r="BX160" i="5"/>
  <c r="BP180" i="5"/>
  <c r="BP184" i="5" s="1"/>
  <c r="CQ282" i="5"/>
  <c r="E28" i="8"/>
  <c r="K123" i="8"/>
  <c r="K130" i="8" s="1"/>
  <c r="K131" i="8" s="1"/>
  <c r="M148" i="8"/>
  <c r="M68" i="7" s="1"/>
  <c r="O54" i="10"/>
  <c r="P54" i="10" s="1"/>
  <c r="M54" i="10" s="1"/>
  <c r="N54" i="10" s="1"/>
  <c r="W99" i="10"/>
  <c r="C39" i="13"/>
  <c r="BM11" i="5"/>
  <c r="BU35" i="5" s="1"/>
  <c r="BY24" i="5"/>
  <c r="BY37" i="5" s="1"/>
  <c r="CN129" i="5"/>
  <c r="CM193" i="5"/>
  <c r="BE200" i="5"/>
  <c r="BB200" i="5" s="1"/>
  <c r="J253" i="5"/>
  <c r="BT270" i="5"/>
  <c r="CA272" i="5"/>
  <c r="S33" i="7"/>
  <c r="AG92" i="10"/>
  <c r="S158" i="10"/>
  <c r="G164" i="10"/>
  <c r="G166" i="10" s="1"/>
  <c r="G167" i="10" s="1"/>
  <c r="G169" i="10" s="1"/>
  <c r="F184" i="10"/>
  <c r="AK153" i="11" s="1"/>
  <c r="P189" i="10"/>
  <c r="O190" i="10" s="1"/>
  <c r="O192" i="10" s="1"/>
  <c r="Q38" i="9"/>
  <c r="U38" i="9"/>
  <c r="T31" i="12"/>
  <c r="B67" i="13"/>
  <c r="V141" i="5"/>
  <c r="Q83" i="4"/>
  <c r="U83" i="4"/>
  <c r="CG24" i="5"/>
  <c r="CG37" i="5" s="1"/>
  <c r="H89" i="5"/>
  <c r="AL125" i="5"/>
  <c r="AL127" i="5" s="1"/>
  <c r="AL128" i="5" s="1"/>
  <c r="AZ129" i="5"/>
  <c r="BH129" i="5" s="1"/>
  <c r="CQ129" i="5"/>
  <c r="CY129" i="5"/>
  <c r="AZ132" i="5"/>
  <c r="BH132" i="5" s="1"/>
  <c r="CY132" i="5"/>
  <c r="X141" i="5"/>
  <c r="AF141" i="5"/>
  <c r="AH142" i="5"/>
  <c r="BA142" i="5"/>
  <c r="U152" i="5"/>
  <c r="AC152" i="5"/>
  <c r="AK148" i="5"/>
  <c r="AK153" i="5" s="1"/>
  <c r="CK191" i="5"/>
  <c r="BW193" i="5"/>
  <c r="CA191" i="5"/>
  <c r="CS200" i="5"/>
  <c r="CK205" i="5"/>
  <c r="CS205" i="5"/>
  <c r="BL213" i="5"/>
  <c r="AU253" i="5"/>
  <c r="O241" i="5"/>
  <c r="O253" i="5" s="1"/>
  <c r="R249" i="5"/>
  <c r="P260" i="5"/>
  <c r="X313" i="5"/>
  <c r="BT350" i="5"/>
  <c r="CJ350" i="5"/>
  <c r="CD271" i="5"/>
  <c r="CB271" i="5" s="1"/>
  <c r="R33" i="7"/>
  <c r="O56" i="8"/>
  <c r="X98" i="10"/>
  <c r="V98" i="10"/>
  <c r="T98" i="10"/>
  <c r="N38" i="9"/>
  <c r="N31" i="9"/>
  <c r="N32" i="9" s="1"/>
  <c r="N26" i="9"/>
  <c r="N23" i="9"/>
  <c r="P26" i="9"/>
  <c r="P38" i="9"/>
  <c r="Q54" i="9"/>
  <c r="Q55" i="9" s="1"/>
  <c r="Q52" i="9"/>
  <c r="R31" i="9"/>
  <c r="R32" i="9" s="1"/>
  <c r="R23" i="9"/>
  <c r="BF138" i="5"/>
  <c r="BF136" i="5" s="1"/>
  <c r="S8" i="9"/>
  <c r="S5" i="9"/>
  <c r="S98" i="9" s="1"/>
  <c r="S29" i="9"/>
  <c r="S6" i="9"/>
  <c r="S211" i="9" s="1"/>
  <c r="T29" i="9"/>
  <c r="T77" i="9"/>
  <c r="T35" i="9" s="1"/>
  <c r="U54" i="9"/>
  <c r="U55" i="9" s="1"/>
  <c r="U52" i="9"/>
  <c r="V26" i="9"/>
  <c r="V38" i="9"/>
  <c r="V31" i="9"/>
  <c r="V32" i="9" s="1"/>
  <c r="V23" i="9"/>
  <c r="W38" i="9"/>
  <c r="W23" i="9"/>
  <c r="X38" i="9"/>
  <c r="X26" i="9"/>
  <c r="Z13" i="9"/>
  <c r="AD262" i="9"/>
  <c r="DB123" i="5"/>
  <c r="DZ123" i="5"/>
  <c r="BC262" i="9"/>
  <c r="EH123" i="5"/>
  <c r="BI262" i="9"/>
  <c r="EE123" i="5" s="1"/>
  <c r="EE131" i="5" s="1"/>
  <c r="BK262" i="9"/>
  <c r="EP123" i="5"/>
  <c r="BS262" i="9"/>
  <c r="BY262" i="9"/>
  <c r="EU123" i="5" s="1"/>
  <c r="EX123" i="5"/>
  <c r="EX131" i="5" s="1"/>
  <c r="CA262" i="9"/>
  <c r="FF123" i="5"/>
  <c r="CI262" i="9"/>
  <c r="F7" i="9"/>
  <c r="F234" i="9" s="1"/>
  <c r="G242" i="9" s="1"/>
  <c r="F8" i="9"/>
  <c r="F297" i="9" s="1"/>
  <c r="G71" i="9"/>
  <c r="F6" i="9"/>
  <c r="F211" i="9" s="1"/>
  <c r="F5" i="9"/>
  <c r="H6" i="9"/>
  <c r="I68" i="9" s="1"/>
  <c r="H5" i="9"/>
  <c r="H7" i="9"/>
  <c r="I69" i="9" s="1"/>
  <c r="J7" i="9"/>
  <c r="J8" i="9"/>
  <c r="J297" i="9" s="1"/>
  <c r="J6" i="9"/>
  <c r="J211" i="9" s="1"/>
  <c r="L6" i="9"/>
  <c r="L211" i="9" s="1"/>
  <c r="L5" i="9"/>
  <c r="L67" i="9" s="1"/>
  <c r="L10" i="9"/>
  <c r="L7" i="9"/>
  <c r="BU106" i="11"/>
  <c r="BU119" i="11" s="1"/>
  <c r="S142" i="5"/>
  <c r="AA142" i="5"/>
  <c r="AI142" i="5"/>
  <c r="Y152" i="5"/>
  <c r="CE185" i="5"/>
  <c r="P124" i="6"/>
  <c r="P98" i="6"/>
  <c r="H67" i="8"/>
  <c r="H66" i="8"/>
  <c r="D66" i="8"/>
  <c r="AN56" i="10"/>
  <c r="AK56" i="10" s="1"/>
  <c r="AJ56" i="10"/>
  <c r="T100" i="10"/>
  <c r="X103" i="10"/>
  <c r="S103" i="10"/>
  <c r="W103" i="10"/>
  <c r="V103" i="10"/>
  <c r="F115" i="4"/>
  <c r="F16" i="6" s="1"/>
  <c r="H11" i="5"/>
  <c r="H50" i="5" s="1"/>
  <c r="O11" i="5"/>
  <c r="O14" i="5" s="1"/>
  <c r="BL61" i="5"/>
  <c r="Y35" i="5"/>
  <c r="X48" i="5"/>
  <c r="CR74" i="5"/>
  <c r="BT88" i="5"/>
  <c r="X84" i="5"/>
  <c r="X89" i="5" s="1"/>
  <c r="BT123" i="5"/>
  <c r="BT131" i="5" s="1"/>
  <c r="BF125" i="5"/>
  <c r="BF128" i="5" s="1"/>
  <c r="BN128" i="5" s="1"/>
  <c r="CU129" i="5"/>
  <c r="CA132" i="5"/>
  <c r="CI132" i="5"/>
  <c r="CU132" i="5"/>
  <c r="T140" i="5"/>
  <c r="AF140" i="5"/>
  <c r="AZ140" i="5"/>
  <c r="T141" i="5"/>
  <c r="AJ141" i="5"/>
  <c r="U142" i="5"/>
  <c r="AC142" i="5"/>
  <c r="AM142" i="5"/>
  <c r="BO142" i="5"/>
  <c r="AZ151" i="5"/>
  <c r="Z152" i="5"/>
  <c r="BA152" i="5"/>
  <c r="BS159" i="5"/>
  <c r="BW161" i="5"/>
  <c r="CK183" i="5"/>
  <c r="CF192" i="5"/>
  <c r="CI193" i="5"/>
  <c r="BH211" i="5"/>
  <c r="CP204" i="5"/>
  <c r="CR204" i="5" s="1"/>
  <c r="CH201" i="5"/>
  <c r="CJ201" i="5" s="1"/>
  <c r="BT206" i="5"/>
  <c r="AF277" i="5"/>
  <c r="CI281" i="5"/>
  <c r="CI282" i="5" s="1"/>
  <c r="AM292" i="5"/>
  <c r="E127" i="8"/>
  <c r="E46" i="8"/>
  <c r="T66" i="8"/>
  <c r="Y234" i="9"/>
  <c r="Y232" i="9" s="1"/>
  <c r="Z7" i="9"/>
  <c r="AE7" i="9" s="1"/>
  <c r="Y64" i="9"/>
  <c r="Y8" i="9"/>
  <c r="BD42" i="10"/>
  <c r="BA42" i="10" s="1"/>
  <c r="BB42" i="10" s="1"/>
  <c r="AY42" i="10"/>
  <c r="AZ42" i="10" s="1"/>
  <c r="BO54" i="10"/>
  <c r="BP54" i="10" s="1"/>
  <c r="BT54" i="10"/>
  <c r="BQ54" i="10" s="1"/>
  <c r="BR54" i="10" s="1"/>
  <c r="AO89" i="10"/>
  <c r="AK89" i="10"/>
  <c r="G72" i="4"/>
  <c r="B92" i="4"/>
  <c r="B68" i="6" s="1"/>
  <c r="N92" i="4"/>
  <c r="N68" i="6" s="1"/>
  <c r="R92" i="4"/>
  <c r="R93" i="4" s="1"/>
  <c r="V92" i="4"/>
  <c r="T68" i="6" s="1"/>
  <c r="J115" i="4"/>
  <c r="J118" i="4" s="1"/>
  <c r="CJ19" i="5"/>
  <c r="CG129" i="5"/>
  <c r="BE132" i="5"/>
  <c r="BM132" i="5" s="1"/>
  <c r="CK132" i="5"/>
  <c r="CP132" i="5"/>
  <c r="CW132" i="5"/>
  <c r="X140" i="5"/>
  <c r="AW138" i="5"/>
  <c r="AD137" i="5"/>
  <c r="AD141" i="5" s="1"/>
  <c r="AZ141" i="5"/>
  <c r="W142" i="5"/>
  <c r="AE142" i="5"/>
  <c r="AY142" i="5"/>
  <c r="AY129" i="5" s="1"/>
  <c r="AR148" i="5"/>
  <c r="AT148" i="5" s="1"/>
  <c r="AW148" i="5" s="1"/>
  <c r="V151" i="5"/>
  <c r="BC152" i="5"/>
  <c r="BZ157" i="5"/>
  <c r="CB157" i="5" s="1"/>
  <c r="BJ158" i="5"/>
  <c r="BL158" i="5" s="1"/>
  <c r="BR158" i="5"/>
  <c r="BT158" i="5" s="1"/>
  <c r="BH197" i="5"/>
  <c r="BC225" i="5"/>
  <c r="BP203" i="5"/>
  <c r="BP208" i="5"/>
  <c r="CS208" i="5"/>
  <c r="W253" i="5"/>
  <c r="CY292" i="5"/>
  <c r="X291" i="5"/>
  <c r="E80" i="10"/>
  <c r="F80" i="10" s="1"/>
  <c r="G80" i="10" s="1"/>
  <c r="H80" i="10" s="1"/>
  <c r="D85" i="10"/>
  <c r="C18" i="10"/>
  <c r="AX90" i="10"/>
  <c r="AQ90" i="10" s="1"/>
  <c r="AO90" i="10"/>
  <c r="AK90" i="10"/>
  <c r="AN90" i="10"/>
  <c r="AJ90" i="10"/>
  <c r="AM90" i="10"/>
  <c r="AI90" i="10"/>
  <c r="AP156" i="10"/>
  <c r="AE156" i="10"/>
  <c r="AF156" i="10" s="1"/>
  <c r="AB187" i="10"/>
  <c r="N78" i="12"/>
  <c r="N66" i="12"/>
  <c r="O91" i="12"/>
  <c r="O84" i="12"/>
  <c r="O114" i="12"/>
  <c r="O78" i="12"/>
  <c r="CL181" i="5"/>
  <c r="U38" i="12"/>
  <c r="U5" i="12"/>
  <c r="CL179" i="5" s="1"/>
  <c r="C64" i="12"/>
  <c r="C63" i="12"/>
  <c r="D119" i="12" s="1"/>
  <c r="D78" i="12"/>
  <c r="D127" i="12"/>
  <c r="D126" i="12" s="1"/>
  <c r="D84" i="12"/>
  <c r="E127" i="12"/>
  <c r="E126" i="12" s="1"/>
  <c r="E72" i="12"/>
  <c r="E94" i="12"/>
  <c r="E96" i="12"/>
  <c r="E97" i="12" s="1"/>
  <c r="F64" i="12"/>
  <c r="F114" i="12" s="1"/>
  <c r="G66" i="12"/>
  <c r="F91" i="12"/>
  <c r="F94" i="12"/>
  <c r="I238" i="12"/>
  <c r="I214" i="12"/>
  <c r="L91" i="12"/>
  <c r="L84" i="12"/>
  <c r="L78" i="12"/>
  <c r="D4" i="13"/>
  <c r="D5" i="13" s="1"/>
  <c r="D15" i="13"/>
  <c r="D16" i="13" s="1"/>
  <c r="G24" i="13"/>
  <c r="G33" i="13"/>
  <c r="N83" i="8"/>
  <c r="Y124" i="10"/>
  <c r="U124" i="10"/>
  <c r="BE180" i="11"/>
  <c r="BM180" i="11" s="1"/>
  <c r="BM181" i="11" s="1"/>
  <c r="AW181" i="11"/>
  <c r="T5" i="12"/>
  <c r="T6" i="12" s="1"/>
  <c r="T8" i="12" s="1"/>
  <c r="P113" i="12"/>
  <c r="D91" i="12"/>
  <c r="L100" i="12"/>
  <c r="L113" i="12"/>
  <c r="O120" i="12"/>
  <c r="C127" i="12"/>
  <c r="DJ71" i="5"/>
  <c r="EH71" i="5"/>
  <c r="EE71" i="5" s="1"/>
  <c r="K60" i="6"/>
  <c r="P33" i="7"/>
  <c r="O45" i="7"/>
  <c r="C28" i="8"/>
  <c r="P83" i="8"/>
  <c r="O100" i="8"/>
  <c r="C128" i="8"/>
  <c r="X144" i="8"/>
  <c r="Y144" i="8" s="1"/>
  <c r="Z144" i="8" s="1"/>
  <c r="AA144" i="8" s="1"/>
  <c r="AB144" i="8" s="1"/>
  <c r="E148" i="8"/>
  <c r="E68" i="7" s="1"/>
  <c r="I148" i="8"/>
  <c r="I68" i="7" s="1"/>
  <c r="Q148" i="8"/>
  <c r="Q68" i="7" s="1"/>
  <c r="T175" i="8"/>
  <c r="R38" i="9"/>
  <c r="H86" i="9"/>
  <c r="P86" i="9"/>
  <c r="C15" i="10"/>
  <c r="G15" i="10"/>
  <c r="F19" i="10"/>
  <c r="AA42" i="10"/>
  <c r="AV42" i="10"/>
  <c r="AS42" i="10" s="1"/>
  <c r="AT42" i="10" s="1"/>
  <c r="X56" i="10"/>
  <c r="V56" i="10" s="1"/>
  <c r="BH56" i="10"/>
  <c r="AA92" i="10"/>
  <c r="AE92" i="10"/>
  <c r="V101" i="10"/>
  <c r="V102" i="10"/>
  <c r="AB102" i="10"/>
  <c r="T104" i="10"/>
  <c r="W123" i="10"/>
  <c r="AJ147" i="10"/>
  <c r="X168" i="10"/>
  <c r="V168" i="10"/>
  <c r="W189" i="10"/>
  <c r="S189" i="10"/>
  <c r="X187" i="10"/>
  <c r="AE189" i="10"/>
  <c r="AH148" i="11"/>
  <c r="T28" i="12"/>
  <c r="AC55" i="12"/>
  <c r="DA210" i="5" s="1"/>
  <c r="C62" i="12"/>
  <c r="D118" i="12" s="1"/>
  <c r="K118" i="12"/>
  <c r="F66" i="12"/>
  <c r="C84" i="12"/>
  <c r="P84" i="12"/>
  <c r="P91" i="12"/>
  <c r="F96" i="12"/>
  <c r="F97" i="12" s="1"/>
  <c r="O113" i="12"/>
  <c r="C232" i="12"/>
  <c r="S98" i="6"/>
  <c r="B28" i="7"/>
  <c r="B35" i="7" s="1"/>
  <c r="B64" i="7" s="1"/>
  <c r="B67" i="7" s="1"/>
  <c r="D28" i="8"/>
  <c r="P67" i="8"/>
  <c r="M94" i="8"/>
  <c r="D15" i="10"/>
  <c r="H15" i="10"/>
  <c r="C19" i="10"/>
  <c r="G19" i="10"/>
  <c r="L55" i="10"/>
  <c r="AZ56" i="10"/>
  <c r="AB92" i="10"/>
  <c r="AE93" i="10"/>
  <c r="W102" i="10"/>
  <c r="AJ142" i="10"/>
  <c r="AE152" i="10"/>
  <c r="AH158" i="10"/>
  <c r="V158" i="10"/>
  <c r="AE162" i="10"/>
  <c r="AB162" i="10"/>
  <c r="W201" i="10"/>
  <c r="S201" i="10"/>
  <c r="V201" i="10"/>
  <c r="U22" i="12"/>
  <c r="U28" i="12"/>
  <c r="Q94" i="12"/>
  <c r="S94" i="12" s="1"/>
  <c r="T94" i="12" s="1"/>
  <c r="U94" i="12" s="1"/>
  <c r="V94" i="12" s="1"/>
  <c r="AD94" i="12" s="1"/>
  <c r="AL94" i="12" s="1"/>
  <c r="AT94" i="12" s="1"/>
  <c r="BB94" i="12" s="1"/>
  <c r="BJ94" i="12" s="1"/>
  <c r="BR94" i="12" s="1"/>
  <c r="BZ94" i="12" s="1"/>
  <c r="CH94" i="12" s="1"/>
  <c r="V219" i="12"/>
  <c r="V218" i="12" s="1"/>
  <c r="V224" i="12" s="1"/>
  <c r="V228" i="12" s="1"/>
  <c r="U218" i="12"/>
  <c r="U224" i="12" s="1"/>
  <c r="U228" i="12" s="1"/>
  <c r="I225" i="12"/>
  <c r="K156" i="10"/>
  <c r="L156" i="10" s="1"/>
  <c r="L189" i="10"/>
  <c r="K190" i="10" s="1"/>
  <c r="K192" i="10" s="1"/>
  <c r="AP190" i="10"/>
  <c r="AP192" i="10" s="1"/>
  <c r="BU12" i="12"/>
  <c r="U71" i="12"/>
  <c r="U75" i="12" s="1"/>
  <c r="AD216" i="12"/>
  <c r="L228" i="12"/>
  <c r="B62" i="13"/>
  <c r="DZ48" i="5"/>
  <c r="DX48" i="5" s="1"/>
  <c r="E164" i="10"/>
  <c r="E166" i="10" s="1"/>
  <c r="E167" i="10" s="1"/>
  <c r="E169" i="10" s="1"/>
  <c r="C190" i="10"/>
  <c r="C192" i="10" s="1"/>
  <c r="C193" i="10" s="1"/>
  <c r="C195" i="10" s="1"/>
  <c r="E200" i="10"/>
  <c r="E202" i="10" s="1"/>
  <c r="I200" i="10"/>
  <c r="I202" i="10" s="1"/>
  <c r="I203" i="10" s="1"/>
  <c r="I205" i="10" s="1"/>
  <c r="AH68" i="11"/>
  <c r="AH70" i="11" s="1"/>
  <c r="AL68" i="11"/>
  <c r="AL70" i="11" s="1"/>
  <c r="AG113" i="11"/>
  <c r="AK113" i="11"/>
  <c r="AO113" i="11"/>
  <c r="BU113" i="11"/>
  <c r="DA113" i="11"/>
  <c r="D113" i="12"/>
  <c r="P232" i="12"/>
  <c r="B58" i="13"/>
  <c r="O294" i="12"/>
  <c r="AO20" i="5"/>
  <c r="AL6" i="5"/>
  <c r="I13" i="3"/>
  <c r="I71" i="3" s="1"/>
  <c r="M62" i="4"/>
  <c r="M131" i="6" s="1"/>
  <c r="M8" i="6"/>
  <c r="G58" i="4"/>
  <c r="G215" i="12"/>
  <c r="H216" i="12" s="1"/>
  <c r="C73" i="4"/>
  <c r="C13" i="3"/>
  <c r="C71" i="3" s="1"/>
  <c r="G13" i="4"/>
  <c r="K8" i="6"/>
  <c r="O73" i="4"/>
  <c r="O8" i="6"/>
  <c r="O117" i="8" s="1"/>
  <c r="R8" i="6"/>
  <c r="E15" i="4"/>
  <c r="E16" i="4" s="1"/>
  <c r="E64" i="6" s="1"/>
  <c r="H16" i="4"/>
  <c r="H64" i="6" s="1"/>
  <c r="Q48" i="4"/>
  <c r="P20" i="6" s="1"/>
  <c r="BF55" i="5"/>
  <c r="BD55" i="5" s="1"/>
  <c r="BF221" i="5"/>
  <c r="DJ58" i="5"/>
  <c r="V88" i="3"/>
  <c r="B15" i="3"/>
  <c r="F51" i="4"/>
  <c r="F73" i="6" s="1"/>
  <c r="F80" i="6" s="1"/>
  <c r="F20" i="6"/>
  <c r="J51" i="4"/>
  <c r="J73" i="6" s="1"/>
  <c r="J80" i="6" s="1"/>
  <c r="J83" i="6" s="1"/>
  <c r="J20" i="6"/>
  <c r="N51" i="4"/>
  <c r="N73" i="6" s="1"/>
  <c r="N80" i="6" s="1"/>
  <c r="N83" i="6" s="1"/>
  <c r="N20" i="6"/>
  <c r="Q15" i="3"/>
  <c r="L51" i="4"/>
  <c r="L73" i="6" s="1"/>
  <c r="U51" i="4"/>
  <c r="S73" i="6" s="1"/>
  <c r="I90" i="4"/>
  <c r="I92" i="4" s="1"/>
  <c r="I246" i="12"/>
  <c r="I252" i="12" s="1"/>
  <c r="I253" i="12" s="1"/>
  <c r="M90" i="4"/>
  <c r="M92" i="4" s="1"/>
  <c r="M246" i="12"/>
  <c r="M252" i="12" s="1"/>
  <c r="H82" i="4"/>
  <c r="H249" i="12"/>
  <c r="L82" i="4"/>
  <c r="L249" i="12"/>
  <c r="I82" i="4"/>
  <c r="I80" i="8" s="1"/>
  <c r="E92" i="4"/>
  <c r="E68" i="6" s="1"/>
  <c r="Q92" i="4"/>
  <c r="P68" i="6" s="1"/>
  <c r="U92" i="4"/>
  <c r="J103" i="4"/>
  <c r="J104" i="4" s="1"/>
  <c r="J237" i="12"/>
  <c r="J238" i="12" s="1"/>
  <c r="G115" i="4"/>
  <c r="G231" i="12"/>
  <c r="G234" i="12" s="1"/>
  <c r="K115" i="4"/>
  <c r="K118" i="4" s="1"/>
  <c r="K231" i="12"/>
  <c r="K232" i="12" s="1"/>
  <c r="D72" i="3"/>
  <c r="T118" i="4"/>
  <c r="R16" i="6"/>
  <c r="CB313" i="5" s="1"/>
  <c r="CK19" i="5"/>
  <c r="BA24" i="5"/>
  <c r="BA37" i="5" s="1"/>
  <c r="BQ24" i="5"/>
  <c r="BQ37" i="5" s="1"/>
  <c r="CO24" i="5"/>
  <c r="CJ89" i="5"/>
  <c r="P84" i="5"/>
  <c r="P89" i="5" s="1"/>
  <c r="BW129" i="5"/>
  <c r="CE129" i="5"/>
  <c r="BQ132" i="5"/>
  <c r="CG132" i="5"/>
  <c r="BC132" i="5"/>
  <c r="BK132" i="5" s="1"/>
  <c r="X138" i="5"/>
  <c r="AB140" i="5"/>
  <c r="AD151" i="5"/>
  <c r="BR159" i="5"/>
  <c r="CK157" i="5"/>
  <c r="CK160" i="5" s="1"/>
  <c r="BQ161" i="5"/>
  <c r="CD161" i="5"/>
  <c r="CJ158" i="5"/>
  <c r="CJ167" i="5" s="1"/>
  <c r="CA159" i="5"/>
  <c r="CR163" i="5"/>
  <c r="CD171" i="5"/>
  <c r="BX181" i="5"/>
  <c r="CS180" i="5"/>
  <c r="CS184" i="5" s="1"/>
  <c r="BO185" i="5"/>
  <c r="BW185" i="5"/>
  <c r="BP187" i="5"/>
  <c r="BX191" i="5" s="1"/>
  <c r="BT192" i="5"/>
  <c r="CK188" i="5"/>
  <c r="CK192" i="5" s="1"/>
  <c r="CD193" i="5"/>
  <c r="CK197" i="5"/>
  <c r="BE196" i="5"/>
  <c r="BM196" i="5" s="1"/>
  <c r="CS201" i="5"/>
  <c r="P238" i="5"/>
  <c r="P241" i="5" s="1"/>
  <c r="P248" i="5"/>
  <c r="CQ292" i="5"/>
  <c r="CR284" i="5"/>
  <c r="BV102" i="5"/>
  <c r="BT102" i="5" s="1"/>
  <c r="X35" i="6"/>
  <c r="Q192" i="8"/>
  <c r="Q195" i="8" s="1"/>
  <c r="X31" i="8"/>
  <c r="Y31" i="8" s="1"/>
  <c r="Z31" i="8" s="1"/>
  <c r="AA31" i="8" s="1"/>
  <c r="AB31" i="8" s="1"/>
  <c r="F121" i="8"/>
  <c r="F123" i="8" s="1"/>
  <c r="O168" i="8"/>
  <c r="O169" i="8" s="1"/>
  <c r="AC55" i="9"/>
  <c r="AC21" i="9"/>
  <c r="BD55" i="10"/>
  <c r="BA55" i="10" s="1"/>
  <c r="AY55" i="10"/>
  <c r="AZ55" i="10" s="1"/>
  <c r="Q59" i="4"/>
  <c r="BF7" i="5"/>
  <c r="BF217" i="5" s="1"/>
  <c r="D13" i="3"/>
  <c r="D71" i="3" s="1"/>
  <c r="H13" i="3"/>
  <c r="H71" i="3" s="1"/>
  <c r="H11" i="6"/>
  <c r="L8" i="6"/>
  <c r="L88" i="8" s="1"/>
  <c r="S8" i="6"/>
  <c r="S21" i="6" s="1"/>
  <c r="DZ58" i="5"/>
  <c r="X88" i="3"/>
  <c r="C15" i="3"/>
  <c r="G15" i="3"/>
  <c r="K15" i="3"/>
  <c r="O15" i="3"/>
  <c r="T62" i="4"/>
  <c r="R131" i="6" s="1"/>
  <c r="R20" i="6"/>
  <c r="M51" i="4"/>
  <c r="M73" i="6" s="1"/>
  <c r="F90" i="4"/>
  <c r="F92" i="4" s="1"/>
  <c r="F68" i="6" s="1"/>
  <c r="F246" i="12"/>
  <c r="F252" i="12" s="1"/>
  <c r="J90" i="4"/>
  <c r="J92" i="4" s="1"/>
  <c r="J68" i="6" s="1"/>
  <c r="J246" i="12"/>
  <c r="J247" i="12" s="1"/>
  <c r="F103" i="4"/>
  <c r="F237" i="12"/>
  <c r="K103" i="4"/>
  <c r="K104" i="4" s="1"/>
  <c r="K237" i="12"/>
  <c r="K238" i="12" s="1"/>
  <c r="H115" i="4"/>
  <c r="H231" i="12"/>
  <c r="H234" i="12" s="1"/>
  <c r="H235" i="12" s="1"/>
  <c r="L115" i="4"/>
  <c r="L16" i="6" s="1"/>
  <c r="L231" i="12"/>
  <c r="L232" i="12" s="1"/>
  <c r="U121" i="4"/>
  <c r="S16" i="6"/>
  <c r="U118" i="4"/>
  <c r="S71" i="6" s="1"/>
  <c r="AU92" i="5"/>
  <c r="AU115" i="5" s="1"/>
  <c r="AU119" i="5" s="1"/>
  <c r="BX131" i="5"/>
  <c r="CH132" i="5"/>
  <c r="AJ140" i="5"/>
  <c r="T138" i="5"/>
  <c r="AJ138" i="5"/>
  <c r="AF150" i="5"/>
  <c r="L147" i="5"/>
  <c r="L148" i="5" s="1"/>
  <c r="AI152" i="5"/>
  <c r="AM152" i="5"/>
  <c r="CE171" i="5"/>
  <c r="BY185" i="5"/>
  <c r="CM185" i="5"/>
  <c r="W18" i="12"/>
  <c r="CF183" i="5"/>
  <c r="CS188" i="5"/>
  <c r="I11" i="13"/>
  <c r="CC189" i="5"/>
  <c r="CC193" i="5" s="1"/>
  <c r="CN192" i="5"/>
  <c r="CE193" i="5"/>
  <c r="CQ193" i="5"/>
  <c r="BC227" i="5"/>
  <c r="CI272" i="5"/>
  <c r="CI322" i="5" s="1"/>
  <c r="CJ271" i="5"/>
  <c r="W324" i="5"/>
  <c r="W282" i="5"/>
  <c r="BS292" i="5"/>
  <c r="BT284" i="5"/>
  <c r="BS332" i="5"/>
  <c r="BS336" i="5" s="1"/>
  <c r="BV89" i="5"/>
  <c r="N98" i="6"/>
  <c r="N124" i="6"/>
  <c r="R98" i="6"/>
  <c r="R124" i="6"/>
  <c r="N27" i="7"/>
  <c r="AH266" i="5"/>
  <c r="AF266" i="5" s="1"/>
  <c r="AF267" i="5" s="1"/>
  <c r="R27" i="7"/>
  <c r="CD266" i="5"/>
  <c r="DB286" i="5"/>
  <c r="CZ286" i="5" s="1"/>
  <c r="R13" i="8"/>
  <c r="C38" i="8"/>
  <c r="C56" i="3"/>
  <c r="C8" i="3"/>
  <c r="G56" i="3"/>
  <c r="G8" i="3"/>
  <c r="AE224" i="9"/>
  <c r="DA199" i="5" s="1"/>
  <c r="CV199" i="5"/>
  <c r="E13" i="3"/>
  <c r="E71" i="3" s="1"/>
  <c r="V23" i="4"/>
  <c r="T8" i="6"/>
  <c r="T13" i="3" s="1"/>
  <c r="AA47" i="4"/>
  <c r="D15" i="3"/>
  <c r="H15" i="3"/>
  <c r="H24" i="6"/>
  <c r="L15" i="3"/>
  <c r="L24" i="6"/>
  <c r="S15" i="3"/>
  <c r="H51" i="4"/>
  <c r="H73" i="6" s="1"/>
  <c r="K90" i="4"/>
  <c r="K92" i="4" s="1"/>
  <c r="K246" i="12"/>
  <c r="E83" i="4"/>
  <c r="E80" i="8"/>
  <c r="M82" i="4"/>
  <c r="G90" i="4"/>
  <c r="G92" i="4" s="1"/>
  <c r="L103" i="4"/>
  <c r="L104" i="4" s="1"/>
  <c r="L237" i="12"/>
  <c r="L238" i="12" s="1"/>
  <c r="G103" i="4"/>
  <c r="N118" i="4"/>
  <c r="N71" i="6" s="1"/>
  <c r="N16" i="6"/>
  <c r="V118" i="4"/>
  <c r="T16" i="6"/>
  <c r="R121" i="4"/>
  <c r="H44" i="5"/>
  <c r="X74" i="5"/>
  <c r="BA127" i="5"/>
  <c r="BI127" i="5" s="1"/>
  <c r="BO129" i="5"/>
  <c r="AY132" i="5"/>
  <c r="BG132" i="5" s="1"/>
  <c r="BO132" i="5"/>
  <c r="BU132" i="5"/>
  <c r="CE132" i="5"/>
  <c r="CO132" i="5"/>
  <c r="Y141" i="5"/>
  <c r="AF138" i="5"/>
  <c r="AR138" i="5"/>
  <c r="AB148" i="5"/>
  <c r="BT156" i="5"/>
  <c r="BT159" i="5" s="1"/>
  <c r="CH157" i="5"/>
  <c r="BY161" i="5"/>
  <c r="CM161" i="5"/>
  <c r="CF160" i="5"/>
  <c r="BS165" i="5"/>
  <c r="BQ165" i="5" s="1"/>
  <c r="BS170" i="5"/>
  <c r="CA171" i="5" s="1"/>
  <c r="CG185" i="5"/>
  <c r="CN191" i="5"/>
  <c r="CS187" i="5"/>
  <c r="N6" i="13" s="1"/>
  <c r="CH188" i="5"/>
  <c r="CH192" i="5" s="1"/>
  <c r="BX189" i="5"/>
  <c r="L17" i="13"/>
  <c r="CP197" i="5"/>
  <c r="CR197" i="5" s="1"/>
  <c r="BE207" i="5"/>
  <c r="BB207" i="5" s="1"/>
  <c r="BM213" i="5"/>
  <c r="BJ213" i="5" s="1"/>
  <c r="Z241" i="5"/>
  <c r="Z253" i="5" s="1"/>
  <c r="Z249" i="5"/>
  <c r="CI330" i="5"/>
  <c r="I11" i="6"/>
  <c r="F29" i="6"/>
  <c r="F179" i="8"/>
  <c r="L45" i="7"/>
  <c r="L70" i="3"/>
  <c r="L72" i="3" s="1"/>
  <c r="P45" i="7"/>
  <c r="BF277" i="5"/>
  <c r="BF276" i="5" s="1"/>
  <c r="P70" i="3"/>
  <c r="P72" i="3" s="1"/>
  <c r="T45" i="7"/>
  <c r="T70" i="3"/>
  <c r="CT277" i="5"/>
  <c r="AH279" i="5"/>
  <c r="AH281" i="5" s="1"/>
  <c r="AH282" i="5" s="1"/>
  <c r="R45" i="7"/>
  <c r="CD279" i="5"/>
  <c r="G112" i="8"/>
  <c r="G121" i="8" s="1"/>
  <c r="G123" i="8" s="1"/>
  <c r="Q54" i="8"/>
  <c r="Q54" i="3"/>
  <c r="Q39" i="3" s="1"/>
  <c r="R52" i="8"/>
  <c r="D73" i="8"/>
  <c r="R83" i="8"/>
  <c r="L197" i="8"/>
  <c r="L196" i="8" s="1"/>
  <c r="M191" i="8"/>
  <c r="M196" i="8" s="1"/>
  <c r="AA81" i="9"/>
  <c r="AA80" i="9"/>
  <c r="AN55" i="10"/>
  <c r="AK55" i="10" s="1"/>
  <c r="AJ55" i="10"/>
  <c r="DB10" i="5"/>
  <c r="CZ10" i="5" s="1"/>
  <c r="U82" i="3"/>
  <c r="F58" i="4"/>
  <c r="F215" i="12"/>
  <c r="F276" i="12" s="1"/>
  <c r="B13" i="3"/>
  <c r="B71" i="3" s="1"/>
  <c r="F13" i="4"/>
  <c r="J23" i="4"/>
  <c r="J8" i="6"/>
  <c r="J109" i="8" s="1"/>
  <c r="N8" i="6"/>
  <c r="N109" i="8" s="1"/>
  <c r="T33" i="4"/>
  <c r="Q8" i="6"/>
  <c r="D15" i="4"/>
  <c r="D16" i="4" s="1"/>
  <c r="D64" i="6" s="1"/>
  <c r="H21" i="4"/>
  <c r="E50" i="4"/>
  <c r="E51" i="4" s="1"/>
  <c r="E73" i="6" s="1"/>
  <c r="E80" i="6" s="1"/>
  <c r="E20" i="6"/>
  <c r="E24" i="6" s="1"/>
  <c r="I15" i="3"/>
  <c r="I24" i="6"/>
  <c r="M15" i="3"/>
  <c r="V51" i="4"/>
  <c r="T73" i="6" s="1"/>
  <c r="T80" i="6" s="1"/>
  <c r="T20" i="6"/>
  <c r="I51" i="4"/>
  <c r="I73" i="6" s="1"/>
  <c r="I80" i="6" s="1"/>
  <c r="T51" i="4"/>
  <c r="R73" i="6" s="1"/>
  <c r="R80" i="6" s="1"/>
  <c r="R83" i="6" s="1"/>
  <c r="H90" i="4"/>
  <c r="H92" i="4" s="1"/>
  <c r="H246" i="12"/>
  <c r="L90" i="4"/>
  <c r="L92" i="4" s="1"/>
  <c r="L246" i="12"/>
  <c r="L247" i="12" s="1"/>
  <c r="D83" i="4"/>
  <c r="K72" i="4"/>
  <c r="K73" i="4" s="1"/>
  <c r="P73" i="4"/>
  <c r="T83" i="4"/>
  <c r="G82" i="4"/>
  <c r="G249" i="12"/>
  <c r="K82" i="4"/>
  <c r="K80" i="8" s="1"/>
  <c r="K83" i="8" s="1"/>
  <c r="K249" i="12"/>
  <c r="F82" i="4"/>
  <c r="F80" i="8" s="1"/>
  <c r="F83" i="8" s="1"/>
  <c r="D92" i="4"/>
  <c r="P92" i="4"/>
  <c r="P93" i="4" s="1"/>
  <c r="T92" i="4"/>
  <c r="R68" i="6" s="1"/>
  <c r="M103" i="4"/>
  <c r="M104" i="4" s="1"/>
  <c r="M237" i="12"/>
  <c r="H103" i="4"/>
  <c r="H104" i="4" s="1"/>
  <c r="I115" i="4"/>
  <c r="O118" i="4"/>
  <c r="O71" i="6" s="1"/>
  <c r="O16" i="6"/>
  <c r="S118" i="4"/>
  <c r="Q71" i="6" s="1"/>
  <c r="Q16" i="6"/>
  <c r="E118" i="4"/>
  <c r="E71" i="6" s="1"/>
  <c r="V121" i="4"/>
  <c r="Q132" i="4"/>
  <c r="B69" i="13"/>
  <c r="BF340" i="5"/>
  <c r="BS11" i="5"/>
  <c r="CA34" i="5" s="1"/>
  <c r="BE8" i="5"/>
  <c r="BB8" i="5" s="1"/>
  <c r="BB22" i="5" s="1"/>
  <c r="AB23" i="5"/>
  <c r="BP24" i="5"/>
  <c r="BP37" i="5" s="1"/>
  <c r="O44" i="5"/>
  <c r="AN124" i="5"/>
  <c r="BQ127" i="5"/>
  <c r="BE128" i="5"/>
  <c r="BU129" i="5" s="1"/>
  <c r="CI129" i="5"/>
  <c r="AB141" i="5"/>
  <c r="AJ150" i="5"/>
  <c r="AY152" i="5"/>
  <c r="BP156" i="5"/>
  <c r="BP165" i="5" s="1"/>
  <c r="BR160" i="5"/>
  <c r="BO161" i="5"/>
  <c r="CB165" i="5"/>
  <c r="CO170" i="5"/>
  <c r="CC181" i="5"/>
  <c r="CC185" i="5" s="1"/>
  <c r="CI185" i="5"/>
  <c r="CQ185" i="5"/>
  <c r="AA18" i="12"/>
  <c r="BT187" i="5"/>
  <c r="BT191" i="5" s="1"/>
  <c r="BJ189" i="5"/>
  <c r="BU193" i="5"/>
  <c r="BY193" i="5"/>
  <c r="BL198" i="5"/>
  <c r="CP198" i="5"/>
  <c r="CR198" i="5" s="1"/>
  <c r="BH199" i="5"/>
  <c r="BL205" i="5"/>
  <c r="BH213" i="5"/>
  <c r="BE209" i="5"/>
  <c r="CK206" i="5"/>
  <c r="BP210" i="5"/>
  <c r="H287" i="5"/>
  <c r="H326" i="5" s="1"/>
  <c r="M60" i="6"/>
  <c r="T60" i="6"/>
  <c r="CT105" i="5"/>
  <c r="CR105" i="5" s="1"/>
  <c r="X40" i="6"/>
  <c r="AP89" i="5"/>
  <c r="AN89" i="5" s="1"/>
  <c r="CL89" i="5"/>
  <c r="Q33" i="7"/>
  <c r="BV271" i="5"/>
  <c r="BV272" i="5" s="1"/>
  <c r="BV322" i="5" s="1"/>
  <c r="BT322" i="5" s="1"/>
  <c r="P112" i="8"/>
  <c r="T112" i="8"/>
  <c r="Q122" i="8"/>
  <c r="AC98" i="9"/>
  <c r="Z5" i="9"/>
  <c r="Z98" i="9" s="1"/>
  <c r="BZ19" i="9"/>
  <c r="AV55" i="10"/>
  <c r="AS55" i="10" s="1"/>
  <c r="AT55" i="10" s="1"/>
  <c r="AQ55" i="10"/>
  <c r="AR55" i="10" s="1"/>
  <c r="BT55" i="10"/>
  <c r="BQ55" i="10" s="1"/>
  <c r="BR55" i="10" s="1"/>
  <c r="BO55" i="10"/>
  <c r="BP55" i="10" s="1"/>
  <c r="L207" i="10"/>
  <c r="CV196" i="5"/>
  <c r="AH119" i="10"/>
  <c r="Y119" i="10"/>
  <c r="U119" i="10"/>
  <c r="X119" i="10"/>
  <c r="T119" i="10"/>
  <c r="W119" i="10"/>
  <c r="BU153" i="11"/>
  <c r="BM153" i="11"/>
  <c r="D200" i="10"/>
  <c r="D202" i="10" s="1"/>
  <c r="D203" i="10" s="1"/>
  <c r="D205" i="10" s="1"/>
  <c r="G228" i="12"/>
  <c r="CL125" i="5"/>
  <c r="CH125" i="5" s="1"/>
  <c r="CL163" i="5"/>
  <c r="W249" i="5"/>
  <c r="X277" i="5"/>
  <c r="X324" i="5" s="1"/>
  <c r="P277" i="5"/>
  <c r="P324" i="5" s="1"/>
  <c r="J292" i="5"/>
  <c r="W327" i="5"/>
  <c r="W330" i="5" s="1"/>
  <c r="DJ86" i="5"/>
  <c r="DH86" i="5" s="1"/>
  <c r="Q60" i="6"/>
  <c r="BV105" i="5"/>
  <c r="BT105" i="5" s="1"/>
  <c r="AH109" i="5"/>
  <c r="AH317" i="5" s="1"/>
  <c r="BF89" i="5"/>
  <c r="BN89" i="5" s="1"/>
  <c r="AP266" i="5"/>
  <c r="CL266" i="5"/>
  <c r="O27" i="7"/>
  <c r="T33" i="7"/>
  <c r="M45" i="7"/>
  <c r="M70" i="3"/>
  <c r="M72" i="3" s="1"/>
  <c r="Q45" i="7"/>
  <c r="BV277" i="5"/>
  <c r="Q70" i="3"/>
  <c r="Q72" i="3" s="1"/>
  <c r="K45" i="7"/>
  <c r="AP279" i="5"/>
  <c r="AP281" i="5" s="1"/>
  <c r="S45" i="7"/>
  <c r="CL279" i="5"/>
  <c r="J28" i="8"/>
  <c r="Q112" i="8"/>
  <c r="Q121" i="8" s="1"/>
  <c r="D38" i="8"/>
  <c r="D56" i="3"/>
  <c r="D8" i="3"/>
  <c r="H8" i="3"/>
  <c r="H56" i="3"/>
  <c r="P116" i="8"/>
  <c r="T116" i="8"/>
  <c r="K38" i="8"/>
  <c r="K56" i="8" s="1"/>
  <c r="N127" i="8"/>
  <c r="Q127" i="8"/>
  <c r="J64" i="8"/>
  <c r="L66" i="8"/>
  <c r="B128" i="8"/>
  <c r="C148" i="8"/>
  <c r="C68" i="7" s="1"/>
  <c r="G148" i="8"/>
  <c r="G68" i="7" s="1"/>
  <c r="K148" i="8"/>
  <c r="K68" i="7" s="1"/>
  <c r="O148" i="8"/>
  <c r="O68" i="7" s="1"/>
  <c r="S148" i="8"/>
  <c r="S68" i="7" s="1"/>
  <c r="D148" i="8"/>
  <c r="D68" i="7" s="1"/>
  <c r="H148" i="8"/>
  <c r="H68" i="7" s="1"/>
  <c r="L148" i="8"/>
  <c r="L68" i="7" s="1"/>
  <c r="P148" i="8"/>
  <c r="P68" i="7" s="1"/>
  <c r="T148" i="8"/>
  <c r="T68" i="7" s="1"/>
  <c r="D168" i="8"/>
  <c r="D169" i="8" s="1"/>
  <c r="H168" i="8"/>
  <c r="H169" i="8" s="1"/>
  <c r="L168" i="8"/>
  <c r="L169" i="8" s="1"/>
  <c r="P168" i="8"/>
  <c r="P169" i="8" s="1"/>
  <c r="T168" i="8"/>
  <c r="T169" i="8" s="1"/>
  <c r="Z6" i="9"/>
  <c r="AE6" i="9" s="1"/>
  <c r="C64" i="9"/>
  <c r="Z87" i="9"/>
  <c r="CV157" i="5"/>
  <c r="Q86" i="9"/>
  <c r="AD224" i="9"/>
  <c r="B20" i="10"/>
  <c r="N169" i="9" s="1"/>
  <c r="N161" i="9" s="1"/>
  <c r="D16" i="10"/>
  <c r="H16" i="10"/>
  <c r="F17" i="10"/>
  <c r="J17" i="10"/>
  <c r="I45" i="10"/>
  <c r="I71" i="10" s="1"/>
  <c r="K41" i="10"/>
  <c r="L41" i="10" s="1"/>
  <c r="K43" i="10"/>
  <c r="L43" i="10" s="1"/>
  <c r="K56" i="10"/>
  <c r="L56" i="10" s="1"/>
  <c r="BO56" i="10"/>
  <c r="BP56" i="10" s="1"/>
  <c r="E73" i="10"/>
  <c r="AP198" i="5"/>
  <c r="C81" i="10"/>
  <c r="AE91" i="10"/>
  <c r="AC94" i="10"/>
  <c r="AO95" i="10"/>
  <c r="W98" i="10"/>
  <c r="S99" i="10"/>
  <c r="X99" i="10"/>
  <c r="V100" i="10"/>
  <c r="W101" i="10"/>
  <c r="W104" i="10"/>
  <c r="Y120" i="10"/>
  <c r="X120" i="10"/>
  <c r="V120" i="10"/>
  <c r="U120" i="10"/>
  <c r="I179" i="10"/>
  <c r="I180" i="10" s="1"/>
  <c r="Z195" i="9"/>
  <c r="AV13" i="11"/>
  <c r="AE195" i="9" s="1"/>
  <c r="AH177" i="11"/>
  <c r="AI173" i="11"/>
  <c r="AJ173" i="11" s="1"/>
  <c r="AJ177" i="11" s="1"/>
  <c r="CV209" i="5"/>
  <c r="AC54" i="12"/>
  <c r="DA209" i="5" s="1"/>
  <c r="F300" i="12"/>
  <c r="F222" i="12"/>
  <c r="AM253" i="5"/>
  <c r="BS282" i="5"/>
  <c r="CA292" i="5"/>
  <c r="H291" i="5"/>
  <c r="H306" i="5"/>
  <c r="BK320" i="5"/>
  <c r="CR350" i="5"/>
  <c r="CD105" i="5"/>
  <c r="CB105" i="5" s="1"/>
  <c r="AP109" i="5"/>
  <c r="AN109" i="5" s="1"/>
  <c r="CL74" i="5"/>
  <c r="CJ74" i="5" s="1"/>
  <c r="R86" i="6"/>
  <c r="BV107" i="5"/>
  <c r="BT107" i="5" s="1"/>
  <c r="C28" i="7"/>
  <c r="C35" i="7" s="1"/>
  <c r="C64" i="7" s="1"/>
  <c r="L27" i="7"/>
  <c r="P27" i="7"/>
  <c r="BF266" i="5"/>
  <c r="BF267" i="5" s="1"/>
  <c r="T27" i="7"/>
  <c r="CT266" i="5"/>
  <c r="CR266" i="5" s="1"/>
  <c r="J70" i="3"/>
  <c r="N45" i="7"/>
  <c r="N70" i="3"/>
  <c r="CD277" i="5"/>
  <c r="CD324" i="5" s="1"/>
  <c r="CB324" i="5" s="1"/>
  <c r="R70" i="3"/>
  <c r="BF279" i="5"/>
  <c r="CT279" i="5"/>
  <c r="CT281" i="5" s="1"/>
  <c r="CR281" i="5" s="1"/>
  <c r="Q107" i="6"/>
  <c r="BV291" i="5"/>
  <c r="BT291" i="5" s="1"/>
  <c r="R112" i="8"/>
  <c r="R121" i="8" s="1"/>
  <c r="L13" i="8"/>
  <c r="S122" i="8"/>
  <c r="S26" i="8"/>
  <c r="E38" i="8"/>
  <c r="E56" i="3"/>
  <c r="E8" i="3"/>
  <c r="U56" i="3"/>
  <c r="Q116" i="8"/>
  <c r="Q126" i="8" s="1"/>
  <c r="T127" i="8"/>
  <c r="L56" i="8"/>
  <c r="R127" i="8"/>
  <c r="N64" i="8"/>
  <c r="R73" i="8"/>
  <c r="T81" i="8"/>
  <c r="C100" i="8"/>
  <c r="G100" i="8"/>
  <c r="K100" i="8"/>
  <c r="S100" i="8"/>
  <c r="K168" i="8"/>
  <c r="K169" i="8" s="1"/>
  <c r="S168" i="8"/>
  <c r="S169" i="8" s="1"/>
  <c r="AE75" i="9"/>
  <c r="AM87" i="9" s="1"/>
  <c r="E16" i="10"/>
  <c r="I16" i="10"/>
  <c r="C17" i="10"/>
  <c r="G17" i="10"/>
  <c r="F45" i="10"/>
  <c r="F62" i="10" s="1"/>
  <c r="J45" i="10"/>
  <c r="K42" i="10"/>
  <c r="L42" i="10" s="1"/>
  <c r="BG42" i="10"/>
  <c r="BH42" i="10" s="1"/>
  <c r="AQ56" i="10"/>
  <c r="AR56" i="10" s="1"/>
  <c r="AA91" i="10"/>
  <c r="AG91" i="10"/>
  <c r="AE95" i="10"/>
  <c r="S98" i="10"/>
  <c r="W100" i="10"/>
  <c r="S101" i="10"/>
  <c r="X101" i="10"/>
  <c r="S119" i="10"/>
  <c r="AG120" i="10"/>
  <c r="AC120" i="10"/>
  <c r="AB120" i="10"/>
  <c r="AA144" i="10"/>
  <c r="P147" i="10"/>
  <c r="K147" i="10"/>
  <c r="L147" i="10" s="1"/>
  <c r="Z190" i="10"/>
  <c r="Z192" i="10" s="1"/>
  <c r="C200" i="10"/>
  <c r="C202" i="10" s="1"/>
  <c r="C203" i="10" s="1"/>
  <c r="C205" i="10" s="1"/>
  <c r="X8" i="12"/>
  <c r="AC50" i="12"/>
  <c r="DA205" i="5" s="1"/>
  <c r="CV205" i="5"/>
  <c r="M169" i="12"/>
  <c r="M173" i="12" s="1"/>
  <c r="BL209" i="5"/>
  <c r="BP230" i="5"/>
  <c r="H260" i="5"/>
  <c r="P267" i="5"/>
  <c r="H277" i="5"/>
  <c r="H324" i="5" s="1"/>
  <c r="W292" i="5"/>
  <c r="X306" i="5"/>
  <c r="AH320" i="5"/>
  <c r="BL318" i="5"/>
  <c r="BK321" i="5"/>
  <c r="AE324" i="5"/>
  <c r="X343" i="5"/>
  <c r="BL350" i="5"/>
  <c r="BN314" i="5"/>
  <c r="DJ103" i="5"/>
  <c r="DH103" i="5" s="1"/>
  <c r="L60" i="6"/>
  <c r="S60" i="6"/>
  <c r="CL105" i="5"/>
  <c r="CJ105" i="5" s="1"/>
  <c r="DJ109" i="5"/>
  <c r="CD89" i="5"/>
  <c r="DB107" i="5"/>
  <c r="CZ107" i="5" s="1"/>
  <c r="X88" i="6"/>
  <c r="T98" i="6"/>
  <c r="M27" i="7"/>
  <c r="Z266" i="5"/>
  <c r="Q27" i="7"/>
  <c r="BV266" i="5"/>
  <c r="K70" i="3"/>
  <c r="K72" i="3" s="1"/>
  <c r="O70" i="3"/>
  <c r="O72" i="3" s="1"/>
  <c r="AP277" i="5"/>
  <c r="CL277" i="5"/>
  <c r="S70" i="3"/>
  <c r="S72" i="3" s="1"/>
  <c r="Z279" i="5"/>
  <c r="BV279" i="5"/>
  <c r="DB279" i="5"/>
  <c r="CZ279" i="5" s="1"/>
  <c r="S112" i="8"/>
  <c r="S121" i="8" s="1"/>
  <c r="S15" i="8"/>
  <c r="P122" i="8"/>
  <c r="T122" i="8"/>
  <c r="F38" i="8"/>
  <c r="F56" i="3"/>
  <c r="F8" i="3"/>
  <c r="R116" i="8"/>
  <c r="R126" i="8" s="1"/>
  <c r="S127" i="8"/>
  <c r="D83" i="8"/>
  <c r="B123" i="8"/>
  <c r="C168" i="8"/>
  <c r="C169" i="8" s="1"/>
  <c r="G168" i="8"/>
  <c r="G169" i="8" s="1"/>
  <c r="BR19" i="9"/>
  <c r="EP71" i="5"/>
  <c r="Z86" i="9"/>
  <c r="Y81" i="9"/>
  <c r="D17" i="10"/>
  <c r="H17" i="10"/>
  <c r="H19" i="10"/>
  <c r="BG55" i="10"/>
  <c r="BH55" i="10" s="1"/>
  <c r="AG94" i="10"/>
  <c r="AA95" i="10"/>
  <c r="S100" i="10"/>
  <c r="X100" i="10"/>
  <c r="V119" i="10"/>
  <c r="X122" i="10"/>
  <c r="T122" i="10"/>
  <c r="S122" i="10"/>
  <c r="Y125" i="10"/>
  <c r="S125" i="10"/>
  <c r="AH125" i="10"/>
  <c r="W125" i="10"/>
  <c r="V125" i="10"/>
  <c r="BF197" i="10"/>
  <c r="BF199" i="10" s="1"/>
  <c r="BC147" i="10"/>
  <c r="U156" i="10"/>
  <c r="BF189" i="10"/>
  <c r="AX190" i="10" s="1"/>
  <c r="BC187" i="10"/>
  <c r="BC143" i="10" s="1"/>
  <c r="AH62" i="11"/>
  <c r="AO147" i="11" s="1"/>
  <c r="M129" i="6"/>
  <c r="H208" i="10"/>
  <c r="AL62" i="11"/>
  <c r="Q129" i="6"/>
  <c r="AC15" i="12"/>
  <c r="AC31" i="12" s="1"/>
  <c r="DA179" i="5"/>
  <c r="DA180" i="5"/>
  <c r="AA16" i="12"/>
  <c r="CY4" i="5"/>
  <c r="AA27" i="12"/>
  <c r="AA38" i="12"/>
  <c r="I5" i="13"/>
  <c r="CV187" i="5"/>
  <c r="CV191" i="5" s="1"/>
  <c r="Q6" i="13"/>
  <c r="N4" i="13"/>
  <c r="X123" i="10"/>
  <c r="P143" i="10"/>
  <c r="B154" i="10"/>
  <c r="B156" i="10" s="1"/>
  <c r="F154" i="10"/>
  <c r="F156" i="10" s="1"/>
  <c r="B180" i="10"/>
  <c r="B182" i="10" s="1"/>
  <c r="B183" i="10" s="1"/>
  <c r="B185" i="10" s="1"/>
  <c r="AU189" i="10"/>
  <c r="AV189" i="10" s="1"/>
  <c r="AI62" i="11"/>
  <c r="N129" i="6"/>
  <c r="AM62" i="11"/>
  <c r="R129" i="6"/>
  <c r="AG48" i="11"/>
  <c r="N202" i="9" s="1"/>
  <c r="AG81" i="11"/>
  <c r="AH81" i="11" s="1"/>
  <c r="AJ113" i="11"/>
  <c r="AJ125" i="11" s="1"/>
  <c r="AN113" i="11"/>
  <c r="BM113" i="11"/>
  <c r="CS113" i="11"/>
  <c r="V92" i="11"/>
  <c r="Z92" i="11"/>
  <c r="AD92" i="11"/>
  <c r="AH107" i="11"/>
  <c r="AC48" i="12"/>
  <c r="DA203" i="5" s="1"/>
  <c r="CV203" i="5"/>
  <c r="D296" i="12"/>
  <c r="H228" i="12"/>
  <c r="J288" i="12"/>
  <c r="N307" i="12"/>
  <c r="N310" i="12" s="1"/>
  <c r="N9" i="13"/>
  <c r="I10" i="13"/>
  <c r="CV188" i="5"/>
  <c r="CV192" i="5" s="1"/>
  <c r="J15" i="13"/>
  <c r="J18" i="13" s="1"/>
  <c r="CW5" i="5"/>
  <c r="U123" i="10"/>
  <c r="Y123" i="10"/>
  <c r="X142" i="10"/>
  <c r="AY142" i="10"/>
  <c r="AZ142" i="10" s="1"/>
  <c r="BD142" i="10"/>
  <c r="BO142" i="10"/>
  <c r="BP142" i="10" s="1"/>
  <c r="BT142" i="10"/>
  <c r="AQ147" i="10"/>
  <c r="AR147" i="10" s="1"/>
  <c r="AV147" i="10"/>
  <c r="B164" i="10"/>
  <c r="X166" i="10"/>
  <c r="BK166" i="10"/>
  <c r="BG166" i="10" s="1"/>
  <c r="R190" i="10"/>
  <c r="R192" i="10" s="1"/>
  <c r="AJ62" i="11"/>
  <c r="O129" i="6"/>
  <c r="AN62" i="11"/>
  <c r="S129" i="6"/>
  <c r="L80" i="11"/>
  <c r="M80" i="11" s="1"/>
  <c r="N80" i="11" s="1"/>
  <c r="O80" i="11" s="1"/>
  <c r="P80" i="11" s="1"/>
  <c r="Q80" i="11" s="1"/>
  <c r="R80" i="11" s="1"/>
  <c r="S80" i="11" s="1"/>
  <c r="T80" i="11" s="1"/>
  <c r="U80" i="11" s="1"/>
  <c r="V80" i="11" s="1"/>
  <c r="W80" i="11" s="1"/>
  <c r="X80" i="11" s="1"/>
  <c r="Y80" i="11" s="1"/>
  <c r="Z80" i="11" s="1"/>
  <c r="AA80" i="11" s="1"/>
  <c r="AB80" i="11" s="1"/>
  <c r="AC80" i="11" s="1"/>
  <c r="W92" i="11"/>
  <c r="AA92" i="11"/>
  <c r="AE92" i="11"/>
  <c r="AF7" i="12"/>
  <c r="AK7" i="12" s="1"/>
  <c r="X13" i="12"/>
  <c r="W16" i="12"/>
  <c r="CU4" i="5"/>
  <c r="BG38" i="12"/>
  <c r="AC49" i="12"/>
  <c r="DA204" i="5" s="1"/>
  <c r="V68" i="12"/>
  <c r="V71" i="12" s="1"/>
  <c r="V75" i="12" s="1"/>
  <c r="BB176" i="12"/>
  <c r="BJ176" i="12" s="1"/>
  <c r="BR176" i="12" s="1"/>
  <c r="BZ176" i="12" s="1"/>
  <c r="CH176" i="12" s="1"/>
  <c r="D214" i="12"/>
  <c r="M234" i="12"/>
  <c r="K294" i="12"/>
  <c r="L15" i="13"/>
  <c r="R261" i="9"/>
  <c r="CV207" i="5"/>
  <c r="BG142" i="10"/>
  <c r="BH142" i="10" s="1"/>
  <c r="D154" i="10"/>
  <c r="D156" i="10" s="1"/>
  <c r="H154" i="10"/>
  <c r="H156" i="10" s="1"/>
  <c r="AU166" i="10"/>
  <c r="G179" i="10"/>
  <c r="F180" i="10" s="1"/>
  <c r="F182" i="10" s="1"/>
  <c r="F183" i="10" s="1"/>
  <c r="D190" i="10"/>
  <c r="D192" i="10" s="1"/>
  <c r="AQ187" i="10"/>
  <c r="AQ143" i="10" s="1"/>
  <c r="H200" i="10"/>
  <c r="H202" i="10" s="1"/>
  <c r="H203" i="10" s="1"/>
  <c r="H205" i="10" s="1"/>
  <c r="X201" i="10"/>
  <c r="AG146" i="11"/>
  <c r="AH146" i="11" s="1"/>
  <c r="AI146" i="11" s="1"/>
  <c r="AJ146" i="11" s="1"/>
  <c r="AK146" i="11" s="1"/>
  <c r="AL146" i="11" s="1"/>
  <c r="AM146" i="11" s="1"/>
  <c r="AN146" i="11" s="1"/>
  <c r="AO146" i="11" s="1"/>
  <c r="AG62" i="11"/>
  <c r="AN147" i="11" s="1"/>
  <c r="L129" i="6"/>
  <c r="AK62" i="11"/>
  <c r="P129" i="6"/>
  <c r="AO62" i="11"/>
  <c r="AO63" i="11" s="1"/>
  <c r="T129" i="6"/>
  <c r="AI68" i="11"/>
  <c r="AI70" i="11" s="1"/>
  <c r="AM68" i="11"/>
  <c r="AM70" i="11" s="1"/>
  <c r="T92" i="11"/>
  <c r="X92" i="11"/>
  <c r="AB92" i="11"/>
  <c r="AF92" i="11"/>
  <c r="AO106" i="11"/>
  <c r="AO119" i="11" s="1"/>
  <c r="AH125" i="11"/>
  <c r="AV144" i="11"/>
  <c r="Z193" i="9"/>
  <c r="Z147" i="9" s="1"/>
  <c r="X6" i="12"/>
  <c r="CV179" i="5"/>
  <c r="CV183" i="5" s="1"/>
  <c r="X11" i="12"/>
  <c r="CV180" i="5"/>
  <c r="CV184" i="5" s="1"/>
  <c r="Y16" i="12"/>
  <c r="Y19" i="12" s="1"/>
  <c r="CW4" i="5"/>
  <c r="DE18" i="5" s="1"/>
  <c r="AC46" i="12"/>
  <c r="DA201" i="5" s="1"/>
  <c r="CV201" i="5"/>
  <c r="AC53" i="12"/>
  <c r="DA208" i="5" s="1"/>
  <c r="G113" i="12"/>
  <c r="I7" i="13"/>
  <c r="DC29" i="5"/>
  <c r="H15" i="13"/>
  <c r="H18" i="13" s="1"/>
  <c r="CU5" i="5"/>
  <c r="CT125" i="5"/>
  <c r="CT128" i="5" s="1"/>
  <c r="CV206" i="5"/>
  <c r="CY5" i="5"/>
  <c r="CY19" i="5" s="1"/>
  <c r="Y72" i="6"/>
  <c r="DH12" i="5"/>
  <c r="DF12" i="5" s="1"/>
  <c r="DX12" i="5"/>
  <c r="DU12" i="5" s="1"/>
  <c r="DV12" i="5" s="1"/>
  <c r="EF12" i="5"/>
  <c r="EC12" i="5" s="1"/>
  <c r="ED12" i="5" s="1"/>
  <c r="EN12" i="5"/>
  <c r="EK12" i="5" s="1"/>
  <c r="EV12" i="5"/>
  <c r="ES12" i="5" s="1"/>
  <c r="FD12" i="5"/>
  <c r="FA12" i="5" s="1"/>
  <c r="FB12" i="5" s="1"/>
  <c r="CJ88" i="5"/>
  <c r="DD12" i="5"/>
  <c r="EA12" i="5"/>
  <c r="EB12" i="5" s="1"/>
  <c r="EI12" i="5"/>
  <c r="EJ12" i="5" s="1"/>
  <c r="EQ12" i="5"/>
  <c r="ER12" i="5" s="1"/>
  <c r="EY12" i="5"/>
  <c r="EZ12" i="5" s="1"/>
  <c r="BT89" i="5"/>
  <c r="DB46" i="5"/>
  <c r="G125" i="12"/>
  <c r="G126" i="12"/>
  <c r="O243" i="12"/>
  <c r="DJ46" i="5"/>
  <c r="EH74" i="5"/>
  <c r="EE74" i="5" s="1"/>
  <c r="EF74" i="5" s="1"/>
  <c r="E29" i="9"/>
  <c r="EP74" i="5"/>
  <c r="EM74" i="5" s="1"/>
  <c r="EN74" i="5" s="1"/>
  <c r="E47" i="9"/>
  <c r="I12" i="13"/>
  <c r="AV196" i="5"/>
  <c r="I29" i="9"/>
  <c r="P243" i="12"/>
  <c r="M11" i="13"/>
  <c r="AB12" i="12"/>
  <c r="E113" i="8"/>
  <c r="I117" i="8"/>
  <c r="E117" i="8"/>
  <c r="H109" i="8"/>
  <c r="I109" i="8"/>
  <c r="E109" i="8"/>
  <c r="I113" i="8"/>
  <c r="DB187" i="5"/>
  <c r="DJ191" i="5" s="1"/>
  <c r="Q11" i="13"/>
  <c r="E15" i="13"/>
  <c r="F15" i="13"/>
  <c r="G15" i="13"/>
  <c r="G18" i="13" s="1"/>
  <c r="C30" i="13"/>
  <c r="C27" i="13"/>
  <c r="G27" i="13"/>
  <c r="F37" i="13"/>
  <c r="L21" i="13"/>
  <c r="L37" i="13"/>
  <c r="DG29" i="5"/>
  <c r="L29" i="13"/>
  <c r="L26" i="13"/>
  <c r="BS21" i="13"/>
  <c r="BH21" i="13"/>
  <c r="E30" i="13"/>
  <c r="E33" i="13"/>
  <c r="D27" i="13"/>
  <c r="C37" i="13"/>
  <c r="G37" i="13"/>
  <c r="E27" i="13"/>
  <c r="D37" i="13"/>
  <c r="F27" i="13"/>
  <c r="D30" i="13"/>
  <c r="E37" i="13"/>
  <c r="F21" i="13"/>
  <c r="AZ21" i="13"/>
  <c r="C21" i="13"/>
  <c r="G21" i="13"/>
  <c r="D21" i="13"/>
  <c r="BZ38" i="12"/>
  <c r="BO38" i="12"/>
  <c r="E113" i="12"/>
  <c r="E119" i="12"/>
  <c r="G96" i="12"/>
  <c r="G97" i="12" s="1"/>
  <c r="G94" i="12"/>
  <c r="K96" i="12"/>
  <c r="K97" i="12" s="1"/>
  <c r="K94" i="12"/>
  <c r="O94" i="12"/>
  <c r="O96" i="12"/>
  <c r="O97" i="12" s="1"/>
  <c r="M124" i="12"/>
  <c r="M126" i="12"/>
  <c r="M125" i="12"/>
  <c r="M123" i="12"/>
  <c r="AF12" i="12"/>
  <c r="AK12" i="12" s="1"/>
  <c r="S16" i="12"/>
  <c r="DC28" i="5"/>
  <c r="S22" i="12"/>
  <c r="T22" i="12"/>
  <c r="S28" i="12"/>
  <c r="F119" i="12"/>
  <c r="R31" i="12"/>
  <c r="R5" i="12"/>
  <c r="S6" i="12" s="1"/>
  <c r="S8" i="12" s="1"/>
  <c r="V5" i="12"/>
  <c r="AA22" i="12"/>
  <c r="X15" i="12"/>
  <c r="X31" i="12" s="1"/>
  <c r="DG28" i="5"/>
  <c r="S31" i="12"/>
  <c r="U34" i="12"/>
  <c r="S38" i="12"/>
  <c r="C75" i="12"/>
  <c r="C72" i="12"/>
  <c r="G75" i="12"/>
  <c r="G72" i="12"/>
  <c r="G80" i="12"/>
  <c r="G81" i="12" s="1"/>
  <c r="K75" i="12"/>
  <c r="O75" i="12"/>
  <c r="O72" i="12"/>
  <c r="O80" i="12"/>
  <c r="O81" i="12" s="1"/>
  <c r="K112" i="12"/>
  <c r="K157" i="12"/>
  <c r="K160" i="12" s="1"/>
  <c r="AL65" i="12"/>
  <c r="E66" i="12"/>
  <c r="E91" i="12"/>
  <c r="E120" i="12"/>
  <c r="E64" i="12"/>
  <c r="E114" i="12" s="1"/>
  <c r="I113" i="12"/>
  <c r="I120" i="12"/>
  <c r="I127" i="12"/>
  <c r="I66" i="12"/>
  <c r="M113" i="12"/>
  <c r="M100" i="12"/>
  <c r="M120" i="12"/>
  <c r="M91" i="12"/>
  <c r="M72" i="12"/>
  <c r="J96" i="12"/>
  <c r="J97" i="12" s="1"/>
  <c r="J91" i="12"/>
  <c r="B91" i="12"/>
  <c r="N91" i="12"/>
  <c r="I112" i="12"/>
  <c r="T16" i="12"/>
  <c r="R22" i="12"/>
  <c r="V22" i="12"/>
  <c r="D112" i="12"/>
  <c r="H118" i="12"/>
  <c r="L157" i="12"/>
  <c r="L118" i="12"/>
  <c r="L112" i="12"/>
  <c r="P157" i="12"/>
  <c r="P112" i="12"/>
  <c r="H119" i="12"/>
  <c r="H113" i="12"/>
  <c r="I119" i="12"/>
  <c r="B127" i="12"/>
  <c r="B63" i="12"/>
  <c r="B62" i="12"/>
  <c r="C120" i="12"/>
  <c r="F127" i="12"/>
  <c r="F113" i="12"/>
  <c r="F120" i="12"/>
  <c r="F112" i="12"/>
  <c r="F84" i="12"/>
  <c r="J127" i="12"/>
  <c r="J112" i="12"/>
  <c r="J66" i="12"/>
  <c r="K120" i="12"/>
  <c r="N120" i="12"/>
  <c r="O66" i="12"/>
  <c r="N113" i="12"/>
  <c r="N84" i="12"/>
  <c r="N114" i="12"/>
  <c r="K66" i="12"/>
  <c r="I72" i="12"/>
  <c r="I80" i="12"/>
  <c r="I81" i="12" s="1"/>
  <c r="Q75" i="12"/>
  <c r="Q80" i="12"/>
  <c r="Q81" i="12" s="1"/>
  <c r="F72" i="12"/>
  <c r="Q72" i="12"/>
  <c r="F80" i="12"/>
  <c r="F81" i="12" s="1"/>
  <c r="F78" i="12"/>
  <c r="J80" i="12"/>
  <c r="J81" i="12" s="1"/>
  <c r="J78" i="12"/>
  <c r="G87" i="12"/>
  <c r="P86" i="12"/>
  <c r="O87" i="12"/>
  <c r="N112" i="12"/>
  <c r="Q219" i="12"/>
  <c r="Q224" i="12"/>
  <c r="Q243" i="12" s="1"/>
  <c r="G112" i="12"/>
  <c r="G64" i="12"/>
  <c r="G114" i="12" s="1"/>
  <c r="G118" i="12"/>
  <c r="O112" i="12"/>
  <c r="O157" i="12"/>
  <c r="AP146" i="5" s="1"/>
  <c r="O118" i="12"/>
  <c r="T65" i="12"/>
  <c r="Q120" i="12"/>
  <c r="Q113" i="12"/>
  <c r="Q66" i="12"/>
  <c r="Q114" i="12"/>
  <c r="Q91" i="12"/>
  <c r="AT174" i="12"/>
  <c r="BS12" i="12"/>
  <c r="T34" i="12"/>
  <c r="R38" i="12"/>
  <c r="V38" i="12"/>
  <c r="T40" i="12"/>
  <c r="E112" i="12"/>
  <c r="I118" i="12"/>
  <c r="J118" i="12"/>
  <c r="M157" i="12"/>
  <c r="N118" i="12"/>
  <c r="M112" i="12"/>
  <c r="Q118" i="12"/>
  <c r="Q157" i="12"/>
  <c r="V65" i="12"/>
  <c r="I64" i="12"/>
  <c r="I114" i="12" s="1"/>
  <c r="U65" i="12"/>
  <c r="C66" i="12"/>
  <c r="M66" i="12"/>
  <c r="BR69" i="12"/>
  <c r="F75" i="12"/>
  <c r="N72" i="12"/>
  <c r="J72" i="12"/>
  <c r="M75" i="12"/>
  <c r="C80" i="12"/>
  <c r="C81" i="12" s="1"/>
  <c r="K80" i="12"/>
  <c r="K81" i="12" s="1"/>
  <c r="K78" i="12"/>
  <c r="C78" i="12"/>
  <c r="E84" i="12"/>
  <c r="M84" i="12"/>
  <c r="B94" i="12"/>
  <c r="J94" i="12"/>
  <c r="N94" i="12"/>
  <c r="Q112" i="12"/>
  <c r="M114" i="12"/>
  <c r="F118" i="12"/>
  <c r="G120" i="12"/>
  <c r="N160" i="12"/>
  <c r="AD65" i="12"/>
  <c r="B84" i="12"/>
  <c r="I87" i="12"/>
  <c r="M87" i="12"/>
  <c r="C96" i="12"/>
  <c r="C97" i="12" s="1"/>
  <c r="D94" i="12"/>
  <c r="N181" i="12"/>
  <c r="F296" i="12"/>
  <c r="F219" i="12"/>
  <c r="O296" i="12"/>
  <c r="O283" i="12"/>
  <c r="O268" i="12"/>
  <c r="O219" i="12"/>
  <c r="O215" i="12"/>
  <c r="O232" i="12" s="1"/>
  <c r="T215" i="12"/>
  <c r="U216" i="12" s="1"/>
  <c r="T218" i="12"/>
  <c r="T224" i="12" s="1"/>
  <c r="N87" i="12"/>
  <c r="H91" i="12"/>
  <c r="H96" i="12"/>
  <c r="H97" i="12" s="1"/>
  <c r="H94" i="12"/>
  <c r="P94" i="12"/>
  <c r="P96" i="12"/>
  <c r="P97" i="12" s="1"/>
  <c r="D120" i="12"/>
  <c r="D66" i="12"/>
  <c r="D64" i="12"/>
  <c r="D114" i="12" s="1"/>
  <c r="H120" i="12"/>
  <c r="H66" i="12"/>
  <c r="H64" i="12"/>
  <c r="H114" i="12" s="1"/>
  <c r="L120" i="12"/>
  <c r="L66" i="12"/>
  <c r="D72" i="12"/>
  <c r="P72" i="12"/>
  <c r="E78" i="12"/>
  <c r="I78" i="12"/>
  <c r="M78" i="12"/>
  <c r="Q78" i="12"/>
  <c r="S78" i="12" s="1"/>
  <c r="T78" i="12" s="1"/>
  <c r="U78" i="12" s="1"/>
  <c r="V78" i="12" s="1"/>
  <c r="AD78" i="12" s="1"/>
  <c r="AL78" i="12" s="1"/>
  <c r="AT78" i="12" s="1"/>
  <c r="BB78" i="12" s="1"/>
  <c r="BJ78" i="12" s="1"/>
  <c r="BR78" i="12" s="1"/>
  <c r="BZ78" i="12" s="1"/>
  <c r="CH78" i="12" s="1"/>
  <c r="P78" i="12"/>
  <c r="E80" i="12"/>
  <c r="E81" i="12" s="1"/>
  <c r="L114" i="12"/>
  <c r="L127" i="12"/>
  <c r="F228" i="12"/>
  <c r="F234" i="12"/>
  <c r="J228" i="12"/>
  <c r="J225" i="12"/>
  <c r="N234" i="12"/>
  <c r="N243" i="12"/>
  <c r="N228" i="12"/>
  <c r="O234" i="12"/>
  <c r="O228" i="12"/>
  <c r="BB173" i="12"/>
  <c r="B214" i="12"/>
  <c r="B247" i="12"/>
  <c r="B238" i="12"/>
  <c r="J277" i="12"/>
  <c r="J273" i="12"/>
  <c r="J302" i="12"/>
  <c r="J276" i="12"/>
  <c r="J214" i="12"/>
  <c r="K214" i="12" s="1"/>
  <c r="L214" i="12" s="1"/>
  <c r="M214" i="12" s="1"/>
  <c r="J216" i="12"/>
  <c r="B228" i="12"/>
  <c r="S228" i="12"/>
  <c r="J234" i="12"/>
  <c r="J235" i="12" s="1"/>
  <c r="P237" i="12"/>
  <c r="P238" i="12" s="1"/>
  <c r="C302" i="12"/>
  <c r="K302" i="12"/>
  <c r="K277" i="12"/>
  <c r="K273" i="12"/>
  <c r="P277" i="12"/>
  <c r="P273" i="12"/>
  <c r="C225" i="12"/>
  <c r="J232" i="12"/>
  <c r="H238" i="12"/>
  <c r="BB177" i="12"/>
  <c r="BJ177" i="12" s="1"/>
  <c r="BR177" i="12" s="1"/>
  <c r="BZ177" i="12" s="1"/>
  <c r="CH177" i="12" s="1"/>
  <c r="H283" i="12"/>
  <c r="H282" i="12"/>
  <c r="I296" i="12"/>
  <c r="H296" i="12"/>
  <c r="H284" i="12"/>
  <c r="Q268" i="12"/>
  <c r="Q296" i="12"/>
  <c r="Q283" i="12"/>
  <c r="Q215" i="12"/>
  <c r="G300" i="12"/>
  <c r="G290" i="12"/>
  <c r="G288" i="12"/>
  <c r="H300" i="12"/>
  <c r="G289" i="12"/>
  <c r="D302" i="12"/>
  <c r="H278" i="12"/>
  <c r="H276" i="12"/>
  <c r="H277" i="12"/>
  <c r="H273" i="12"/>
  <c r="L302" i="12"/>
  <c r="L277" i="12"/>
  <c r="L273" i="12"/>
  <c r="L258" i="12"/>
  <c r="V216" i="12"/>
  <c r="D225" i="12"/>
  <c r="H225" i="12"/>
  <c r="E302" i="12"/>
  <c r="H72" i="12"/>
  <c r="L72" i="12"/>
  <c r="E296" i="12"/>
  <c r="N268" i="12"/>
  <c r="N296" i="12"/>
  <c r="N283" i="12"/>
  <c r="N282" i="12"/>
  <c r="C214" i="12"/>
  <c r="H214" i="12"/>
  <c r="K216" i="12"/>
  <c r="P225" i="12"/>
  <c r="H219" i="12"/>
  <c r="E234" i="12"/>
  <c r="E235" i="12" s="1"/>
  <c r="E228" i="12"/>
  <c r="I234" i="12"/>
  <c r="I235" i="12" s="1"/>
  <c r="I228" i="12"/>
  <c r="K225" i="12"/>
  <c r="M228" i="12"/>
  <c r="K228" i="12"/>
  <c r="P228" i="12"/>
  <c r="D238" i="12"/>
  <c r="C252" i="12"/>
  <c r="C253" i="12" s="1"/>
  <c r="C247" i="12"/>
  <c r="D252" i="12"/>
  <c r="D253" i="12" s="1"/>
  <c r="D247" i="12"/>
  <c r="P252" i="12"/>
  <c r="P253" i="12" s="1"/>
  <c r="P247" i="12"/>
  <c r="D250" i="12"/>
  <c r="P250" i="12"/>
  <c r="L276" i="12"/>
  <c r="L282" i="12"/>
  <c r="L294" i="12"/>
  <c r="L284" i="12"/>
  <c r="L268" i="12"/>
  <c r="L278" i="12" s="1"/>
  <c r="P276" i="12"/>
  <c r="P282" i="12"/>
  <c r="C296" i="12"/>
  <c r="G296" i="12"/>
  <c r="G284" i="12"/>
  <c r="G283" i="12"/>
  <c r="G282" i="12"/>
  <c r="P283" i="12"/>
  <c r="P268" i="12"/>
  <c r="I277" i="12"/>
  <c r="I273" i="12"/>
  <c r="I302" i="12"/>
  <c r="I216" i="12"/>
  <c r="L225" i="12"/>
  <c r="I288" i="12"/>
  <c r="I272" i="12"/>
  <c r="I290" i="12"/>
  <c r="I298" i="12"/>
  <c r="M288" i="12"/>
  <c r="M272" i="12"/>
  <c r="M290" i="12" s="1"/>
  <c r="K258" i="12"/>
  <c r="I282" i="12"/>
  <c r="I294" i="12"/>
  <c r="I268" i="12"/>
  <c r="I278" i="12" s="1"/>
  <c r="I284" i="12"/>
  <c r="M282" i="12"/>
  <c r="M294" i="12"/>
  <c r="M268" i="12"/>
  <c r="Q282" i="12"/>
  <c r="Q294" i="12"/>
  <c r="I276" i="12"/>
  <c r="L290" i="12"/>
  <c r="M307" i="12"/>
  <c r="Q252" i="12"/>
  <c r="J294" i="12"/>
  <c r="N294" i="12"/>
  <c r="L298" i="12"/>
  <c r="L288" i="12"/>
  <c r="H291" i="12"/>
  <c r="Q307" i="12"/>
  <c r="Q310" i="12" s="1"/>
  <c r="K282" i="12"/>
  <c r="K285" i="12" s="1"/>
  <c r="O282" i="12"/>
  <c r="K288" i="12"/>
  <c r="K291" i="12" s="1"/>
  <c r="J298" i="12"/>
  <c r="K276" i="12"/>
  <c r="J284" i="12"/>
  <c r="J285" i="12" s="1"/>
  <c r="J290" i="12"/>
  <c r="K298" i="12"/>
  <c r="J268" i="12"/>
  <c r="J278" i="12" s="1"/>
  <c r="AL97" i="11"/>
  <c r="AM97" i="11" s="1"/>
  <c r="AL96" i="11"/>
  <c r="AM96" i="11" s="1"/>
  <c r="AO2" i="11"/>
  <c r="AW2" i="11" s="1"/>
  <c r="AN51" i="11"/>
  <c r="C82" i="11"/>
  <c r="C84" i="11" s="1"/>
  <c r="D81" i="11"/>
  <c r="AC68" i="11"/>
  <c r="AD66" i="11"/>
  <c r="AI108" i="11"/>
  <c r="AI125" i="11" s="1"/>
  <c r="AI92" i="11"/>
  <c r="AM121" i="11"/>
  <c r="AM108" i="11"/>
  <c r="AM124" i="11" s="1"/>
  <c r="AN91" i="11"/>
  <c r="AM92" i="11"/>
  <c r="AG80" i="11"/>
  <c r="AH80" i="11" s="1"/>
  <c r="AI80" i="11" s="1"/>
  <c r="AG68" i="11"/>
  <c r="AG73" i="11"/>
  <c r="AK68" i="11"/>
  <c r="AO68" i="11"/>
  <c r="AH61" i="11"/>
  <c r="CS106" i="11"/>
  <c r="AL61" i="11"/>
  <c r="U92" i="11"/>
  <c r="Y92" i="11"/>
  <c r="AC92" i="11"/>
  <c r="AN61" i="11"/>
  <c r="AJ92" i="11"/>
  <c r="AL98" i="11"/>
  <c r="CC106" i="11"/>
  <c r="AG92" i="11"/>
  <c r="AK92" i="11"/>
  <c r="AJ124" i="11"/>
  <c r="CK106" i="11"/>
  <c r="AL121" i="11"/>
  <c r="AL108" i="11"/>
  <c r="AL124" i="11" s="1"/>
  <c r="AH92" i="11"/>
  <c r="AL92" i="11"/>
  <c r="AG124" i="11"/>
  <c r="AK124" i="11"/>
  <c r="AG125" i="11"/>
  <c r="AK125" i="11"/>
  <c r="AL119" i="11"/>
  <c r="AJ155" i="11"/>
  <c r="AI148" i="11"/>
  <c r="AM119" i="11"/>
  <c r="AJ156" i="11"/>
  <c r="CS180" i="11"/>
  <c r="AI171" i="11"/>
  <c r="AH170" i="11"/>
  <c r="AH11" i="11" s="1"/>
  <c r="O194" i="9" s="1"/>
  <c r="O186" i="9" s="1"/>
  <c r="E62" i="10"/>
  <c r="E71" i="10"/>
  <c r="E46" i="10"/>
  <c r="N44" i="10"/>
  <c r="C71" i="10"/>
  <c r="C62" i="10"/>
  <c r="C46" i="10"/>
  <c r="P45" i="10"/>
  <c r="BI42" i="10"/>
  <c r="BJ42" i="10" s="1"/>
  <c r="V42" i="10"/>
  <c r="X41" i="10"/>
  <c r="X43" i="10"/>
  <c r="X44" i="10"/>
  <c r="D71" i="10"/>
  <c r="D62" i="10"/>
  <c r="O45" i="10"/>
  <c r="O62" i="10" s="1"/>
  <c r="E52" i="10"/>
  <c r="I52" i="10"/>
  <c r="BA54" i="10"/>
  <c r="BB54" i="10" s="1"/>
  <c r="B62" i="10"/>
  <c r="B71" i="10"/>
  <c r="F52" i="10"/>
  <c r="J52" i="10"/>
  <c r="V55" i="10"/>
  <c r="M56" i="10"/>
  <c r="N56" i="10" s="1"/>
  <c r="BQ56" i="10"/>
  <c r="R110" i="10"/>
  <c r="Q82" i="10"/>
  <c r="Q110" i="10" s="1"/>
  <c r="M82" i="10"/>
  <c r="M110" i="10" s="1"/>
  <c r="P82" i="10"/>
  <c r="P110" i="10" s="1"/>
  <c r="L82" i="10"/>
  <c r="L110" i="10" s="1"/>
  <c r="O82" i="10"/>
  <c r="K82" i="10"/>
  <c r="Z82" i="10"/>
  <c r="W82" i="10" s="1"/>
  <c r="N82" i="10"/>
  <c r="N110" i="10" s="1"/>
  <c r="R114" i="10"/>
  <c r="Q86" i="10"/>
  <c r="Q114" i="10" s="1"/>
  <c r="M86" i="10"/>
  <c r="M114" i="10" s="1"/>
  <c r="P86" i="10"/>
  <c r="P114" i="10" s="1"/>
  <c r="L86" i="10"/>
  <c r="L114" i="10" s="1"/>
  <c r="O86" i="10"/>
  <c r="O114" i="10" s="1"/>
  <c r="K86" i="10"/>
  <c r="K114" i="10" s="1"/>
  <c r="Z86" i="10"/>
  <c r="W86" i="10" s="1"/>
  <c r="N86" i="10"/>
  <c r="N114" i="10" s="1"/>
  <c r="L40" i="10"/>
  <c r="N41" i="10"/>
  <c r="AK42" i="10"/>
  <c r="N43" i="10"/>
  <c r="C52" i="10"/>
  <c r="G52" i="10"/>
  <c r="AS56" i="10"/>
  <c r="AT56" i="10" s="1"/>
  <c r="R111" i="10"/>
  <c r="Q83" i="10"/>
  <c r="Q111" i="10" s="1"/>
  <c r="M83" i="10"/>
  <c r="P83" i="10"/>
  <c r="P111" i="10" s="1"/>
  <c r="L83" i="10"/>
  <c r="L111" i="10" s="1"/>
  <c r="O83" i="10"/>
  <c r="K83" i="10"/>
  <c r="Z83" i="10"/>
  <c r="W83" i="10" s="1"/>
  <c r="N83" i="10"/>
  <c r="N111" i="10" s="1"/>
  <c r="Z45" i="10"/>
  <c r="AH46" i="10" s="1"/>
  <c r="K44" i="10"/>
  <c r="D46" i="10"/>
  <c r="L51" i="10"/>
  <c r="BI55" i="10"/>
  <c r="BJ55" i="10" s="1"/>
  <c r="H73" i="10"/>
  <c r="H60" i="10"/>
  <c r="R112" i="10"/>
  <c r="Q84" i="10"/>
  <c r="Q112" i="10" s="1"/>
  <c r="M84" i="10"/>
  <c r="M112" i="10" s="1"/>
  <c r="P84" i="10"/>
  <c r="P112" i="10" s="1"/>
  <c r="L84" i="10"/>
  <c r="L112" i="10" s="1"/>
  <c r="O84" i="10"/>
  <c r="K84" i="10"/>
  <c r="Z84" i="10"/>
  <c r="W84" i="10" s="1"/>
  <c r="N84" i="10"/>
  <c r="N112" i="10" s="1"/>
  <c r="D52" i="10"/>
  <c r="H52" i="10"/>
  <c r="J58" i="10"/>
  <c r="J19" i="10" s="1"/>
  <c r="E60" i="10"/>
  <c r="AI89" i="10"/>
  <c r="AO92" i="10"/>
  <c r="AK92" i="10"/>
  <c r="AN92" i="10"/>
  <c r="AJ92" i="10"/>
  <c r="AM92" i="10"/>
  <c r="AI92" i="10"/>
  <c r="AX92" i="10"/>
  <c r="AL92" i="10"/>
  <c r="AM93" i="10"/>
  <c r="AI93" i="10"/>
  <c r="AX93" i="10"/>
  <c r="AL93" i="10"/>
  <c r="AO93" i="10"/>
  <c r="AK93" i="10"/>
  <c r="AN93" i="10"/>
  <c r="AJ93" i="10"/>
  <c r="AN89" i="10"/>
  <c r="AJ89" i="10"/>
  <c r="AB54" i="10"/>
  <c r="BH54" i="10"/>
  <c r="BL54" i="10"/>
  <c r="C60" i="10"/>
  <c r="G60" i="10"/>
  <c r="R71" i="10"/>
  <c r="AL89" i="10"/>
  <c r="AM91" i="10"/>
  <c r="AI91" i="10"/>
  <c r="AX91" i="10"/>
  <c r="AL91" i="10"/>
  <c r="AO91" i="10"/>
  <c r="AK91" i="10"/>
  <c r="AN91" i="10"/>
  <c r="AJ91" i="10"/>
  <c r="I58" i="10"/>
  <c r="I19" i="10" s="1"/>
  <c r="D60" i="10"/>
  <c r="AM89" i="10"/>
  <c r="AX89" i="10"/>
  <c r="AM94" i="10"/>
  <c r="AI94" i="10"/>
  <c r="AO94" i="10"/>
  <c r="AJ94" i="10"/>
  <c r="AX94" i="10"/>
  <c r="AN94" i="10"/>
  <c r="AL94" i="10"/>
  <c r="AK94" i="10"/>
  <c r="AB91" i="10"/>
  <c r="AB93" i="10"/>
  <c r="AG95" i="10"/>
  <c r="AC95" i="10"/>
  <c r="Y98" i="10"/>
  <c r="U98" i="10"/>
  <c r="AA102" i="10"/>
  <c r="AP101" i="10"/>
  <c r="AG101" i="10"/>
  <c r="AC101" i="10"/>
  <c r="AE128" i="10"/>
  <c r="AP128" i="10"/>
  <c r="AE94" i="10"/>
  <c r="AA94" i="10"/>
  <c r="AA101" i="10"/>
  <c r="X121" i="10"/>
  <c r="T121" i="10"/>
  <c r="Y121" i="10"/>
  <c r="S121" i="10"/>
  <c r="AH121" i="10"/>
  <c r="W121" i="10"/>
  <c r="V121" i="10"/>
  <c r="AP123" i="10"/>
  <c r="AC123" i="10"/>
  <c r="AG123" i="10"/>
  <c r="AB123" i="10"/>
  <c r="AA123" i="10"/>
  <c r="AB101" i="10"/>
  <c r="AP102" i="10"/>
  <c r="AG102" i="10"/>
  <c r="AC102" i="10"/>
  <c r="O151" i="10"/>
  <c r="O153" i="10" s="1"/>
  <c r="Q137" i="10"/>
  <c r="Q151" i="10" s="1"/>
  <c r="AU151" i="10"/>
  <c r="AW137" i="10"/>
  <c r="AW151" i="10" s="1"/>
  <c r="AE120" i="10"/>
  <c r="AA120" i="10"/>
  <c r="Y122" i="10"/>
  <c r="U122" i="10"/>
  <c r="W124" i="10"/>
  <c r="S124" i="10"/>
  <c r="AM151" i="10"/>
  <c r="AO137" i="10"/>
  <c r="AO151" i="10" s="1"/>
  <c r="BS151" i="10"/>
  <c r="BU137" i="10"/>
  <c r="BU151" i="10" s="1"/>
  <c r="U99" i="10"/>
  <c r="Y99" i="10"/>
  <c r="U100" i="10"/>
  <c r="Y100" i="10"/>
  <c r="U101" i="10"/>
  <c r="Y101" i="10"/>
  <c r="U102" i="10"/>
  <c r="Y102" i="10"/>
  <c r="U103" i="10"/>
  <c r="Y103" i="10"/>
  <c r="U104" i="10"/>
  <c r="Y104" i="10"/>
  <c r="T120" i="10"/>
  <c r="V122" i="10"/>
  <c r="V124" i="10"/>
  <c r="X125" i="10"/>
  <c r="T125" i="10"/>
  <c r="AE151" i="10"/>
  <c r="AG137" i="10"/>
  <c r="AG151" i="10" s="1"/>
  <c r="BK151" i="10"/>
  <c r="BM137" i="10"/>
  <c r="BM151" i="10" s="1"/>
  <c r="AA177" i="10"/>
  <c r="AA139" i="10"/>
  <c r="W120" i="10"/>
  <c r="S120" i="10"/>
  <c r="AP120" i="10"/>
  <c r="W122" i="10"/>
  <c r="AH122" i="10"/>
  <c r="X124" i="10"/>
  <c r="AH124" i="10"/>
  <c r="Y137" i="10"/>
  <c r="Y151" i="10" s="1"/>
  <c r="BC151" i="10"/>
  <c r="BE137" i="10"/>
  <c r="BE151" i="10" s="1"/>
  <c r="AV142" i="10"/>
  <c r="G154" i="10"/>
  <c r="R163" i="10"/>
  <c r="O161" i="10"/>
  <c r="P161" i="10" s="1"/>
  <c r="AH163" i="10"/>
  <c r="AU161" i="10"/>
  <c r="BK161" i="10"/>
  <c r="F164" i="10"/>
  <c r="B172" i="10"/>
  <c r="C172" i="10"/>
  <c r="BJ142" i="10"/>
  <c r="O144" i="10"/>
  <c r="L143" i="10"/>
  <c r="X143" i="10"/>
  <c r="AU144" i="10"/>
  <c r="X147" i="10"/>
  <c r="E154" i="10"/>
  <c r="I154" i="10"/>
  <c r="D164" i="10"/>
  <c r="AB139" i="10"/>
  <c r="P142" i="10"/>
  <c r="L142" i="10"/>
  <c r="AQ142" i="10"/>
  <c r="AR142" i="10" s="1"/>
  <c r="Z163" i="10"/>
  <c r="BC161" i="10"/>
  <c r="BD161" i="10" s="1"/>
  <c r="BS161" i="10"/>
  <c r="I164" i="10"/>
  <c r="G172" i="10"/>
  <c r="AC139" i="10"/>
  <c r="AL142" i="10"/>
  <c r="AE144" i="10"/>
  <c r="AK147" i="10"/>
  <c r="AO147" i="10" s="1"/>
  <c r="C154" i="10"/>
  <c r="M156" i="10"/>
  <c r="N156" i="10" s="1"/>
  <c r="C164" i="10"/>
  <c r="AK166" i="10"/>
  <c r="AL166" i="10" s="1"/>
  <c r="AC152" i="10"/>
  <c r="AC153" i="10" s="1"/>
  <c r="AG152" i="10"/>
  <c r="X158" i="10"/>
  <c r="AC162" i="10"/>
  <c r="AG162" i="10"/>
  <c r="AB166" i="10"/>
  <c r="Y168" i="10"/>
  <c r="U168" i="10"/>
  <c r="G200" i="10"/>
  <c r="F200" i="10"/>
  <c r="AP152" i="10"/>
  <c r="AP162" i="10"/>
  <c r="AP163" i="10" s="1"/>
  <c r="H164" i="10"/>
  <c r="Q166" i="10"/>
  <c r="BC166" i="10"/>
  <c r="BD166" i="10" s="1"/>
  <c r="BS166" i="10"/>
  <c r="BT166" i="10" s="1"/>
  <c r="E172" i="10"/>
  <c r="D172" i="10"/>
  <c r="I172" i="10"/>
  <c r="H172" i="10"/>
  <c r="D184" i="10"/>
  <c r="AI153" i="11" s="1"/>
  <c r="D179" i="10"/>
  <c r="H184" i="10"/>
  <c r="AM153" i="11" s="1"/>
  <c r="H179" i="10"/>
  <c r="AA152" i="10"/>
  <c r="AA153" i="10" s="1"/>
  <c r="AA162" i="10"/>
  <c r="AH168" i="10"/>
  <c r="O194" i="10"/>
  <c r="K194" i="10"/>
  <c r="N194" i="10"/>
  <c r="M194" i="10"/>
  <c r="L194" i="10"/>
  <c r="Q194" i="10"/>
  <c r="P194" i="10"/>
  <c r="AM189" i="10"/>
  <c r="AN187" i="10"/>
  <c r="AN143" i="10" s="1"/>
  <c r="AJ187" i="10"/>
  <c r="AJ143" i="10" s="1"/>
  <c r="AS187" i="10"/>
  <c r="R199" i="10"/>
  <c r="J200" i="10" s="1"/>
  <c r="P197" i="10"/>
  <c r="E179" i="10"/>
  <c r="E180" i="10" s="1"/>
  <c r="J184" i="10"/>
  <c r="AO153" i="11" s="1"/>
  <c r="I192" i="10"/>
  <c r="I193" i="10" s="1"/>
  <c r="I195" i="10" s="1"/>
  <c r="H190" i="10"/>
  <c r="B190" i="10"/>
  <c r="F190" i="10"/>
  <c r="AX199" i="10"/>
  <c r="AU197" i="10"/>
  <c r="L199" i="10"/>
  <c r="B200" i="10"/>
  <c r="AP199" i="10"/>
  <c r="AH199" i="10"/>
  <c r="Z204" i="10"/>
  <c r="T204" i="10" s="1"/>
  <c r="N204" i="10"/>
  <c r="Q204" i="10"/>
  <c r="M204" i="10"/>
  <c r="K204" i="10"/>
  <c r="P204" i="10"/>
  <c r="O204" i="10"/>
  <c r="J208" i="10"/>
  <c r="I208" i="10"/>
  <c r="W35" i="9"/>
  <c r="W81" i="9"/>
  <c r="W80" i="9"/>
  <c r="W76" i="9"/>
  <c r="CL156" i="5" s="1"/>
  <c r="CJ156" i="5" s="1"/>
  <c r="BI47" i="9"/>
  <c r="BT47" i="9"/>
  <c r="Q234" i="9"/>
  <c r="M297" i="9"/>
  <c r="M298" i="9" s="1"/>
  <c r="M70" i="9"/>
  <c r="U77" i="9"/>
  <c r="U71" i="9"/>
  <c r="O23" i="9"/>
  <c r="K31" i="9"/>
  <c r="K32" i="9" s="1"/>
  <c r="W31" i="9"/>
  <c r="W32" i="9" s="1"/>
  <c r="K54" i="9"/>
  <c r="K55" i="9" s="1"/>
  <c r="W47" i="9"/>
  <c r="W54" i="9"/>
  <c r="O52" i="9"/>
  <c r="W52" i="9"/>
  <c r="E71" i="9"/>
  <c r="H87" i="9"/>
  <c r="G87" i="9"/>
  <c r="K67" i="9"/>
  <c r="N221" i="9"/>
  <c r="N17" i="9" s="1"/>
  <c r="W211" i="9"/>
  <c r="W68" i="9"/>
  <c r="N234" i="9"/>
  <c r="O242" i="9" s="1"/>
  <c r="F77" i="9"/>
  <c r="F80" i="9" s="1"/>
  <c r="F71" i="9"/>
  <c r="J77" i="9"/>
  <c r="J81" i="9" s="1"/>
  <c r="J71" i="9"/>
  <c r="N77" i="9"/>
  <c r="N29" i="9" s="1"/>
  <c r="N71" i="9"/>
  <c r="V77" i="9"/>
  <c r="V35" i="9" s="1"/>
  <c r="V71" i="9"/>
  <c r="I10" i="9"/>
  <c r="M10" i="9"/>
  <c r="Q10" i="9"/>
  <c r="W10" i="9"/>
  <c r="BI19" i="9"/>
  <c r="BJ19" i="9" s="1"/>
  <c r="D23" i="9"/>
  <c r="P23" i="9"/>
  <c r="T23" i="9"/>
  <c r="X23" i="9"/>
  <c r="BB25" i="9"/>
  <c r="BR25" i="9"/>
  <c r="CH25" i="9"/>
  <c r="G26" i="9"/>
  <c r="K26" i="9"/>
  <c r="O26" i="9"/>
  <c r="S26" i="9"/>
  <c r="W26" i="9"/>
  <c r="H31" i="9"/>
  <c r="L31" i="9"/>
  <c r="L32" i="9" s="1"/>
  <c r="P31" i="9"/>
  <c r="P32" i="9" s="1"/>
  <c r="T31" i="9"/>
  <c r="T32" i="9" s="1"/>
  <c r="X31" i="9"/>
  <c r="X32" i="9" s="1"/>
  <c r="M41" i="9"/>
  <c r="V47" i="9"/>
  <c r="D52" i="9"/>
  <c r="H52" i="9"/>
  <c r="L52" i="9"/>
  <c r="P52" i="9"/>
  <c r="T52" i="9"/>
  <c r="X52" i="9"/>
  <c r="F52" i="9"/>
  <c r="N52" i="9"/>
  <c r="I71" i="9"/>
  <c r="N98" i="9"/>
  <c r="I211" i="9"/>
  <c r="I234" i="9"/>
  <c r="E76" i="9"/>
  <c r="E75" i="9"/>
  <c r="V29" i="9"/>
  <c r="S47" i="9"/>
  <c r="S54" i="9"/>
  <c r="K52" i="9"/>
  <c r="P141" i="9"/>
  <c r="P98" i="9"/>
  <c r="X98" i="9"/>
  <c r="O211" i="9"/>
  <c r="O68" i="9"/>
  <c r="O244" i="9"/>
  <c r="O18" i="9" s="1"/>
  <c r="S234" i="9"/>
  <c r="S69" i="9"/>
  <c r="K77" i="9"/>
  <c r="K29" i="9" s="1"/>
  <c r="K71" i="9"/>
  <c r="O71" i="9"/>
  <c r="S77" i="9"/>
  <c r="S80" i="9" s="1"/>
  <c r="S71" i="9"/>
  <c r="J10" i="9"/>
  <c r="N10" i="9"/>
  <c r="S10" i="9"/>
  <c r="BB19" i="9"/>
  <c r="CG19" i="9"/>
  <c r="CH19" i="9" s="1"/>
  <c r="E23" i="9"/>
  <c r="I23" i="9"/>
  <c r="M23" i="9"/>
  <c r="Q23" i="9"/>
  <c r="U23" i="9"/>
  <c r="E31" i="9"/>
  <c r="E32" i="9" s="1"/>
  <c r="I31" i="9"/>
  <c r="M31" i="9"/>
  <c r="M32" i="9" s="1"/>
  <c r="Q31" i="9"/>
  <c r="Q32" i="9" s="1"/>
  <c r="U31" i="9"/>
  <c r="U32" i="9" s="1"/>
  <c r="N41" i="9"/>
  <c r="D47" i="9"/>
  <c r="X47" i="9"/>
  <c r="E54" i="9"/>
  <c r="E55" i="9" s="1"/>
  <c r="M71" i="9"/>
  <c r="V211" i="9"/>
  <c r="E297" i="9"/>
  <c r="E298" i="9" s="1"/>
  <c r="E70" i="9"/>
  <c r="V10" i="9"/>
  <c r="S23" i="9"/>
  <c r="O54" i="9"/>
  <c r="U47" i="9"/>
  <c r="G52" i="9"/>
  <c r="S52" i="9"/>
  <c r="E5" i="9"/>
  <c r="E67" i="9" s="1"/>
  <c r="I5" i="9"/>
  <c r="M5" i="9"/>
  <c r="Q5" i="9"/>
  <c r="U5" i="9"/>
  <c r="P211" i="9"/>
  <c r="P68" i="9"/>
  <c r="U6" i="9"/>
  <c r="AC221" i="9"/>
  <c r="AC17" i="9" s="1"/>
  <c r="U7" i="9"/>
  <c r="V69" i="9" s="1"/>
  <c r="AC244" i="9"/>
  <c r="AC18" i="9" s="1"/>
  <c r="AC232" i="9"/>
  <c r="U8" i="9"/>
  <c r="D75" i="9"/>
  <c r="D74" i="9"/>
  <c r="D76" i="9"/>
  <c r="H77" i="9"/>
  <c r="H71" i="9"/>
  <c r="L77" i="9"/>
  <c r="L29" i="9" s="1"/>
  <c r="L71" i="9"/>
  <c r="P77" i="9"/>
  <c r="P29" i="9" s="1"/>
  <c r="P71" i="9"/>
  <c r="X77" i="9"/>
  <c r="CT158" i="5" s="1"/>
  <c r="CR158" i="5" s="1"/>
  <c r="X71" i="9"/>
  <c r="K10" i="9"/>
  <c r="O10" i="9"/>
  <c r="U10" i="9"/>
  <c r="Z12" i="9"/>
  <c r="O41" i="9"/>
  <c r="T47" i="9"/>
  <c r="Q71" i="9"/>
  <c r="E74" i="9"/>
  <c r="F86" i="9" s="1"/>
  <c r="M86" i="9"/>
  <c r="Q80" i="9"/>
  <c r="U86" i="9"/>
  <c r="G77" i="9"/>
  <c r="G76" i="9" s="1"/>
  <c r="G82" i="9" s="1"/>
  <c r="I86" i="9"/>
  <c r="J86" i="9"/>
  <c r="N86" i="9"/>
  <c r="L86" i="9"/>
  <c r="V86" i="9"/>
  <c r="G86" i="9"/>
  <c r="K86" i="9"/>
  <c r="O86" i="9"/>
  <c r="S86" i="9"/>
  <c r="K87" i="9"/>
  <c r="AA82" i="9"/>
  <c r="W86" i="9"/>
  <c r="O80" i="9"/>
  <c r="J87" i="9"/>
  <c r="N143" i="9"/>
  <c r="N186" i="9"/>
  <c r="N147" i="9"/>
  <c r="N146" i="9"/>
  <c r="N144" i="9"/>
  <c r="P259" i="9"/>
  <c r="Q258" i="9"/>
  <c r="BB262" i="9"/>
  <c r="DX123" i="5" s="1"/>
  <c r="BJ262" i="9"/>
  <c r="EF123" i="5" s="1"/>
  <c r="BR262" i="9"/>
  <c r="EN123" i="5" s="1"/>
  <c r="BZ262" i="9"/>
  <c r="EV123" i="5" s="1"/>
  <c r="CH262" i="9"/>
  <c r="FD123" i="5" s="1"/>
  <c r="AY262" i="9"/>
  <c r="AZ262" i="9" s="1"/>
  <c r="BE262" i="9"/>
  <c r="BF262" i="9" s="1"/>
  <c r="BG262" i="9" s="1"/>
  <c r="BH262" i="9" s="1"/>
  <c r="BM262" i="9"/>
  <c r="BN262" i="9" s="1"/>
  <c r="BO262" i="9" s="1"/>
  <c r="BP262" i="9" s="1"/>
  <c r="BU262" i="9"/>
  <c r="BV262" i="9" s="1"/>
  <c r="BW262" i="9" s="1"/>
  <c r="BX262" i="9" s="1"/>
  <c r="CC262" i="9"/>
  <c r="CD262" i="9" s="1"/>
  <c r="CE262" i="9" s="1"/>
  <c r="CF262" i="9" s="1"/>
  <c r="X7" i="8"/>
  <c r="R122" i="8"/>
  <c r="R26" i="8"/>
  <c r="I56" i="8"/>
  <c r="AA88" i="8"/>
  <c r="M8" i="8"/>
  <c r="O28" i="8"/>
  <c r="G127" i="8"/>
  <c r="G33" i="8"/>
  <c r="J56" i="8"/>
  <c r="N56" i="8"/>
  <c r="Q67" i="8"/>
  <c r="Q64" i="8"/>
  <c r="R64" i="8"/>
  <c r="F67" i="8"/>
  <c r="Q80" i="8"/>
  <c r="P46" i="8"/>
  <c r="P127" i="8"/>
  <c r="T46" i="8"/>
  <c r="F64" i="8"/>
  <c r="J67" i="8"/>
  <c r="S83" i="8"/>
  <c r="S81" i="8"/>
  <c r="E120" i="8"/>
  <c r="I120" i="8"/>
  <c r="M120" i="8"/>
  <c r="Q120" i="8"/>
  <c r="H112" i="8"/>
  <c r="H113" i="8" s="1"/>
  <c r="H15" i="8"/>
  <c r="H28" i="8" s="1"/>
  <c r="S116" i="8"/>
  <c r="S38" i="8"/>
  <c r="M56" i="8"/>
  <c r="G15" i="8"/>
  <c r="G28" i="8" s="1"/>
  <c r="N67" i="8"/>
  <c r="H92" i="8"/>
  <c r="P15" i="8"/>
  <c r="T15" i="8"/>
  <c r="P26" i="8"/>
  <c r="T26" i="8"/>
  <c r="R46" i="8"/>
  <c r="C64" i="8"/>
  <c r="G64" i="8"/>
  <c r="K64" i="8"/>
  <c r="O64" i="8"/>
  <c r="S64" i="8"/>
  <c r="E66" i="8"/>
  <c r="I66" i="8"/>
  <c r="M66" i="8"/>
  <c r="C67" i="8"/>
  <c r="G67" i="8"/>
  <c r="K67" i="8"/>
  <c r="O67" i="8"/>
  <c r="S67" i="8"/>
  <c r="O83" i="8"/>
  <c r="O81" i="8"/>
  <c r="D100" i="8"/>
  <c r="E99" i="8"/>
  <c r="E100" i="8" s="1"/>
  <c r="H100" i="8"/>
  <c r="I99" i="8"/>
  <c r="I100" i="8" s="1"/>
  <c r="L100" i="8"/>
  <c r="M99" i="8"/>
  <c r="M100" i="8" s="1"/>
  <c r="P100" i="8"/>
  <c r="Q99" i="8"/>
  <c r="Q100" i="8" s="1"/>
  <c r="T100" i="8"/>
  <c r="AA109" i="8"/>
  <c r="F126" i="8"/>
  <c r="F128" i="8" s="1"/>
  <c r="O123" i="8"/>
  <c r="D121" i="8"/>
  <c r="D123" i="8" s="1"/>
  <c r="Q15" i="8"/>
  <c r="Q26" i="8"/>
  <c r="P38" i="8"/>
  <c r="T38" i="8"/>
  <c r="S46" i="8"/>
  <c r="D64" i="8"/>
  <c r="H64" i="8"/>
  <c r="L64" i="8"/>
  <c r="P64" i="8"/>
  <c r="T64" i="8"/>
  <c r="C83" i="8"/>
  <c r="C81" i="8"/>
  <c r="C123" i="8"/>
  <c r="Q38" i="8"/>
  <c r="E64" i="8"/>
  <c r="I64" i="8"/>
  <c r="M64" i="8"/>
  <c r="D81" i="8"/>
  <c r="D128" i="8"/>
  <c r="J126" i="8"/>
  <c r="J128" i="8" s="1"/>
  <c r="N126" i="8"/>
  <c r="L121" i="8"/>
  <c r="N81" i="8"/>
  <c r="R81" i="8"/>
  <c r="H120" i="8"/>
  <c r="L120" i="8"/>
  <c r="P120" i="8"/>
  <c r="T120" i="8"/>
  <c r="E121" i="8"/>
  <c r="I121" i="8"/>
  <c r="M121" i="8"/>
  <c r="L126" i="8"/>
  <c r="L128" i="8" s="1"/>
  <c r="E126" i="8"/>
  <c r="I126" i="8"/>
  <c r="I128" i="8" s="1"/>
  <c r="M126" i="8"/>
  <c r="M128" i="8" s="1"/>
  <c r="Y152" i="8"/>
  <c r="N191" i="8"/>
  <c r="Y153" i="8"/>
  <c r="I168" i="8"/>
  <c r="I169" i="8" s="1"/>
  <c r="Z157" i="8"/>
  <c r="M168" i="8"/>
  <c r="M169" i="8" s="1"/>
  <c r="Q168" i="8"/>
  <c r="Q169" i="8" s="1"/>
  <c r="E168" i="8"/>
  <c r="E169" i="8" s="1"/>
  <c r="J168" i="8"/>
  <c r="J169" i="8" s="1"/>
  <c r="N168" i="8"/>
  <c r="N169" i="8" s="1"/>
  <c r="R168" i="8"/>
  <c r="R169" i="8" s="1"/>
  <c r="P187" i="8"/>
  <c r="O189" i="8"/>
  <c r="O197" i="8" s="1"/>
  <c r="N189" i="8"/>
  <c r="N197" i="8" s="1"/>
  <c r="B168" i="8"/>
  <c r="B169" i="8" s="1"/>
  <c r="F168" i="8"/>
  <c r="F169" i="8" s="1"/>
  <c r="L32" i="6"/>
  <c r="Q32" i="6"/>
  <c r="Q24" i="6"/>
  <c r="H32" i="6"/>
  <c r="M32" i="6"/>
  <c r="M24" i="6"/>
  <c r="I32" i="6"/>
  <c r="G32" i="6"/>
  <c r="G24" i="6"/>
  <c r="K32" i="6"/>
  <c r="K24" i="6"/>
  <c r="O32" i="6"/>
  <c r="O24" i="6"/>
  <c r="S24" i="6"/>
  <c r="D63" i="6"/>
  <c r="C97" i="6"/>
  <c r="M124" i="6"/>
  <c r="M98" i="6"/>
  <c r="Q124" i="6"/>
  <c r="Q98" i="6"/>
  <c r="H115" i="6"/>
  <c r="H111" i="6"/>
  <c r="L115" i="6"/>
  <c r="L112" i="6"/>
  <c r="L111" i="6"/>
  <c r="P115" i="6"/>
  <c r="P112" i="6"/>
  <c r="P111" i="6"/>
  <c r="T115" i="6"/>
  <c r="T112" i="6"/>
  <c r="T111" i="6"/>
  <c r="F111" i="6"/>
  <c r="J111" i="6"/>
  <c r="N111" i="6"/>
  <c r="R111" i="6"/>
  <c r="G111" i="6"/>
  <c r="K111" i="6"/>
  <c r="O111" i="6"/>
  <c r="S111" i="6"/>
  <c r="K112" i="6"/>
  <c r="O112" i="6"/>
  <c r="S112" i="6"/>
  <c r="CJ11" i="5"/>
  <c r="CJ17" i="5"/>
  <c r="CK181" i="5"/>
  <c r="CK18" i="5"/>
  <c r="CK11" i="5"/>
  <c r="CK17" i="5"/>
  <c r="CQ24" i="5"/>
  <c r="CQ13" i="5"/>
  <c r="CQ69" i="5" s="1"/>
  <c r="CQ77" i="5" s="1"/>
  <c r="CQ92" i="5" s="1"/>
  <c r="CQ115" i="5" s="1"/>
  <c r="AN11" i="5"/>
  <c r="AN17" i="5"/>
  <c r="CJ181" i="5"/>
  <c r="CJ18" i="5"/>
  <c r="P3" i="5"/>
  <c r="P60" i="5" s="1"/>
  <c r="AL3" i="5"/>
  <c r="AU60" i="5"/>
  <c r="AZ27" i="5"/>
  <c r="BC17" i="5"/>
  <c r="AZ17" i="5"/>
  <c r="BF17" i="5"/>
  <c r="BN11" i="5"/>
  <c r="BG14" i="5" s="1"/>
  <c r="BU11" i="5"/>
  <c r="BU17" i="5"/>
  <c r="CB11" i="5"/>
  <c r="CH3" i="5"/>
  <c r="CV34" i="5"/>
  <c r="CV37" i="5" s="1"/>
  <c r="CN11" i="5"/>
  <c r="CN17" i="5"/>
  <c r="CT17" i="5"/>
  <c r="CT11" i="5"/>
  <c r="CQ14" i="5" s="1"/>
  <c r="BU18" i="5"/>
  <c r="CH4" i="5"/>
  <c r="CN18" i="5"/>
  <c r="CT18" i="5"/>
  <c r="BU19" i="5"/>
  <c r="CH5" i="5"/>
  <c r="CN19" i="5"/>
  <c r="CT62" i="5"/>
  <c r="CT19" i="5"/>
  <c r="J63" i="5"/>
  <c r="R20" i="5"/>
  <c r="Z20" i="5"/>
  <c r="AF30" i="5"/>
  <c r="AF20" i="5"/>
  <c r="AN20" i="5"/>
  <c r="AZ6" i="5"/>
  <c r="J65" i="5"/>
  <c r="R22" i="5"/>
  <c r="Z22" i="5"/>
  <c r="AN22" i="5"/>
  <c r="C13" i="5"/>
  <c r="G11" i="5"/>
  <c r="K14" i="5"/>
  <c r="K24" i="5"/>
  <c r="K13" i="5"/>
  <c r="S24" i="5"/>
  <c r="S13" i="5"/>
  <c r="AE50" i="5"/>
  <c r="AE24" i="5"/>
  <c r="AE13" i="5"/>
  <c r="AE69" i="5" s="1"/>
  <c r="AE77" i="5" s="1"/>
  <c r="AE92" i="5" s="1"/>
  <c r="AE115" i="5" s="1"/>
  <c r="AM50" i="5"/>
  <c r="AM24" i="5"/>
  <c r="AM34" i="5" s="1"/>
  <c r="AM13" i="5"/>
  <c r="AM69" i="5" s="1"/>
  <c r="AM77" i="5" s="1"/>
  <c r="AM92" i="5" s="1"/>
  <c r="AM115" i="5" s="1"/>
  <c r="BC50" i="5"/>
  <c r="BC13" i="5"/>
  <c r="BC69" i="5" s="1"/>
  <c r="BC77" i="5" s="1"/>
  <c r="CA50" i="5"/>
  <c r="CI36" i="5"/>
  <c r="CI35" i="5"/>
  <c r="CI34" i="5"/>
  <c r="CA13" i="5"/>
  <c r="CU36" i="5"/>
  <c r="CU35" i="5"/>
  <c r="CM37" i="5"/>
  <c r="CM24" i="5"/>
  <c r="CM13" i="5"/>
  <c r="CR28" i="5"/>
  <c r="J60" i="5"/>
  <c r="R17" i="5"/>
  <c r="Z17" i="5"/>
  <c r="AF27" i="5"/>
  <c r="Z11" i="5"/>
  <c r="S14" i="5" s="1"/>
  <c r="AF11" i="5"/>
  <c r="AF17" i="5"/>
  <c r="AV11" i="5"/>
  <c r="BB3" i="5"/>
  <c r="BK60" i="5"/>
  <c r="BP27" i="5"/>
  <c r="BR3" i="5"/>
  <c r="BV17" i="5"/>
  <c r="BV11" i="5"/>
  <c r="BP14" i="5" s="1"/>
  <c r="CC11" i="5"/>
  <c r="CC17" i="5"/>
  <c r="CP3" i="5"/>
  <c r="CY60" i="5"/>
  <c r="CY17" i="5"/>
  <c r="BK61" i="5"/>
  <c r="BP28" i="5"/>
  <c r="BR28" i="5" s="1"/>
  <c r="BT28" i="5" s="1"/>
  <c r="BR4" i="5"/>
  <c r="BV18" i="5"/>
  <c r="CC18" i="5"/>
  <c r="CP4" i="5"/>
  <c r="BK62" i="5"/>
  <c r="BP29" i="5"/>
  <c r="BR29" i="5" s="1"/>
  <c r="BT29" i="5" s="1"/>
  <c r="BR5" i="5"/>
  <c r="BV19" i="5"/>
  <c r="CC19" i="5"/>
  <c r="CP5" i="5"/>
  <c r="AJ30" i="5"/>
  <c r="AB20" i="5"/>
  <c r="AH20" i="5"/>
  <c r="AN30" i="5"/>
  <c r="AJ32" i="5"/>
  <c r="AB22" i="5"/>
  <c r="AH65" i="5"/>
  <c r="AH22" i="5"/>
  <c r="AN32" i="5"/>
  <c r="BD22" i="5"/>
  <c r="O66" i="5"/>
  <c r="W23" i="5"/>
  <c r="O23" i="5"/>
  <c r="AC23" i="5"/>
  <c r="BZ10" i="5"/>
  <c r="D13" i="5"/>
  <c r="L24" i="5"/>
  <c r="L13" i="5"/>
  <c r="L14" i="5"/>
  <c r="T11" i="5"/>
  <c r="Y24" i="5"/>
  <c r="Y13" i="5"/>
  <c r="AY34" i="5"/>
  <c r="AU11" i="5"/>
  <c r="BO35" i="5"/>
  <c r="BO34" i="5"/>
  <c r="BG13" i="5"/>
  <c r="BK11" i="5"/>
  <c r="CM36" i="5"/>
  <c r="CM35" i="5"/>
  <c r="CE24" i="5"/>
  <c r="CE13" i="5"/>
  <c r="AL12" i="5"/>
  <c r="AJ27" i="5"/>
  <c r="AB11" i="5"/>
  <c r="AB17" i="5"/>
  <c r="AH17" i="5"/>
  <c r="AN27" i="5"/>
  <c r="AH11" i="5"/>
  <c r="AA14" i="5" s="1"/>
  <c r="AW11" i="5"/>
  <c r="BD3" i="5"/>
  <c r="BD17" i="5" s="1"/>
  <c r="BL11" i="5"/>
  <c r="BS60" i="5"/>
  <c r="BX27" i="5"/>
  <c r="CA17" i="5"/>
  <c r="BS17" i="5"/>
  <c r="CF27" i="5"/>
  <c r="BX11" i="5"/>
  <c r="BX17" i="5"/>
  <c r="CD60" i="5"/>
  <c r="CD17" i="5"/>
  <c r="CD11" i="5"/>
  <c r="CA14" i="5" s="1"/>
  <c r="CR3" i="5"/>
  <c r="AD12" i="9" s="1"/>
  <c r="BS61" i="5"/>
  <c r="BX28" i="5"/>
  <c r="CC28" i="5" s="1"/>
  <c r="CA18" i="5"/>
  <c r="BS18" i="5"/>
  <c r="CF28" i="5"/>
  <c r="CK28" i="5" s="1"/>
  <c r="BX18" i="5"/>
  <c r="CD18" i="5"/>
  <c r="CR4" i="5"/>
  <c r="BS62" i="5"/>
  <c r="BX29" i="5"/>
  <c r="CC29" i="5" s="1"/>
  <c r="CA19" i="5"/>
  <c r="BS19" i="5"/>
  <c r="CF29" i="5"/>
  <c r="BX19" i="5"/>
  <c r="CD19" i="5"/>
  <c r="CR5" i="5"/>
  <c r="CR19" i="5" s="1"/>
  <c r="O63" i="5"/>
  <c r="W20" i="5"/>
  <c r="O20" i="5"/>
  <c r="V6" i="5"/>
  <c r="V20" i="5" s="1"/>
  <c r="AK20" i="5"/>
  <c r="AC20" i="5"/>
  <c r="AJ20" i="5"/>
  <c r="AP20" i="5"/>
  <c r="BD6" i="5"/>
  <c r="O65" i="5"/>
  <c r="W22" i="5"/>
  <c r="O22" i="5"/>
  <c r="V8" i="5"/>
  <c r="V22" i="5" s="1"/>
  <c r="AK22" i="5"/>
  <c r="AC22" i="5"/>
  <c r="AJ22" i="5"/>
  <c r="AP22" i="5"/>
  <c r="P9" i="5"/>
  <c r="CR9" i="5"/>
  <c r="AD10" i="5"/>
  <c r="AL10" i="5"/>
  <c r="CH10" i="5"/>
  <c r="E13" i="5"/>
  <c r="I11" i="5"/>
  <c r="Q24" i="5" s="1"/>
  <c r="M24" i="5"/>
  <c r="M13" i="5"/>
  <c r="M14" i="5"/>
  <c r="Q13" i="5"/>
  <c r="Q14" i="5"/>
  <c r="U11" i="5"/>
  <c r="AA24" i="5"/>
  <c r="AA13" i="5"/>
  <c r="AI24" i="5"/>
  <c r="AI13" i="5"/>
  <c r="AY11" i="5"/>
  <c r="BX36" i="5"/>
  <c r="BX35" i="5"/>
  <c r="BO24" i="5"/>
  <c r="BO37" i="5" s="1"/>
  <c r="BO13" i="5"/>
  <c r="CE36" i="5"/>
  <c r="CE35" i="5"/>
  <c r="CE34" i="5"/>
  <c r="BW24" i="5"/>
  <c r="BW37" i="5" s="1"/>
  <c r="BW13" i="5"/>
  <c r="BD30" i="5"/>
  <c r="O60" i="5"/>
  <c r="W17" i="5"/>
  <c r="O17" i="5"/>
  <c r="AK17" i="5"/>
  <c r="AC17" i="5"/>
  <c r="AJ11" i="5"/>
  <c r="AJ17" i="5"/>
  <c r="AP17" i="5"/>
  <c r="AP11" i="5"/>
  <c r="AM14" i="5" s="1"/>
  <c r="AX60" i="5"/>
  <c r="AX11" i="5"/>
  <c r="AT14" i="5" s="1"/>
  <c r="CF11" i="5"/>
  <c r="CF17" i="5"/>
  <c r="CN27" i="5"/>
  <c r="CL17" i="5"/>
  <c r="CL11" i="5"/>
  <c r="CG14" i="5" s="1"/>
  <c r="CS11" i="5"/>
  <c r="CS17" i="5"/>
  <c r="CW17" i="5"/>
  <c r="CF18" i="5"/>
  <c r="CN28" i="5"/>
  <c r="CS28" i="5" s="1"/>
  <c r="CL18" i="5"/>
  <c r="CS181" i="5"/>
  <c r="CS18" i="5"/>
  <c r="CN29" i="5"/>
  <c r="CS29" i="5" s="1"/>
  <c r="CF19" i="5"/>
  <c r="CL19" i="5"/>
  <c r="CR29" i="5"/>
  <c r="CS19" i="5"/>
  <c r="X63" i="5"/>
  <c r="X20" i="5"/>
  <c r="AU63" i="5"/>
  <c r="AZ30" i="5"/>
  <c r="BC20" i="5"/>
  <c r="P8" i="5"/>
  <c r="X8" i="5"/>
  <c r="AD8" i="5"/>
  <c r="AL32" i="5" s="1"/>
  <c r="AL8" i="5"/>
  <c r="AU65" i="5"/>
  <c r="AZ32" i="5"/>
  <c r="BC22" i="5"/>
  <c r="BF22" i="5"/>
  <c r="J66" i="5"/>
  <c r="R23" i="5"/>
  <c r="F13" i="5"/>
  <c r="J11" i="5"/>
  <c r="N11" i="5"/>
  <c r="R76" i="5"/>
  <c r="R91" i="5" s="1"/>
  <c r="R67" i="5"/>
  <c r="W50" i="5"/>
  <c r="W13" i="5"/>
  <c r="W69" i="5" s="1"/>
  <c r="W77" i="5" s="1"/>
  <c r="W92" i="5" s="1"/>
  <c r="W115" i="5" s="1"/>
  <c r="AC11" i="5"/>
  <c r="AK24" i="5" s="1"/>
  <c r="CQ36" i="5"/>
  <c r="CQ35" i="5"/>
  <c r="CQ34" i="5"/>
  <c r="CI24" i="5"/>
  <c r="CI13" i="5"/>
  <c r="CI67" i="5" s="1"/>
  <c r="BD27" i="5"/>
  <c r="CR27" i="5"/>
  <c r="BB32" i="5"/>
  <c r="AO12" i="5"/>
  <c r="BD32" i="5"/>
  <c r="H60" i="5"/>
  <c r="AH60" i="5"/>
  <c r="CB60" i="5"/>
  <c r="CT60" i="5"/>
  <c r="CD61" i="5"/>
  <c r="CL62" i="5"/>
  <c r="Z63" i="5"/>
  <c r="AX63" i="5"/>
  <c r="H65" i="5"/>
  <c r="BF65" i="5"/>
  <c r="BH13" i="5"/>
  <c r="BP13" i="5"/>
  <c r="BQ35" i="5"/>
  <c r="BQ36" i="5"/>
  <c r="AN60" i="5"/>
  <c r="BL60" i="5"/>
  <c r="BN61" i="5"/>
  <c r="CL61" i="5"/>
  <c r="BV62" i="5"/>
  <c r="H63" i="5"/>
  <c r="AH63" i="5"/>
  <c r="AP65" i="5"/>
  <c r="H66" i="5"/>
  <c r="CH12" i="5"/>
  <c r="AK13" i="5"/>
  <c r="BA13" i="5"/>
  <c r="BI13" i="5"/>
  <c r="BQ13" i="5"/>
  <c r="BY13" i="5"/>
  <c r="CG13" i="5"/>
  <c r="CO13" i="5"/>
  <c r="AG24" i="5"/>
  <c r="BB30" i="5"/>
  <c r="BP34" i="5"/>
  <c r="X60" i="5"/>
  <c r="AV60" i="5"/>
  <c r="BN60" i="5"/>
  <c r="CJ60" i="5"/>
  <c r="BV61" i="5"/>
  <c r="CD62" i="5"/>
  <c r="P63" i="5"/>
  <c r="AN63" i="5"/>
  <c r="BF63" i="5"/>
  <c r="Z65" i="5"/>
  <c r="AV65" i="5"/>
  <c r="BY36" i="5"/>
  <c r="BY35" i="5"/>
  <c r="CG36" i="5"/>
  <c r="CG35" i="5"/>
  <c r="CO37" i="5"/>
  <c r="CO35" i="5" s="1"/>
  <c r="CW36" i="5"/>
  <c r="R13" i="5"/>
  <c r="R69" i="5" s="1"/>
  <c r="R77" i="5" s="1"/>
  <c r="R92" i="5" s="1"/>
  <c r="R115" i="5" s="1"/>
  <c r="CG34" i="5"/>
  <c r="CW35" i="5"/>
  <c r="V36" i="5"/>
  <c r="Y36" i="5"/>
  <c r="AF60" i="5"/>
  <c r="CB61" i="5"/>
  <c r="CT61" i="5"/>
  <c r="BL62" i="5"/>
  <c r="CJ62" i="5"/>
  <c r="AP63" i="5"/>
  <c r="AF65" i="5"/>
  <c r="AX65" i="5"/>
  <c r="Z66" i="5"/>
  <c r="X88" i="5"/>
  <c r="BT52" i="5"/>
  <c r="CJ52" i="5"/>
  <c r="CJ61" i="5" s="1"/>
  <c r="AF54" i="5"/>
  <c r="AF63" i="5" s="1"/>
  <c r="AV54" i="5"/>
  <c r="X56" i="5"/>
  <c r="AN56" i="5"/>
  <c r="AN65" i="5" s="1"/>
  <c r="BD56" i="5"/>
  <c r="BD65" i="5" s="1"/>
  <c r="X57" i="5"/>
  <c r="Z60" i="5"/>
  <c r="BF60" i="5"/>
  <c r="CL60" i="5"/>
  <c r="AH74" i="5"/>
  <c r="AF74" i="5" s="1"/>
  <c r="BD74" i="5"/>
  <c r="BL74" i="5" s="1"/>
  <c r="CY76" i="5"/>
  <c r="CY91" i="5" s="1"/>
  <c r="CB79" i="5"/>
  <c r="CR79" i="5"/>
  <c r="CR81" i="5"/>
  <c r="EV81" i="5"/>
  <c r="AF84" i="5"/>
  <c r="BD86" i="5"/>
  <c r="BL86" i="5" s="1"/>
  <c r="P88" i="5"/>
  <c r="Z88" i="5"/>
  <c r="J89" i="5"/>
  <c r="CB94" i="5"/>
  <c r="CR94" i="5"/>
  <c r="Z98" i="5"/>
  <c r="CT98" i="5"/>
  <c r="CR98" i="5" s="1"/>
  <c r="EM105" i="5"/>
  <c r="EN105" i="5" s="1"/>
  <c r="P317" i="5"/>
  <c r="P112" i="5"/>
  <c r="BN112" i="5"/>
  <c r="BD112" i="5"/>
  <c r="BL112" i="5" s="1"/>
  <c r="CC131" i="5"/>
  <c r="CC128" i="5"/>
  <c r="CC127" i="5"/>
  <c r="CM129" i="5"/>
  <c r="BF132" i="5"/>
  <c r="BN132" i="5" s="1"/>
  <c r="BN131" i="5"/>
  <c r="AG138" i="5"/>
  <c r="AG140" i="5"/>
  <c r="AD136" i="5"/>
  <c r="AO140" i="5"/>
  <c r="CQ76" i="5"/>
  <c r="CQ91" i="5" s="1"/>
  <c r="H88" i="5"/>
  <c r="CT88" i="5"/>
  <c r="CT314" i="5" s="1"/>
  <c r="EU105" i="5"/>
  <c r="EV105" i="5" s="1"/>
  <c r="CR109" i="5"/>
  <c r="CT317" i="5"/>
  <c r="CR317" i="5" s="1"/>
  <c r="CB124" i="5"/>
  <c r="CC124" i="5"/>
  <c r="BW124" i="5"/>
  <c r="BB132" i="5"/>
  <c r="BJ132" i="5" s="1"/>
  <c r="BJ131" i="5"/>
  <c r="BZ132" i="5" s="1"/>
  <c r="Y140" i="5"/>
  <c r="Y138" i="5"/>
  <c r="V136" i="5"/>
  <c r="BB137" i="5"/>
  <c r="BF141" i="5"/>
  <c r="AP142" i="5"/>
  <c r="AN138" i="5"/>
  <c r="AX50" i="5"/>
  <c r="AP60" i="5"/>
  <c r="BV60" i="5"/>
  <c r="CI76" i="5"/>
  <c r="CI91" i="5" s="1"/>
  <c r="DX81" i="5"/>
  <c r="FC81" i="5"/>
  <c r="FD81" i="5" s="1"/>
  <c r="Z84" i="5"/>
  <c r="Z89" i="5" s="1"/>
  <c r="EX84" i="5"/>
  <c r="AP88" i="5"/>
  <c r="AN88" i="5" s="1"/>
  <c r="P94" i="5"/>
  <c r="CT112" i="5"/>
  <c r="CR112" i="5" s="1"/>
  <c r="BR132" i="5"/>
  <c r="Q138" i="5"/>
  <c r="N136" i="5"/>
  <c r="N138" i="5" s="1"/>
  <c r="AL138" i="5"/>
  <c r="AF46" i="5"/>
  <c r="BD46" i="5"/>
  <c r="BL46" i="5" s="1"/>
  <c r="BD48" i="5"/>
  <c r="BL48" i="5" s="1"/>
  <c r="CB53" i="5"/>
  <c r="CB62" i="5" s="1"/>
  <c r="BD71" i="5"/>
  <c r="BL71" i="5" s="1"/>
  <c r="BK88" i="5"/>
  <c r="X94" i="5"/>
  <c r="O98" i="5"/>
  <c r="AH98" i="5"/>
  <c r="AF98" i="5" s="1"/>
  <c r="BD98" i="5"/>
  <c r="BL98" i="5" s="1"/>
  <c r="EF105" i="5"/>
  <c r="CF132" i="5"/>
  <c r="BP132" i="5"/>
  <c r="AP140" i="5"/>
  <c r="AL136" i="5"/>
  <c r="AN136" i="5"/>
  <c r="AN140" i="5" s="1"/>
  <c r="AN137" i="5"/>
  <c r="AN141" i="5" s="1"/>
  <c r="AL137" i="5"/>
  <c r="Z142" i="5"/>
  <c r="X103" i="5"/>
  <c r="X318" i="5" s="1"/>
  <c r="Z318" i="5"/>
  <c r="AV123" i="5"/>
  <c r="CV128" i="5"/>
  <c r="CV127" i="5"/>
  <c r="CV163" i="5"/>
  <c r="AV124" i="5"/>
  <c r="BP128" i="5"/>
  <c r="BP129" i="5" s="1"/>
  <c r="BP127" i="5"/>
  <c r="CB125" i="5"/>
  <c r="CB128" i="5" s="1"/>
  <c r="BR127" i="5"/>
  <c r="CG166" i="5"/>
  <c r="CK166" i="5" s="1"/>
  <c r="CG165" i="5"/>
  <c r="CK163" i="5"/>
  <c r="CG170" i="5"/>
  <c r="BA128" i="5"/>
  <c r="BQ128" i="5"/>
  <c r="CO129" i="5"/>
  <c r="BG131" i="5"/>
  <c r="BW132" i="5" s="1"/>
  <c r="EM131" i="5"/>
  <c r="T146" i="5"/>
  <c r="AE150" i="5"/>
  <c r="W150" i="5"/>
  <c r="W148" i="5"/>
  <c r="AG148" i="5"/>
  <c r="AO153" i="5" s="1"/>
  <c r="AD146" i="5"/>
  <c r="AE151" i="5"/>
  <c r="W151" i="5"/>
  <c r="X147" i="5"/>
  <c r="X151" i="5" s="1"/>
  <c r="AJ151" i="5"/>
  <c r="N148" i="5"/>
  <c r="AA152" i="5"/>
  <c r="AO151" i="5"/>
  <c r="BZ156" i="5"/>
  <c r="BX158" i="5"/>
  <c r="BX170" i="5"/>
  <c r="CF171" i="5" s="1"/>
  <c r="BX165" i="5"/>
  <c r="BT160" i="5"/>
  <c r="BJ123" i="5"/>
  <c r="BD123" i="5"/>
  <c r="BX128" i="5"/>
  <c r="BX127" i="5"/>
  <c r="BR128" i="5"/>
  <c r="BH131" i="5"/>
  <c r="CV131" i="5"/>
  <c r="DD132" i="5" s="1"/>
  <c r="O148" i="5"/>
  <c r="S152" i="5"/>
  <c r="AF148" i="5"/>
  <c r="BO152" i="5"/>
  <c r="AI153" i="5"/>
  <c r="CC165" i="5"/>
  <c r="BY165" i="5" s="1"/>
  <c r="CC159" i="5"/>
  <c r="CC170" i="5"/>
  <c r="CC171" i="5" s="1"/>
  <c r="CD123" i="5"/>
  <c r="CV124" i="5"/>
  <c r="BL125" i="5"/>
  <c r="BE127" i="5"/>
  <c r="BM127" i="5" s="1"/>
  <c r="BS128" i="5"/>
  <c r="BS129" i="5" s="1"/>
  <c r="CW129" i="5"/>
  <c r="DA132" i="5"/>
  <c r="BE141" i="5"/>
  <c r="P146" i="5"/>
  <c r="P148" i="5" s="1"/>
  <c r="T147" i="5"/>
  <c r="AG150" i="5"/>
  <c r="CI168" i="5"/>
  <c r="AG151" i="5"/>
  <c r="BK158" i="5"/>
  <c r="BH158" i="5" s="1"/>
  <c r="BS158" i="5"/>
  <c r="CF158" i="5"/>
  <c r="CK158" i="5" s="1"/>
  <c r="CN159" i="5"/>
  <c r="BV161" i="5"/>
  <c r="CL161" i="5"/>
  <c r="CQ161" i="5"/>
  <c r="CN165" i="5"/>
  <c r="BS166" i="5"/>
  <c r="BW167" i="5"/>
  <c r="CE168" i="5" s="1"/>
  <c r="CM167" i="5"/>
  <c r="CM168" i="5" s="1"/>
  <c r="CI171" i="5"/>
  <c r="CP157" i="5"/>
  <c r="AB87" i="9" s="1"/>
  <c r="CG167" i="5"/>
  <c r="CF159" i="5"/>
  <c r="CN160" i="5"/>
  <c r="CS163" i="5"/>
  <c r="CM170" i="5"/>
  <c r="CM171" i="5" s="1"/>
  <c r="CQ163" i="5"/>
  <c r="BX173" i="5"/>
  <c r="CD176" i="5"/>
  <c r="CN166" i="5"/>
  <c r="CS166" i="5" s="1"/>
  <c r="CY166" i="5"/>
  <c r="CD167" i="5"/>
  <c r="CB167" i="5" s="1"/>
  <c r="BW173" i="5"/>
  <c r="BW176" i="5" s="1"/>
  <c r="CC166" i="5"/>
  <c r="CC160" i="5"/>
  <c r="CC158" i="5"/>
  <c r="BS160" i="5"/>
  <c r="CA160" i="5"/>
  <c r="CI161" i="5"/>
  <c r="CF165" i="5"/>
  <c r="BP166" i="5"/>
  <c r="CU166" i="5"/>
  <c r="BO167" i="5"/>
  <c r="CS179" i="5"/>
  <c r="CN183" i="5"/>
  <c r="AZ150" i="5"/>
  <c r="AH152" i="5"/>
  <c r="AZ148" i="5"/>
  <c r="AM153" i="5"/>
  <c r="CK156" i="5"/>
  <c r="CS156" i="5"/>
  <c r="AE86" i="9" s="1"/>
  <c r="CW165" i="5"/>
  <c r="CW159" i="5"/>
  <c r="CW158" i="5"/>
  <c r="DE161" i="5" s="1"/>
  <c r="CN158" i="5"/>
  <c r="CS158" i="5" s="1"/>
  <c r="BP160" i="5"/>
  <c r="CE161" i="5"/>
  <c r="CM165" i="5"/>
  <c r="BW171" i="5"/>
  <c r="CB179" i="5"/>
  <c r="BZ183" i="5"/>
  <c r="CW184" i="5"/>
  <c r="CW181" i="5"/>
  <c r="BD218" i="5"/>
  <c r="BD226" i="5" s="1"/>
  <c r="BF226" i="5"/>
  <c r="AE249" i="5"/>
  <c r="BR184" i="5"/>
  <c r="CB180" i="5"/>
  <c r="BZ184" i="5"/>
  <c r="BB197" i="5"/>
  <c r="BJ197" i="5" s="1"/>
  <c r="BD197" i="5"/>
  <c r="BL197" i="5" s="1"/>
  <c r="CK198" i="5"/>
  <c r="CH198" i="5"/>
  <c r="CJ198" i="5" s="1"/>
  <c r="AE241" i="5"/>
  <c r="AE253" i="5" s="1"/>
  <c r="AE239" i="5"/>
  <c r="BC241" i="5"/>
  <c r="BC253" i="5" s="1"/>
  <c r="BC239" i="5"/>
  <c r="BT179" i="5"/>
  <c r="BT183" i="5" s="1"/>
  <c r="BR183" i="5"/>
  <c r="CN184" i="5"/>
  <c r="CN181" i="5"/>
  <c r="BU185" i="5"/>
  <c r="BZ181" i="5"/>
  <c r="CS199" i="5"/>
  <c r="CP199" i="5"/>
  <c r="CR199" i="5" s="1"/>
  <c r="CH203" i="5"/>
  <c r="CJ203" i="5" s="1"/>
  <c r="CK203" i="5"/>
  <c r="CA183" i="5"/>
  <c r="BS183" i="5"/>
  <c r="BS181" i="5"/>
  <c r="BP179" i="5"/>
  <c r="BT180" i="5"/>
  <c r="BT184" i="5" s="1"/>
  <c r="CF184" i="5"/>
  <c r="CF181" i="5"/>
  <c r="CH180" i="5"/>
  <c r="CH184" i="5" s="1"/>
  <c r="BV185" i="5"/>
  <c r="BR181" i="5"/>
  <c r="CD185" i="5"/>
  <c r="CO185" i="5"/>
  <c r="BN197" i="5"/>
  <c r="CH200" i="5"/>
  <c r="CJ200" i="5" s="1"/>
  <c r="CK200" i="5"/>
  <c r="BM211" i="5"/>
  <c r="BJ211" i="5" s="1"/>
  <c r="BB211" i="5"/>
  <c r="CH208" i="5"/>
  <c r="CJ208" i="5" s="1"/>
  <c r="CK208" i="5"/>
  <c r="AN264" i="5"/>
  <c r="EU264" i="5"/>
  <c r="BN265" i="5"/>
  <c r="BD265" i="5"/>
  <c r="BL265" i="5" s="1"/>
  <c r="DZ281" i="5"/>
  <c r="DX279" i="5"/>
  <c r="DX295" i="5"/>
  <c r="BZ192" i="5"/>
  <c r="CF189" i="5"/>
  <c r="CO193" i="5"/>
  <c r="CF191" i="5"/>
  <c r="BR192" i="5"/>
  <c r="BL207" i="5"/>
  <c r="BD223" i="5"/>
  <c r="R241" i="5"/>
  <c r="R253" i="5" s="1"/>
  <c r="R239" i="5"/>
  <c r="AH249" i="5"/>
  <c r="J249" i="5"/>
  <c r="CT260" i="5"/>
  <c r="CR260" i="5" s="1"/>
  <c r="BN262" i="5"/>
  <c r="BD262" i="5"/>
  <c r="BL262" i="5" s="1"/>
  <c r="EU262" i="5"/>
  <c r="EV262" i="5" s="1"/>
  <c r="X264" i="5"/>
  <c r="DX264" i="5"/>
  <c r="FC264" i="5"/>
  <c r="CI324" i="5"/>
  <c r="BT278" i="5"/>
  <c r="BV323" i="5"/>
  <c r="BT323" i="5" s="1"/>
  <c r="EM280" i="5"/>
  <c r="EN280" i="5" s="1"/>
  <c r="BQ185" i="5"/>
  <c r="CA192" i="5"/>
  <c r="BS192" i="5"/>
  <c r="BP188" i="5"/>
  <c r="CB188" i="5"/>
  <c r="CP188" i="5"/>
  <c r="CG193" i="5"/>
  <c r="CS196" i="5"/>
  <c r="CP196" i="5"/>
  <c r="CR196" i="5" s="1"/>
  <c r="BE198" i="5"/>
  <c r="BH198" i="5"/>
  <c r="BB199" i="5"/>
  <c r="BL200" i="5"/>
  <c r="CH204" i="5"/>
  <c r="CJ204" i="5" s="1"/>
  <c r="BE201" i="5"/>
  <c r="BD219" i="5"/>
  <c r="BF227" i="5"/>
  <c r="AM239" i="5"/>
  <c r="AM249" i="5"/>
  <c r="BV260" i="5"/>
  <c r="BT260" i="5" s="1"/>
  <c r="BT257" i="5"/>
  <c r="EF258" i="5"/>
  <c r="X261" i="5"/>
  <c r="X316" i="5" s="1"/>
  <c r="Z316" i="5"/>
  <c r="CT316" i="5"/>
  <c r="CR316" i="5" s="1"/>
  <c r="DX262" i="5"/>
  <c r="EM262" i="5"/>
  <c r="EN262" i="5" s="1"/>
  <c r="EN264" i="5"/>
  <c r="CR313" i="5"/>
  <c r="CU183" i="5"/>
  <c r="CU181" i="5"/>
  <c r="CY183" i="5"/>
  <c r="CY181" i="5"/>
  <c r="BJ181" i="5"/>
  <c r="BL181" i="5" s="1"/>
  <c r="BZ187" i="5"/>
  <c r="CU189" i="5"/>
  <c r="CU191" i="5"/>
  <c r="CY189" i="5"/>
  <c r="CH199" i="5"/>
  <c r="CJ199" i="5" s="1"/>
  <c r="CH207" i="5"/>
  <c r="CJ207" i="5" s="1"/>
  <c r="CK207" i="5"/>
  <c r="CS207" i="5"/>
  <c r="BE212" i="5"/>
  <c r="BH212" i="5"/>
  <c r="BL201" i="5"/>
  <c r="CH210" i="5"/>
  <c r="CJ210" i="5" s="1"/>
  <c r="CP203" i="5"/>
  <c r="CR203" i="5" s="1"/>
  <c r="W239" i="5"/>
  <c r="AH241" i="5"/>
  <c r="AH253" i="5" s="1"/>
  <c r="CL260" i="5"/>
  <c r="CJ260" i="5" s="1"/>
  <c r="FD262" i="5"/>
  <c r="CB269" i="5"/>
  <c r="BD270" i="5"/>
  <c r="BL270" i="5" s="1"/>
  <c r="BN270" i="5"/>
  <c r="CY272" i="5"/>
  <c r="CY322" i="5" s="1"/>
  <c r="CY325" i="5" s="1"/>
  <c r="CB275" i="5"/>
  <c r="FC279" i="5"/>
  <c r="FD279" i="5" s="1"/>
  <c r="FF281" i="5"/>
  <c r="BN275" i="5"/>
  <c r="CJ275" i="5"/>
  <c r="Z323" i="5"/>
  <c r="X278" i="5"/>
  <c r="X323" i="5" s="1"/>
  <c r="BN278" i="5"/>
  <c r="BD278" i="5"/>
  <c r="BL278" i="5" s="1"/>
  <c r="BF323" i="5"/>
  <c r="BN323" i="5" s="1"/>
  <c r="BL323" i="5" s="1"/>
  <c r="J327" i="5"/>
  <c r="J330" i="5" s="1"/>
  <c r="J281" i="5"/>
  <c r="J282" i="5" s="1"/>
  <c r="H279" i="5"/>
  <c r="H281" i="5" s="1"/>
  <c r="AM327" i="5"/>
  <c r="AM330" i="5" s="1"/>
  <c r="AM281" i="5"/>
  <c r="AM282" i="5" s="1"/>
  <c r="CY327" i="5"/>
  <c r="EU280" i="5"/>
  <c r="EV280" i="5" s="1"/>
  <c r="CB284" i="5"/>
  <c r="X286" i="5"/>
  <c r="X287" i="5" s="1"/>
  <c r="Z287" i="5"/>
  <c r="BD286" i="5"/>
  <c r="BL286" i="5" s="1"/>
  <c r="EE295" i="5"/>
  <c r="EF295" i="5" s="1"/>
  <c r="Z306" i="5"/>
  <c r="CQ314" i="5"/>
  <c r="BC282" i="5"/>
  <c r="BK282" i="5" s="1"/>
  <c r="CA281" i="5"/>
  <c r="CI292" i="5"/>
  <c r="BN291" i="5"/>
  <c r="BD291" i="5"/>
  <c r="BL291" i="5" s="1"/>
  <c r="FC295" i="5"/>
  <c r="FD295" i="5" s="1"/>
  <c r="H272" i="5"/>
  <c r="H322" i="5" s="1"/>
  <c r="BC272" i="5"/>
  <c r="BK272" i="5" s="1"/>
  <c r="BK271" i="5"/>
  <c r="BD271" i="5"/>
  <c r="BL271" i="5" s="1"/>
  <c r="G324" i="5"/>
  <c r="G282" i="5"/>
  <c r="CL323" i="5"/>
  <c r="CJ278" i="5"/>
  <c r="CJ323" i="5" s="1"/>
  <c r="EU279" i="5"/>
  <c r="EV279" i="5" s="1"/>
  <c r="EX281" i="5"/>
  <c r="BN280" i="5"/>
  <c r="BD280" i="5"/>
  <c r="BL280" i="5" s="1"/>
  <c r="DX280" i="5"/>
  <c r="O282" i="5"/>
  <c r="BN284" i="5"/>
  <c r="BD284" i="5"/>
  <c r="BF287" i="5"/>
  <c r="CJ284" i="5"/>
  <c r="AE292" i="5"/>
  <c r="CR306" i="5"/>
  <c r="BK325" i="5"/>
  <c r="BC332" i="5"/>
  <c r="CR328" i="5"/>
  <c r="CT330" i="5"/>
  <c r="CR330" i="5" s="1"/>
  <c r="BI131" i="5"/>
  <c r="BY132" i="5" s="1"/>
  <c r="BM131" i="5"/>
  <c r="AG141" i="5"/>
  <c r="CW160" i="5"/>
  <c r="BU161" i="5"/>
  <c r="CG161" i="5"/>
  <c r="CO161" i="5"/>
  <c r="CO165" i="5"/>
  <c r="BK181" i="5"/>
  <c r="BH181" i="5" s="1"/>
  <c r="BH179" i="5"/>
  <c r="CP180" i="5"/>
  <c r="BK189" i="5"/>
  <c r="BS189" i="5"/>
  <c r="BQ193" i="5"/>
  <c r="X238" i="5"/>
  <c r="H267" i="5"/>
  <c r="AH272" i="5"/>
  <c r="CR271" i="5"/>
  <c r="J324" i="5"/>
  <c r="R327" i="5"/>
  <c r="P279" i="5"/>
  <c r="P281" i="5" s="1"/>
  <c r="R281" i="5"/>
  <c r="R282" i="5" s="1"/>
  <c r="EP281" i="5"/>
  <c r="EN279" i="5"/>
  <c r="FD280" i="5"/>
  <c r="P284" i="5"/>
  <c r="R292" i="5"/>
  <c r="CT287" i="5"/>
  <c r="CT292" i="5" s="1"/>
  <c r="G326" i="5"/>
  <c r="G292" i="5"/>
  <c r="AF291" i="5"/>
  <c r="BL316" i="5"/>
  <c r="BL317" i="5"/>
  <c r="BS184" i="5"/>
  <c r="P272" i="5"/>
  <c r="P322" i="5" s="1"/>
  <c r="CT272" i="5"/>
  <c r="CR269" i="5"/>
  <c r="Z328" i="5"/>
  <c r="X280" i="5"/>
  <c r="X328" i="5" s="1"/>
  <c r="BC292" i="5"/>
  <c r="BK292" i="5" s="1"/>
  <c r="P291" i="5"/>
  <c r="CJ291" i="5"/>
  <c r="CY282" i="5"/>
  <c r="AH306" i="5"/>
  <c r="CA314" i="5"/>
  <c r="AP343" i="5"/>
  <c r="AX343" i="5" s="1"/>
  <c r="AX337" i="5"/>
  <c r="P337" i="5"/>
  <c r="P343" i="5" s="1"/>
  <c r="K16" i="4"/>
  <c r="K64" i="6" s="1"/>
  <c r="L15" i="4"/>
  <c r="E104" i="4"/>
  <c r="E62" i="4"/>
  <c r="I104" i="4"/>
  <c r="I62" i="4"/>
  <c r="Q13" i="4"/>
  <c r="U35" i="4"/>
  <c r="V32" i="4"/>
  <c r="U104" i="4"/>
  <c r="U62" i="4"/>
  <c r="S131" i="6" s="1"/>
  <c r="J16" i="4"/>
  <c r="J64" i="6" s="1"/>
  <c r="R16" i="4"/>
  <c r="G21" i="4"/>
  <c r="D23" i="4"/>
  <c r="L23" i="4"/>
  <c r="S35" i="4"/>
  <c r="S51" i="4"/>
  <c r="S62" i="4"/>
  <c r="Q131" i="6" s="1"/>
  <c r="H73" i="4"/>
  <c r="N104" i="4"/>
  <c r="N73" i="4"/>
  <c r="V104" i="4"/>
  <c r="V73" i="4"/>
  <c r="V35" i="4"/>
  <c r="E23" i="4"/>
  <c r="I23" i="4"/>
  <c r="M23" i="4"/>
  <c r="C62" i="4"/>
  <c r="G51" i="4"/>
  <c r="G73" i="6" s="1"/>
  <c r="K51" i="4"/>
  <c r="K62" i="4"/>
  <c r="O51" i="4"/>
  <c r="O62" i="4"/>
  <c r="O131" i="6" s="1"/>
  <c r="C50" i="4"/>
  <c r="C51" i="4" s="1"/>
  <c r="C73" i="6" s="1"/>
  <c r="AA114" i="4"/>
  <c r="AB114" i="4" s="1"/>
  <c r="AC114" i="4" s="1"/>
  <c r="B119" i="4"/>
  <c r="B104" i="4"/>
  <c r="B73" i="4"/>
  <c r="T34" i="4"/>
  <c r="S73" i="4"/>
  <c r="B15" i="4"/>
  <c r="B16" i="4" s="1"/>
  <c r="B64" i="6" s="1"/>
  <c r="N23" i="4"/>
  <c r="T23" i="4"/>
  <c r="T32" i="4"/>
  <c r="CD34" i="5" s="1"/>
  <c r="D62" i="4"/>
  <c r="H62" i="4"/>
  <c r="L62" i="4"/>
  <c r="L131" i="6" s="1"/>
  <c r="P62" i="4"/>
  <c r="E73" i="4"/>
  <c r="L73" i="4"/>
  <c r="U73" i="4"/>
  <c r="C119" i="4"/>
  <c r="R104" i="4"/>
  <c r="S32" i="4"/>
  <c r="R73" i="4"/>
  <c r="Q33" i="4"/>
  <c r="BF36" i="5" s="1"/>
  <c r="Q32" i="4"/>
  <c r="U34" i="4"/>
  <c r="CL35" i="5" s="1"/>
  <c r="T35" i="4"/>
  <c r="U33" i="4"/>
  <c r="CL36" i="5" s="1"/>
  <c r="C15" i="4"/>
  <c r="C16" i="4" s="1"/>
  <c r="C64" i="6" s="1"/>
  <c r="I16" i="4"/>
  <c r="I64" i="6" s="1"/>
  <c r="F21" i="4"/>
  <c r="C23" i="4"/>
  <c r="K23" i="4"/>
  <c r="O23" i="4"/>
  <c r="U23" i="4"/>
  <c r="S34" i="4"/>
  <c r="BV35" i="5" s="1"/>
  <c r="B50" i="4"/>
  <c r="B51" i="4" s="1"/>
  <c r="B73" i="6" s="1"/>
  <c r="B62" i="4"/>
  <c r="J62" i="4"/>
  <c r="N62" i="4"/>
  <c r="N131" i="6" s="1"/>
  <c r="R62" i="4"/>
  <c r="V62" i="4"/>
  <c r="T131" i="6" s="1"/>
  <c r="P83" i="4"/>
  <c r="C104" i="4"/>
  <c r="O104" i="4"/>
  <c r="S104" i="4"/>
  <c r="D119" i="4"/>
  <c r="P119" i="4"/>
  <c r="P134" i="4"/>
  <c r="D50" i="4"/>
  <c r="D51" i="4" s="1"/>
  <c r="D73" i="6" s="1"/>
  <c r="D69" i="6" s="1"/>
  <c r="I72" i="4"/>
  <c r="M72" i="4"/>
  <c r="M73" i="4" s="1"/>
  <c r="D73" i="4"/>
  <c r="T73" i="4"/>
  <c r="B83" i="4"/>
  <c r="N83" i="4"/>
  <c r="R83" i="4"/>
  <c r="V83" i="4"/>
  <c r="D104" i="4"/>
  <c r="P104" i="4"/>
  <c r="T104" i="4"/>
  <c r="R134" i="4"/>
  <c r="F72" i="4"/>
  <c r="J72" i="4"/>
  <c r="J73" i="4" s="1"/>
  <c r="C83" i="4"/>
  <c r="O83" i="4"/>
  <c r="S83" i="4"/>
  <c r="C92" i="4"/>
  <c r="O92" i="4"/>
  <c r="R119" i="4"/>
  <c r="C121" i="4"/>
  <c r="O121" i="4"/>
  <c r="S121" i="4"/>
  <c r="D121" i="4"/>
  <c r="P121" i="4"/>
  <c r="T121" i="4"/>
  <c r="S39" i="3"/>
  <c r="E46" i="3"/>
  <c r="I46" i="3"/>
  <c r="M46" i="3"/>
  <c r="Q46" i="3"/>
  <c r="O39" i="3"/>
  <c r="K39" i="3"/>
  <c r="M39" i="3"/>
  <c r="P39" i="3"/>
  <c r="I39" i="3"/>
  <c r="G46" i="3"/>
  <c r="O46" i="3"/>
  <c r="S93" i="3"/>
  <c r="S92" i="3"/>
  <c r="T93" i="3"/>
  <c r="W104" i="9" l="1"/>
  <c r="CJ189" i="5"/>
  <c r="Q68" i="9"/>
  <c r="O81" i="9"/>
  <c r="W69" i="9"/>
  <c r="E68" i="9"/>
  <c r="W67" i="9"/>
  <c r="CL191" i="5"/>
  <c r="X67" i="9"/>
  <c r="Q76" i="9"/>
  <c r="Q82" i="9" s="1"/>
  <c r="O69" i="9"/>
  <c r="Q29" i="9"/>
  <c r="AO54" i="10"/>
  <c r="Q35" i="9"/>
  <c r="AO161" i="10"/>
  <c r="AL161" i="10"/>
  <c r="AS189" i="10"/>
  <c r="AT189" i="10" s="1"/>
  <c r="AS143" i="10"/>
  <c r="P297" i="9"/>
  <c r="P298" i="9" s="1"/>
  <c r="P70" i="9"/>
  <c r="R81" i="9"/>
  <c r="R80" i="9"/>
  <c r="R236" i="9" s="1"/>
  <c r="R237" i="9" s="1"/>
  <c r="R35" i="9"/>
  <c r="DX58" i="5"/>
  <c r="R47" i="9"/>
  <c r="N68" i="9"/>
  <c r="I80" i="9"/>
  <c r="I81" i="9"/>
  <c r="I76" i="9"/>
  <c r="I82" i="9" s="1"/>
  <c r="I32" i="9"/>
  <c r="I47" i="9"/>
  <c r="AD122" i="10"/>
  <c r="AF122" i="10"/>
  <c r="AG158" i="10"/>
  <c r="AF158" i="10"/>
  <c r="AD158" i="10"/>
  <c r="AE100" i="10"/>
  <c r="AD100" i="10"/>
  <c r="AF100" i="10"/>
  <c r="AD98" i="10"/>
  <c r="AF98" i="10"/>
  <c r="AD121" i="10"/>
  <c r="AF121" i="10"/>
  <c r="AA104" i="10"/>
  <c r="AD104" i="10"/>
  <c r="AF104" i="10"/>
  <c r="AF59" i="10"/>
  <c r="AD168" i="10"/>
  <c r="AF168" i="10"/>
  <c r="AD124" i="10"/>
  <c r="AF124" i="10"/>
  <c r="AC125" i="10"/>
  <c r="AD125" i="10"/>
  <c r="AF125" i="10"/>
  <c r="AE103" i="10"/>
  <c r="AF103" i="10"/>
  <c r="AD103" i="10"/>
  <c r="AG99" i="10"/>
  <c r="AF99" i="10"/>
  <c r="AD99" i="10"/>
  <c r="AF119" i="10"/>
  <c r="AD119" i="10"/>
  <c r="AF189" i="10"/>
  <c r="AE190" i="10" s="1"/>
  <c r="G67" i="9"/>
  <c r="R76" i="9"/>
  <c r="R82" i="9" s="1"/>
  <c r="I55" i="9"/>
  <c r="M80" i="9"/>
  <c r="E69" i="9"/>
  <c r="G297" i="9"/>
  <c r="G298" i="9" s="1"/>
  <c r="I297" i="9"/>
  <c r="I298" i="9" s="1"/>
  <c r="CB19" i="5"/>
  <c r="BT62" i="5"/>
  <c r="O70" i="9"/>
  <c r="CT193" i="5"/>
  <c r="M35" i="9"/>
  <c r="M29" i="9"/>
  <c r="R141" i="9"/>
  <c r="M47" i="9"/>
  <c r="R242" i="9"/>
  <c r="S242" i="9"/>
  <c r="M81" i="9"/>
  <c r="AG54" i="10"/>
  <c r="AC56" i="10"/>
  <c r="H67" i="9"/>
  <c r="AB42" i="10"/>
  <c r="AG42" i="10" s="1"/>
  <c r="P69" i="9"/>
  <c r="AG98" i="10"/>
  <c r="CH187" i="5"/>
  <c r="CH191" i="5" s="1"/>
  <c r="BZ17" i="5"/>
  <c r="M68" i="9"/>
  <c r="AT147" i="5"/>
  <c r="AV147" i="5" s="1"/>
  <c r="K124" i="12"/>
  <c r="O67" i="9"/>
  <c r="L70" i="9"/>
  <c r="DZ46" i="5"/>
  <c r="DX46" i="5" s="1"/>
  <c r="P67" i="9"/>
  <c r="R170" i="8"/>
  <c r="O141" i="9"/>
  <c r="N69" i="9"/>
  <c r="L69" i="9"/>
  <c r="X112" i="5"/>
  <c r="AJ63" i="11"/>
  <c r="N70" i="9"/>
  <c r="N297" i="9"/>
  <c r="O298" i="9" s="1"/>
  <c r="Q69" i="9"/>
  <c r="G5" i="13"/>
  <c r="F5" i="13"/>
  <c r="AI63" i="11"/>
  <c r="O35" i="9"/>
  <c r="O47" i="9"/>
  <c r="CT187" i="5"/>
  <c r="CR187" i="5" s="1"/>
  <c r="CR191" i="5" s="1"/>
  <c r="CJ123" i="5"/>
  <c r="CJ131" i="5" s="1"/>
  <c r="AU90" i="10"/>
  <c r="K123" i="12"/>
  <c r="O76" i="9"/>
  <c r="O82" i="9" s="1"/>
  <c r="O83" i="9" s="1"/>
  <c r="Q81" i="9"/>
  <c r="AR90" i="10"/>
  <c r="K126" i="12"/>
  <c r="J115" i="12"/>
  <c r="AB55" i="10"/>
  <c r="AG55" i="10" s="1"/>
  <c r="AA179" i="10"/>
  <c r="AA184" i="10"/>
  <c r="K68" i="9"/>
  <c r="AX200" i="10"/>
  <c r="AL20" i="5"/>
  <c r="AP200" i="10"/>
  <c r="AP202" i="10" s="1"/>
  <c r="DJ48" i="5"/>
  <c r="DH46" i="5"/>
  <c r="DH84" i="5"/>
  <c r="DJ317" i="5"/>
  <c r="DH317" i="5" s="1"/>
  <c r="DH109" i="5"/>
  <c r="DJ112" i="5"/>
  <c r="DH112" i="5" s="1"/>
  <c r="Z15" i="10"/>
  <c r="AH200" i="10"/>
  <c r="DH71" i="5"/>
  <c r="DJ74" i="5"/>
  <c r="DH74" i="5" s="1"/>
  <c r="Z16" i="10"/>
  <c r="Z17" i="10"/>
  <c r="K70" i="9"/>
  <c r="BT18" i="5"/>
  <c r="Z200" i="10"/>
  <c r="AP292" i="5"/>
  <c r="BT61" i="5"/>
  <c r="U106" i="6"/>
  <c r="U35" i="3"/>
  <c r="AA232" i="9"/>
  <c r="AI242" i="9"/>
  <c r="CW185" i="5"/>
  <c r="DE185" i="5"/>
  <c r="DE34" i="5"/>
  <c r="DE19" i="5"/>
  <c r="CW193" i="5"/>
  <c r="DE193" i="5"/>
  <c r="AH314" i="5"/>
  <c r="AH292" i="5"/>
  <c r="EF281" i="5"/>
  <c r="BD7" i="5"/>
  <c r="BD217" i="5" s="1"/>
  <c r="D124" i="12"/>
  <c r="U72" i="12"/>
  <c r="T154" i="10"/>
  <c r="V134" i="4"/>
  <c r="V55" i="9"/>
  <c r="T81" i="9"/>
  <c r="AC99" i="10"/>
  <c r="O21" i="6"/>
  <c r="E128" i="8"/>
  <c r="R15" i="8"/>
  <c r="R28" i="8" s="1"/>
  <c r="G193" i="10"/>
  <c r="G195" i="10" s="1"/>
  <c r="F121" i="4"/>
  <c r="V11" i="13"/>
  <c r="F32" i="6"/>
  <c r="AV148" i="5"/>
  <c r="N170" i="8"/>
  <c r="S93" i="4"/>
  <c r="P16" i="6"/>
  <c r="BN313" i="5" s="1"/>
  <c r="BL313" i="5" s="1"/>
  <c r="W17" i="10"/>
  <c r="W19" i="10"/>
  <c r="X197" i="10"/>
  <c r="U199" i="10" s="1"/>
  <c r="T197" i="10"/>
  <c r="Y197" i="10" s="1"/>
  <c r="CV160" i="5"/>
  <c r="DD160" i="5"/>
  <c r="CV129" i="5"/>
  <c r="DD129" i="5"/>
  <c r="CY185" i="5"/>
  <c r="DG185" i="5"/>
  <c r="CY193" i="5"/>
  <c r="DG193" i="5"/>
  <c r="AZ142" i="5"/>
  <c r="X189" i="10"/>
  <c r="W190" i="10" s="1"/>
  <c r="W192" i="10" s="1"/>
  <c r="X192" i="10" s="1"/>
  <c r="T189" i="10"/>
  <c r="T54" i="10"/>
  <c r="Y54" i="10" s="1"/>
  <c r="W57" i="10"/>
  <c r="W15" i="10"/>
  <c r="BM207" i="5"/>
  <c r="BJ207" i="5" s="1"/>
  <c r="CS189" i="5"/>
  <c r="N16" i="13" s="1"/>
  <c r="DA29" i="5" s="1"/>
  <c r="BT17" i="5"/>
  <c r="T134" i="4"/>
  <c r="BT60" i="5"/>
  <c r="J130" i="8"/>
  <c r="J131" i="8" s="1"/>
  <c r="S117" i="8"/>
  <c r="W16" i="10"/>
  <c r="L118" i="4"/>
  <c r="L71" i="6" s="1"/>
  <c r="L69" i="6" s="1"/>
  <c r="EF71" i="5"/>
  <c r="X66" i="5"/>
  <c r="CK185" i="5"/>
  <c r="N55" i="9"/>
  <c r="L234" i="9"/>
  <c r="L242" i="9" s="1"/>
  <c r="I67" i="9"/>
  <c r="H14" i="5"/>
  <c r="CY62" i="5"/>
  <c r="AP158" i="10"/>
  <c r="AK158" i="10" s="1"/>
  <c r="AW54" i="10"/>
  <c r="F225" i="12"/>
  <c r="AL199" i="5"/>
  <c r="AT199" i="5" s="1"/>
  <c r="J81" i="8"/>
  <c r="AM63" i="11"/>
  <c r="U134" i="4"/>
  <c r="J68" i="9"/>
  <c r="P55" i="9"/>
  <c r="AB158" i="10"/>
  <c r="AG104" i="10"/>
  <c r="O170" i="8"/>
  <c r="DJ199" i="5"/>
  <c r="Y187" i="10"/>
  <c r="J170" i="8"/>
  <c r="N134" i="4"/>
  <c r="O119" i="4"/>
  <c r="BV127" i="5"/>
  <c r="C72" i="7"/>
  <c r="C74" i="7" s="1"/>
  <c r="C130" i="8"/>
  <c r="AA156" i="10"/>
  <c r="AB156" i="10" s="1"/>
  <c r="Q17" i="13"/>
  <c r="AK63" i="11"/>
  <c r="CU156" i="5"/>
  <c r="DC159" i="5" s="1"/>
  <c r="Q58" i="3"/>
  <c r="Q170" i="8"/>
  <c r="M134" i="4"/>
  <c r="CD292" i="5"/>
  <c r="CT267" i="5"/>
  <c r="CR267" i="5" s="1"/>
  <c r="B72" i="7"/>
  <c r="B21" i="3" s="1"/>
  <c r="AT90" i="10"/>
  <c r="AW106" i="11"/>
  <c r="AW119" i="11" s="1"/>
  <c r="U6" i="12"/>
  <c r="U8" i="12" s="1"/>
  <c r="D72" i="7"/>
  <c r="D74" i="7" s="1"/>
  <c r="AL197" i="5"/>
  <c r="AT197" i="5" s="1"/>
  <c r="F170" i="8"/>
  <c r="H38" i="8"/>
  <c r="G69" i="9"/>
  <c r="Q21" i="9"/>
  <c r="AC158" i="10"/>
  <c r="AP103" i="10"/>
  <c r="AI103" i="10" s="1"/>
  <c r="BF90" i="10"/>
  <c r="AY90" i="10" s="1"/>
  <c r="AV90" i="10"/>
  <c r="H232" i="12"/>
  <c r="D125" i="12"/>
  <c r="O109" i="8"/>
  <c r="FF74" i="5"/>
  <c r="FC74" i="5" s="1"/>
  <c r="FD74" i="5" s="1"/>
  <c r="E93" i="4"/>
  <c r="CP189" i="5"/>
  <c r="T11" i="6"/>
  <c r="T12" i="6" s="1"/>
  <c r="I58" i="8"/>
  <c r="I3" i="7" s="1"/>
  <c r="K113" i="8"/>
  <c r="T109" i="8"/>
  <c r="N119" i="4"/>
  <c r="B93" i="4"/>
  <c r="Q51" i="4"/>
  <c r="P73" i="6" s="1"/>
  <c r="BF142" i="5"/>
  <c r="BF129" i="5"/>
  <c r="BN129" i="5" s="1"/>
  <c r="BZ18" i="5"/>
  <c r="O130" i="8"/>
  <c r="O131" i="8" s="1"/>
  <c r="AC98" i="10"/>
  <c r="AE98" i="10"/>
  <c r="D123" i="12"/>
  <c r="S66" i="12"/>
  <c r="K115" i="12"/>
  <c r="H116" i="8"/>
  <c r="H117" i="8" s="1"/>
  <c r="H124" i="12"/>
  <c r="H137" i="12" s="1"/>
  <c r="H126" i="12"/>
  <c r="H139" i="12" s="1"/>
  <c r="H138" i="12"/>
  <c r="H123" i="12"/>
  <c r="H136" i="12" s="1"/>
  <c r="AU100" i="5"/>
  <c r="BL254" i="5"/>
  <c r="AD17" i="5"/>
  <c r="CU185" i="5"/>
  <c r="DC185" i="5"/>
  <c r="AN272" i="5"/>
  <c r="N7" i="13"/>
  <c r="CU193" i="5"/>
  <c r="DC193" i="5"/>
  <c r="AC8" i="12"/>
  <c r="T142" i="5"/>
  <c r="AN292" i="5"/>
  <c r="Q128" i="8"/>
  <c r="BM200" i="5"/>
  <c r="BJ200" i="5" s="1"/>
  <c r="BC319" i="5"/>
  <c r="BK319" i="5" s="1"/>
  <c r="BU36" i="5"/>
  <c r="Z76" i="9"/>
  <c r="CV156" i="5" s="1"/>
  <c r="AW42" i="10"/>
  <c r="F58" i="3"/>
  <c r="BM56" i="10"/>
  <c r="P24" i="6"/>
  <c r="U225" i="12"/>
  <c r="M21" i="6"/>
  <c r="J134" i="4"/>
  <c r="J93" i="4"/>
  <c r="CV181" i="5"/>
  <c r="BX132" i="5"/>
  <c r="W19" i="12"/>
  <c r="S28" i="8"/>
  <c r="BV299" i="5"/>
  <c r="BT11" i="5"/>
  <c r="CB34" i="5" s="1"/>
  <c r="S170" i="8"/>
  <c r="Q55" i="10"/>
  <c r="AV138" i="5"/>
  <c r="H16" i="6"/>
  <c r="H13" i="6" s="1"/>
  <c r="H14" i="3" s="1"/>
  <c r="H121" i="4"/>
  <c r="G62" i="10"/>
  <c r="H63" i="10" s="1"/>
  <c r="G71" i="10"/>
  <c r="AD87" i="9"/>
  <c r="CR160" i="5"/>
  <c r="X272" i="5"/>
  <c r="X322" i="5" s="1"/>
  <c r="AF109" i="5"/>
  <c r="X55" i="9"/>
  <c r="S83" i="12"/>
  <c r="G80" i="8"/>
  <c r="G83" i="4"/>
  <c r="CD281" i="5"/>
  <c r="CD282" i="5" s="1"/>
  <c r="CB279" i="5"/>
  <c r="T72" i="3"/>
  <c r="T71" i="3"/>
  <c r="FF131" i="5"/>
  <c r="FF132" i="5" s="1"/>
  <c r="FF124" i="5"/>
  <c r="N58" i="3"/>
  <c r="N7" i="3" s="1"/>
  <c r="N10" i="3" s="1"/>
  <c r="AD76" i="9"/>
  <c r="AB76" i="9" s="1"/>
  <c r="BN88" i="5"/>
  <c r="BD88" i="5"/>
  <c r="BL88" i="5" s="1"/>
  <c r="R21" i="9"/>
  <c r="R55" i="9"/>
  <c r="AP99" i="10"/>
  <c r="AK99" i="10" s="1"/>
  <c r="BD277" i="5"/>
  <c r="BL277" i="5" s="1"/>
  <c r="BT271" i="5"/>
  <c r="BT272" i="5" s="1"/>
  <c r="CB287" i="5"/>
  <c r="CB292" i="5" s="1"/>
  <c r="B170" i="8"/>
  <c r="F81" i="8"/>
  <c r="Y83" i="9"/>
  <c r="M121" i="4"/>
  <c r="M118" i="4"/>
  <c r="M71" i="6" s="1"/>
  <c r="M69" i="6" s="1"/>
  <c r="X211" i="9"/>
  <c r="X221" i="9" s="1"/>
  <c r="X17" i="9" s="1"/>
  <c r="X68" i="9"/>
  <c r="CY156" i="5"/>
  <c r="DG159" i="5" s="1"/>
  <c r="BT292" i="5"/>
  <c r="AN266" i="5"/>
  <c r="AN267" i="5" s="1"/>
  <c r="AP267" i="5"/>
  <c r="S90" i="12"/>
  <c r="S93" i="12" s="1"/>
  <c r="S96" i="12" s="1"/>
  <c r="S97" i="12" s="1"/>
  <c r="S114" i="12"/>
  <c r="S112" i="12"/>
  <c r="S115" i="12" s="1"/>
  <c r="H118" i="4"/>
  <c r="H119" i="4" s="1"/>
  <c r="CR279" i="5"/>
  <c r="AC82" i="9"/>
  <c r="AC83" i="9" s="1"/>
  <c r="R71" i="6"/>
  <c r="R69" i="6" s="1"/>
  <c r="T119" i="4"/>
  <c r="N32" i="6"/>
  <c r="N36" i="3" s="1"/>
  <c r="Z299" i="5"/>
  <c r="X299" i="5" s="1"/>
  <c r="V93" i="4"/>
  <c r="CJ287" i="5"/>
  <c r="CJ292" i="5" s="1"/>
  <c r="BN272" i="5"/>
  <c r="AT125" i="5"/>
  <c r="AV125" i="5" s="1"/>
  <c r="V152" i="5"/>
  <c r="H13" i="5"/>
  <c r="H69" i="5" s="1"/>
  <c r="H77" i="5" s="1"/>
  <c r="H92" i="5" s="1"/>
  <c r="H115" i="5" s="1"/>
  <c r="H256" i="5" s="1"/>
  <c r="H268" i="5" s="1"/>
  <c r="I170" i="8"/>
  <c r="AB99" i="10"/>
  <c r="AA99" i="10"/>
  <c r="H71" i="10"/>
  <c r="J117" i="8"/>
  <c r="BD147" i="10"/>
  <c r="BA147" i="10" s="1"/>
  <c r="BE147" i="10" s="1"/>
  <c r="AY147" i="10"/>
  <c r="AZ147" i="10" s="1"/>
  <c r="C170" i="8"/>
  <c r="CL324" i="5"/>
  <c r="CL276" i="5"/>
  <c r="CJ276" i="5" s="1"/>
  <c r="BV310" i="5"/>
  <c r="BV313" i="5" s="1"/>
  <c r="BT313" i="5" s="1"/>
  <c r="S68" i="6"/>
  <c r="U93" i="4"/>
  <c r="Q118" i="4"/>
  <c r="Q119" i="4" s="1"/>
  <c r="E119" i="4"/>
  <c r="T93" i="4"/>
  <c r="BV292" i="5"/>
  <c r="CL292" i="5"/>
  <c r="CL132" i="5"/>
  <c r="BD89" i="5"/>
  <c r="BL89" i="5" s="1"/>
  <c r="F302" i="12"/>
  <c r="F235" i="12"/>
  <c r="O115" i="12"/>
  <c r="S72" i="12"/>
  <c r="T71" i="6"/>
  <c r="T69" i="6" s="1"/>
  <c r="V119" i="4"/>
  <c r="BX184" i="5"/>
  <c r="N70" i="7"/>
  <c r="G16" i="6"/>
  <c r="G13" i="6" s="1"/>
  <c r="G14" i="3" s="1"/>
  <c r="G121" i="4"/>
  <c r="CL185" i="5"/>
  <c r="CT185" i="5"/>
  <c r="K69" i="9"/>
  <c r="J69" i="9"/>
  <c r="AZ152" i="5"/>
  <c r="BZ165" i="5"/>
  <c r="CH19" i="5"/>
  <c r="E170" i="8"/>
  <c r="M170" i="8"/>
  <c r="O58" i="8"/>
  <c r="O3" i="8" s="1"/>
  <c r="Z232" i="9"/>
  <c r="C118" i="12"/>
  <c r="CW171" i="5"/>
  <c r="AE99" i="10"/>
  <c r="AG100" i="10"/>
  <c r="AO42" i="10"/>
  <c r="F185" i="10"/>
  <c r="AP100" i="10"/>
  <c r="AX100" i="10" s="1"/>
  <c r="AC100" i="10"/>
  <c r="AA100" i="10"/>
  <c r="AG83" i="11"/>
  <c r="AG150" i="11" s="1"/>
  <c r="H46" i="10"/>
  <c r="AH63" i="11"/>
  <c r="D157" i="10"/>
  <c r="D159" i="10" s="1"/>
  <c r="F157" i="10"/>
  <c r="F159" i="10" s="1"/>
  <c r="AN156" i="10"/>
  <c r="AK156" i="10" s="1"/>
  <c r="AL156" i="10" s="1"/>
  <c r="H157" i="10"/>
  <c r="H159" i="10" s="1"/>
  <c r="W236" i="9"/>
  <c r="W237" i="9" s="1"/>
  <c r="W213" i="9"/>
  <c r="O236" i="9"/>
  <c r="O232" i="9" s="1"/>
  <c r="O213" i="9"/>
  <c r="Q236" i="9"/>
  <c r="Q237" i="9" s="1"/>
  <c r="Q213" i="9"/>
  <c r="S236" i="9"/>
  <c r="S232" i="9" s="1"/>
  <c r="S213" i="9"/>
  <c r="S221" i="9"/>
  <c r="S17" i="9" s="1"/>
  <c r="Z234" i="9"/>
  <c r="Z315" i="5"/>
  <c r="S80" i="6"/>
  <c r="S83" i="6" s="1"/>
  <c r="L252" i="12"/>
  <c r="L253" i="12" s="1"/>
  <c r="BV326" i="5"/>
  <c r="BT326" i="5" s="1"/>
  <c r="BB128" i="5"/>
  <c r="BR129" i="5" s="1"/>
  <c r="BT127" i="5"/>
  <c r="CH29" i="5"/>
  <c r="CJ29" i="5" s="1"/>
  <c r="BZ11" i="5"/>
  <c r="CH35" i="5" s="1"/>
  <c r="CJ35" i="5" s="1"/>
  <c r="CS192" i="5"/>
  <c r="BB127" i="5"/>
  <c r="BJ127" i="5" s="1"/>
  <c r="P314" i="5"/>
  <c r="O50" i="5"/>
  <c r="O76" i="5" s="1"/>
  <c r="O91" i="5" s="1"/>
  <c r="O114" i="5" s="1"/>
  <c r="CR60" i="5"/>
  <c r="BN260" i="5"/>
  <c r="AB142" i="5"/>
  <c r="BC129" i="5"/>
  <c r="BK129" i="5" s="1"/>
  <c r="E58" i="3"/>
  <c r="BV128" i="5"/>
  <c r="BV129" i="5" s="1"/>
  <c r="BE56" i="10"/>
  <c r="CU11" i="5"/>
  <c r="P115" i="12"/>
  <c r="E203" i="10"/>
  <c r="E205" i="10" s="1"/>
  <c r="N189" i="10"/>
  <c r="N190" i="10" s="1"/>
  <c r="D193" i="10"/>
  <c r="D195" i="10" s="1"/>
  <c r="AE119" i="10"/>
  <c r="O58" i="10"/>
  <c r="P58" i="10" s="1"/>
  <c r="BB55" i="10"/>
  <c r="AD72" i="12"/>
  <c r="K58" i="8"/>
  <c r="K3" i="6" s="1"/>
  <c r="AK152" i="5"/>
  <c r="AE153" i="10"/>
  <c r="S216" i="12"/>
  <c r="AH126" i="11"/>
  <c r="CR189" i="5"/>
  <c r="CJ277" i="5"/>
  <c r="CJ324" i="5" s="1"/>
  <c r="X314" i="5"/>
  <c r="Q56" i="8"/>
  <c r="J58" i="8"/>
  <c r="J3" i="8" s="1"/>
  <c r="J70" i="9"/>
  <c r="B33" i="10"/>
  <c r="N177" i="9" s="1"/>
  <c r="N12" i="13"/>
  <c r="AJ142" i="5"/>
  <c r="BB205" i="5"/>
  <c r="B157" i="10"/>
  <c r="B159" i="10" s="1"/>
  <c r="J291" i="12"/>
  <c r="P144" i="10"/>
  <c r="CU173" i="5"/>
  <c r="CU176" i="5" s="1"/>
  <c r="AP5" i="11"/>
  <c r="J87" i="6"/>
  <c r="J89" i="6" s="1"/>
  <c r="CC153" i="11"/>
  <c r="E125" i="12"/>
  <c r="M113" i="8"/>
  <c r="I17" i="13"/>
  <c r="M16" i="6"/>
  <c r="J58" i="3"/>
  <c r="BM92" i="11"/>
  <c r="I247" i="12"/>
  <c r="M88" i="8"/>
  <c r="Y156" i="10"/>
  <c r="BN125" i="5"/>
  <c r="AA189" i="10"/>
  <c r="AB189" i="10" s="1"/>
  <c r="AA190" i="10" s="1"/>
  <c r="AA192" i="10" s="1"/>
  <c r="I15" i="13"/>
  <c r="AJ126" i="11"/>
  <c r="K234" i="12"/>
  <c r="K235" i="12" s="1"/>
  <c r="M117" i="8"/>
  <c r="P170" i="8"/>
  <c r="AF142" i="5"/>
  <c r="I250" i="12"/>
  <c r="P190" i="10"/>
  <c r="AJ152" i="5"/>
  <c r="DH58" i="5"/>
  <c r="BM55" i="10"/>
  <c r="L170" i="8"/>
  <c r="AL54" i="10"/>
  <c r="DB281" i="5"/>
  <c r="CZ281" i="5" s="1"/>
  <c r="DB327" i="5"/>
  <c r="CZ327" i="5" s="1"/>
  <c r="CY330" i="5"/>
  <c r="CF185" i="5"/>
  <c r="BP159" i="5"/>
  <c r="CR161" i="5"/>
  <c r="L113" i="8"/>
  <c r="T113" i="8"/>
  <c r="L11" i="6"/>
  <c r="L12" i="6" s="1"/>
  <c r="U21" i="9"/>
  <c r="L234" i="12"/>
  <c r="L235" i="12" s="1"/>
  <c r="F250" i="12"/>
  <c r="H30" i="3"/>
  <c r="DB198" i="5"/>
  <c r="R73" i="10"/>
  <c r="E87" i="6"/>
  <c r="E89" i="6" s="1"/>
  <c r="E83" i="6"/>
  <c r="CP19" i="5"/>
  <c r="CZ46" i="5"/>
  <c r="DB48" i="5"/>
  <c r="CZ48" i="5" s="1"/>
  <c r="L21" i="6"/>
  <c r="S69" i="6"/>
  <c r="CZ71" i="5"/>
  <c r="DB74" i="5"/>
  <c r="CZ74" i="5" s="1"/>
  <c r="U83" i="6"/>
  <c r="U87" i="6"/>
  <c r="U89" i="6" s="1"/>
  <c r="U55" i="6"/>
  <c r="U56" i="6" s="1"/>
  <c r="F130" i="8"/>
  <c r="F131" i="8" s="1"/>
  <c r="BC197" i="10"/>
  <c r="BD197" i="10" s="1"/>
  <c r="BA197" i="10" s="1"/>
  <c r="BA199" i="10" s="1"/>
  <c r="V142" i="10"/>
  <c r="AG125" i="10"/>
  <c r="I46" i="10"/>
  <c r="CT179" i="5"/>
  <c r="AD6" i="12"/>
  <c r="AD8" i="12" s="1"/>
  <c r="E5" i="13"/>
  <c r="L109" i="8"/>
  <c r="AB100" i="10"/>
  <c r="AB98" i="10"/>
  <c r="T117" i="8"/>
  <c r="CV5" i="5"/>
  <c r="I30" i="3"/>
  <c r="R58" i="3"/>
  <c r="N49" i="3"/>
  <c r="N51" i="3" s="1"/>
  <c r="B58" i="3"/>
  <c r="J16" i="6"/>
  <c r="J13" i="6" s="1"/>
  <c r="J14" i="3" s="1"/>
  <c r="X142" i="5"/>
  <c r="CL165" i="5"/>
  <c r="CH165" i="5" s="1"/>
  <c r="CQ67" i="5"/>
  <c r="J113" i="8"/>
  <c r="T88" i="8"/>
  <c r="K54" i="10"/>
  <c r="L54" i="10" s="1"/>
  <c r="S123" i="8"/>
  <c r="H292" i="5"/>
  <c r="F93" i="4"/>
  <c r="F118" i="4"/>
  <c r="F71" i="6" s="1"/>
  <c r="F69" i="6" s="1"/>
  <c r="P253" i="5"/>
  <c r="J121" i="4"/>
  <c r="U44" i="6"/>
  <c r="U48" i="6" s="1"/>
  <c r="U52" i="6"/>
  <c r="O239" i="5"/>
  <c r="BX159" i="5"/>
  <c r="BP170" i="5"/>
  <c r="BX171" i="5" s="1"/>
  <c r="BT128" i="5"/>
  <c r="BM14" i="5"/>
  <c r="W24" i="5"/>
  <c r="BU34" i="5"/>
  <c r="O13" i="5"/>
  <c r="O69" i="5" s="1"/>
  <c r="O77" i="5" s="1"/>
  <c r="O92" i="5" s="1"/>
  <c r="O115" i="5" s="1"/>
  <c r="P249" i="5"/>
  <c r="AN125" i="5"/>
  <c r="AN127" i="5" s="1"/>
  <c r="AN128" i="5" s="1"/>
  <c r="BE22" i="5"/>
  <c r="U68" i="7"/>
  <c r="DB299" i="5" s="1"/>
  <c r="CZ299" i="5" s="1"/>
  <c r="BE55" i="10"/>
  <c r="R19" i="10"/>
  <c r="AN63" i="11"/>
  <c r="AL63" i="11"/>
  <c r="DA157" i="5"/>
  <c r="AE87" i="9"/>
  <c r="AE5" i="9"/>
  <c r="H69" i="9"/>
  <c r="S219" i="9"/>
  <c r="M69" i="9"/>
  <c r="EE124" i="5"/>
  <c r="H234" i="9"/>
  <c r="H242" i="9" s="1"/>
  <c r="X69" i="9"/>
  <c r="Z8" i="9"/>
  <c r="AE8" i="9" s="1"/>
  <c r="CZ123" i="5"/>
  <c r="CZ131" i="5" s="1"/>
  <c r="AB262" i="9"/>
  <c r="CX163" i="5" s="1"/>
  <c r="S68" i="9"/>
  <c r="G68" i="9"/>
  <c r="F68" i="9"/>
  <c r="R123" i="8"/>
  <c r="W33" i="4"/>
  <c r="AK14" i="5"/>
  <c r="AD20" i="5"/>
  <c r="J46" i="10"/>
  <c r="X22" i="5"/>
  <c r="AJ153" i="5"/>
  <c r="Q113" i="8"/>
  <c r="CI325" i="5"/>
  <c r="CI332" i="5" s="1"/>
  <c r="CI334" i="5" s="1"/>
  <c r="CJ333" i="5" s="1"/>
  <c r="T151" i="5"/>
  <c r="AA19" i="12"/>
  <c r="CJ272" i="5"/>
  <c r="CJ322" i="5" s="1"/>
  <c r="CS160" i="5"/>
  <c r="BG129" i="5"/>
  <c r="AT138" i="5"/>
  <c r="AC13" i="12"/>
  <c r="BF127" i="5"/>
  <c r="BN127" i="5" s="1"/>
  <c r="CT167" i="5"/>
  <c r="J234" i="9"/>
  <c r="K242" i="9" s="1"/>
  <c r="L68" i="9"/>
  <c r="F69" i="9"/>
  <c r="DZ74" i="5"/>
  <c r="CT161" i="5"/>
  <c r="EX124" i="5"/>
  <c r="V33" i="4"/>
  <c r="CT36" i="5" s="1"/>
  <c r="Q109" i="8"/>
  <c r="O88" i="8"/>
  <c r="G170" i="8"/>
  <c r="I58" i="3"/>
  <c r="M58" i="3"/>
  <c r="CP29" i="5"/>
  <c r="CM14" i="5"/>
  <c r="N145" i="9"/>
  <c r="F81" i="9"/>
  <c r="Q156" i="10"/>
  <c r="AW55" i="10"/>
  <c r="AH93" i="11"/>
  <c r="AH74" i="11"/>
  <c r="Q88" i="8"/>
  <c r="O113" i="8"/>
  <c r="L190" i="10"/>
  <c r="K170" i="8"/>
  <c r="BR161" i="5"/>
  <c r="CO14" i="5"/>
  <c r="C20" i="10"/>
  <c r="C33" i="10" s="1"/>
  <c r="O177" i="9" s="1"/>
  <c r="BT161" i="5"/>
  <c r="EG12" i="5"/>
  <c r="AW56" i="10"/>
  <c r="BU54" i="10"/>
  <c r="BQ129" i="5"/>
  <c r="BZ28" i="5"/>
  <c r="CB28" i="5" s="1"/>
  <c r="CP28" i="5"/>
  <c r="O276" i="12"/>
  <c r="M291" i="12"/>
  <c r="O253" i="12"/>
  <c r="AV144" i="10"/>
  <c r="Y166" i="10"/>
  <c r="BU56" i="10"/>
  <c r="K252" i="12"/>
  <c r="K253" i="12" s="1"/>
  <c r="BF225" i="5"/>
  <c r="L144" i="10"/>
  <c r="O225" i="12"/>
  <c r="N11" i="13"/>
  <c r="R32" i="6"/>
  <c r="CR62" i="5"/>
  <c r="L291" i="12"/>
  <c r="V156" i="10"/>
  <c r="AP282" i="5"/>
  <c r="AI144" i="10"/>
  <c r="E139" i="12"/>
  <c r="I87" i="6"/>
  <c r="I89" i="6" s="1"/>
  <c r="I7" i="7" s="1"/>
  <c r="I9" i="7" s="1"/>
  <c r="I28" i="7" s="1"/>
  <c r="I83" i="6"/>
  <c r="G118" i="4"/>
  <c r="G119" i="4" s="1"/>
  <c r="F104" i="4"/>
  <c r="U119" i="4"/>
  <c r="S119" i="4"/>
  <c r="CB277" i="5"/>
  <c r="AH267" i="5"/>
  <c r="CS191" i="5"/>
  <c r="CD272" i="5"/>
  <c r="CD322" i="5" s="1"/>
  <c r="CB322" i="5" s="1"/>
  <c r="BD227" i="5"/>
  <c r="AX67" i="5"/>
  <c r="BD60" i="5"/>
  <c r="BF34" i="5"/>
  <c r="CK29" i="5"/>
  <c r="CA24" i="5"/>
  <c r="CA37" i="5" s="1"/>
  <c r="BS13" i="5"/>
  <c r="BS69" i="5" s="1"/>
  <c r="BS77" i="5" s="1"/>
  <c r="BS92" i="5" s="1"/>
  <c r="BS115" i="5" s="1"/>
  <c r="BS256" i="5" s="1"/>
  <c r="R87" i="6"/>
  <c r="R89" i="6" s="1"/>
  <c r="R91" i="6" s="1"/>
  <c r="Y166" i="8"/>
  <c r="K81" i="8"/>
  <c r="T56" i="8"/>
  <c r="E123" i="8"/>
  <c r="H68" i="9"/>
  <c r="M67" i="9"/>
  <c r="T80" i="9"/>
  <c r="AX156" i="10"/>
  <c r="AE125" i="10"/>
  <c r="AB125" i="10"/>
  <c r="AA103" i="10"/>
  <c r="AC103" i="10"/>
  <c r="AM95" i="10"/>
  <c r="R46" i="10"/>
  <c r="AG63" i="11"/>
  <c r="AJ93" i="11"/>
  <c r="BM108" i="11"/>
  <c r="BM118" i="11" s="1"/>
  <c r="V225" i="12"/>
  <c r="E123" i="12"/>
  <c r="Q117" i="8"/>
  <c r="BM42" i="10"/>
  <c r="F63" i="10"/>
  <c r="BP36" i="5"/>
  <c r="F238" i="12"/>
  <c r="Q13" i="6"/>
  <c r="Q14" i="6" s="1"/>
  <c r="BF64" i="5"/>
  <c r="C126" i="12"/>
  <c r="D139" i="12" s="1"/>
  <c r="C124" i="12"/>
  <c r="C137" i="12" s="1"/>
  <c r="C125" i="12"/>
  <c r="C138" i="12" s="1"/>
  <c r="C123" i="12"/>
  <c r="C136" i="12" s="1"/>
  <c r="E85" i="10"/>
  <c r="D18" i="10"/>
  <c r="D20" i="10" s="1"/>
  <c r="DZ131" i="5"/>
  <c r="DZ132" i="5" s="1"/>
  <c r="DZ124" i="5"/>
  <c r="CH28" i="5"/>
  <c r="CJ28" i="5" s="1"/>
  <c r="EP131" i="5"/>
  <c r="EP124" i="5"/>
  <c r="L134" i="4"/>
  <c r="F62" i="4"/>
  <c r="N93" i="4"/>
  <c r="F16" i="4"/>
  <c r="F64" i="6" s="1"/>
  <c r="F106" i="8" s="1"/>
  <c r="AN279" i="5"/>
  <c r="AN281" i="5" s="1"/>
  <c r="CD276" i="5"/>
  <c r="CB276" i="5" s="1"/>
  <c r="AH239" i="5"/>
  <c r="DA184" i="5"/>
  <c r="CS159" i="5"/>
  <c r="CK165" i="5"/>
  <c r="AL141" i="5"/>
  <c r="BA35" i="5"/>
  <c r="CN34" i="5"/>
  <c r="CN37" i="5" s="1"/>
  <c r="BF11" i="5"/>
  <c r="BA14" i="5" s="1"/>
  <c r="BS50" i="5"/>
  <c r="BS76" i="5" s="1"/>
  <c r="BS91" i="5" s="1"/>
  <c r="N21" i="6"/>
  <c r="X166" i="8"/>
  <c r="P56" i="8"/>
  <c r="T121" i="8"/>
  <c r="T123" i="8" s="1"/>
  <c r="H211" i="9"/>
  <c r="L80" i="9"/>
  <c r="G70" i="9"/>
  <c r="F70" i="9"/>
  <c r="BL166" i="10"/>
  <c r="BI166" i="10" s="1"/>
  <c r="BJ166" i="10" s="1"/>
  <c r="AP104" i="10"/>
  <c r="AL104" i="10" s="1"/>
  <c r="AP125" i="10"/>
  <c r="AJ125" i="10" s="1"/>
  <c r="AK95" i="10"/>
  <c r="AG103" i="10"/>
  <c r="AO55" i="10"/>
  <c r="J71" i="10"/>
  <c r="E63" i="10"/>
  <c r="AD219" i="12"/>
  <c r="AD218" i="12" s="1"/>
  <c r="AD224" i="12" s="1"/>
  <c r="G276" i="12"/>
  <c r="C119" i="12"/>
  <c r="E124" i="12"/>
  <c r="N88" i="8"/>
  <c r="AC11" i="12"/>
  <c r="BL314" i="5"/>
  <c r="Q189" i="10"/>
  <c r="AE158" i="10"/>
  <c r="AA158" i="10"/>
  <c r="CH179" i="5"/>
  <c r="CH183" i="5" s="1"/>
  <c r="CL183" i="5"/>
  <c r="CJ179" i="5"/>
  <c r="CJ183" i="5" s="1"/>
  <c r="V10" i="6"/>
  <c r="EU131" i="5"/>
  <c r="FC132" i="5" s="1"/>
  <c r="EU124" i="5"/>
  <c r="AP98" i="10"/>
  <c r="AA98" i="10"/>
  <c r="L121" i="4"/>
  <c r="P282" i="5"/>
  <c r="BB196" i="5"/>
  <c r="BJ196" i="5" s="1"/>
  <c r="BZ160" i="5"/>
  <c r="AF151" i="5"/>
  <c r="CR314" i="5"/>
  <c r="AS14" i="5"/>
  <c r="AR14" i="5"/>
  <c r="BB7" i="5"/>
  <c r="BB217" i="5" s="1"/>
  <c r="AW14" i="5"/>
  <c r="D80" i="6"/>
  <c r="D83" i="6" s="1"/>
  <c r="T76" i="9"/>
  <c r="T82" i="9" s="1"/>
  <c r="AX201" i="10"/>
  <c r="AJ144" i="10"/>
  <c r="AC104" i="10"/>
  <c r="AB103" i="10"/>
  <c r="AA125" i="10"/>
  <c r="G285" i="12"/>
  <c r="DI12" i="5"/>
  <c r="BE181" i="11"/>
  <c r="L18" i="13"/>
  <c r="I18" i="13" s="1"/>
  <c r="DA181" i="5"/>
  <c r="DA185" i="5" s="1"/>
  <c r="AC12" i="12"/>
  <c r="CH160" i="5"/>
  <c r="L250" i="12"/>
  <c r="AW90" i="10"/>
  <c r="AS90" i="10"/>
  <c r="I80" i="10"/>
  <c r="EH131" i="5"/>
  <c r="EH124" i="5"/>
  <c r="DB131" i="5"/>
  <c r="R330" i="5"/>
  <c r="C69" i="6"/>
  <c r="Q56" i="10"/>
  <c r="P126" i="8"/>
  <c r="P128" i="8" s="1"/>
  <c r="BL189" i="5"/>
  <c r="BT193" i="5" s="1"/>
  <c r="BR193" i="5"/>
  <c r="BD340" i="5"/>
  <c r="BD343" i="5" s="1"/>
  <c r="BF343" i="5"/>
  <c r="AP310" i="5"/>
  <c r="AP313" i="5" s="1"/>
  <c r="AP321" i="5" s="1"/>
  <c r="O13" i="6"/>
  <c r="D68" i="6"/>
  <c r="D93" i="4"/>
  <c r="G250" i="12"/>
  <c r="G252" i="12"/>
  <c r="G253" i="12" s="1"/>
  <c r="H250" i="12"/>
  <c r="H252" i="12"/>
  <c r="H253" i="12" s="1"/>
  <c r="T15" i="3"/>
  <c r="T30" i="3" s="1"/>
  <c r="T24" i="6"/>
  <c r="T21" i="6"/>
  <c r="T13" i="6"/>
  <c r="CJ313" i="5"/>
  <c r="S13" i="6"/>
  <c r="G73" i="4"/>
  <c r="G8" i="6"/>
  <c r="G113" i="8" s="1"/>
  <c r="G16" i="4"/>
  <c r="G64" i="6" s="1"/>
  <c r="G23" i="4"/>
  <c r="G62" i="4"/>
  <c r="H282" i="5"/>
  <c r="CR167" i="5"/>
  <c r="CR168" i="5" s="1"/>
  <c r="CK27" i="5"/>
  <c r="CH27" i="5"/>
  <c r="CJ27" i="5" s="1"/>
  <c r="BC34" i="5"/>
  <c r="AU67" i="5"/>
  <c r="X26" i="7"/>
  <c r="DZ112" i="5"/>
  <c r="DX112" i="5" s="1"/>
  <c r="C80" i="6"/>
  <c r="C83" i="6" s="1"/>
  <c r="D130" i="8"/>
  <c r="H247" i="12"/>
  <c r="X266" i="5"/>
  <c r="X267" i="5" s="1"/>
  <c r="Z267" i="5"/>
  <c r="P121" i="8"/>
  <c r="P123" i="8" s="1"/>
  <c r="H80" i="6"/>
  <c r="H55" i="6" s="1"/>
  <c r="H56" i="6" s="1"/>
  <c r="X143" i="8"/>
  <c r="Y143" i="8" s="1"/>
  <c r="Z143" i="8" s="1"/>
  <c r="AA143" i="8" s="1"/>
  <c r="AB143" i="8" s="1"/>
  <c r="U55" i="3"/>
  <c r="U9" i="3"/>
  <c r="J15" i="3"/>
  <c r="J32" i="6"/>
  <c r="R13" i="3"/>
  <c r="R71" i="3" s="1"/>
  <c r="R11" i="6"/>
  <c r="R12" i="6" s="1"/>
  <c r="R109" i="8"/>
  <c r="R88" i="8"/>
  <c r="R21" i="6"/>
  <c r="R117" i="8"/>
  <c r="F46" i="10"/>
  <c r="F71" i="10"/>
  <c r="AX198" i="5"/>
  <c r="AN198" i="5"/>
  <c r="G216" i="12"/>
  <c r="G302" i="12"/>
  <c r="G277" i="12"/>
  <c r="G238" i="12"/>
  <c r="G278" i="12"/>
  <c r="G247" i="12"/>
  <c r="G214" i="12"/>
  <c r="W14" i="5"/>
  <c r="K119" i="4"/>
  <c r="K71" i="6"/>
  <c r="C93" i="4"/>
  <c r="C68" i="6"/>
  <c r="H93" i="4"/>
  <c r="H68" i="6"/>
  <c r="CN193" i="5"/>
  <c r="CH189" i="5"/>
  <c r="CP158" i="5"/>
  <c r="CP167" i="5" s="1"/>
  <c r="X65" i="5"/>
  <c r="BY14" i="5"/>
  <c r="CQ37" i="5"/>
  <c r="P23" i="5"/>
  <c r="X23" i="5"/>
  <c r="P66" i="5"/>
  <c r="BR27" i="5"/>
  <c r="BT27" i="5" s="1"/>
  <c r="BT34" i="5" s="1"/>
  <c r="AZ20" i="5"/>
  <c r="BE6" i="5"/>
  <c r="BE20" i="5" s="1"/>
  <c r="BN13" i="5"/>
  <c r="BH14" i="5"/>
  <c r="BI14" i="5"/>
  <c r="BJ14" i="5"/>
  <c r="N87" i="6"/>
  <c r="N89" i="6" s="1"/>
  <c r="N7" i="7" s="1"/>
  <c r="J24" i="6"/>
  <c r="H180" i="10"/>
  <c r="H182" i="10" s="1"/>
  <c r="H183" i="10" s="1"/>
  <c r="H185" i="10" s="1"/>
  <c r="AK173" i="11"/>
  <c r="AL173" i="11" s="1"/>
  <c r="G232" i="12"/>
  <c r="T113" i="12"/>
  <c r="T114" i="12"/>
  <c r="R113" i="8"/>
  <c r="CW19" i="5"/>
  <c r="R128" i="8"/>
  <c r="M147" i="10"/>
  <c r="Q147" i="10" s="1"/>
  <c r="M13" i="8"/>
  <c r="N13" i="8" s="1"/>
  <c r="L15" i="8"/>
  <c r="L28" i="8" s="1"/>
  <c r="L58" i="8" s="1"/>
  <c r="R72" i="3"/>
  <c r="J72" i="3"/>
  <c r="CD107" i="5"/>
  <c r="CB107" i="5" s="1"/>
  <c r="R60" i="6"/>
  <c r="DZ163" i="5"/>
  <c r="DZ125" i="5"/>
  <c r="DT163" i="5"/>
  <c r="BC261" i="9"/>
  <c r="DY163" i="5" s="1"/>
  <c r="BA261" i="9"/>
  <c r="BB261" i="9"/>
  <c r="DX163" i="5" s="1"/>
  <c r="H58" i="3"/>
  <c r="K58" i="3"/>
  <c r="BT277" i="5"/>
  <c r="BV276" i="5"/>
  <c r="BT276" i="5" s="1"/>
  <c r="BV324" i="5"/>
  <c r="BT324" i="5" s="1"/>
  <c r="CK125" i="5"/>
  <c r="CJ125" i="5"/>
  <c r="CL128" i="5"/>
  <c r="CT129" i="5" s="1"/>
  <c r="CL127" i="5"/>
  <c r="G225" i="12"/>
  <c r="O193" i="10"/>
  <c r="O195" i="10" s="1"/>
  <c r="AC119" i="10"/>
  <c r="AB119" i="10"/>
  <c r="AG119" i="10"/>
  <c r="AA119" i="10"/>
  <c r="AP119" i="10"/>
  <c r="AK119" i="10" s="1"/>
  <c r="BE129" i="5"/>
  <c r="BM129" i="5" s="1"/>
  <c r="BM128" i="5"/>
  <c r="CC129" i="5" s="1"/>
  <c r="F277" i="12"/>
  <c r="F214" i="12"/>
  <c r="F278" i="12" s="1"/>
  <c r="F232" i="12"/>
  <c r="F273" i="12"/>
  <c r="F216" i="12"/>
  <c r="F247" i="12"/>
  <c r="F253" i="12"/>
  <c r="CX10" i="5"/>
  <c r="Y35" i="6"/>
  <c r="DZ103" i="5"/>
  <c r="J71" i="6"/>
  <c r="J69" i="6" s="1"/>
  <c r="J70" i="6" s="1"/>
  <c r="J119" i="4"/>
  <c r="K16" i="6"/>
  <c r="K121" i="4"/>
  <c r="I83" i="8"/>
  <c r="I81" i="8"/>
  <c r="H80" i="8"/>
  <c r="H83" i="4"/>
  <c r="N5" i="13"/>
  <c r="DA187" i="5"/>
  <c r="N14" i="13"/>
  <c r="CY11" i="5"/>
  <c r="CY18" i="5"/>
  <c r="K83" i="4"/>
  <c r="C106" i="8"/>
  <c r="C66" i="6"/>
  <c r="C74" i="6" s="1"/>
  <c r="K134" i="4"/>
  <c r="K73" i="6"/>
  <c r="AC7" i="12"/>
  <c r="AC6" i="12"/>
  <c r="P22" i="5"/>
  <c r="P65" i="5"/>
  <c r="O93" i="4"/>
  <c r="O68" i="6"/>
  <c r="F73" i="4"/>
  <c r="F83" i="4"/>
  <c r="I93" i="4"/>
  <c r="I68" i="6"/>
  <c r="G104" i="4"/>
  <c r="B80" i="6"/>
  <c r="B69" i="6"/>
  <c r="S134" i="4"/>
  <c r="Q73" i="6"/>
  <c r="H23" i="4"/>
  <c r="J106" i="8"/>
  <c r="J66" i="6"/>
  <c r="J81" i="6" s="1"/>
  <c r="K106" i="8"/>
  <c r="K66" i="6"/>
  <c r="EM71" i="5"/>
  <c r="EN71" i="5" s="1"/>
  <c r="BW14" i="5"/>
  <c r="CY61" i="5"/>
  <c r="BS14" i="5"/>
  <c r="BQ14" i="5"/>
  <c r="BC24" i="5"/>
  <c r="BC37" i="5" s="1"/>
  <c r="J35" i="9"/>
  <c r="J80" i="9"/>
  <c r="CH156" i="5"/>
  <c r="CL159" i="5"/>
  <c r="CL170" i="5"/>
  <c r="CL171" i="5" s="1"/>
  <c r="G46" i="10"/>
  <c r="AI177" i="11"/>
  <c r="AK126" i="11"/>
  <c r="AI73" i="11"/>
  <c r="AI107" i="11"/>
  <c r="AI124" i="11"/>
  <c r="AI126" i="11" s="1"/>
  <c r="K279" i="12"/>
  <c r="H302" i="12"/>
  <c r="G273" i="12"/>
  <c r="X16" i="12"/>
  <c r="CV4" i="5"/>
  <c r="CU18" i="5"/>
  <c r="P192" i="10"/>
  <c r="BF145" i="10"/>
  <c r="M86" i="8"/>
  <c r="M80" i="8" s="1"/>
  <c r="M81" i="8" s="1"/>
  <c r="M83" i="4"/>
  <c r="Y88" i="3"/>
  <c r="EH58" i="5"/>
  <c r="AB47" i="4"/>
  <c r="J252" i="12"/>
  <c r="J253" i="12" s="1"/>
  <c r="J250" i="12"/>
  <c r="M80" i="6"/>
  <c r="M55" i="6" s="1"/>
  <c r="M56" i="6" s="1"/>
  <c r="U8" i="3"/>
  <c r="U125" i="6" s="1"/>
  <c r="X69" i="7"/>
  <c r="AK17" i="12"/>
  <c r="DI28" i="5" s="1"/>
  <c r="Z72" i="6"/>
  <c r="EH48" i="5"/>
  <c r="EE48" i="5" s="1"/>
  <c r="EF48" i="5" s="1"/>
  <c r="Y19" i="6"/>
  <c r="CS125" i="5"/>
  <c r="CR125" i="5"/>
  <c r="CU19" i="5"/>
  <c r="CW18" i="5"/>
  <c r="BQ142" i="10"/>
  <c r="BU142" i="10" s="1"/>
  <c r="N10" i="13"/>
  <c r="DA188" i="5"/>
  <c r="DA192" i="5" s="1"/>
  <c r="V6" i="13"/>
  <c r="BC189" i="10"/>
  <c r="AV190" i="10" s="1"/>
  <c r="AY187" i="10"/>
  <c r="BV267" i="5"/>
  <c r="BT267" i="5" s="1"/>
  <c r="BT266" i="5"/>
  <c r="BF281" i="5"/>
  <c r="BN279" i="5"/>
  <c r="BD279" i="5"/>
  <c r="BL279" i="5" s="1"/>
  <c r="CT299" i="5"/>
  <c r="CR299" i="5" s="1"/>
  <c r="T58" i="3"/>
  <c r="D58" i="3"/>
  <c r="G58" i="3"/>
  <c r="G235" i="12"/>
  <c r="D106" i="8"/>
  <c r="D66" i="6"/>
  <c r="D70" i="6" s="1"/>
  <c r="N13" i="3"/>
  <c r="N71" i="3" s="1"/>
  <c r="N11" i="6"/>
  <c r="N12" i="6" s="1"/>
  <c r="F23" i="4"/>
  <c r="F8" i="6"/>
  <c r="R54" i="8"/>
  <c r="R56" i="8" s="1"/>
  <c r="R54" i="3"/>
  <c r="R39" i="3" s="1"/>
  <c r="CT276" i="5"/>
  <c r="CR276" i="5" s="1"/>
  <c r="CT324" i="5"/>
  <c r="CR277" i="5"/>
  <c r="CR324" i="5" s="1"/>
  <c r="BF324" i="5"/>
  <c r="BN324" i="5" s="1"/>
  <c r="BL324" i="5" s="1"/>
  <c r="BN277" i="5"/>
  <c r="E81" i="8"/>
  <c r="E83" i="8"/>
  <c r="S113" i="8"/>
  <c r="S13" i="3"/>
  <c r="S11" i="6"/>
  <c r="S12" i="6" s="1"/>
  <c r="P15" i="3"/>
  <c r="P32" i="6"/>
  <c r="K109" i="8"/>
  <c r="K13" i="3"/>
  <c r="K11" i="6"/>
  <c r="K93" i="4"/>
  <c r="K68" i="6"/>
  <c r="I106" i="8"/>
  <c r="I66" i="6"/>
  <c r="B106" i="8"/>
  <c r="B66" i="6"/>
  <c r="B74" i="6" s="1"/>
  <c r="CY332" i="5"/>
  <c r="CN185" i="5"/>
  <c r="CB183" i="5"/>
  <c r="CJ168" i="5"/>
  <c r="CP160" i="5"/>
  <c r="EO12" i="5"/>
  <c r="CR34" i="5"/>
  <c r="EL12" i="5"/>
  <c r="BL14" i="5"/>
  <c r="AQ14" i="5"/>
  <c r="CI37" i="5"/>
  <c r="G80" i="6"/>
  <c r="G55" i="6" s="1"/>
  <c r="G56" i="6" s="1"/>
  <c r="C66" i="7"/>
  <c r="C67" i="7" s="1"/>
  <c r="B59" i="3"/>
  <c r="B49" i="3"/>
  <c r="N128" i="8"/>
  <c r="N130" i="8" s="1"/>
  <c r="N131" i="8" s="1"/>
  <c r="T126" i="8"/>
  <c r="T128" i="8" s="1"/>
  <c r="G116" i="8"/>
  <c r="N192" i="9"/>
  <c r="N184" i="9" s="1"/>
  <c r="AG133" i="11"/>
  <c r="AG7" i="11" s="1"/>
  <c r="EX71" i="5"/>
  <c r="EU71" i="5" s="1"/>
  <c r="EV71" i="5" s="1"/>
  <c r="AA75" i="6"/>
  <c r="Z193" i="10"/>
  <c r="Z195" i="10" s="1"/>
  <c r="B166" i="10"/>
  <c r="B167" i="10" s="1"/>
  <c r="B169" i="10" s="1"/>
  <c r="X54" i="10"/>
  <c r="BE42" i="10"/>
  <c r="AL55" i="10"/>
  <c r="Q42" i="10"/>
  <c r="AD80" i="11"/>
  <c r="L285" i="12"/>
  <c r="K247" i="12"/>
  <c r="O235" i="12"/>
  <c r="AN146" i="5"/>
  <c r="AN150" i="5" s="1"/>
  <c r="AP150" i="5"/>
  <c r="AL146" i="5"/>
  <c r="AL150" i="5" s="1"/>
  <c r="G115" i="12"/>
  <c r="N115" i="12"/>
  <c r="S77" i="12"/>
  <c r="S80" i="12" s="1"/>
  <c r="S81" i="12" s="1"/>
  <c r="AF18" i="12"/>
  <c r="AK18" i="12" s="1"/>
  <c r="DD29" i="5"/>
  <c r="Y193" i="8"/>
  <c r="N113" i="8"/>
  <c r="AQ189" i="10"/>
  <c r="AR189" i="10" s="1"/>
  <c r="AR187" i="10"/>
  <c r="AR143" i="10" s="1"/>
  <c r="AR144" i="10" s="1"/>
  <c r="AS147" i="10"/>
  <c r="AW147" i="10" s="1"/>
  <c r="CV189" i="5"/>
  <c r="AC16" i="12"/>
  <c r="DA4" i="5"/>
  <c r="DA18" i="5" s="1"/>
  <c r="BD187" i="10"/>
  <c r="BD143" i="10" s="1"/>
  <c r="B130" i="8"/>
  <c r="Z327" i="5"/>
  <c r="Z281" i="5"/>
  <c r="Z282" i="5" s="1"/>
  <c r="X279" i="5"/>
  <c r="X327" i="5" s="1"/>
  <c r="AP324" i="5"/>
  <c r="AP276" i="5"/>
  <c r="AN276" i="5" s="1"/>
  <c r="AN277" i="5" s="1"/>
  <c r="DJ107" i="5"/>
  <c r="DH107" i="5" s="1"/>
  <c r="V60" i="6"/>
  <c r="W45" i="10"/>
  <c r="N72" i="3"/>
  <c r="BD266" i="5"/>
  <c r="BL266" i="5" s="1"/>
  <c r="BN266" i="5"/>
  <c r="X76" i="6"/>
  <c r="AG187" i="10"/>
  <c r="AC189" i="10"/>
  <c r="AB224" i="9"/>
  <c r="CX199" i="5" s="1"/>
  <c r="CZ199" i="5"/>
  <c r="H170" i="8"/>
  <c r="P58" i="3"/>
  <c r="BF299" i="5"/>
  <c r="BN299" i="5" s="1"/>
  <c r="CL299" i="5"/>
  <c r="CJ299" i="5" s="1"/>
  <c r="S58" i="3"/>
  <c r="C58" i="3"/>
  <c r="CL281" i="5"/>
  <c r="CJ279" i="5"/>
  <c r="CL267" i="5"/>
  <c r="CJ267" i="5" s="1"/>
  <c r="CJ266" i="5"/>
  <c r="BM209" i="5"/>
  <c r="BJ209" i="5" s="1"/>
  <c r="BB209" i="5"/>
  <c r="X17" i="12"/>
  <c r="AC17" i="12" s="1"/>
  <c r="DA28" i="5" s="1"/>
  <c r="I121" i="4"/>
  <c r="I16" i="6"/>
  <c r="I13" i="6" s="1"/>
  <c r="I14" i="3" s="1"/>
  <c r="I118" i="4"/>
  <c r="K250" i="12"/>
  <c r="E15" i="3"/>
  <c r="E30" i="3" s="1"/>
  <c r="E13" i="6"/>
  <c r="E14" i="3" s="1"/>
  <c r="E29" i="3" s="1"/>
  <c r="E32" i="6"/>
  <c r="Q13" i="3"/>
  <c r="Q11" i="6"/>
  <c r="Q12" i="6" s="1"/>
  <c r="X40" i="10"/>
  <c r="CZ291" i="5"/>
  <c r="AH327" i="5"/>
  <c r="AH330" i="5" s="1"/>
  <c r="AF279" i="5"/>
  <c r="AF281" i="5" s="1"/>
  <c r="AF282" i="5" s="1"/>
  <c r="CT127" i="5"/>
  <c r="M250" i="12"/>
  <c r="X8" i="8"/>
  <c r="CD102" i="5"/>
  <c r="CB102" i="5" s="1"/>
  <c r="L83" i="4"/>
  <c r="L86" i="8"/>
  <c r="L80" i="8" s="1"/>
  <c r="L80" i="6"/>
  <c r="L55" i="6" s="1"/>
  <c r="L56" i="6" s="1"/>
  <c r="N15" i="3"/>
  <c r="N24" i="6"/>
  <c r="N13" i="6"/>
  <c r="F15" i="3"/>
  <c r="F13" i="6"/>
  <c r="F14" i="3" s="1"/>
  <c r="F24" i="6"/>
  <c r="H106" i="8"/>
  <c r="H66" i="6"/>
  <c r="H74" i="6" s="1"/>
  <c r="O13" i="3"/>
  <c r="O11" i="6"/>
  <c r="O12" i="6" s="1"/>
  <c r="I24" i="3"/>
  <c r="E12" i="6"/>
  <c r="G93" i="4"/>
  <c r="G68" i="6"/>
  <c r="M93" i="4"/>
  <c r="M68" i="6"/>
  <c r="L93" i="4"/>
  <c r="L68" i="6"/>
  <c r="E106" i="8"/>
  <c r="E66" i="6"/>
  <c r="O134" i="4"/>
  <c r="O73" i="6"/>
  <c r="P8" i="6"/>
  <c r="AF292" i="5"/>
  <c r="BZ185" i="5"/>
  <c r="AN142" i="5"/>
  <c r="CC132" i="5"/>
  <c r="CS185" i="5"/>
  <c r="CW11" i="5"/>
  <c r="DE24" i="5" s="1"/>
  <c r="DE37" i="5" s="1"/>
  <c r="AA83" i="9"/>
  <c r="AO56" i="10"/>
  <c r="AK93" i="11"/>
  <c r="AM93" i="11"/>
  <c r="AF17" i="12"/>
  <c r="DD28" i="5" s="1"/>
  <c r="DB163" i="5"/>
  <c r="DB125" i="5"/>
  <c r="S88" i="8"/>
  <c r="S109" i="8"/>
  <c r="K117" i="8"/>
  <c r="N117" i="8"/>
  <c r="AE193" i="9"/>
  <c r="AE147" i="9" s="1"/>
  <c r="AV9" i="11"/>
  <c r="AQ166" i="10"/>
  <c r="AV166" i="10"/>
  <c r="BA142" i="10"/>
  <c r="BE142" i="10" s="1"/>
  <c r="AC28" i="9"/>
  <c r="BV281" i="5"/>
  <c r="BT279" i="5"/>
  <c r="BB171" i="12"/>
  <c r="BJ171" i="12" s="1"/>
  <c r="BR171" i="12" s="1"/>
  <c r="AE104" i="10"/>
  <c r="AB104" i="10"/>
  <c r="AX95" i="10"/>
  <c r="AL95" i="10"/>
  <c r="AJ95" i="10"/>
  <c r="AI95" i="10"/>
  <c r="AN95" i="10"/>
  <c r="D81" i="10"/>
  <c r="T170" i="8"/>
  <c r="D170" i="8"/>
  <c r="L58" i="3"/>
  <c r="O49" i="3"/>
  <c r="AP299" i="5"/>
  <c r="O58" i="3"/>
  <c r="O70" i="7"/>
  <c r="CL166" i="5"/>
  <c r="CL167" i="5"/>
  <c r="Y40" i="6"/>
  <c r="DZ109" i="5"/>
  <c r="X18" i="12"/>
  <c r="AC18" i="12" s="1"/>
  <c r="E69" i="6"/>
  <c r="J13" i="3"/>
  <c r="J24" i="3" s="1"/>
  <c r="J11" i="6"/>
  <c r="DJ10" i="5"/>
  <c r="V82" i="3"/>
  <c r="V48" i="7"/>
  <c r="CB266" i="5"/>
  <c r="CD267" i="5"/>
  <c r="CB267" i="5" s="1"/>
  <c r="R15" i="3"/>
  <c r="R24" i="6"/>
  <c r="R13" i="6"/>
  <c r="L117" i="8"/>
  <c r="L13" i="3"/>
  <c r="BT165" i="5"/>
  <c r="BR165" i="5" s="1"/>
  <c r="Q21" i="6"/>
  <c r="N69" i="6"/>
  <c r="M109" i="8"/>
  <c r="M13" i="3"/>
  <c r="M11" i="6"/>
  <c r="L13" i="6"/>
  <c r="CB127" i="5"/>
  <c r="M36" i="3"/>
  <c r="Q36" i="3"/>
  <c r="EN124" i="5"/>
  <c r="EN131" i="5"/>
  <c r="V80" i="9"/>
  <c r="L47" i="9"/>
  <c r="J67" i="9"/>
  <c r="K35" i="9"/>
  <c r="Q253" i="12"/>
  <c r="J279" i="12"/>
  <c r="M115" i="12"/>
  <c r="H115" i="12"/>
  <c r="K11" i="13"/>
  <c r="Z314" i="5"/>
  <c r="AI14" i="5"/>
  <c r="K36" i="3"/>
  <c r="I36" i="3"/>
  <c r="H36" i="3"/>
  <c r="L36" i="3"/>
  <c r="EF131" i="5"/>
  <c r="EF124" i="5"/>
  <c r="K80" i="9"/>
  <c r="L23" i="9"/>
  <c r="Q232" i="12"/>
  <c r="S232" i="12" s="1"/>
  <c r="T232" i="12" s="1"/>
  <c r="U232" i="12" s="1"/>
  <c r="V232" i="12" s="1"/>
  <c r="AD232" i="12" s="1"/>
  <c r="AD231" i="12" s="1"/>
  <c r="BN315" i="5"/>
  <c r="BL315" i="5" s="1"/>
  <c r="EW12" i="5"/>
  <c r="FD124" i="5"/>
  <c r="FD131" i="5"/>
  <c r="DX131" i="5"/>
  <c r="DX132" i="5" s="1"/>
  <c r="DX124" i="5"/>
  <c r="F32" i="9"/>
  <c r="DB35" i="5"/>
  <c r="Z12" i="12"/>
  <c r="BD34" i="5"/>
  <c r="AL22" i="5"/>
  <c r="V11" i="5"/>
  <c r="V13" i="5" s="1"/>
  <c r="BO14" i="5"/>
  <c r="O36" i="3"/>
  <c r="G36" i="3"/>
  <c r="EV131" i="5"/>
  <c r="EV124" i="5"/>
  <c r="N80" i="9"/>
  <c r="E86" i="9"/>
  <c r="J29" i="9"/>
  <c r="J23" i="9"/>
  <c r="M4" i="13"/>
  <c r="BP21" i="13"/>
  <c r="I285" i="12"/>
  <c r="I291" i="12"/>
  <c r="P278" i="12"/>
  <c r="P279" i="12" s="1"/>
  <c r="P284" i="12"/>
  <c r="P285" i="12" s="1"/>
  <c r="G291" i="12"/>
  <c r="Q302" i="12"/>
  <c r="Q277" i="12"/>
  <c r="Q273" i="12"/>
  <c r="Q247" i="12"/>
  <c r="S247" i="12" s="1"/>
  <c r="Q216" i="12"/>
  <c r="M215" i="12"/>
  <c r="M278" i="12" s="1"/>
  <c r="N214" i="12"/>
  <c r="N215" i="12" s="1"/>
  <c r="O302" i="12" s="1"/>
  <c r="L123" i="12"/>
  <c r="L125" i="12"/>
  <c r="L138" i="12" s="1"/>
  <c r="L126" i="12"/>
  <c r="L124" i="12"/>
  <c r="O277" i="12"/>
  <c r="O273" i="12"/>
  <c r="O247" i="12"/>
  <c r="O181" i="12"/>
  <c r="N169" i="12"/>
  <c r="AD113" i="12"/>
  <c r="BZ69" i="12"/>
  <c r="U77" i="12"/>
  <c r="U80" i="12" s="1"/>
  <c r="U81" i="12" s="1"/>
  <c r="U83" i="12"/>
  <c r="U113" i="12"/>
  <c r="U90" i="12"/>
  <c r="U66" i="12"/>
  <c r="Q160" i="12"/>
  <c r="BF148" i="5" s="1"/>
  <c r="M160" i="12"/>
  <c r="N161" i="12" s="1"/>
  <c r="M171" i="12"/>
  <c r="AT183" i="12"/>
  <c r="AT193" i="12" s="1"/>
  <c r="AT195" i="12" s="1"/>
  <c r="Q86" i="12"/>
  <c r="Q87" i="12" s="1"/>
  <c r="P87" i="12"/>
  <c r="U112" i="12"/>
  <c r="U115" i="12" s="1"/>
  <c r="I115" i="12"/>
  <c r="M172" i="12"/>
  <c r="BW38" i="12"/>
  <c r="CH38" i="12"/>
  <c r="I279" i="12"/>
  <c r="H279" i="12"/>
  <c r="Q115" i="12"/>
  <c r="O160" i="12"/>
  <c r="AP148" i="5" s="1"/>
  <c r="J126" i="12"/>
  <c r="J125" i="12"/>
  <c r="J124" i="12"/>
  <c r="J123" i="12"/>
  <c r="L160" i="12"/>
  <c r="CE12" i="12"/>
  <c r="CA12" i="12"/>
  <c r="CC12" i="12"/>
  <c r="M284" i="12"/>
  <c r="M285" i="12" s="1"/>
  <c r="L279" i="12"/>
  <c r="AT212" i="12"/>
  <c r="T228" i="12"/>
  <c r="T225" i="12"/>
  <c r="O284" i="12"/>
  <c r="O285" i="12" s="1"/>
  <c r="O278" i="12"/>
  <c r="AD77" i="12"/>
  <c r="AD80" i="12" s="1"/>
  <c r="AD81" i="12" s="1"/>
  <c r="AD66" i="12"/>
  <c r="AD90" i="12"/>
  <c r="AD112" i="12"/>
  <c r="AD115" i="12" s="1"/>
  <c r="AD83" i="12"/>
  <c r="V90" i="12"/>
  <c r="V66" i="12"/>
  <c r="V83" i="12"/>
  <c r="V77" i="12"/>
  <c r="V80" i="12" s="1"/>
  <c r="V81" i="12" s="1"/>
  <c r="V72" i="12"/>
  <c r="BB172" i="12"/>
  <c r="T83" i="12"/>
  <c r="T90" i="12"/>
  <c r="T77" i="12"/>
  <c r="T80" i="12" s="1"/>
  <c r="T81" i="12" s="1"/>
  <c r="T66" i="12"/>
  <c r="F126" i="12"/>
  <c r="F125" i="12"/>
  <c r="F123" i="12"/>
  <c r="F124" i="12"/>
  <c r="B129" i="12"/>
  <c r="B126" i="12"/>
  <c r="B131" i="12"/>
  <c r="B130" i="12"/>
  <c r="P160" i="12"/>
  <c r="AL83" i="12"/>
  <c r="AL90" i="12"/>
  <c r="AL77" i="12"/>
  <c r="AL80" i="12" s="1"/>
  <c r="AL75" i="12"/>
  <c r="V6" i="12"/>
  <c r="V8" i="12" s="1"/>
  <c r="T72" i="12"/>
  <c r="V114" i="12"/>
  <c r="Q276" i="12"/>
  <c r="N284" i="12"/>
  <c r="N285" i="12" s="1"/>
  <c r="Q284" i="12"/>
  <c r="Q285" i="12" s="1"/>
  <c r="Q278" i="12"/>
  <c r="H285" i="12"/>
  <c r="Q238" i="12"/>
  <c r="S238" i="12" s="1"/>
  <c r="O238" i="12"/>
  <c r="BJ173" i="12"/>
  <c r="T216" i="12"/>
  <c r="AD114" i="12"/>
  <c r="V112" i="12"/>
  <c r="V115" i="12" s="1"/>
  <c r="E115" i="12"/>
  <c r="T112" i="12"/>
  <c r="T115" i="12" s="1"/>
  <c r="Q234" i="12"/>
  <c r="Q235" i="12" s="1"/>
  <c r="Q228" i="12"/>
  <c r="Q225" i="12"/>
  <c r="F115" i="12"/>
  <c r="V113" i="12"/>
  <c r="L115" i="12"/>
  <c r="D115" i="12"/>
  <c r="I124" i="12"/>
  <c r="I125" i="12"/>
  <c r="I138" i="12" s="1"/>
  <c r="I126" i="12"/>
  <c r="I123" i="12"/>
  <c r="U114" i="12"/>
  <c r="AH48" i="11"/>
  <c r="O202" i="9" s="1"/>
  <c r="AH12" i="11"/>
  <c r="BU108" i="11"/>
  <c r="BU92" i="11"/>
  <c r="AH82" i="11"/>
  <c r="AH75" i="11" s="1"/>
  <c r="AI81" i="11"/>
  <c r="AI74" i="11"/>
  <c r="AJ80" i="11"/>
  <c r="AJ73" i="11"/>
  <c r="AI170" i="11"/>
  <c r="AI11" i="11" s="1"/>
  <c r="P194" i="9" s="1"/>
  <c r="P186" i="9" s="1"/>
  <c r="AJ171" i="11"/>
  <c r="CC108" i="11"/>
  <c r="CC107" i="11" s="1"/>
  <c r="CC92" i="11"/>
  <c r="CS119" i="11"/>
  <c r="AK70" i="11"/>
  <c r="AI93" i="11"/>
  <c r="AE66" i="11"/>
  <c r="AD68" i="11"/>
  <c r="AK180" i="11"/>
  <c r="AK181" i="11" s="1"/>
  <c r="BE2" i="11"/>
  <c r="BM2" i="11" s="1"/>
  <c r="CS181" i="11"/>
  <c r="DA180" i="11"/>
  <c r="DA181" i="11" s="1"/>
  <c r="AK156" i="11"/>
  <c r="AL118" i="11"/>
  <c r="AL120" i="11" s="1"/>
  <c r="AL125" i="11" s="1"/>
  <c r="AL126" i="11" s="1"/>
  <c r="AL107" i="11"/>
  <c r="CS108" i="11"/>
  <c r="CS107" i="11" s="1"/>
  <c r="CS92" i="11"/>
  <c r="BU51" i="11"/>
  <c r="AN121" i="11"/>
  <c r="AN108" i="11"/>
  <c r="AO91" i="11"/>
  <c r="AN92" i="11"/>
  <c r="AN93" i="11" s="1"/>
  <c r="AK155" i="11"/>
  <c r="AJ148" i="11"/>
  <c r="AG126" i="11"/>
  <c r="AL93" i="11"/>
  <c r="CK119" i="11"/>
  <c r="CC119" i="11"/>
  <c r="AH73" i="11"/>
  <c r="CK108" i="11"/>
  <c r="CK107" i="11" s="1"/>
  <c r="CK92" i="11"/>
  <c r="BM119" i="11"/>
  <c r="AG82" i="11"/>
  <c r="AO70" i="11"/>
  <c r="AG70" i="11"/>
  <c r="AM118" i="11"/>
  <c r="AM120" i="11" s="1"/>
  <c r="AM125" i="11" s="1"/>
  <c r="AM126" i="11" s="1"/>
  <c r="AM107" i="11"/>
  <c r="E81" i="11"/>
  <c r="D82" i="11"/>
  <c r="D84" i="11" s="1"/>
  <c r="D85" i="11" s="1"/>
  <c r="AM98" i="11"/>
  <c r="BQ166" i="10"/>
  <c r="BR166" i="10" s="1"/>
  <c r="R193" i="10"/>
  <c r="AQ197" i="10"/>
  <c r="AQ199" i="10" s="1"/>
  <c r="AU199" i="10"/>
  <c r="AV199" i="10" s="1"/>
  <c r="R200" i="10"/>
  <c r="P199" i="10"/>
  <c r="AG168" i="10"/>
  <c r="AC168" i="10"/>
  <c r="AB168" i="10"/>
  <c r="AA168" i="10"/>
  <c r="AP168" i="10"/>
  <c r="AE168" i="10"/>
  <c r="D180" i="10"/>
  <c r="AC156" i="10"/>
  <c r="AD156" i="10" s="1"/>
  <c r="C166" i="10"/>
  <c r="C167" i="10" s="1"/>
  <c r="C169" i="10" s="1"/>
  <c r="C156" i="10"/>
  <c r="AG142" i="10"/>
  <c r="I166" i="10"/>
  <c r="I167" i="10" s="1"/>
  <c r="I169" i="10" s="1"/>
  <c r="AY161" i="10"/>
  <c r="AZ161" i="10" s="1"/>
  <c r="Z164" i="10"/>
  <c r="Z167" i="10" s="1"/>
  <c r="D166" i="10"/>
  <c r="D167" i="10" s="1"/>
  <c r="D169" i="10" s="1"/>
  <c r="V143" i="10"/>
  <c r="X144" i="10"/>
  <c r="AA163" i="10"/>
  <c r="AE163" i="10"/>
  <c r="AF163" i="10" s="1"/>
  <c r="M161" i="10"/>
  <c r="M163" i="10" s="1"/>
  <c r="G156" i="10"/>
  <c r="AQ144" i="10"/>
  <c r="AE124" i="10"/>
  <c r="AA124" i="10"/>
  <c r="AC124" i="10"/>
  <c r="AG124" i="10"/>
  <c r="AB124" i="10"/>
  <c r="AP124" i="10"/>
  <c r="AM120" i="10"/>
  <c r="AI120" i="10"/>
  <c r="AK120" i="10"/>
  <c r="AO120" i="10"/>
  <c r="AJ120" i="10"/>
  <c r="AX120" i="10"/>
  <c r="AN120" i="10"/>
  <c r="AL120" i="10"/>
  <c r="AX128" i="10"/>
  <c r="AM128" i="10"/>
  <c r="AU91" i="10"/>
  <c r="AQ91" i="10"/>
  <c r="BF91" i="10"/>
  <c r="AT91" i="10"/>
  <c r="AW91" i="10"/>
  <c r="AS91" i="10"/>
  <c r="AV91" i="10"/>
  <c r="AR91" i="10"/>
  <c r="AU57" i="10"/>
  <c r="AV57" i="10" s="1"/>
  <c r="BF57" i="10"/>
  <c r="K112" i="10"/>
  <c r="K17" i="10"/>
  <c r="Z71" i="10"/>
  <c r="Z46" i="10"/>
  <c r="O111" i="10"/>
  <c r="O16" i="10"/>
  <c r="Q40" i="10"/>
  <c r="K110" i="10"/>
  <c r="J59" i="10"/>
  <c r="I59" i="10"/>
  <c r="V43" i="10"/>
  <c r="BR42" i="10"/>
  <c r="M45" i="10"/>
  <c r="M62" i="10" s="1"/>
  <c r="BD168" i="9"/>
  <c r="Q43" i="10"/>
  <c r="AA199" i="10"/>
  <c r="AE199" i="10"/>
  <c r="AF199" i="10" s="1"/>
  <c r="J202" i="10"/>
  <c r="J203" i="10" s="1"/>
  <c r="K200" i="10"/>
  <c r="H192" i="10"/>
  <c r="H193" i="10" s="1"/>
  <c r="H195" i="10" s="1"/>
  <c r="AK187" i="10"/>
  <c r="AK143" i="10" s="1"/>
  <c r="AV181" i="10"/>
  <c r="AR181" i="10"/>
  <c r="AU181" i="10"/>
  <c r="AQ181" i="10"/>
  <c r="BF181" i="10"/>
  <c r="AT181" i="10"/>
  <c r="AS181" i="10"/>
  <c r="H166" i="10"/>
  <c r="H167" i="10" s="1"/>
  <c r="H169" i="10" s="1"/>
  <c r="F202" i="10"/>
  <c r="F203" i="10" s="1"/>
  <c r="F205" i="10" s="1"/>
  <c r="AN144" i="10"/>
  <c r="BO161" i="10"/>
  <c r="BA161" i="10"/>
  <c r="I156" i="10"/>
  <c r="AQ161" i="10"/>
  <c r="AR161" i="10" s="1"/>
  <c r="AC163" i="10"/>
  <c r="R164" i="10"/>
  <c r="R167" i="10" s="1"/>
  <c r="L153" i="10"/>
  <c r="AV89" i="10"/>
  <c r="AR89" i="10"/>
  <c r="AS89" i="10"/>
  <c r="AW89" i="10"/>
  <c r="AQ89" i="10"/>
  <c r="BF89" i="10"/>
  <c r="AU89" i="10"/>
  <c r="AT89" i="10"/>
  <c r="O112" i="10"/>
  <c r="O17" i="10"/>
  <c r="O110" i="10"/>
  <c r="O15" i="10"/>
  <c r="C63" i="10"/>
  <c r="Q41" i="10"/>
  <c r="AH204" i="10"/>
  <c r="V204" i="10"/>
  <c r="Y204" i="10"/>
  <c r="U204" i="10"/>
  <c r="S204" i="10"/>
  <c r="X204" i="10"/>
  <c r="W204" i="10"/>
  <c r="B202" i="10"/>
  <c r="B203" i="10" s="1"/>
  <c r="B205" i="10" s="1"/>
  <c r="BK187" i="10"/>
  <c r="BN189" i="10"/>
  <c r="F192" i="10"/>
  <c r="F193" i="10" s="1"/>
  <c r="F195" i="10" s="1"/>
  <c r="AX192" i="10"/>
  <c r="E182" i="10"/>
  <c r="E183" i="10" s="1"/>
  <c r="E185" i="10" s="1"/>
  <c r="S194" i="10"/>
  <c r="Y194" i="10"/>
  <c r="AH194" i="10"/>
  <c r="AP194" i="10" s="1"/>
  <c r="BA166" i="10"/>
  <c r="BB166" i="10" s="1"/>
  <c r="BO166" i="10"/>
  <c r="BP166" i="10" s="1"/>
  <c r="AM162" i="10"/>
  <c r="AM163" i="10" s="1"/>
  <c r="AI162" i="10"/>
  <c r="AX162" i="10"/>
  <c r="AL162" i="10"/>
  <c r="AO162" i="10"/>
  <c r="AK162" i="10"/>
  <c r="AN162" i="10"/>
  <c r="AJ162" i="10"/>
  <c r="G202" i="10"/>
  <c r="G203" i="10" s="1"/>
  <c r="G205" i="10" s="1"/>
  <c r="BH166" i="10"/>
  <c r="V166" i="10"/>
  <c r="BT161" i="10"/>
  <c r="S163" i="10"/>
  <c r="T163" i="10" s="1"/>
  <c r="X163" i="10"/>
  <c r="W164" i="10" s="1"/>
  <c r="W167" i="10" s="1"/>
  <c r="W169" i="10" s="1"/>
  <c r="G180" i="10"/>
  <c r="E156" i="10"/>
  <c r="Y147" i="10"/>
  <c r="BG161" i="10"/>
  <c r="BH161" i="10" s="1"/>
  <c r="AV161" i="10"/>
  <c r="AH164" i="10"/>
  <c r="AH167" i="10" s="1"/>
  <c r="J164" i="10"/>
  <c r="AG122" i="10"/>
  <c r="AC122" i="10"/>
  <c r="AB122" i="10"/>
  <c r="AA122" i="10"/>
  <c r="AP122" i="10"/>
  <c r="AE122" i="10"/>
  <c r="AX102" i="10"/>
  <c r="AL102" i="10"/>
  <c r="AO102" i="10"/>
  <c r="AK102" i="10"/>
  <c r="AN102" i="10"/>
  <c r="AM102" i="10"/>
  <c r="AJ102" i="10"/>
  <c r="AI102" i="10"/>
  <c r="AB121" i="10"/>
  <c r="AC121" i="10"/>
  <c r="AG121" i="10"/>
  <c r="AA121" i="10"/>
  <c r="AE121" i="10"/>
  <c r="AP121" i="10"/>
  <c r="AU94" i="10"/>
  <c r="AQ94" i="10"/>
  <c r="AT94" i="10"/>
  <c r="AS94" i="10"/>
  <c r="AW94" i="10"/>
  <c r="AR94" i="10"/>
  <c r="BF94" i="10"/>
  <c r="AV94" i="10"/>
  <c r="AU93" i="10"/>
  <c r="AQ93" i="10"/>
  <c r="BF93" i="10"/>
  <c r="AT93" i="10"/>
  <c r="AW93" i="10"/>
  <c r="AS93" i="10"/>
  <c r="AV93" i="10"/>
  <c r="AR93" i="10"/>
  <c r="AW92" i="10"/>
  <c r="AS92" i="10"/>
  <c r="AV92" i="10"/>
  <c r="AR92" i="10"/>
  <c r="AU92" i="10"/>
  <c r="AQ92" i="10"/>
  <c r="BF92" i="10"/>
  <c r="AT92" i="10"/>
  <c r="Z111" i="10"/>
  <c r="Y83" i="10"/>
  <c r="Y111" i="10" s="1"/>
  <c r="U83" i="10"/>
  <c r="U111" i="10" s="1"/>
  <c r="X83" i="10"/>
  <c r="X111" i="10" s="1"/>
  <c r="T83" i="10"/>
  <c r="T111" i="10" s="1"/>
  <c r="S83" i="10"/>
  <c r="S16" i="10" s="1"/>
  <c r="V83" i="10"/>
  <c r="V111" i="10" s="1"/>
  <c r="AN57" i="10"/>
  <c r="Z114" i="10"/>
  <c r="Y86" i="10"/>
  <c r="Y114" i="10" s="1"/>
  <c r="U86" i="10"/>
  <c r="U114" i="10" s="1"/>
  <c r="X86" i="10"/>
  <c r="X114" i="10" s="1"/>
  <c r="T86" i="10"/>
  <c r="T114" i="10" s="1"/>
  <c r="S86" i="10"/>
  <c r="V86" i="10"/>
  <c r="V114" i="10" s="1"/>
  <c r="BR56" i="10"/>
  <c r="M17" i="10"/>
  <c r="AL56" i="10"/>
  <c r="N40" i="10"/>
  <c r="N45" i="10" s="1"/>
  <c r="AL42" i="10"/>
  <c r="S199" i="10"/>
  <c r="W199" i="10"/>
  <c r="AI199" i="10"/>
  <c r="AM199" i="10"/>
  <c r="AN197" i="10"/>
  <c r="AP193" i="10"/>
  <c r="AW187" i="10"/>
  <c r="AW143" i="10" s="1"/>
  <c r="AV197" i="10"/>
  <c r="B192" i="10"/>
  <c r="B193" i="10" s="1"/>
  <c r="B195" i="10" s="1"/>
  <c r="M197" i="10"/>
  <c r="N197" i="10" s="1"/>
  <c r="K193" i="10"/>
  <c r="AT187" i="10"/>
  <c r="AT143" i="10" s="1"/>
  <c r="AN189" i="10"/>
  <c r="AJ189" i="10"/>
  <c r="I182" i="10"/>
  <c r="I183" i="10" s="1"/>
  <c r="I185" i="10" s="1"/>
  <c r="I209" i="10" s="1"/>
  <c r="AJ166" i="10"/>
  <c r="AO166" i="10" s="1"/>
  <c r="BN197" i="10"/>
  <c r="BV147" i="10"/>
  <c r="BK147" i="10"/>
  <c r="BL147" i="10" s="1"/>
  <c r="L192" i="10"/>
  <c r="AU190" i="10"/>
  <c r="AY166" i="10"/>
  <c r="AZ166" i="10" s="1"/>
  <c r="AM152" i="10"/>
  <c r="AM153" i="10" s="1"/>
  <c r="AI152" i="10"/>
  <c r="AI153" i="10" s="1"/>
  <c r="AX152" i="10"/>
  <c r="AL152" i="10"/>
  <c r="AO152" i="10"/>
  <c r="AK152" i="10"/>
  <c r="AK153" i="10" s="1"/>
  <c r="AN152" i="10"/>
  <c r="AJ152" i="10"/>
  <c r="AC166" i="10"/>
  <c r="AD166" i="10" s="1"/>
  <c r="AG143" i="10"/>
  <c r="X161" i="10"/>
  <c r="N143" i="10"/>
  <c r="Q142" i="10"/>
  <c r="Q143" i="10"/>
  <c r="F166" i="10"/>
  <c r="F167" i="10" s="1"/>
  <c r="F169" i="10" s="1"/>
  <c r="BL161" i="10"/>
  <c r="K161" i="10"/>
  <c r="K163" i="10" s="1"/>
  <c r="O163" i="10"/>
  <c r="AL147" i="10"/>
  <c r="AS142" i="10"/>
  <c r="AW142" i="10" s="1"/>
  <c r="AX123" i="10"/>
  <c r="AL123" i="10"/>
  <c r="AN123" i="10"/>
  <c r="AI123" i="10"/>
  <c r="AM123" i="10"/>
  <c r="AK123" i="10"/>
  <c r="AO123" i="10"/>
  <c r="AJ123" i="10"/>
  <c r="AX101" i="10"/>
  <c r="AL101" i="10"/>
  <c r="AO101" i="10"/>
  <c r="AK101" i="10"/>
  <c r="AJ101" i="10"/>
  <c r="AI101" i="10"/>
  <c r="AN101" i="10"/>
  <c r="AM101" i="10"/>
  <c r="BI54" i="10"/>
  <c r="BJ54" i="10" s="1"/>
  <c r="BE54" i="10"/>
  <c r="Z112" i="10"/>
  <c r="Y84" i="10"/>
  <c r="Y112" i="10" s="1"/>
  <c r="U84" i="10"/>
  <c r="U112" i="10" s="1"/>
  <c r="X84" i="10"/>
  <c r="X112" i="10" s="1"/>
  <c r="T84" i="10"/>
  <c r="T112" i="10" s="1"/>
  <c r="S84" i="10"/>
  <c r="S17" i="10" s="1"/>
  <c r="V84" i="10"/>
  <c r="V112" i="10" s="1"/>
  <c r="M58" i="10"/>
  <c r="M19" i="10" s="1"/>
  <c r="M15" i="10"/>
  <c r="K111" i="10"/>
  <c r="K16" i="10"/>
  <c r="M111" i="10"/>
  <c r="M16" i="10"/>
  <c r="BB56" i="10"/>
  <c r="Z110" i="10"/>
  <c r="Y82" i="10"/>
  <c r="Y110" i="10" s="1"/>
  <c r="U82" i="10"/>
  <c r="U110" i="10" s="1"/>
  <c r="X82" i="10"/>
  <c r="X110" i="10" s="1"/>
  <c r="T82" i="10"/>
  <c r="T110" i="10" s="1"/>
  <c r="S82" i="10"/>
  <c r="S15" i="10" s="1"/>
  <c r="V82" i="10"/>
  <c r="V110" i="10" s="1"/>
  <c r="BU55" i="10"/>
  <c r="D63" i="10"/>
  <c r="L44" i="10"/>
  <c r="L45" i="10" s="1"/>
  <c r="K45" i="10"/>
  <c r="K62" i="10" s="1"/>
  <c r="DG199" i="5"/>
  <c r="P244" i="9"/>
  <c r="P18" i="9" s="1"/>
  <c r="P242" i="9"/>
  <c r="U211" i="9"/>
  <c r="U68" i="9"/>
  <c r="Q98" i="9"/>
  <c r="S104" i="9" s="1"/>
  <c r="Q67" i="9"/>
  <c r="V244" i="9"/>
  <c r="V18" i="9" s="1"/>
  <c r="V221" i="9"/>
  <c r="V17" i="9" s="1"/>
  <c r="O300" i="9"/>
  <c r="O20" i="9" s="1"/>
  <c r="X255" i="9"/>
  <c r="X104" i="9"/>
  <c r="E87" i="9"/>
  <c r="Q219" i="9"/>
  <c r="Q222" i="9"/>
  <c r="W244" i="9"/>
  <c r="W18" i="9" s="1"/>
  <c r="W242" i="9"/>
  <c r="S255" i="9"/>
  <c r="V255" i="9"/>
  <c r="W256" i="9" s="1"/>
  <c r="BI245" i="9"/>
  <c r="G80" i="9"/>
  <c r="F87" i="9"/>
  <c r="X81" i="9"/>
  <c r="X80" i="9"/>
  <c r="X76" i="9"/>
  <c r="CT156" i="5" s="1"/>
  <c r="X35" i="9"/>
  <c r="P81" i="9"/>
  <c r="P76" i="9"/>
  <c r="P35" i="9"/>
  <c r="P47" i="9"/>
  <c r="P80" i="9"/>
  <c r="H81" i="9"/>
  <c r="H76" i="9"/>
  <c r="H82" i="9" s="1"/>
  <c r="H80" i="9"/>
  <c r="H35" i="9"/>
  <c r="N67" i="9"/>
  <c r="G47" i="9"/>
  <c r="H23" i="9"/>
  <c r="V76" i="9"/>
  <c r="V81" i="9"/>
  <c r="N76" i="9"/>
  <c r="N82" i="9" s="1"/>
  <c r="N81" i="9"/>
  <c r="F76" i="9"/>
  <c r="F82" i="9" s="1"/>
  <c r="F47" i="9"/>
  <c r="W219" i="9"/>
  <c r="W221" i="9"/>
  <c r="W17" i="9" s="1"/>
  <c r="U76" i="9"/>
  <c r="U81" i="9"/>
  <c r="U35" i="9"/>
  <c r="Q244" i="9"/>
  <c r="Q242" i="9"/>
  <c r="G35" i="9"/>
  <c r="G32" i="9"/>
  <c r="N35" i="9"/>
  <c r="Q259" i="9"/>
  <c r="Q264" i="9" s="1"/>
  <c r="Q114" i="9" s="1"/>
  <c r="S258" i="9"/>
  <c r="R258" i="9"/>
  <c r="U80" i="9"/>
  <c r="H298" i="9"/>
  <c r="U234" i="9"/>
  <c r="V242" i="9" s="1"/>
  <c r="U69" i="9"/>
  <c r="AC16" i="9"/>
  <c r="AC108" i="9" s="1"/>
  <c r="P221" i="9"/>
  <c r="P17" i="9" s="1"/>
  <c r="P219" i="9"/>
  <c r="H47" i="9"/>
  <c r="K81" i="9"/>
  <c r="K76" i="9"/>
  <c r="K82" i="9" s="1"/>
  <c r="K298" i="9"/>
  <c r="X244" i="9"/>
  <c r="X18" i="9" s="1"/>
  <c r="X242" i="9"/>
  <c r="O221" i="9"/>
  <c r="O17" i="9" s="1"/>
  <c r="O219" i="9"/>
  <c r="P255" i="9"/>
  <c r="P118" i="9"/>
  <c r="P104" i="9"/>
  <c r="S55" i="9"/>
  <c r="S21" i="9"/>
  <c r="N255" i="9"/>
  <c r="N266" i="9" s="1"/>
  <c r="N269" i="9" s="1"/>
  <c r="N118" i="9"/>
  <c r="H55" i="9"/>
  <c r="H32" i="9"/>
  <c r="F298" i="9"/>
  <c r="O255" i="9"/>
  <c r="O118" i="9"/>
  <c r="O104" i="9"/>
  <c r="K47" i="9"/>
  <c r="F29" i="9"/>
  <c r="H29" i="9"/>
  <c r="F23" i="9"/>
  <c r="G29" i="9"/>
  <c r="F55" i="9"/>
  <c r="K23" i="9"/>
  <c r="N148" i="9"/>
  <c r="N47" i="9"/>
  <c r="L81" i="9"/>
  <c r="L76" i="9"/>
  <c r="L82" i="9" s="1"/>
  <c r="L35" i="9"/>
  <c r="U67" i="9"/>
  <c r="U98" i="9"/>
  <c r="O55" i="9"/>
  <c r="O21" i="9"/>
  <c r="G23" i="9"/>
  <c r="V68" i="9"/>
  <c r="F67" i="9"/>
  <c r="S81" i="9"/>
  <c r="S76" i="9"/>
  <c r="J76" i="9"/>
  <c r="J82" i="9" s="1"/>
  <c r="J47" i="9"/>
  <c r="N242" i="9"/>
  <c r="N244" i="9"/>
  <c r="N18" i="9" s="1"/>
  <c r="F242" i="9"/>
  <c r="S67" i="9"/>
  <c r="G81" i="9"/>
  <c r="W21" i="9"/>
  <c r="W55" i="9"/>
  <c r="V67" i="9"/>
  <c r="CB47" i="9"/>
  <c r="BQ47" i="9"/>
  <c r="W82" i="9"/>
  <c r="W83" i="9" s="1"/>
  <c r="S35" i="9"/>
  <c r="BL29" i="9"/>
  <c r="G55" i="9"/>
  <c r="F35" i="9"/>
  <c r="O191" i="8"/>
  <c r="O196" i="8" s="1"/>
  <c r="N196" i="8"/>
  <c r="AA157" i="8"/>
  <c r="Z166" i="8"/>
  <c r="X161" i="8"/>
  <c r="L123" i="8"/>
  <c r="L130" i="8" s="1"/>
  <c r="Q28" i="8"/>
  <c r="T28" i="8"/>
  <c r="H121" i="8"/>
  <c r="H123" i="8" s="1"/>
  <c r="I123" i="8"/>
  <c r="I130" i="8" s="1"/>
  <c r="Y7" i="8"/>
  <c r="AA113" i="8"/>
  <c r="X139" i="8"/>
  <c r="Y160" i="8" s="1"/>
  <c r="Z152" i="8"/>
  <c r="X156" i="8"/>
  <c r="AB109" i="8"/>
  <c r="P28" i="8"/>
  <c r="S56" i="8"/>
  <c r="M123" i="8"/>
  <c r="M130" i="8" s="1"/>
  <c r="M131" i="8" s="1"/>
  <c r="Z153" i="8"/>
  <c r="Q83" i="8"/>
  <c r="Q81" i="8"/>
  <c r="P189" i="8"/>
  <c r="P197" i="8" s="1"/>
  <c r="Q187" i="8"/>
  <c r="X160" i="8"/>
  <c r="S126" i="8"/>
  <c r="S128" i="8" s="1"/>
  <c r="Q123" i="8"/>
  <c r="G38" i="8"/>
  <c r="AB88" i="8"/>
  <c r="Y88" i="6"/>
  <c r="Q36" i="6"/>
  <c r="Q39" i="6" s="1"/>
  <c r="Q42" i="6" s="1"/>
  <c r="Q34" i="6"/>
  <c r="T87" i="6"/>
  <c r="T89" i="6" s="1"/>
  <c r="T83" i="6"/>
  <c r="O34" i="6"/>
  <c r="O36" i="6"/>
  <c r="O39" i="6" s="1"/>
  <c r="O42" i="6" s="1"/>
  <c r="G34" i="6"/>
  <c r="G36" i="6"/>
  <c r="G39" i="6" s="1"/>
  <c r="G42" i="6" s="1"/>
  <c r="L36" i="6"/>
  <c r="L39" i="6" s="1"/>
  <c r="L42" i="6" s="1"/>
  <c r="L34" i="6"/>
  <c r="Y18" i="6"/>
  <c r="F87" i="6"/>
  <c r="F89" i="6" s="1"/>
  <c r="F83" i="6"/>
  <c r="D97" i="6"/>
  <c r="E63" i="6"/>
  <c r="N34" i="6"/>
  <c r="N36" i="6"/>
  <c r="N39" i="6" s="1"/>
  <c r="N42" i="6" s="1"/>
  <c r="M36" i="6"/>
  <c r="M39" i="6" s="1"/>
  <c r="M42" i="6" s="1"/>
  <c r="M34" i="6"/>
  <c r="K34" i="6"/>
  <c r="K36" i="6"/>
  <c r="K39" i="6" s="1"/>
  <c r="K42" i="6" s="1"/>
  <c r="I36" i="6"/>
  <c r="I39" i="6" s="1"/>
  <c r="I42" i="6" s="1"/>
  <c r="I55" i="6"/>
  <c r="I56" i="6" s="1"/>
  <c r="I34" i="6"/>
  <c r="H34" i="6"/>
  <c r="H36" i="6"/>
  <c r="H39" i="6" s="1"/>
  <c r="H42" i="6" s="1"/>
  <c r="X326" i="5"/>
  <c r="X292" i="5"/>
  <c r="AH322" i="5"/>
  <c r="AF272" i="5"/>
  <c r="X241" i="5"/>
  <c r="X253" i="5" s="1"/>
  <c r="X249" i="5"/>
  <c r="BS193" i="5"/>
  <c r="CA193" i="5"/>
  <c r="BK332" i="5"/>
  <c r="BC334" i="5"/>
  <c r="BK334" i="5" s="1"/>
  <c r="BL284" i="5"/>
  <c r="FC281" i="5"/>
  <c r="BD267" i="5"/>
  <c r="BL267" i="5" s="1"/>
  <c r="BN267" i="5"/>
  <c r="CP192" i="5"/>
  <c r="BS185" i="5"/>
  <c r="BP181" i="5"/>
  <c r="CB184" i="5"/>
  <c r="CB181" i="5"/>
  <c r="CJ185" i="5" s="1"/>
  <c r="CK167" i="5"/>
  <c r="CK161" i="5"/>
  <c r="CF167" i="5"/>
  <c r="CH158" i="5"/>
  <c r="CF161" i="5"/>
  <c r="CH128" i="5"/>
  <c r="CH127" i="5"/>
  <c r="CD128" i="5"/>
  <c r="CD127" i="5"/>
  <c r="CD131" i="5"/>
  <c r="CD132" i="5" s="1"/>
  <c r="BD128" i="5"/>
  <c r="BD127" i="5"/>
  <c r="BL127" i="5" s="1"/>
  <c r="BL123" i="5"/>
  <c r="BD131" i="5"/>
  <c r="CJ170" i="5"/>
  <c r="BX167" i="5"/>
  <c r="CG171" i="5"/>
  <c r="CO171" i="5"/>
  <c r="P315" i="5"/>
  <c r="P98" i="5"/>
  <c r="CQ114" i="5"/>
  <c r="CQ100" i="5"/>
  <c r="AD140" i="5"/>
  <c r="AD138" i="5"/>
  <c r="AL142" i="5" s="1"/>
  <c r="CB88" i="5"/>
  <c r="CB89" i="5"/>
  <c r="N13" i="5"/>
  <c r="N14" i="5"/>
  <c r="N24" i="5"/>
  <c r="CS14" i="5"/>
  <c r="CS24" i="5"/>
  <c r="CS37" i="5" s="1"/>
  <c r="CS13" i="5"/>
  <c r="CS27" i="5"/>
  <c r="CF36" i="5"/>
  <c r="CF35" i="5"/>
  <c r="BX24" i="5"/>
  <c r="BX37" i="5" s="1"/>
  <c r="BX13" i="5"/>
  <c r="BX14" i="5"/>
  <c r="FE12" i="5"/>
  <c r="BR19" i="5"/>
  <c r="CA69" i="5"/>
  <c r="CA77" i="5" s="1"/>
  <c r="CA92" i="5" s="1"/>
  <c r="CA115" i="5" s="1"/>
  <c r="CA41" i="5"/>
  <c r="AM119" i="5"/>
  <c r="AM256" i="5"/>
  <c r="AM268" i="5" s="1"/>
  <c r="AE256" i="5"/>
  <c r="AE268" i="5" s="1"/>
  <c r="AE119" i="5"/>
  <c r="AE76" i="5"/>
  <c r="AE91" i="5" s="1"/>
  <c r="AE114" i="5" s="1"/>
  <c r="AE67" i="5"/>
  <c r="G50" i="5"/>
  <c r="G14" i="5"/>
  <c r="G13" i="5"/>
  <c r="G69" i="5" s="1"/>
  <c r="G77" i="5" s="1"/>
  <c r="G92" i="5" s="1"/>
  <c r="G115" i="5" s="1"/>
  <c r="AF22" i="5"/>
  <c r="CH17" i="5"/>
  <c r="CH11" i="5"/>
  <c r="AL17" i="5"/>
  <c r="AL11" i="5"/>
  <c r="P17" i="5"/>
  <c r="P11" i="5"/>
  <c r="O24" i="5"/>
  <c r="CT322" i="5"/>
  <c r="CR272" i="5"/>
  <c r="EM281" i="5"/>
  <c r="EN281" i="5" s="1"/>
  <c r="BZ191" i="5"/>
  <c r="CB187" i="5"/>
  <c r="CB189" i="5" s="1"/>
  <c r="CB192" i="5"/>
  <c r="CJ192" i="5"/>
  <c r="CA185" i="5"/>
  <c r="CS167" i="5"/>
  <c r="CS161" i="5"/>
  <c r="CC167" i="5"/>
  <c r="BY167" i="5" s="1"/>
  <c r="BZ167" i="5" s="1"/>
  <c r="CC161" i="5"/>
  <c r="CA173" i="5"/>
  <c r="BO173" i="5"/>
  <c r="BO176" i="5" s="1"/>
  <c r="BW177" i="5" s="1"/>
  <c r="CE173" i="5"/>
  <c r="CV166" i="5"/>
  <c r="BV173" i="5"/>
  <c r="U117" i="9" s="1"/>
  <c r="CB160" i="5"/>
  <c r="BQ166" i="5"/>
  <c r="BT166" i="5"/>
  <c r="BS161" i="5"/>
  <c r="BS167" i="5"/>
  <c r="BP158" i="5"/>
  <c r="AD148" i="5"/>
  <c r="AD150" i="5"/>
  <c r="CI114" i="5"/>
  <c r="CI100" i="5"/>
  <c r="BF140" i="5"/>
  <c r="BB136" i="5"/>
  <c r="BE136" i="5" s="1"/>
  <c r="BE140" i="5" s="1"/>
  <c r="BD137" i="5"/>
  <c r="BD141" i="5" s="1"/>
  <c r="BB141" i="5"/>
  <c r="CY114" i="5"/>
  <c r="CY100" i="5"/>
  <c r="BD221" i="5"/>
  <c r="R256" i="5"/>
  <c r="R268" i="5" s="1"/>
  <c r="R119" i="5"/>
  <c r="CT132" i="5"/>
  <c r="AC24" i="5"/>
  <c r="AC14" i="5"/>
  <c r="AC13" i="5"/>
  <c r="W67" i="5"/>
  <c r="W76" i="5"/>
  <c r="W91" i="5" s="1"/>
  <c r="W114" i="5" s="1"/>
  <c r="J239" i="5"/>
  <c r="J50" i="5"/>
  <c r="J13" i="5"/>
  <c r="J69" i="5" s="1"/>
  <c r="J77" i="5" s="1"/>
  <c r="J92" i="5" s="1"/>
  <c r="J115" i="5" s="1"/>
  <c r="CL24" i="5"/>
  <c r="CL37" i="5" s="1"/>
  <c r="CL13" i="5"/>
  <c r="CT34" i="5"/>
  <c r="AJ24" i="5"/>
  <c r="AJ14" i="5"/>
  <c r="AJ13" i="5"/>
  <c r="AO13" i="5" s="1"/>
  <c r="I14" i="5"/>
  <c r="I13" i="5"/>
  <c r="BD63" i="5"/>
  <c r="BD20" i="5"/>
  <c r="CE14" i="5"/>
  <c r="CK35" i="5"/>
  <c r="CC24" i="5"/>
  <c r="CC37" i="5" s="1"/>
  <c r="CC13" i="5"/>
  <c r="CC14" i="5"/>
  <c r="BR17" i="5"/>
  <c r="BR11" i="5"/>
  <c r="BB17" i="5"/>
  <c r="AN35" i="5"/>
  <c r="AF14" i="5"/>
  <c r="AF13" i="5"/>
  <c r="AN36" i="5" s="1"/>
  <c r="X11" i="5"/>
  <c r="AF24" i="5" s="1"/>
  <c r="AF32" i="5"/>
  <c r="CC36" i="5"/>
  <c r="BU24" i="5"/>
  <c r="BU37" i="5" s="1"/>
  <c r="BU14" i="5"/>
  <c r="BU13" i="5"/>
  <c r="AZ34" i="5"/>
  <c r="BE27" i="5"/>
  <c r="AD11" i="5"/>
  <c r="AL36" i="5" s="1"/>
  <c r="H76" i="5"/>
  <c r="H91" i="5" s="1"/>
  <c r="H114" i="5" s="1"/>
  <c r="H67" i="5"/>
  <c r="CJ14" i="5"/>
  <c r="CJ24" i="5"/>
  <c r="CJ37" i="5" s="1"/>
  <c r="CJ13" i="5"/>
  <c r="CP184" i="5"/>
  <c r="EU281" i="5"/>
  <c r="CA282" i="5"/>
  <c r="CT282" i="5"/>
  <c r="CR282" i="5" s="1"/>
  <c r="BD276" i="5"/>
  <c r="BL276" i="5" s="1"/>
  <c r="BN276" i="5"/>
  <c r="EV264" i="5"/>
  <c r="BM212" i="5"/>
  <c r="BJ212" i="5" s="1"/>
  <c r="BB212" i="5"/>
  <c r="BM198" i="5"/>
  <c r="BJ198" i="5" s="1"/>
  <c r="BB198" i="5"/>
  <c r="BP189" i="5"/>
  <c r="BX193" i="5" s="1"/>
  <c r="BX192" i="5"/>
  <c r="CF193" i="5"/>
  <c r="CK189" i="5"/>
  <c r="CK193" i="5" s="1"/>
  <c r="BZ189" i="5"/>
  <c r="BZ193" i="5" s="1"/>
  <c r="CJ184" i="5"/>
  <c r="CS165" i="5"/>
  <c r="CF173" i="5"/>
  <c r="BP173" i="5"/>
  <c r="BP176" i="5" s="1"/>
  <c r="CQ166" i="5"/>
  <c r="CQ165" i="5"/>
  <c r="CQ170" i="5"/>
  <c r="CQ167" i="5"/>
  <c r="CQ168" i="5" s="1"/>
  <c r="CJ160" i="5"/>
  <c r="X148" i="5"/>
  <c r="X152" i="5" s="1"/>
  <c r="X150" i="5"/>
  <c r="CV132" i="5"/>
  <c r="CB156" i="5"/>
  <c r="CJ159" i="5" s="1"/>
  <c r="BZ159" i="5"/>
  <c r="AO152" i="5"/>
  <c r="AG152" i="5"/>
  <c r="T150" i="5"/>
  <c r="T148" i="5"/>
  <c r="BA129" i="5"/>
  <c r="BI129" i="5" s="1"/>
  <c r="BI128" i="5"/>
  <c r="BY129" i="5" s="1"/>
  <c r="X315" i="5"/>
  <c r="X98" i="5"/>
  <c r="V140" i="5"/>
  <c r="V138" i="5"/>
  <c r="V142" i="5" s="1"/>
  <c r="AG142" i="5"/>
  <c r="AO142" i="5"/>
  <c r="AV63" i="5"/>
  <c r="AV50" i="5"/>
  <c r="AV67" i="5" s="1"/>
  <c r="EE132" i="5"/>
  <c r="ET12" i="5"/>
  <c r="CI14" i="5"/>
  <c r="W256" i="5"/>
  <c r="W268" i="5" s="1"/>
  <c r="W119" i="5"/>
  <c r="BZ19" i="5"/>
  <c r="CF14" i="5"/>
  <c r="CF24" i="5"/>
  <c r="CF37" i="5" s="1"/>
  <c r="CF13" i="5"/>
  <c r="AP24" i="5"/>
  <c r="AP37" i="5" s="1"/>
  <c r="AP13" i="5"/>
  <c r="BZ29" i="5"/>
  <c r="CB29" i="5" s="1"/>
  <c r="AY24" i="5"/>
  <c r="AY37" i="5" s="1"/>
  <c r="AY13" i="5"/>
  <c r="AO11" i="5"/>
  <c r="U24" i="5"/>
  <c r="U13" i="5"/>
  <c r="U14" i="5"/>
  <c r="CR181" i="5"/>
  <c r="CR185" i="5" s="1"/>
  <c r="CR61" i="5"/>
  <c r="CR18" i="5"/>
  <c r="CR11" i="5"/>
  <c r="CR17" i="5"/>
  <c r="CF34" i="5"/>
  <c r="BX34" i="5"/>
  <c r="CC27" i="5"/>
  <c r="AH24" i="5"/>
  <c r="AH37" i="5" s="1"/>
  <c r="AH13" i="5"/>
  <c r="DY12" i="5"/>
  <c r="BS36" i="5"/>
  <c r="BS35" i="5"/>
  <c r="BK14" i="5"/>
  <c r="BK13" i="5"/>
  <c r="AG14" i="5"/>
  <c r="T14" i="5"/>
  <c r="T24" i="5"/>
  <c r="T13" i="5"/>
  <c r="BR18" i="5"/>
  <c r="BS34" i="5"/>
  <c r="AV14" i="5"/>
  <c r="Z239" i="5"/>
  <c r="Z13" i="5"/>
  <c r="Z24" i="5"/>
  <c r="Z37" i="5" s="1"/>
  <c r="DA35" i="5"/>
  <c r="CA76" i="5"/>
  <c r="CA91" i="5" s="1"/>
  <c r="CA67" i="5"/>
  <c r="BC67" i="5"/>
  <c r="BC76" i="5"/>
  <c r="BK50" i="5"/>
  <c r="AE14" i="5"/>
  <c r="C14" i="5"/>
  <c r="CH181" i="5"/>
  <c r="CH185" i="5" s="1"/>
  <c r="CH18" i="5"/>
  <c r="CN14" i="5"/>
  <c r="CN24" i="5"/>
  <c r="CN13" i="5"/>
  <c r="CB13" i="5"/>
  <c r="CB14" i="5"/>
  <c r="AN24" i="5"/>
  <c r="AN14" i="5"/>
  <c r="AN13" i="5"/>
  <c r="CT326" i="5"/>
  <c r="CR326" i="5" s="1"/>
  <c r="CR287" i="5"/>
  <c r="CR292" i="5" s="1"/>
  <c r="P292" i="5"/>
  <c r="BF326" i="5"/>
  <c r="BN326" i="5" s="1"/>
  <c r="BN287" i="5"/>
  <c r="BD287" i="5"/>
  <c r="BL287" i="5" s="1"/>
  <c r="BF292" i="5"/>
  <c r="BN292" i="5" s="1"/>
  <c r="BD272" i="5"/>
  <c r="BL272" i="5" s="1"/>
  <c r="Z326" i="5"/>
  <c r="Z292" i="5"/>
  <c r="BM201" i="5"/>
  <c r="BJ201" i="5" s="1"/>
  <c r="BB201" i="5"/>
  <c r="FD264" i="5"/>
  <c r="BT181" i="5"/>
  <c r="BT185" i="5" s="1"/>
  <c r="BR185" i="5"/>
  <c r="BP183" i="5"/>
  <c r="BX183" i="5"/>
  <c r="CN161" i="5"/>
  <c r="CN167" i="5"/>
  <c r="CW167" i="5"/>
  <c r="CW161" i="5"/>
  <c r="CK159" i="5"/>
  <c r="CK170" i="5"/>
  <c r="CK171" i="5" s="1"/>
  <c r="CS183" i="5"/>
  <c r="DA183" i="5"/>
  <c r="BY166" i="5"/>
  <c r="CC173" i="5"/>
  <c r="CC176" i="5" s="1"/>
  <c r="BX176" i="5"/>
  <c r="CA161" i="5"/>
  <c r="CO168" i="5"/>
  <c r="CP166" i="5"/>
  <c r="BZ158" i="5"/>
  <c r="BZ161" i="5" s="1"/>
  <c r="AB150" i="5"/>
  <c r="CF129" i="5"/>
  <c r="BX129" i="5"/>
  <c r="AB151" i="5"/>
  <c r="AE152" i="5"/>
  <c r="W152" i="5"/>
  <c r="EM132" i="5"/>
  <c r="AL140" i="5"/>
  <c r="Y142" i="5"/>
  <c r="CR89" i="5"/>
  <c r="CR88" i="5"/>
  <c r="R24" i="5"/>
  <c r="R37" i="5" s="1"/>
  <c r="CI41" i="5"/>
  <c r="CI69" i="5"/>
  <c r="CI77" i="5" s="1"/>
  <c r="CI92" i="5" s="1"/>
  <c r="CI115" i="5" s="1"/>
  <c r="R114" i="5"/>
  <c r="R100" i="5"/>
  <c r="F14" i="5"/>
  <c r="AD22" i="5"/>
  <c r="CE37" i="5"/>
  <c r="BO36" i="5"/>
  <c r="E14" i="5"/>
  <c r="CD24" i="5"/>
  <c r="CD37" i="5" s="1"/>
  <c r="CD13" i="5"/>
  <c r="CL34" i="5"/>
  <c r="AB24" i="5"/>
  <c r="AB14" i="5"/>
  <c r="AB13" i="5"/>
  <c r="AJ36" i="5" s="1"/>
  <c r="BZ27" i="5"/>
  <c r="CB27" i="5" s="1"/>
  <c r="CS35" i="5"/>
  <c r="BM13" i="5"/>
  <c r="AU239" i="5"/>
  <c r="AU14" i="5"/>
  <c r="Y14" i="5"/>
  <c r="D14" i="5"/>
  <c r="CP181" i="5"/>
  <c r="CP18" i="5"/>
  <c r="CP17" i="5"/>
  <c r="CP11" i="5"/>
  <c r="CD36" i="5"/>
  <c r="BV24" i="5"/>
  <c r="BV37" i="5" s="1"/>
  <c r="BV13" i="5"/>
  <c r="BK77" i="5"/>
  <c r="BC92" i="5"/>
  <c r="AM76" i="5"/>
  <c r="AM91" i="5" s="1"/>
  <c r="AM114" i="5" s="1"/>
  <c r="AM67" i="5"/>
  <c r="AJ35" i="5"/>
  <c r="CT24" i="5"/>
  <c r="CT37" i="5" s="1"/>
  <c r="CT13" i="5"/>
  <c r="BV34" i="5"/>
  <c r="AZ11" i="5"/>
  <c r="X17" i="5"/>
  <c r="BS24" i="5"/>
  <c r="BS37" i="5" s="1"/>
  <c r="CQ256" i="5"/>
  <c r="CQ119" i="5"/>
  <c r="CK24" i="5"/>
  <c r="CK37" i="5" s="1"/>
  <c r="CK13" i="5"/>
  <c r="CK14" i="5"/>
  <c r="Q104" i="4"/>
  <c r="S23" i="4"/>
  <c r="Q23" i="4"/>
  <c r="J83" i="4"/>
  <c r="AD114" i="4"/>
  <c r="I73" i="4"/>
  <c r="I83" i="4"/>
  <c r="Q93" i="4"/>
  <c r="Q35" i="4"/>
  <c r="Q73" i="4"/>
  <c r="Q62" i="4"/>
  <c r="P131" i="6" s="1"/>
  <c r="U32" i="4"/>
  <c r="L16" i="4"/>
  <c r="L64" i="6" s="1"/>
  <c r="M15" i="4"/>
  <c r="N55" i="6" l="1"/>
  <c r="N56" i="6" s="1"/>
  <c r="CR193" i="5"/>
  <c r="J298" i="9"/>
  <c r="L137" i="12"/>
  <c r="R213" i="9"/>
  <c r="R209" i="9" s="1"/>
  <c r="AD56" i="10"/>
  <c r="AC58" i="10"/>
  <c r="AD58" i="10" s="1"/>
  <c r="AY189" i="10"/>
  <c r="AY143" i="10"/>
  <c r="Q232" i="9"/>
  <c r="Q233" i="9" s="1"/>
  <c r="R83" i="9"/>
  <c r="BL187" i="10"/>
  <c r="BL143" i="10" s="1"/>
  <c r="BK143" i="10"/>
  <c r="N300" i="9"/>
  <c r="N20" i="9" s="1"/>
  <c r="N298" i="9"/>
  <c r="CP187" i="5"/>
  <c r="CP191" i="5" s="1"/>
  <c r="Q83" i="9"/>
  <c r="AH319" i="5"/>
  <c r="AV146" i="5"/>
  <c r="AT146" i="5"/>
  <c r="AX147" i="5"/>
  <c r="AW147" i="5" s="1"/>
  <c r="AW146" i="5" s="1"/>
  <c r="I83" i="9"/>
  <c r="E21" i="16"/>
  <c r="F21" i="16" s="1"/>
  <c r="AE192" i="10"/>
  <c r="AF192" i="10" s="1"/>
  <c r="AF200" i="10"/>
  <c r="AF164" i="10"/>
  <c r="AD163" i="10"/>
  <c r="AC164" i="10" s="1"/>
  <c r="AC167" i="10" s="1"/>
  <c r="DP198" i="5"/>
  <c r="AD204" i="10"/>
  <c r="AF204" i="10"/>
  <c r="AD82" i="10"/>
  <c r="AD110" i="10" s="1"/>
  <c r="AF82" i="10"/>
  <c r="AF110" i="10" s="1"/>
  <c r="AH15" i="10"/>
  <c r="AD86" i="10"/>
  <c r="AD114" i="10" s="1"/>
  <c r="AF86" i="10"/>
  <c r="AF114" i="10" s="1"/>
  <c r="AH19" i="10"/>
  <c r="AH195" i="10"/>
  <c r="AF194" i="10"/>
  <c r="AD194" i="10"/>
  <c r="AF84" i="10"/>
  <c r="AF112" i="10" s="1"/>
  <c r="AD84" i="10"/>
  <c r="AD112" i="10" s="1"/>
  <c r="AH17" i="10"/>
  <c r="AD83" i="10"/>
  <c r="AD111" i="10" s="1"/>
  <c r="AF83" i="10"/>
  <c r="AF111" i="10" s="1"/>
  <c r="AH16" i="10"/>
  <c r="AF190" i="10"/>
  <c r="AD189" i="10"/>
  <c r="AD190" i="10" s="1"/>
  <c r="AG166" i="10"/>
  <c r="F173" i="10"/>
  <c r="M83" i="9"/>
  <c r="CT191" i="5"/>
  <c r="DB191" i="5"/>
  <c r="K132" i="8"/>
  <c r="K133" i="8" s="1"/>
  <c r="P13" i="6"/>
  <c r="AG56" i="10"/>
  <c r="L136" i="12"/>
  <c r="CJ128" i="5"/>
  <c r="CJ129" i="5" s="1"/>
  <c r="T17" i="10"/>
  <c r="E130" i="8"/>
  <c r="E131" i="8" s="1"/>
  <c r="AX103" i="10"/>
  <c r="AV103" i="10" s="1"/>
  <c r="AO158" i="10"/>
  <c r="AN103" i="10"/>
  <c r="AJ103" i="10"/>
  <c r="J3" i="6"/>
  <c r="K4" i="6" s="1"/>
  <c r="AO103" i="10"/>
  <c r="AK103" i="10"/>
  <c r="AL103" i="10"/>
  <c r="AM103" i="10"/>
  <c r="L119" i="4"/>
  <c r="DE36" i="5"/>
  <c r="I3" i="6"/>
  <c r="I3" i="8"/>
  <c r="J4" i="8" s="1"/>
  <c r="E138" i="12"/>
  <c r="AE232" i="9"/>
  <c r="AE234" i="9" s="1"/>
  <c r="D173" i="10"/>
  <c r="N17" i="13"/>
  <c r="J90" i="6"/>
  <c r="X190" i="10"/>
  <c r="X191" i="10" s="1"/>
  <c r="X16" i="10"/>
  <c r="X15" i="10"/>
  <c r="X17" i="10"/>
  <c r="DJ290" i="5"/>
  <c r="V58" i="7"/>
  <c r="DJ316" i="5"/>
  <c r="DH316" i="5" s="1"/>
  <c r="DH48" i="5"/>
  <c r="F34" i="6"/>
  <c r="F106" i="12" s="1"/>
  <c r="F105" i="12" s="1"/>
  <c r="F107" i="12" s="1"/>
  <c r="CJ165" i="5"/>
  <c r="E137" i="12"/>
  <c r="CZ132" i="5"/>
  <c r="DH132" i="5"/>
  <c r="DB132" i="5"/>
  <c r="DJ132" i="5"/>
  <c r="X42" i="8"/>
  <c r="Y42" i="8" s="1"/>
  <c r="B74" i="7"/>
  <c r="C21" i="3"/>
  <c r="BD64" i="5"/>
  <c r="AX158" i="10"/>
  <c r="BF158" i="10" s="1"/>
  <c r="AL158" i="10"/>
  <c r="AI158" i="10"/>
  <c r="BE90" i="10"/>
  <c r="AM158" i="10"/>
  <c r="BB90" i="10"/>
  <c r="G63" i="10"/>
  <c r="AJ158" i="10"/>
  <c r="BC90" i="10"/>
  <c r="AN158" i="10"/>
  <c r="AZ90" i="10"/>
  <c r="DA160" i="5"/>
  <c r="DI160" i="5"/>
  <c r="CW168" i="5"/>
  <c r="DE168" i="5"/>
  <c r="BE106" i="11"/>
  <c r="BE119" i="11" s="1"/>
  <c r="BD225" i="5"/>
  <c r="N18" i="13"/>
  <c r="I137" i="12"/>
  <c r="I136" i="12"/>
  <c r="CB24" i="5"/>
  <c r="CB37" i="5" s="1"/>
  <c r="BT13" i="5"/>
  <c r="F36" i="6"/>
  <c r="F39" i="6" s="1"/>
  <c r="F42" i="6" s="1"/>
  <c r="F17" i="3" s="1"/>
  <c r="BT14" i="5"/>
  <c r="BJ128" i="5"/>
  <c r="BZ129" i="5" s="1"/>
  <c r="S87" i="6"/>
  <c r="S89" i="6" s="1"/>
  <c r="F55" i="6"/>
  <c r="F56" i="6" s="1"/>
  <c r="F61" i="6" s="1"/>
  <c r="F62" i="6" s="1"/>
  <c r="M242" i="9"/>
  <c r="BN90" i="10"/>
  <c r="BH90" i="10" s="1"/>
  <c r="BD90" i="10"/>
  <c r="AX104" i="10"/>
  <c r="AW104" i="10" s="1"/>
  <c r="F36" i="3"/>
  <c r="BT24" i="5"/>
  <c r="BT37" i="5" s="1"/>
  <c r="BB129" i="5"/>
  <c r="BB36" i="5" s="1"/>
  <c r="E90" i="6"/>
  <c r="H173" i="10"/>
  <c r="BA90" i="10"/>
  <c r="AN99" i="10"/>
  <c r="J132" i="8"/>
  <c r="J133" i="8" s="1"/>
  <c r="I131" i="8"/>
  <c r="L132" i="8"/>
  <c r="L133" i="8" s="1"/>
  <c r="L131" i="8"/>
  <c r="CV159" i="5"/>
  <c r="DD159" i="5"/>
  <c r="T199" i="10"/>
  <c r="T200" i="10" s="1"/>
  <c r="C132" i="8"/>
  <c r="O3" i="6"/>
  <c r="Q134" i="4"/>
  <c r="V8" i="3"/>
  <c r="V125" i="6" s="1"/>
  <c r="CV193" i="5"/>
  <c r="CV185" i="5"/>
  <c r="T16" i="10"/>
  <c r="W71" i="10"/>
  <c r="X71" i="10" s="1"/>
  <c r="T15" i="10"/>
  <c r="T57" i="10"/>
  <c r="V17" i="13"/>
  <c r="CU170" i="5"/>
  <c r="CU171" i="5" s="1"/>
  <c r="V187" i="10"/>
  <c r="U189" i="10"/>
  <c r="V189" i="10" s="1"/>
  <c r="V190" i="10" s="1"/>
  <c r="AO100" i="10"/>
  <c r="AK177" i="11"/>
  <c r="CU165" i="5"/>
  <c r="D132" i="8"/>
  <c r="H126" i="8"/>
  <c r="H128" i="8" s="1"/>
  <c r="H130" i="8" s="1"/>
  <c r="AF8" i="12"/>
  <c r="AK8" i="12" s="1"/>
  <c r="CB281" i="5"/>
  <c r="BZ14" i="5"/>
  <c r="CU158" i="5"/>
  <c r="DC161" i="5" s="1"/>
  <c r="D21" i="3"/>
  <c r="D75" i="3" s="1"/>
  <c r="CP193" i="5"/>
  <c r="CU159" i="5"/>
  <c r="Q7" i="13"/>
  <c r="V7" i="13" s="1"/>
  <c r="X19" i="12"/>
  <c r="AC19" i="12" s="1"/>
  <c r="I139" i="12"/>
  <c r="O132" i="8"/>
  <c r="O133" i="8" s="1"/>
  <c r="X16" i="9"/>
  <c r="X108" i="9" s="1"/>
  <c r="X112" i="9" s="1"/>
  <c r="P69" i="6"/>
  <c r="P80" i="6"/>
  <c r="P87" i="6" s="1"/>
  <c r="P89" i="6" s="1"/>
  <c r="CV158" i="5"/>
  <c r="S130" i="8"/>
  <c r="S131" i="8" s="1"/>
  <c r="E136" i="12"/>
  <c r="S58" i="8"/>
  <c r="S3" i="8" s="1"/>
  <c r="H71" i="6"/>
  <c r="H69" i="6" s="1"/>
  <c r="H67" i="6" s="1"/>
  <c r="H105" i="8" s="1"/>
  <c r="L191" i="10"/>
  <c r="AG84" i="11"/>
  <c r="AG85" i="11" s="1"/>
  <c r="AH83" i="11"/>
  <c r="AH150" i="11" s="1"/>
  <c r="BT274" i="5"/>
  <c r="AO99" i="10"/>
  <c r="Q130" i="8"/>
  <c r="Q131" i="8" s="1"/>
  <c r="Q58" i="8"/>
  <c r="Q3" i="8" s="1"/>
  <c r="S19" i="10"/>
  <c r="T19" i="10" s="1"/>
  <c r="J242" i="9"/>
  <c r="N91" i="6"/>
  <c r="O67" i="5"/>
  <c r="BZ13" i="5"/>
  <c r="AI100" i="10"/>
  <c r="E7" i="7"/>
  <c r="E9" i="7" s="1"/>
  <c r="E28" i="7" s="1"/>
  <c r="E72" i="7" s="1"/>
  <c r="AI99" i="10"/>
  <c r="AL99" i="10"/>
  <c r="BZ24" i="5"/>
  <c r="BZ37" i="5" s="1"/>
  <c r="R36" i="6"/>
  <c r="R39" i="6" s="1"/>
  <c r="R42" i="6" s="1"/>
  <c r="AJ99" i="10"/>
  <c r="AX99" i="10"/>
  <c r="BF99" i="10" s="1"/>
  <c r="AJ100" i="10"/>
  <c r="AY261" i="9"/>
  <c r="AZ261" i="9" s="1"/>
  <c r="DV163" i="5" s="1"/>
  <c r="E53" i="8"/>
  <c r="E54" i="8" s="1"/>
  <c r="E56" i="8" s="1"/>
  <c r="E58" i="8" s="1"/>
  <c r="K3" i="8"/>
  <c r="K4" i="8" s="1"/>
  <c r="G71" i="6"/>
  <c r="G69" i="6" s="1"/>
  <c r="N60" i="3"/>
  <c r="N61" i="3" s="1"/>
  <c r="N40" i="3" s="1"/>
  <c r="CU37" i="5"/>
  <c r="E91" i="6"/>
  <c r="AY197" i="10"/>
  <c r="AY199" i="10" s="1"/>
  <c r="AM99" i="10"/>
  <c r="AK100" i="10"/>
  <c r="N43" i="3"/>
  <c r="J7" i="7"/>
  <c r="J28" i="7" s="1"/>
  <c r="J35" i="7" s="1"/>
  <c r="J64" i="7" s="1"/>
  <c r="J122" i="6" s="1"/>
  <c r="J3" i="7"/>
  <c r="J4" i="7" s="1"/>
  <c r="M119" i="4"/>
  <c r="O3" i="7"/>
  <c r="G87" i="6"/>
  <c r="G89" i="6" s="1"/>
  <c r="J91" i="6"/>
  <c r="M17" i="13"/>
  <c r="M83" i="8"/>
  <c r="BU93" i="11"/>
  <c r="D87" i="6"/>
  <c r="D89" i="6" s="1"/>
  <c r="D53" i="8" s="1"/>
  <c r="D54" i="8" s="1"/>
  <c r="D56" i="8" s="1"/>
  <c r="D58" i="8" s="1"/>
  <c r="AB153" i="10"/>
  <c r="AB154" i="10" s="1"/>
  <c r="AJ156" i="10"/>
  <c r="AQ184" i="10"/>
  <c r="EU132" i="5"/>
  <c r="X219" i="9"/>
  <c r="R232" i="9"/>
  <c r="S240" i="9" s="1"/>
  <c r="W232" i="9"/>
  <c r="W233" i="9" s="1"/>
  <c r="F279" i="12"/>
  <c r="H25" i="3"/>
  <c r="CY159" i="5"/>
  <c r="CY158" i="5"/>
  <c r="DG161" i="5" s="1"/>
  <c r="G83" i="8"/>
  <c r="G81" i="8"/>
  <c r="M190" i="10"/>
  <c r="M192" i="10" s="1"/>
  <c r="N192" i="10" s="1"/>
  <c r="AM100" i="10"/>
  <c r="AL100" i="10"/>
  <c r="K3" i="7"/>
  <c r="H29" i="3"/>
  <c r="CY165" i="5"/>
  <c r="H12" i="6"/>
  <c r="BR34" i="5"/>
  <c r="F83" i="9"/>
  <c r="AN100" i="10"/>
  <c r="DS163" i="5"/>
  <c r="CY170" i="5"/>
  <c r="CY171" i="5" s="1"/>
  <c r="O19" i="10"/>
  <c r="P19" i="10" s="1"/>
  <c r="N19" i="10" s="1"/>
  <c r="AB190" i="10"/>
  <c r="AG189" i="10"/>
  <c r="P191" i="10"/>
  <c r="AN104" i="10"/>
  <c r="S190" i="10"/>
  <c r="S192" i="10" s="1"/>
  <c r="T192" i="10" s="1"/>
  <c r="AN119" i="10"/>
  <c r="AL119" i="10"/>
  <c r="H67" i="10"/>
  <c r="F67" i="10"/>
  <c r="C157" i="10"/>
  <c r="C159" i="10" s="1"/>
  <c r="C173" i="10" s="1"/>
  <c r="C67" i="10"/>
  <c r="C12" i="10" s="1"/>
  <c r="BF156" i="10"/>
  <c r="BN156" i="10" s="1"/>
  <c r="E209" i="10"/>
  <c r="E157" i="10"/>
  <c r="E159" i="10" s="1"/>
  <c r="E173" i="10" s="1"/>
  <c r="E67" i="10"/>
  <c r="I67" i="10"/>
  <c r="G157" i="10"/>
  <c r="G159" i="10" s="1"/>
  <c r="G173" i="10" s="1"/>
  <c r="B67" i="10"/>
  <c r="B12" i="10" s="1"/>
  <c r="O237" i="9"/>
  <c r="X236" i="9"/>
  <c r="X237" i="9" s="1"/>
  <c r="X213" i="9"/>
  <c r="S237" i="9"/>
  <c r="P236" i="9"/>
  <c r="P232" i="9" s="1"/>
  <c r="P213" i="9"/>
  <c r="V236" i="9"/>
  <c r="V237" i="9" s="1"/>
  <c r="V213" i="9"/>
  <c r="T236" i="9"/>
  <c r="T237" i="9" s="1"/>
  <c r="T213" i="9"/>
  <c r="S209" i="9"/>
  <c r="S214" i="9"/>
  <c r="Q214" i="9"/>
  <c r="Q209" i="9"/>
  <c r="Q210" i="9" s="1"/>
  <c r="W209" i="9"/>
  <c r="W210" i="9" s="1"/>
  <c r="W214" i="9"/>
  <c r="U236" i="9"/>
  <c r="U232" i="9" s="1"/>
  <c r="U213" i="9"/>
  <c r="N236" i="9"/>
  <c r="N237" i="9" s="1"/>
  <c r="N213" i="9"/>
  <c r="O209" i="9"/>
  <c r="O210" i="9" s="1"/>
  <c r="O214" i="9"/>
  <c r="S233" i="9"/>
  <c r="O233" i="9"/>
  <c r="P319" i="5"/>
  <c r="CU13" i="5"/>
  <c r="V24" i="5"/>
  <c r="CU24" i="5"/>
  <c r="AJ119" i="10"/>
  <c r="AX119" i="10"/>
  <c r="AT119" i="10" s="1"/>
  <c r="AM119" i="10"/>
  <c r="AO119" i="10"/>
  <c r="G117" i="8"/>
  <c r="B60" i="3"/>
  <c r="R130" i="8"/>
  <c r="R131" i="8" s="1"/>
  <c r="M13" i="6"/>
  <c r="M14" i="3" s="1"/>
  <c r="AI119" i="10"/>
  <c r="BD11" i="5"/>
  <c r="BD14" i="5" s="1"/>
  <c r="AI104" i="10"/>
  <c r="AK104" i="10"/>
  <c r="M12" i="6"/>
  <c r="P58" i="8"/>
  <c r="P3" i="8" s="1"/>
  <c r="AU156" i="10"/>
  <c r="AV156" i="10" s="1"/>
  <c r="AJ104" i="10"/>
  <c r="AO104" i="10"/>
  <c r="BM124" i="11"/>
  <c r="BM107" i="11"/>
  <c r="AL219" i="12"/>
  <c r="AL218" i="12" s="1"/>
  <c r="AL224" i="12" s="1"/>
  <c r="F66" i="6"/>
  <c r="F81" i="6" s="1"/>
  <c r="BT129" i="5"/>
  <c r="AM104" i="10"/>
  <c r="C70" i="6"/>
  <c r="J83" i="9"/>
  <c r="I242" i="9"/>
  <c r="R7" i="7"/>
  <c r="CT168" i="5"/>
  <c r="C81" i="6"/>
  <c r="J111" i="8"/>
  <c r="BL13" i="5"/>
  <c r="R55" i="6"/>
  <c r="R56" i="6" s="1"/>
  <c r="R61" i="6" s="1"/>
  <c r="R62" i="6" s="1"/>
  <c r="Q54" i="10"/>
  <c r="AR184" i="10"/>
  <c r="AU184" i="10"/>
  <c r="K58" i="10"/>
  <c r="BJ13" i="5"/>
  <c r="AS184" i="10"/>
  <c r="K15" i="10"/>
  <c r="L15" i="10" s="1"/>
  <c r="Q15" i="10" s="1"/>
  <c r="CX123" i="5"/>
  <c r="CX127" i="5" s="1"/>
  <c r="R36" i="3"/>
  <c r="B173" i="10"/>
  <c r="P130" i="8"/>
  <c r="CL168" i="5"/>
  <c r="N90" i="6"/>
  <c r="R34" i="6"/>
  <c r="BF184" i="10"/>
  <c r="CK153" i="11" s="1"/>
  <c r="BC199" i="10"/>
  <c r="BD199" i="10" s="1"/>
  <c r="BB199" i="10" s="1"/>
  <c r="BA200" i="10" s="1"/>
  <c r="J12" i="6"/>
  <c r="DX74" i="5"/>
  <c r="C111" i="8"/>
  <c r="I111" i="8"/>
  <c r="O169" i="9"/>
  <c r="O161" i="9" s="1"/>
  <c r="BM54" i="10"/>
  <c r="M136" i="12"/>
  <c r="CS168" i="5"/>
  <c r="CP179" i="5"/>
  <c r="CP183" i="5" s="1"/>
  <c r="CT183" i="5"/>
  <c r="CR179" i="5"/>
  <c r="AB7" i="12" s="1"/>
  <c r="G83" i="6"/>
  <c r="C87" i="6"/>
  <c r="C89" i="6" s="1"/>
  <c r="C53" i="8" s="1"/>
  <c r="C54" i="3" s="1"/>
  <c r="M132" i="8"/>
  <c r="M133" i="8" s="1"/>
  <c r="F119" i="4"/>
  <c r="U57" i="6"/>
  <c r="U61" i="6"/>
  <c r="U62" i="6" s="1"/>
  <c r="R90" i="6"/>
  <c r="D81" i="6"/>
  <c r="V144" i="10"/>
  <c r="V16" i="13"/>
  <c r="DI29" i="5" s="1"/>
  <c r="AN282" i="5"/>
  <c r="CK34" i="5"/>
  <c r="CK36" i="5" s="1"/>
  <c r="Z9" i="9"/>
  <c r="Z10" i="9" s="1"/>
  <c r="Z11" i="9" s="1"/>
  <c r="CV19" i="5"/>
  <c r="U7" i="7"/>
  <c r="U9" i="7" s="1"/>
  <c r="U90" i="6"/>
  <c r="U91" i="6"/>
  <c r="V56" i="3"/>
  <c r="U58" i="3"/>
  <c r="EV132" i="5"/>
  <c r="F111" i="8"/>
  <c r="BS67" i="5"/>
  <c r="CB272" i="5"/>
  <c r="AY14" i="5"/>
  <c r="CB282" i="5"/>
  <c r="BF13" i="5"/>
  <c r="BD13" i="5" s="1"/>
  <c r="BC14" i="5"/>
  <c r="BF24" i="5"/>
  <c r="BF37" i="5" s="1"/>
  <c r="CJ127" i="5"/>
  <c r="CW13" i="5"/>
  <c r="CP161" i="5"/>
  <c r="N16" i="9"/>
  <c r="N108" i="9" s="1"/>
  <c r="N112" i="9" s="1"/>
  <c r="CW37" i="5"/>
  <c r="I157" i="10"/>
  <c r="I159" i="10" s="1"/>
  <c r="I173" i="10" s="1"/>
  <c r="N278" i="12"/>
  <c r="AZ187" i="10"/>
  <c r="AZ143" i="10" s="1"/>
  <c r="BR142" i="10"/>
  <c r="K74" i="6"/>
  <c r="N147" i="10"/>
  <c r="CG168" i="5"/>
  <c r="T58" i="8"/>
  <c r="T3" i="8" s="1"/>
  <c r="DA34" i="5"/>
  <c r="P169" i="9"/>
  <c r="P161" i="9" s="1"/>
  <c r="D33" i="10"/>
  <c r="P177" i="9" s="1"/>
  <c r="AW144" i="10"/>
  <c r="AG156" i="10"/>
  <c r="BE197" i="10"/>
  <c r="AO125" i="10"/>
  <c r="T231" i="12"/>
  <c r="T234" i="12" s="1"/>
  <c r="T235" i="12" s="1"/>
  <c r="S231" i="12"/>
  <c r="S234" i="12" s="1"/>
  <c r="S235" i="12" s="1"/>
  <c r="B7" i="3"/>
  <c r="B10" i="3" s="1"/>
  <c r="D136" i="12"/>
  <c r="I91" i="6"/>
  <c r="AI163" i="10"/>
  <c r="AJ163" i="10" s="1"/>
  <c r="AI164" i="10" s="1"/>
  <c r="AI167" i="10" s="1"/>
  <c r="AN125" i="10"/>
  <c r="U231" i="12"/>
  <c r="U234" i="12" s="1"/>
  <c r="U235" i="12" s="1"/>
  <c r="V231" i="12"/>
  <c r="V234" i="12" s="1"/>
  <c r="V235" i="12" s="1"/>
  <c r="M137" i="12"/>
  <c r="O279" i="12"/>
  <c r="AL232" i="12"/>
  <c r="AL231" i="12" s="1"/>
  <c r="G279" i="12"/>
  <c r="Q14" i="3"/>
  <c r="Q29" i="3" s="1"/>
  <c r="BB6" i="5"/>
  <c r="BB20" i="5" s="1"/>
  <c r="N42" i="3"/>
  <c r="Z319" i="5"/>
  <c r="X319" i="5" s="1"/>
  <c r="I90" i="6"/>
  <c r="W280" i="9"/>
  <c r="AG135" i="11"/>
  <c r="AG152" i="11" s="1"/>
  <c r="AG149" i="11" s="1"/>
  <c r="N30" i="3"/>
  <c r="CJ34" i="5"/>
  <c r="CJ36" i="5" s="1"/>
  <c r="C67" i="6"/>
  <c r="C105" i="8" s="1"/>
  <c r="T83" i="9"/>
  <c r="V54" i="10"/>
  <c r="CH34" i="5"/>
  <c r="BS119" i="5"/>
  <c r="AK125" i="10"/>
  <c r="N163" i="12"/>
  <c r="M7" i="13"/>
  <c r="K7" i="13" s="1"/>
  <c r="R30" i="3"/>
  <c r="J80" i="10"/>
  <c r="D138" i="12"/>
  <c r="EP132" i="5"/>
  <c r="EX132" i="5"/>
  <c r="AX125" i="10"/>
  <c r="AR125" i="10" s="1"/>
  <c r="CT39" i="5"/>
  <c r="CT50" i="5" s="1"/>
  <c r="CT76" i="5" s="1"/>
  <c r="CT91" i="5" s="1"/>
  <c r="CW24" i="5"/>
  <c r="V14" i="5"/>
  <c r="G126" i="8"/>
  <c r="G128" i="8" s="1"/>
  <c r="G130" i="8" s="1"/>
  <c r="H83" i="9"/>
  <c r="S45" i="10"/>
  <c r="S71" i="10" s="1"/>
  <c r="Q144" i="10"/>
  <c r="AG144" i="10"/>
  <c r="BM166" i="10"/>
  <c r="V197" i="10"/>
  <c r="AC144" i="10"/>
  <c r="AB197" i="10"/>
  <c r="AM125" i="10"/>
  <c r="AL125" i="10"/>
  <c r="M138" i="12"/>
  <c r="DX125" i="5"/>
  <c r="D74" i="6"/>
  <c r="R58" i="8"/>
  <c r="R3" i="6" s="1"/>
  <c r="F85" i="10"/>
  <c r="E18" i="10"/>
  <c r="E20" i="10" s="1"/>
  <c r="CN168" i="5"/>
  <c r="P16" i="9"/>
  <c r="P108" i="9" s="1"/>
  <c r="P112" i="9" s="1"/>
  <c r="Q161" i="10"/>
  <c r="AT190" i="10"/>
  <c r="AI125" i="10"/>
  <c r="X281" i="5"/>
  <c r="X282" i="5" s="1"/>
  <c r="BB142" i="10"/>
  <c r="AT147" i="10"/>
  <c r="K111" i="8"/>
  <c r="EH132" i="5"/>
  <c r="D137" i="12"/>
  <c r="AK98" i="10"/>
  <c r="AM98" i="10"/>
  <c r="AN98" i="10"/>
  <c r="AL98" i="10"/>
  <c r="AO98" i="10"/>
  <c r="AI98" i="10"/>
  <c r="AJ98" i="10"/>
  <c r="AX98" i="10"/>
  <c r="AR190" i="10"/>
  <c r="AW189" i="10"/>
  <c r="AQ190" i="10"/>
  <c r="CL39" i="5"/>
  <c r="AP39" i="5"/>
  <c r="BX177" i="5"/>
  <c r="D66" i="7"/>
  <c r="D67" i="7" s="1"/>
  <c r="C59" i="3"/>
  <c r="C60" i="3" s="1"/>
  <c r="C49" i="3"/>
  <c r="H209" i="10"/>
  <c r="AG75" i="11"/>
  <c r="CC124" i="11"/>
  <c r="L14" i="3"/>
  <c r="L14" i="6"/>
  <c r="W82" i="3"/>
  <c r="E67" i="6"/>
  <c r="E105" i="8" s="1"/>
  <c r="E70" i="6"/>
  <c r="CJ166" i="5"/>
  <c r="CH166" i="5"/>
  <c r="O51" i="3"/>
  <c r="AV95" i="10"/>
  <c r="AT95" i="10"/>
  <c r="AQ95" i="10"/>
  <c r="AR95" i="10"/>
  <c r="AS95" i="10"/>
  <c r="BF95" i="10"/>
  <c r="AW95" i="10"/>
  <c r="AU95" i="10"/>
  <c r="BT281" i="5"/>
  <c r="BT282" i="5" s="1"/>
  <c r="BV282" i="5"/>
  <c r="CZ163" i="5"/>
  <c r="CZ125" i="5"/>
  <c r="P13" i="3"/>
  <c r="Q24" i="3" s="1"/>
  <c r="P11" i="6"/>
  <c r="P12" i="6" s="1"/>
  <c r="P109" i="8"/>
  <c r="P88" i="8"/>
  <c r="E74" i="6"/>
  <c r="E81" i="6"/>
  <c r="DB117" i="5"/>
  <c r="CZ117" i="5" s="1"/>
  <c r="U5" i="3"/>
  <c r="U6" i="3" s="1"/>
  <c r="Q30" i="3"/>
  <c r="Q71" i="3"/>
  <c r="CJ281" i="5"/>
  <c r="CL282" i="5"/>
  <c r="CJ282" i="5" s="1"/>
  <c r="Y76" i="6"/>
  <c r="X192" i="8"/>
  <c r="BA187" i="10"/>
  <c r="EX74" i="5"/>
  <c r="AG134" i="11"/>
  <c r="AG183" i="11"/>
  <c r="K24" i="3"/>
  <c r="K30" i="3"/>
  <c r="K71" i="3"/>
  <c r="P21" i="6"/>
  <c r="S24" i="3"/>
  <c r="S71" i="3"/>
  <c r="T24" i="3"/>
  <c r="S30" i="3"/>
  <c r="AH39" i="5"/>
  <c r="EP163" i="5"/>
  <c r="EP125" i="5"/>
  <c r="BS261" i="9"/>
  <c r="EO163" i="5" s="1"/>
  <c r="BQ261" i="9"/>
  <c r="BM261" i="9"/>
  <c r="BR261" i="9"/>
  <c r="M87" i="6"/>
  <c r="M89" i="6" s="1"/>
  <c r="M83" i="6"/>
  <c r="D111" i="8"/>
  <c r="Z35" i="6"/>
  <c r="EH103" i="5"/>
  <c r="EE103" i="5" s="1"/>
  <c r="EF103" i="5" s="1"/>
  <c r="J55" i="6"/>
  <c r="J56" i="6" s="1"/>
  <c r="J36" i="3"/>
  <c r="J36" i="6"/>
  <c r="J39" i="6" s="1"/>
  <c r="J42" i="6" s="1"/>
  <c r="J34" i="6"/>
  <c r="G106" i="8"/>
  <c r="H111" i="8" s="1"/>
  <c r="G66" i="6"/>
  <c r="AP325" i="5"/>
  <c r="AP332" i="5" s="1"/>
  <c r="L106" i="8"/>
  <c r="L111" i="8" s="1"/>
  <c r="L66" i="6"/>
  <c r="L81" i="6" s="1"/>
  <c r="CH193" i="5"/>
  <c r="Y26" i="7"/>
  <c r="EH112" i="5"/>
  <c r="EE112" i="5" s="1"/>
  <c r="EF112" i="5" s="1"/>
  <c r="F209" i="10"/>
  <c r="BB197" i="10"/>
  <c r="BF152" i="5"/>
  <c r="BE148" i="5"/>
  <c r="BE152" i="5" s="1"/>
  <c r="BB148" i="5"/>
  <c r="BB152" i="5" s="1"/>
  <c r="BD148" i="5"/>
  <c r="BD152" i="5" s="1"/>
  <c r="EF132" i="5"/>
  <c r="L24" i="3"/>
  <c r="L71" i="3"/>
  <c r="V107" i="6"/>
  <c r="DH10" i="5"/>
  <c r="DX109" i="5"/>
  <c r="Z40" i="6"/>
  <c r="EH109" i="5"/>
  <c r="DB128" i="5"/>
  <c r="DB127" i="5"/>
  <c r="L83" i="6"/>
  <c r="L87" i="6"/>
  <c r="L89" i="6" s="1"/>
  <c r="Y8" i="8"/>
  <c r="E36" i="3"/>
  <c r="E36" i="6"/>
  <c r="E39" i="6" s="1"/>
  <c r="E42" i="6" s="1"/>
  <c r="E34" i="6"/>
  <c r="E55" i="6"/>
  <c r="E56" i="6" s="1"/>
  <c r="X24" i="8"/>
  <c r="X86" i="6"/>
  <c r="EX163" i="5"/>
  <c r="EX125" i="5"/>
  <c r="CA261" i="9"/>
  <c r="EW163" i="5" s="1"/>
  <c r="BY261" i="9"/>
  <c r="BU261" i="9"/>
  <c r="BZ261" i="9"/>
  <c r="I74" i="6"/>
  <c r="I81" i="6"/>
  <c r="L30" i="3"/>
  <c r="N24" i="3"/>
  <c r="L3" i="8"/>
  <c r="L3" i="7"/>
  <c r="L3" i="6"/>
  <c r="L4" i="6" s="1"/>
  <c r="CR128" i="5"/>
  <c r="CR127" i="5"/>
  <c r="EP48" i="5"/>
  <c r="EM48" i="5" s="1"/>
  <c r="EN48" i="5" s="1"/>
  <c r="Z19" i="6"/>
  <c r="AA72" i="6"/>
  <c r="Z193" i="8"/>
  <c r="DB259" i="5"/>
  <c r="CZ259" i="5" s="1"/>
  <c r="AC47" i="4"/>
  <c r="EP58" i="5"/>
  <c r="Z88" i="3"/>
  <c r="B70" i="6"/>
  <c r="B67" i="6"/>
  <c r="B105" i="8" s="1"/>
  <c r="K80" i="6"/>
  <c r="K69" i="6"/>
  <c r="N15" i="13"/>
  <c r="DA5" i="5"/>
  <c r="DA19" i="5" s="1"/>
  <c r="DX103" i="5"/>
  <c r="W193" i="10"/>
  <c r="X193" i="10" s="1"/>
  <c r="C45" i="3"/>
  <c r="C75" i="3"/>
  <c r="AV198" i="5"/>
  <c r="AL198" i="5"/>
  <c r="AT198" i="5" s="1"/>
  <c r="J29" i="3"/>
  <c r="J25" i="3"/>
  <c r="P113" i="8"/>
  <c r="DZ265" i="5"/>
  <c r="G13" i="3"/>
  <c r="G11" i="6"/>
  <c r="G12" i="6" s="1"/>
  <c r="G109" i="8"/>
  <c r="CS193" i="5"/>
  <c r="M71" i="3"/>
  <c r="M30" i="3"/>
  <c r="M24" i="3"/>
  <c r="X50" i="8"/>
  <c r="O7" i="3"/>
  <c r="O10" i="3" s="1"/>
  <c r="O60" i="3"/>
  <c r="O61" i="3" s="1"/>
  <c r="O63" i="3" s="1"/>
  <c r="AS166" i="10"/>
  <c r="AT166" i="10" s="1"/>
  <c r="O80" i="6"/>
  <c r="O69" i="6"/>
  <c r="N14" i="3"/>
  <c r="N14" i="6"/>
  <c r="V40" i="10"/>
  <c r="X45" i="10"/>
  <c r="I71" i="6"/>
  <c r="I69" i="6" s="1"/>
  <c r="I119" i="4"/>
  <c r="X30" i="8"/>
  <c r="P36" i="3"/>
  <c r="P34" i="6"/>
  <c r="P36" i="6"/>
  <c r="P39" i="6" s="1"/>
  <c r="P42" i="6" s="1"/>
  <c r="F13" i="3"/>
  <c r="F29" i="3" s="1"/>
  <c r="F11" i="6"/>
  <c r="F12" i="6" s="1"/>
  <c r="F117" i="8"/>
  <c r="F113" i="8"/>
  <c r="F109" i="8"/>
  <c r="BF282" i="5"/>
  <c r="BN282" i="5" s="1"/>
  <c r="BN281" i="5"/>
  <c r="BD281" i="5"/>
  <c r="CS127" i="5"/>
  <c r="CS128" i="5"/>
  <c r="Y69" i="7"/>
  <c r="DZ300" i="5"/>
  <c r="EE58" i="5"/>
  <c r="EF58" i="5" s="1"/>
  <c r="Q69" i="6"/>
  <c r="Q80" i="6"/>
  <c r="B83" i="6"/>
  <c r="B87" i="6"/>
  <c r="B89" i="6" s="1"/>
  <c r="B81" i="6"/>
  <c r="D67" i="6"/>
  <c r="D105" i="8" s="1"/>
  <c r="DA189" i="5"/>
  <c r="DA193" i="5" s="1"/>
  <c r="DA191" i="5"/>
  <c r="H83" i="8"/>
  <c r="H81" i="8"/>
  <c r="K13" i="6"/>
  <c r="K14" i="3" s="1"/>
  <c r="K12" i="6"/>
  <c r="DZ127" i="5"/>
  <c r="DZ128" i="5"/>
  <c r="J71" i="3"/>
  <c r="CD39" i="5"/>
  <c r="J30" i="3"/>
  <c r="V9" i="3"/>
  <c r="V55" i="3"/>
  <c r="H83" i="6"/>
  <c r="H87" i="6"/>
  <c r="H89" i="6" s="1"/>
  <c r="H81" i="6"/>
  <c r="S14" i="6"/>
  <c r="S14" i="3"/>
  <c r="O14" i="3"/>
  <c r="O14" i="6"/>
  <c r="P117" i="8"/>
  <c r="M15" i="8"/>
  <c r="M28" i="8" s="1"/>
  <c r="M58" i="8" s="1"/>
  <c r="U196" i="9"/>
  <c r="AL5" i="11" s="1"/>
  <c r="S117" i="9"/>
  <c r="V117" i="9"/>
  <c r="L70" i="6"/>
  <c r="V16" i="9"/>
  <c r="V108" i="9" s="1"/>
  <c r="V112" i="9" s="1"/>
  <c r="L161" i="10"/>
  <c r="AJ197" i="10"/>
  <c r="AS190" i="10"/>
  <c r="N161" i="10"/>
  <c r="AB161" i="10"/>
  <c r="AR197" i="10"/>
  <c r="AL148" i="5"/>
  <c r="AL152" i="5" s="1"/>
  <c r="AN148" i="5"/>
  <c r="AP153" i="5"/>
  <c r="AP152" i="5"/>
  <c r="R14" i="3"/>
  <c r="R14" i="6"/>
  <c r="DB284" i="5"/>
  <c r="CZ284" i="5" s="1"/>
  <c r="E81" i="10"/>
  <c r="AC29" i="9"/>
  <c r="AC31" i="9"/>
  <c r="AC32" i="9" s="1"/>
  <c r="AR166" i="10"/>
  <c r="O30" i="3"/>
  <c r="O71" i="3"/>
  <c r="O24" i="3"/>
  <c r="F25" i="3"/>
  <c r="G25" i="3"/>
  <c r="L81" i="8"/>
  <c r="L83" i="8"/>
  <c r="CL102" i="5"/>
  <c r="CJ102" i="5" s="1"/>
  <c r="S32" i="6"/>
  <c r="BV39" i="5"/>
  <c r="I29" i="3"/>
  <c r="I25" i="3"/>
  <c r="DZ86" i="5"/>
  <c r="X22" i="8"/>
  <c r="Z330" i="5"/>
  <c r="T130" i="8"/>
  <c r="P14" i="6"/>
  <c r="P14" i="3"/>
  <c r="E111" i="8"/>
  <c r="BD189" i="10"/>
  <c r="BC190" i="10" s="1"/>
  <c r="AZ189" i="10"/>
  <c r="EH46" i="5"/>
  <c r="I12" i="6"/>
  <c r="CV18" i="5"/>
  <c r="CH170" i="5"/>
  <c r="CH159" i="5"/>
  <c r="B75" i="3"/>
  <c r="B45" i="3"/>
  <c r="J67" i="6"/>
  <c r="J105" i="8" s="1"/>
  <c r="J74" i="6"/>
  <c r="CY13" i="5"/>
  <c r="CY24" i="5"/>
  <c r="CK128" i="5"/>
  <c r="CK129" i="5" s="1"/>
  <c r="CK127" i="5"/>
  <c r="DW163" i="5"/>
  <c r="N15" i="8"/>
  <c r="N28" i="8" s="1"/>
  <c r="N58" i="8" s="1"/>
  <c r="R24" i="3"/>
  <c r="T14" i="6"/>
  <c r="T14" i="3"/>
  <c r="X105" i="6"/>
  <c r="Y4" i="3"/>
  <c r="H106" i="12"/>
  <c r="H105" i="12" s="1"/>
  <c r="H107" i="12" s="1"/>
  <c r="H35" i="3"/>
  <c r="H16" i="3" s="1"/>
  <c r="I106" i="12"/>
  <c r="I105" i="12" s="1"/>
  <c r="I107" i="12" s="1"/>
  <c r="I35" i="3"/>
  <c r="I16" i="3" s="1"/>
  <c r="K17" i="3"/>
  <c r="N17" i="3"/>
  <c r="L17" i="3"/>
  <c r="Q35" i="3"/>
  <c r="Q16" i="3" s="1"/>
  <c r="Q279" i="12"/>
  <c r="AB18" i="12"/>
  <c r="DB261" i="5"/>
  <c r="K106" i="12"/>
  <c r="K105" i="12" s="1"/>
  <c r="K107" i="12" s="1"/>
  <c r="K35" i="3"/>
  <c r="K16" i="3" s="1"/>
  <c r="M106" i="12"/>
  <c r="M105" i="12" s="1"/>
  <c r="M107" i="12" s="1"/>
  <c r="M35" i="3"/>
  <c r="M16" i="3" s="1"/>
  <c r="G17" i="3"/>
  <c r="O17" i="3"/>
  <c r="T7" i="7"/>
  <c r="U62" i="3"/>
  <c r="K83" i="9"/>
  <c r="M5" i="13"/>
  <c r="CZ187" i="5"/>
  <c r="AH256" i="5"/>
  <c r="AH268" i="5" s="1"/>
  <c r="AH273" i="5" s="1"/>
  <c r="AH296" i="5" s="1"/>
  <c r="N28" i="7"/>
  <c r="DB29" i="5"/>
  <c r="DA166" i="5"/>
  <c r="I17" i="3"/>
  <c r="N106" i="12"/>
  <c r="N105" i="12" s="1"/>
  <c r="N107" i="12" s="1"/>
  <c r="N35" i="3"/>
  <c r="N16" i="3" s="1"/>
  <c r="F53" i="8"/>
  <c r="F7" i="7"/>
  <c r="F9" i="7" s="1"/>
  <c r="F28" i="7" s="1"/>
  <c r="G106" i="12"/>
  <c r="G105" i="12" s="1"/>
  <c r="G107" i="12" s="1"/>
  <c r="G35" i="3"/>
  <c r="G16" i="3" s="1"/>
  <c r="O35" i="3"/>
  <c r="O16" i="3" s="1"/>
  <c r="Q17" i="3"/>
  <c r="L83" i="9"/>
  <c r="CR156" i="5"/>
  <c r="CT159" i="5"/>
  <c r="CT165" i="5"/>
  <c r="CP165" i="5" s="1"/>
  <c r="CT170" i="5"/>
  <c r="CP156" i="5"/>
  <c r="CC93" i="11"/>
  <c r="I72" i="7"/>
  <c r="I35" i="7"/>
  <c r="I64" i="7" s="1"/>
  <c r="I122" i="6" s="1"/>
  <c r="H17" i="3"/>
  <c r="M17" i="3"/>
  <c r="L106" i="12"/>
  <c r="L105" i="12" s="1"/>
  <c r="L107" i="12" s="1"/>
  <c r="L35" i="3"/>
  <c r="L16" i="3" s="1"/>
  <c r="W16" i="9"/>
  <c r="W108" i="9" s="1"/>
  <c r="W112" i="9" s="1"/>
  <c r="N83" i="9"/>
  <c r="O216" i="12"/>
  <c r="M6" i="13"/>
  <c r="K6" i="13" s="1"/>
  <c r="FD132" i="5"/>
  <c r="EN132" i="5"/>
  <c r="K4" i="13"/>
  <c r="BC37" i="13"/>
  <c r="AR37" i="13"/>
  <c r="U6" i="13"/>
  <c r="AD234" i="12"/>
  <c r="AD235" i="12" s="1"/>
  <c r="AD228" i="12"/>
  <c r="AD225" i="12"/>
  <c r="F137" i="12"/>
  <c r="G137" i="12"/>
  <c r="BJ172" i="12"/>
  <c r="BB174" i="12"/>
  <c r="BB212" i="12"/>
  <c r="J139" i="12"/>
  <c r="K139" i="12"/>
  <c r="N173" i="12"/>
  <c r="N178" i="12" s="1"/>
  <c r="N172" i="12"/>
  <c r="N177" i="12" s="1"/>
  <c r="N171" i="12"/>
  <c r="N176" i="12" s="1"/>
  <c r="N277" i="12"/>
  <c r="N273" i="12"/>
  <c r="N276" i="12"/>
  <c r="N216" i="12"/>
  <c r="N232" i="12"/>
  <c r="N225" i="12"/>
  <c r="N247" i="12"/>
  <c r="N238" i="12"/>
  <c r="N253" i="12"/>
  <c r="F136" i="12"/>
  <c r="G136" i="12"/>
  <c r="AT215" i="12"/>
  <c r="J136" i="12"/>
  <c r="K136" i="12"/>
  <c r="O163" i="12"/>
  <c r="O161" i="12"/>
  <c r="CE38" i="12"/>
  <c r="M161" i="12"/>
  <c r="M174" i="12"/>
  <c r="M163" i="12"/>
  <c r="U93" i="12"/>
  <c r="U96" i="12" s="1"/>
  <c r="U97" i="12" s="1"/>
  <c r="CH69" i="12"/>
  <c r="O169" i="12"/>
  <c r="O174" i="12" s="1"/>
  <c r="Q181" i="12"/>
  <c r="Q169" i="12" s="1"/>
  <c r="Q174" i="12" s="1"/>
  <c r="M277" i="12"/>
  <c r="M273" i="12"/>
  <c r="M247" i="12"/>
  <c r="M302" i="12"/>
  <c r="M258" i="12"/>
  <c r="M216" i="12"/>
  <c r="M232" i="12"/>
  <c r="M225" i="12"/>
  <c r="M235" i="12"/>
  <c r="M276" i="12"/>
  <c r="M238" i="12"/>
  <c r="M253" i="12"/>
  <c r="BR173" i="12"/>
  <c r="T238" i="12"/>
  <c r="S237" i="12"/>
  <c r="DB179" i="5"/>
  <c r="P197" i="12"/>
  <c r="B132" i="12"/>
  <c r="B133" i="12" s="1"/>
  <c r="C139" i="12"/>
  <c r="F138" i="12"/>
  <c r="G138" i="12"/>
  <c r="T93" i="12"/>
  <c r="T96" i="12" s="1"/>
  <c r="T97" i="12" s="1"/>
  <c r="V93" i="12"/>
  <c r="V96" i="12" s="1"/>
  <c r="V97" i="12" s="1"/>
  <c r="AD93" i="12"/>
  <c r="AD96" i="12" s="1"/>
  <c r="AD97" i="12" s="1"/>
  <c r="BZ171" i="12"/>
  <c r="J137" i="12"/>
  <c r="K137" i="12"/>
  <c r="AT187" i="12"/>
  <c r="BG31" i="12"/>
  <c r="AL93" i="12"/>
  <c r="AL96" i="12" s="1"/>
  <c r="F139" i="12"/>
  <c r="G139" i="12"/>
  <c r="N174" i="12"/>
  <c r="L197" i="12"/>
  <c r="J138" i="12"/>
  <c r="K138" i="12"/>
  <c r="Q163" i="12"/>
  <c r="Q161" i="12"/>
  <c r="N235" i="12"/>
  <c r="S246" i="12"/>
  <c r="T247" i="12"/>
  <c r="CK124" i="11"/>
  <c r="AK148" i="11"/>
  <c r="AL155" i="11"/>
  <c r="AO121" i="11"/>
  <c r="AO108" i="11"/>
  <c r="AW91" i="11"/>
  <c r="BE91" i="11" s="1"/>
  <c r="AO92" i="11"/>
  <c r="AO93" i="11" s="1"/>
  <c r="AL156" i="11"/>
  <c r="BU2" i="11"/>
  <c r="CC2" i="11" s="1"/>
  <c r="CK2" i="11" s="1"/>
  <c r="AI48" i="11"/>
  <c r="P202" i="9" s="1"/>
  <c r="AI12" i="11"/>
  <c r="BU107" i="11"/>
  <c r="BU124" i="11"/>
  <c r="AN118" i="11"/>
  <c r="AN120" i="11" s="1"/>
  <c r="AN125" i="11" s="1"/>
  <c r="AN107" i="11"/>
  <c r="AN124" i="11"/>
  <c r="BM120" i="11"/>
  <c r="BM125" i="11" s="1"/>
  <c r="AI82" i="11"/>
  <c r="AI75" i="11" s="1"/>
  <c r="AJ81" i="11"/>
  <c r="AJ74" i="11"/>
  <c r="AM173" i="11"/>
  <c r="AL177" i="11"/>
  <c r="AF66" i="11"/>
  <c r="AE68" i="11"/>
  <c r="AE70" i="11" s="1"/>
  <c r="CS124" i="11"/>
  <c r="AE80" i="11"/>
  <c r="F81" i="11"/>
  <c r="E82" i="11"/>
  <c r="E84" i="11" s="1"/>
  <c r="E85" i="11" s="1"/>
  <c r="CK93" i="11"/>
  <c r="CC51" i="11"/>
  <c r="CS93" i="11"/>
  <c r="AL180" i="11"/>
  <c r="AK171" i="11"/>
  <c r="AJ170" i="11"/>
  <c r="AJ11" i="11" s="1"/>
  <c r="Q194" i="9" s="1"/>
  <c r="Q186" i="9" s="1"/>
  <c r="AK80" i="11"/>
  <c r="AK73" i="11"/>
  <c r="X164" i="10"/>
  <c r="AJ153" i="10"/>
  <c r="AJ154" i="10" s="1"/>
  <c r="AN163" i="10"/>
  <c r="E208" i="10"/>
  <c r="W110" i="10"/>
  <c r="AX43" i="10"/>
  <c r="AN43" i="10"/>
  <c r="AP45" i="10"/>
  <c r="AX40" i="10"/>
  <c r="AN40" i="10"/>
  <c r="BF101" i="10"/>
  <c r="AT101" i="10"/>
  <c r="AW101" i="10"/>
  <c r="AS101" i="10"/>
  <c r="AR101" i="10"/>
  <c r="AQ101" i="10"/>
  <c r="AV101" i="10"/>
  <c r="AU101" i="10"/>
  <c r="BF123" i="10"/>
  <c r="AT123" i="10"/>
  <c r="AS123" i="10"/>
  <c r="AW123" i="10"/>
  <c r="AR123" i="10"/>
  <c r="AV123" i="10"/>
  <c r="AQ123" i="10"/>
  <c r="AU123" i="10"/>
  <c r="BG147" i="10"/>
  <c r="BH147" i="10" s="1"/>
  <c r="M199" i="10"/>
  <c r="N199" i="10" s="1"/>
  <c r="N200" i="10" s="1"/>
  <c r="Q197" i="10"/>
  <c r="AS197" i="10"/>
  <c r="AT197" i="10" s="1"/>
  <c r="AJ199" i="10"/>
  <c r="AI200" i="10" s="1"/>
  <c r="AI202" i="10" s="1"/>
  <c r="S114" i="10"/>
  <c r="AK57" i="10"/>
  <c r="S111" i="10"/>
  <c r="BE92" i="10"/>
  <c r="BA92" i="10"/>
  <c r="BD92" i="10"/>
  <c r="AZ92" i="10"/>
  <c r="BC92" i="10"/>
  <c r="AY92" i="10"/>
  <c r="BN92" i="10"/>
  <c r="BB92" i="10"/>
  <c r="BC93" i="10"/>
  <c r="AY93" i="10"/>
  <c r="BB93" i="10"/>
  <c r="BE93" i="10"/>
  <c r="BA93" i="10"/>
  <c r="BN93" i="10"/>
  <c r="BD93" i="10"/>
  <c r="AZ93" i="10"/>
  <c r="BC94" i="10"/>
  <c r="AY94" i="10"/>
  <c r="BE94" i="10"/>
  <c r="AZ94" i="10"/>
  <c r="BN94" i="10"/>
  <c r="BD94" i="10"/>
  <c r="BB94" i="10"/>
  <c r="BA94" i="10"/>
  <c r="BK189" i="10"/>
  <c r="BL189" i="10" s="1"/>
  <c r="BG187" i="10"/>
  <c r="AX44" i="10"/>
  <c r="Y153" i="10"/>
  <c r="S154" i="10"/>
  <c r="S157" i="10" s="1"/>
  <c r="M144" i="10"/>
  <c r="I73" i="10"/>
  <c r="I60" i="10"/>
  <c r="I62" i="10"/>
  <c r="I63" i="10" s="1"/>
  <c r="Q44" i="10"/>
  <c r="Q45" i="10" s="1"/>
  <c r="AQ57" i="10"/>
  <c r="AU120" i="10"/>
  <c r="AQ120" i="10"/>
  <c r="BF120" i="10"/>
  <c r="AV120" i="10"/>
  <c r="AT120" i="10"/>
  <c r="AS120" i="10"/>
  <c r="AW120" i="10"/>
  <c r="AR120" i="10"/>
  <c r="AM124" i="10"/>
  <c r="AI124" i="10"/>
  <c r="AX124" i="10"/>
  <c r="AN124" i="10"/>
  <c r="AL124" i="10"/>
  <c r="AK124" i="10"/>
  <c r="AO124" i="10"/>
  <c r="AJ124" i="10"/>
  <c r="D182" i="10"/>
  <c r="D183" i="10" s="1"/>
  <c r="D185" i="10" s="1"/>
  <c r="R202" i="10"/>
  <c r="Z202" i="10"/>
  <c r="Z203" i="10" s="1"/>
  <c r="AT201" i="10"/>
  <c r="BF201" i="10"/>
  <c r="AW201" i="10"/>
  <c r="AS201" i="10"/>
  <c r="AU201" i="10"/>
  <c r="AQ201" i="10"/>
  <c r="AV201" i="10"/>
  <c r="AR201" i="10"/>
  <c r="AA43" i="10"/>
  <c r="AH112" i="10"/>
  <c r="AG84" i="10"/>
  <c r="AG112" i="10" s="1"/>
  <c r="AC84" i="10"/>
  <c r="AC17" i="10" s="1"/>
  <c r="AB84" i="10"/>
  <c r="AB112" i="10" s="1"/>
  <c r="AE84" i="10"/>
  <c r="AE17" i="10" s="1"/>
  <c r="AA84" i="10"/>
  <c r="AA17" i="10" s="1"/>
  <c r="AP84" i="10"/>
  <c r="AS144" i="10"/>
  <c r="AU152" i="10"/>
  <c r="AU153" i="10" s="1"/>
  <c r="AQ152" i="10"/>
  <c r="AQ153" i="10" s="1"/>
  <c r="BF152" i="10"/>
  <c r="AT152" i="10"/>
  <c r="AW152" i="10"/>
  <c r="AS152" i="10"/>
  <c r="AS153" i="10" s="1"/>
  <c r="AR152" i="10"/>
  <c r="AV152" i="10"/>
  <c r="BE166" i="10"/>
  <c r="BI147" i="10"/>
  <c r="BM147" i="10" s="1"/>
  <c r="AI190" i="10"/>
  <c r="AI192" i="10" s="1"/>
  <c r="K195" i="10"/>
  <c r="W114" i="10"/>
  <c r="W111" i="10"/>
  <c r="N58" i="10"/>
  <c r="N59" i="10" s="1"/>
  <c r="CX198" i="5" s="1"/>
  <c r="P59" i="10"/>
  <c r="CZ198" i="5" s="1"/>
  <c r="AO122" i="10"/>
  <c r="AK122" i="10"/>
  <c r="AX122" i="10"/>
  <c r="AM122" i="10"/>
  <c r="AL122" i="10"/>
  <c r="AJ122" i="10"/>
  <c r="AN122" i="10"/>
  <c r="AI122" i="10"/>
  <c r="AS161" i="10"/>
  <c r="AT161" i="10" s="1"/>
  <c r="G182" i="10"/>
  <c r="G183" i="10" s="1"/>
  <c r="G185" i="10" s="1"/>
  <c r="X167" i="10"/>
  <c r="S164" i="10"/>
  <c r="S167" i="10" s="1"/>
  <c r="T167" i="10" s="1"/>
  <c r="T169" i="10" s="1"/>
  <c r="BQ161" i="10"/>
  <c r="BR161" i="10" s="1"/>
  <c r="AU191" i="10"/>
  <c r="AQ191" i="10"/>
  <c r="BF191" i="10"/>
  <c r="AT191" i="10"/>
  <c r="AS191" i="10"/>
  <c r="AR191" i="10"/>
  <c r="AV191" i="10"/>
  <c r="BN145" i="10"/>
  <c r="BI187" i="10"/>
  <c r="AH202" i="10"/>
  <c r="AP204" i="10"/>
  <c r="AG204" i="10"/>
  <c r="AC204" i="10"/>
  <c r="AA204" i="10"/>
  <c r="AB204" i="10"/>
  <c r="AE204" i="10"/>
  <c r="AA44" i="10"/>
  <c r="AN41" i="10"/>
  <c r="AX41" i="10"/>
  <c r="BD89" i="10"/>
  <c r="AZ89" i="10"/>
  <c r="BN89" i="10"/>
  <c r="BC89" i="10"/>
  <c r="BB89" i="10"/>
  <c r="BA89" i="10"/>
  <c r="BE89" i="10"/>
  <c r="AY89" i="10"/>
  <c r="BD181" i="10"/>
  <c r="AZ181" i="10"/>
  <c r="BC181" i="10"/>
  <c r="AY181" i="10"/>
  <c r="BN181" i="10"/>
  <c r="BB181" i="10"/>
  <c r="BA181" i="10"/>
  <c r="AX202" i="10"/>
  <c r="AX203" i="10" s="1"/>
  <c r="J73" i="10"/>
  <c r="J60" i="10"/>
  <c r="J62" i="10"/>
  <c r="R60" i="10"/>
  <c r="AS57" i="10"/>
  <c r="BC91" i="10"/>
  <c r="AY91" i="10"/>
  <c r="BN91" i="10"/>
  <c r="BB91" i="10"/>
  <c r="BE91" i="10"/>
  <c r="BA91" i="10"/>
  <c r="BD91" i="10"/>
  <c r="AZ91" i="10"/>
  <c r="R195" i="10"/>
  <c r="P193" i="10"/>
  <c r="AH110" i="10"/>
  <c r="AG82" i="10"/>
  <c r="AG110" i="10" s="1"/>
  <c r="AC82" i="10"/>
  <c r="AB82" i="10"/>
  <c r="AB110" i="10" s="1"/>
  <c r="AE82" i="10"/>
  <c r="AE15" i="10" s="1"/>
  <c r="AA82" i="10"/>
  <c r="AA15" i="10" s="1"/>
  <c r="AP82" i="10"/>
  <c r="AE45" i="10"/>
  <c r="AE71" i="10" s="1"/>
  <c r="AF71" i="10" s="1"/>
  <c r="AA40" i="10"/>
  <c r="S112" i="10"/>
  <c r="AT142" i="10"/>
  <c r="AT144" i="10" s="1"/>
  <c r="V161" i="10"/>
  <c r="AU192" i="10"/>
  <c r="AV192" i="10" s="1"/>
  <c r="BV197" i="10"/>
  <c r="BS147" i="10"/>
  <c r="BT147" i="10" s="1"/>
  <c r="AN190" i="10"/>
  <c r="BF102" i="10"/>
  <c r="AT102" i="10"/>
  <c r="AW102" i="10"/>
  <c r="AS102" i="10"/>
  <c r="AV102" i="10"/>
  <c r="AU102" i="10"/>
  <c r="AR102" i="10"/>
  <c r="AQ102" i="10"/>
  <c r="J166" i="10"/>
  <c r="AE194" i="10"/>
  <c r="AA194" i="10"/>
  <c r="AG194" i="10"/>
  <c r="AB194" i="10"/>
  <c r="AP195" i="10"/>
  <c r="AC194" i="10"/>
  <c r="F208" i="10"/>
  <c r="BS187" i="10"/>
  <c r="BS143" i="10" s="1"/>
  <c r="BV189" i="10"/>
  <c r="V41" i="10"/>
  <c r="P15" i="10"/>
  <c r="AA41" i="10"/>
  <c r="R169" i="10"/>
  <c r="AK144" i="10"/>
  <c r="AK189" i="10"/>
  <c r="AO187" i="10"/>
  <c r="AO143" i="10" s="1"/>
  <c r="AO144" i="10" s="1"/>
  <c r="AJ57" i="10"/>
  <c r="AU128" i="10"/>
  <c r="BF128" i="10"/>
  <c r="BF100" i="10"/>
  <c r="AT100" i="10"/>
  <c r="AW100" i="10"/>
  <c r="AS100" i="10"/>
  <c r="AV100" i="10"/>
  <c r="AU100" i="10"/>
  <c r="AR100" i="10"/>
  <c r="AQ100" i="10"/>
  <c r="AG161" i="10"/>
  <c r="AK163" i="10"/>
  <c r="BE161" i="10"/>
  <c r="L193" i="10"/>
  <c r="L195" i="10" s="1"/>
  <c r="AO168" i="10"/>
  <c r="AK168" i="10"/>
  <c r="AX168" i="10"/>
  <c r="AM168" i="10"/>
  <c r="AL168" i="10"/>
  <c r="AJ168" i="10"/>
  <c r="AN168" i="10"/>
  <c r="AI168" i="10"/>
  <c r="S110" i="10"/>
  <c r="AC45" i="10"/>
  <c r="W112" i="10"/>
  <c r="L163" i="10"/>
  <c r="L164" i="10" s="1"/>
  <c r="BI161" i="10"/>
  <c r="BJ161" i="10" s="1"/>
  <c r="N142" i="10"/>
  <c r="N144" i="10" s="1"/>
  <c r="BB147" i="10"/>
  <c r="AX193" i="10"/>
  <c r="BN199" i="10"/>
  <c r="BK197" i="10"/>
  <c r="AM190" i="10"/>
  <c r="AB192" i="10"/>
  <c r="AK197" i="10"/>
  <c r="V44" i="10"/>
  <c r="AH114" i="10"/>
  <c r="AG86" i="10"/>
  <c r="AG114" i="10" s="1"/>
  <c r="AC86" i="10"/>
  <c r="AC114" i="10" s="1"/>
  <c r="AB86" i="10"/>
  <c r="AB114" i="10" s="1"/>
  <c r="AE86" i="10"/>
  <c r="AA86" i="10"/>
  <c r="AA114" i="10" s="1"/>
  <c r="AP86" i="10"/>
  <c r="AH111" i="10"/>
  <c r="AG83" i="10"/>
  <c r="AG111" i="10" s="1"/>
  <c r="AC83" i="10"/>
  <c r="AC16" i="10" s="1"/>
  <c r="AB83" i="10"/>
  <c r="AB111" i="10" s="1"/>
  <c r="AE83" i="10"/>
  <c r="AE16" i="10" s="1"/>
  <c r="AA83" i="10"/>
  <c r="AA16" i="10" s="1"/>
  <c r="AP83" i="10"/>
  <c r="AN121" i="10"/>
  <c r="AJ121" i="10"/>
  <c r="AO121" i="10"/>
  <c r="AI121" i="10"/>
  <c r="AX121" i="10"/>
  <c r="AM121" i="10"/>
  <c r="AL121" i="10"/>
  <c r="AK121" i="10"/>
  <c r="AH169" i="10"/>
  <c r="V147" i="10"/>
  <c r="AU162" i="10"/>
  <c r="AU163" i="10" s="1"/>
  <c r="AQ162" i="10"/>
  <c r="AQ163" i="10" s="1"/>
  <c r="BF162" i="10"/>
  <c r="AT162" i="10"/>
  <c r="AW162" i="10"/>
  <c r="AS162" i="10"/>
  <c r="AR162" i="10"/>
  <c r="AV162" i="10"/>
  <c r="AX163" i="10"/>
  <c r="BU166" i="10"/>
  <c r="BF190" i="10"/>
  <c r="L17" i="10"/>
  <c r="Q17" i="10" s="1"/>
  <c r="P17" i="10"/>
  <c r="N17" i="10" s="1"/>
  <c r="L154" i="10"/>
  <c r="Q153" i="10"/>
  <c r="K154" i="10"/>
  <c r="K157" i="10" s="1"/>
  <c r="P163" i="10"/>
  <c r="BB161" i="10"/>
  <c r="BP161" i="10"/>
  <c r="AL187" i="10"/>
  <c r="AL143" i="10" s="1"/>
  <c r="AL144" i="10" s="1"/>
  <c r="AE200" i="10"/>
  <c r="AE202" i="10" s="1"/>
  <c r="AB199" i="10"/>
  <c r="AA200" i="10" s="1"/>
  <c r="AA202" i="10" s="1"/>
  <c r="AP32" i="10"/>
  <c r="BD176" i="9" s="1"/>
  <c r="AX9" i="10"/>
  <c r="BL168" i="9" s="1"/>
  <c r="P16" i="10"/>
  <c r="N16" i="10" s="1"/>
  <c r="L16" i="10"/>
  <c r="Q16" i="10" s="1"/>
  <c r="BC57" i="10"/>
  <c r="BD57" i="10" s="1"/>
  <c r="BN57" i="10"/>
  <c r="AE164" i="10"/>
  <c r="AE167" i="10" s="1"/>
  <c r="AF167" i="10" s="1"/>
  <c r="AF169" i="10" s="1"/>
  <c r="AB163" i="10"/>
  <c r="AB164" i="10" s="1"/>
  <c r="Z169" i="10"/>
  <c r="P200" i="10"/>
  <c r="O200" i="10"/>
  <c r="AU200" i="10"/>
  <c r="AR199" i="10"/>
  <c r="AN199" i="10"/>
  <c r="X199" i="10"/>
  <c r="W200" i="10" s="1"/>
  <c r="W202" i="10" s="1"/>
  <c r="P266" i="9"/>
  <c r="P122" i="9"/>
  <c r="S82" i="9"/>
  <c r="S83" i="9" s="1"/>
  <c r="BI35" i="9"/>
  <c r="U221" i="9"/>
  <c r="U17" i="9" s="1"/>
  <c r="U219" i="9"/>
  <c r="AK225" i="9"/>
  <c r="DC199" i="5"/>
  <c r="CJ47" i="9"/>
  <c r="BY47" i="9"/>
  <c r="O266" i="9"/>
  <c r="O122" i="9"/>
  <c r="P280" i="9"/>
  <c r="P256" i="9"/>
  <c r="O16" i="9"/>
  <c r="O108" i="9" s="1"/>
  <c r="R259" i="9"/>
  <c r="R264" i="9" s="1"/>
  <c r="X82" i="9"/>
  <c r="X83" i="9" s="1"/>
  <c r="G83" i="9"/>
  <c r="BQ245" i="9"/>
  <c r="V219" i="9"/>
  <c r="BI222" i="9"/>
  <c r="AL224" i="9"/>
  <c r="BT29" i="9"/>
  <c r="BI29" i="9"/>
  <c r="U255" i="9"/>
  <c r="V280" i="9" s="1"/>
  <c r="U104" i="9"/>
  <c r="O280" i="9"/>
  <c r="O256" i="9"/>
  <c r="AC112" i="9"/>
  <c r="U258" i="9"/>
  <c r="S259" i="9"/>
  <c r="S264" i="9" s="1"/>
  <c r="S114" i="9" s="1"/>
  <c r="U82" i="9"/>
  <c r="U83" i="9" s="1"/>
  <c r="P82" i="9"/>
  <c r="P83" i="9" s="1"/>
  <c r="S280" i="9"/>
  <c r="S256" i="9"/>
  <c r="X280" i="9"/>
  <c r="X256" i="9"/>
  <c r="Q255" i="9"/>
  <c r="Q118" i="9"/>
  <c r="Q104" i="9"/>
  <c r="DO199" i="5"/>
  <c r="BD224" i="9"/>
  <c r="DZ199" i="5" s="1"/>
  <c r="U244" i="9"/>
  <c r="U18" i="9" s="1"/>
  <c r="U242" i="9"/>
  <c r="R114" i="9"/>
  <c r="R244" i="9"/>
  <c r="Q18" i="9"/>
  <c r="Q16" i="9" s="1"/>
  <c r="Q108" i="9" s="1"/>
  <c r="V82" i="9"/>
  <c r="V83" i="9" s="1"/>
  <c r="V104" i="9"/>
  <c r="X165" i="8"/>
  <c r="X168" i="8" s="1"/>
  <c r="Y156" i="8"/>
  <c r="Z7" i="8"/>
  <c r="AB157" i="8"/>
  <c r="AB166" i="8" s="1"/>
  <c r="AA166" i="8"/>
  <c r="X122" i="8"/>
  <c r="X25" i="8" s="1"/>
  <c r="Q189" i="8"/>
  <c r="Q197" i="8" s="1"/>
  <c r="R187" i="8"/>
  <c r="AA153" i="8"/>
  <c r="X66" i="8"/>
  <c r="Y139" i="8"/>
  <c r="Z160" i="8" s="1"/>
  <c r="X146" i="8"/>
  <c r="F132" i="8"/>
  <c r="F133" i="8" s="1"/>
  <c r="N132" i="8"/>
  <c r="N133" i="8" s="1"/>
  <c r="Z161" i="8"/>
  <c r="X147" i="8"/>
  <c r="X43" i="8" s="1"/>
  <c r="Q191" i="8"/>
  <c r="P196" i="8"/>
  <c r="Y161" i="8"/>
  <c r="AA152" i="8"/>
  <c r="AB113" i="8"/>
  <c r="H61" i="6"/>
  <c r="H57" i="6"/>
  <c r="N61" i="6"/>
  <c r="N62" i="6" s="1"/>
  <c r="N57" i="6"/>
  <c r="M61" i="6"/>
  <c r="M57" i="6"/>
  <c r="H46" i="6"/>
  <c r="H50" i="6"/>
  <c r="H19" i="3" s="1"/>
  <c r="H43" i="6"/>
  <c r="H44" i="6" s="1"/>
  <c r="H48" i="6" s="1"/>
  <c r="I50" i="6"/>
  <c r="I43" i="6"/>
  <c r="I46" i="6"/>
  <c r="N53" i="6"/>
  <c r="N50" i="6"/>
  <c r="N19" i="3" s="1"/>
  <c r="N43" i="6"/>
  <c r="N44" i="6" s="1"/>
  <c r="N48" i="6" s="1"/>
  <c r="N46" i="6"/>
  <c r="E97" i="6"/>
  <c r="F63" i="6"/>
  <c r="T90" i="6"/>
  <c r="T91" i="6"/>
  <c r="Z88" i="6"/>
  <c r="I61" i="6"/>
  <c r="I62" i="6" s="1"/>
  <c r="I57" i="6"/>
  <c r="Z18" i="6"/>
  <c r="L46" i="6"/>
  <c r="L53" i="6"/>
  <c r="L50" i="6"/>
  <c r="L19" i="3" s="1"/>
  <c r="L43" i="6"/>
  <c r="G61" i="6"/>
  <c r="G57" i="6"/>
  <c r="Q46" i="6"/>
  <c r="Q43" i="6"/>
  <c r="Q53" i="6"/>
  <c r="Q50" i="6"/>
  <c r="K50" i="6"/>
  <c r="K46" i="6"/>
  <c r="K43" i="6"/>
  <c r="K44" i="6" s="1"/>
  <c r="K48" i="6" s="1"/>
  <c r="L57" i="6"/>
  <c r="L61" i="6"/>
  <c r="G50" i="6"/>
  <c r="G46" i="6"/>
  <c r="G43" i="6"/>
  <c r="G44" i="6" s="1"/>
  <c r="G48" i="6" s="1"/>
  <c r="O53" i="6"/>
  <c r="O50" i="6"/>
  <c r="O46" i="6"/>
  <c r="O43" i="6"/>
  <c r="M43" i="6"/>
  <c r="M44" i="6" s="1"/>
  <c r="M48" i="6" s="1"/>
  <c r="M46" i="6"/>
  <c r="M53" i="6"/>
  <c r="M50" i="6"/>
  <c r="D91" i="6"/>
  <c r="F91" i="6"/>
  <c r="F90" i="6"/>
  <c r="BE34" i="5"/>
  <c r="BB27" i="5"/>
  <c r="BB34" i="5" s="1"/>
  <c r="R273" i="5"/>
  <c r="R296" i="5" s="1"/>
  <c r="R321" i="5"/>
  <c r="R325" i="5" s="1"/>
  <c r="R332" i="5" s="1"/>
  <c r="AD152" i="5"/>
  <c r="BP167" i="5"/>
  <c r="BP161" i="5"/>
  <c r="BZ163" i="5"/>
  <c r="BZ170" i="5" s="1"/>
  <c r="CT325" i="5"/>
  <c r="CT332" i="5" s="1"/>
  <c r="CR322" i="5"/>
  <c r="BX161" i="5"/>
  <c r="CH129" i="5"/>
  <c r="CP129" i="5"/>
  <c r="CP36" i="5" s="1"/>
  <c r="H273" i="5"/>
  <c r="H296" i="5" s="1"/>
  <c r="H321" i="5"/>
  <c r="H325" i="5" s="1"/>
  <c r="H332" i="5" s="1"/>
  <c r="AZ14" i="5"/>
  <c r="AZ24" i="5"/>
  <c r="AZ13" i="5"/>
  <c r="BE13" i="5" s="1"/>
  <c r="CP24" i="5"/>
  <c r="CP37" i="5" s="1"/>
  <c r="CP13" i="5"/>
  <c r="CP14" i="5"/>
  <c r="AG13" i="5"/>
  <c r="AG12" i="5" s="1"/>
  <c r="CI256" i="5"/>
  <c r="CI119" i="5"/>
  <c r="CJ132" i="5"/>
  <c r="CR132" i="5"/>
  <c r="DX281" i="5"/>
  <c r="O309" i="5"/>
  <c r="O118" i="5"/>
  <c r="BK67" i="5"/>
  <c r="CA100" i="5"/>
  <c r="CA114" i="5"/>
  <c r="CR14" i="5"/>
  <c r="CR24" i="5"/>
  <c r="CR37" i="5" s="1"/>
  <c r="CR13" i="5"/>
  <c r="CZ35" i="5"/>
  <c r="CQ171" i="5"/>
  <c r="CS170" i="5"/>
  <c r="CS171" i="5" s="1"/>
  <c r="CN173" i="5"/>
  <c r="CF176" i="5"/>
  <c r="CF177" i="5" s="1"/>
  <c r="EV281" i="5"/>
  <c r="AD13" i="5"/>
  <c r="AD14" i="5"/>
  <c r="CI309" i="5"/>
  <c r="CI320" i="5" s="1"/>
  <c r="CI118" i="5"/>
  <c r="BR166" i="5"/>
  <c r="BS173" i="5"/>
  <c r="BS176" i="5" s="1"/>
  <c r="CA176" i="5"/>
  <c r="CB193" i="5"/>
  <c r="CJ193" i="5"/>
  <c r="CB191" i="5"/>
  <c r="CJ191" i="5"/>
  <c r="AL24" i="5"/>
  <c r="AL14" i="5"/>
  <c r="AL13" i="5"/>
  <c r="G76" i="5"/>
  <c r="G91" i="5" s="1"/>
  <c r="G114" i="5" s="1"/>
  <c r="G67" i="5"/>
  <c r="AE321" i="5"/>
  <c r="AE325" i="5" s="1"/>
  <c r="AE332" i="5" s="1"/>
  <c r="AE273" i="5"/>
  <c r="AE296" i="5" s="1"/>
  <c r="CA256" i="5"/>
  <c r="CA119" i="5"/>
  <c r="CP27" i="5"/>
  <c r="CP34" i="5" s="1"/>
  <c r="CS34" i="5"/>
  <c r="CS36" i="5" s="1"/>
  <c r="BL128" i="5"/>
  <c r="CB129" i="5" s="1"/>
  <c r="BD129" i="5"/>
  <c r="CF168" i="5"/>
  <c r="CK168" i="5"/>
  <c r="CB185" i="5"/>
  <c r="FD281" i="5"/>
  <c r="O256" i="5"/>
  <c r="O268" i="5" s="1"/>
  <c r="O119" i="5"/>
  <c r="P119" i="5" s="1"/>
  <c r="BZ166" i="5"/>
  <c r="AN34" i="5"/>
  <c r="T152" i="5"/>
  <c r="AB152" i="5"/>
  <c r="W118" i="5"/>
  <c r="W309" i="5"/>
  <c r="BB140" i="5"/>
  <c r="BD136" i="5"/>
  <c r="BD140" i="5" s="1"/>
  <c r="BB138" i="5"/>
  <c r="BV176" i="5"/>
  <c r="CD177" i="5" s="1"/>
  <c r="BC115" i="5"/>
  <c r="BK92" i="5"/>
  <c r="CD35" i="5"/>
  <c r="AO24" i="5"/>
  <c r="AO14" i="5"/>
  <c r="BE11" i="5"/>
  <c r="CR166" i="5"/>
  <c r="BS268" i="5"/>
  <c r="BS273" i="5" s="1"/>
  <c r="BS296" i="5" s="1"/>
  <c r="BS298" i="5" s="1"/>
  <c r="X14" i="5"/>
  <c r="X24" i="5"/>
  <c r="X13" i="5"/>
  <c r="AF34" i="5" s="1"/>
  <c r="AF35" i="5"/>
  <c r="BR24" i="5"/>
  <c r="BR37" i="5" s="1"/>
  <c r="BR14" i="5"/>
  <c r="BR13" i="5"/>
  <c r="BZ36" i="5"/>
  <c r="J256" i="5"/>
  <c r="J268" i="5" s="1"/>
  <c r="J119" i="5"/>
  <c r="AF152" i="5"/>
  <c r="BQ167" i="5"/>
  <c r="BT167" i="5"/>
  <c r="CM173" i="5"/>
  <c r="CI173" i="5"/>
  <c r="CE176" i="5"/>
  <c r="P50" i="5"/>
  <c r="P24" i="5"/>
  <c r="P13" i="5"/>
  <c r="P69" i="5" s="1"/>
  <c r="P77" i="5" s="1"/>
  <c r="P92" i="5" s="1"/>
  <c r="P115" i="5" s="1"/>
  <c r="P256" i="5" s="1"/>
  <c r="P268" i="5" s="1"/>
  <c r="P14" i="5"/>
  <c r="P239" i="5"/>
  <c r="CH24" i="5"/>
  <c r="CH37" i="5" s="1"/>
  <c r="CH13" i="5"/>
  <c r="CH14" i="5"/>
  <c r="G119" i="5"/>
  <c r="G256" i="5"/>
  <c r="G268" i="5" s="1"/>
  <c r="AE309" i="5"/>
  <c r="AE118" i="5"/>
  <c r="AD142" i="5"/>
  <c r="X239" i="5"/>
  <c r="AM309" i="5"/>
  <c r="AM118" i="5"/>
  <c r="BK76" i="5"/>
  <c r="BC91" i="5"/>
  <c r="CY118" i="5"/>
  <c r="CY309" i="5"/>
  <c r="CY320" i="5" s="1"/>
  <c r="AM321" i="5"/>
  <c r="AM325" i="5" s="1"/>
  <c r="AM273" i="5"/>
  <c r="AM296" i="5" s="1"/>
  <c r="AM298" i="5" s="1"/>
  <c r="AM301" i="5" s="1"/>
  <c r="CQ309" i="5"/>
  <c r="CQ320" i="5" s="1"/>
  <c r="CQ319" i="5" s="1"/>
  <c r="CQ118" i="5"/>
  <c r="BD132" i="5"/>
  <c r="BL132" i="5" s="1"/>
  <c r="BL131" i="5"/>
  <c r="CB132" i="5" s="1"/>
  <c r="BT132" i="5"/>
  <c r="CQ268" i="5"/>
  <c r="CP185" i="5"/>
  <c r="R309" i="5"/>
  <c r="R118" i="5"/>
  <c r="BU173" i="5"/>
  <c r="BY173" i="5"/>
  <c r="CG173" i="5" s="1"/>
  <c r="CG176" i="5" s="1"/>
  <c r="AJ34" i="5"/>
  <c r="AL34" i="5" s="1"/>
  <c r="W321" i="5"/>
  <c r="W325" i="5" s="1"/>
  <c r="W332" i="5" s="1"/>
  <c r="W273" i="5"/>
  <c r="W296" i="5" s="1"/>
  <c r="CB159" i="5"/>
  <c r="CC35" i="5"/>
  <c r="J67" i="5"/>
  <c r="J76" i="5"/>
  <c r="J91" i="5" s="1"/>
  <c r="CB158" i="5"/>
  <c r="CB173" i="5"/>
  <c r="BS114" i="5"/>
  <c r="BS100" i="5"/>
  <c r="CD129" i="5"/>
  <c r="CL129" i="5"/>
  <c r="CH161" i="5"/>
  <c r="CH167" i="5"/>
  <c r="CH168" i="5" s="1"/>
  <c r="BX185" i="5"/>
  <c r="BP185" i="5"/>
  <c r="BD292" i="5"/>
  <c r="BL292" i="5" s="1"/>
  <c r="N15" i="4"/>
  <c r="M16" i="4"/>
  <c r="M64" i="6" s="1"/>
  <c r="M70" i="6" s="1"/>
  <c r="Q240" i="9" l="1"/>
  <c r="E132" i="8"/>
  <c r="E133" i="8" s="1"/>
  <c r="D21" i="16"/>
  <c r="R214" i="9"/>
  <c r="S217" i="9"/>
  <c r="DX128" i="5"/>
  <c r="DX129" i="5" s="1"/>
  <c r="DX127" i="5"/>
  <c r="BB187" i="10"/>
  <c r="BB143" i="10" s="1"/>
  <c r="BA143" i="10"/>
  <c r="BG189" i="10"/>
  <c r="BH189" i="10" s="1"/>
  <c r="BG143" i="10"/>
  <c r="BI189" i="10"/>
  <c r="BI143" i="10"/>
  <c r="AD59" i="10"/>
  <c r="AM192" i="10"/>
  <c r="AT104" i="10"/>
  <c r="AW103" i="10"/>
  <c r="AQ104" i="10"/>
  <c r="AQ103" i="10"/>
  <c r="AX146" i="5"/>
  <c r="G62" i="6"/>
  <c r="AV200" i="10"/>
  <c r="AF191" i="10"/>
  <c r="AE193" i="10"/>
  <c r="AF193" i="10" s="1"/>
  <c r="AF195" i="10" s="1"/>
  <c r="AF66" i="10"/>
  <c r="AF15" i="10"/>
  <c r="AD164" i="10"/>
  <c r="DH199" i="5"/>
  <c r="AT225" i="9"/>
  <c r="AH203" i="10"/>
  <c r="AF17" i="10"/>
  <c r="AD17" i="10" s="1"/>
  <c r="AF16" i="10"/>
  <c r="AD16" i="10" s="1"/>
  <c r="AD167" i="10"/>
  <c r="AD169" i="10" s="1"/>
  <c r="AC169" i="10"/>
  <c r="F57" i="6"/>
  <c r="D90" i="6"/>
  <c r="AQ119" i="10"/>
  <c r="AR103" i="10"/>
  <c r="AS103" i="10"/>
  <c r="AT103" i="10"/>
  <c r="BF103" i="10"/>
  <c r="BC103" i="10" s="1"/>
  <c r="AU103" i="10"/>
  <c r="AS158" i="10"/>
  <c r="CR129" i="5"/>
  <c r="J4" i="6"/>
  <c r="AV158" i="10"/>
  <c r="AT158" i="10"/>
  <c r="AC71" i="10"/>
  <c r="AD71" i="10" s="1"/>
  <c r="AD66" i="10" s="1"/>
  <c r="AB41" i="10"/>
  <c r="AG41" i="10" s="1"/>
  <c r="AB44" i="10"/>
  <c r="AG44" i="10" s="1"/>
  <c r="AC110" i="10"/>
  <c r="AC15" i="10"/>
  <c r="BL90" i="10"/>
  <c r="BF104" i="10"/>
  <c r="BA104" i="10" s="1"/>
  <c r="R46" i="6"/>
  <c r="R106" i="6" s="1"/>
  <c r="AR104" i="10"/>
  <c r="AU104" i="10"/>
  <c r="F50" i="6"/>
  <c r="G51" i="6" s="1"/>
  <c r="AV104" i="10"/>
  <c r="AS104" i="10"/>
  <c r="F43" i="6"/>
  <c r="F44" i="6" s="1"/>
  <c r="F48" i="6" s="1"/>
  <c r="F46" i="6"/>
  <c r="F106" i="6" s="1"/>
  <c r="D54" i="3"/>
  <c r="D39" i="3" s="1"/>
  <c r="AQ158" i="10"/>
  <c r="S91" i="6"/>
  <c r="AU158" i="10"/>
  <c r="S90" i="6"/>
  <c r="AR158" i="10"/>
  <c r="AW158" i="10"/>
  <c r="F35" i="3"/>
  <c r="F16" i="3" s="1"/>
  <c r="F31" i="3" s="1"/>
  <c r="AB15" i="10"/>
  <c r="AB17" i="10"/>
  <c r="AG17" i="10" s="1"/>
  <c r="AB16" i="10"/>
  <c r="AG16" i="10" s="1"/>
  <c r="Q3" i="6"/>
  <c r="R4" i="6" s="1"/>
  <c r="AB191" i="10"/>
  <c r="CD256" i="5"/>
  <c r="CD268" i="5" s="1"/>
  <c r="CD273" i="5" s="1"/>
  <c r="CD296" i="5" s="1"/>
  <c r="M14" i="6"/>
  <c r="CH36" i="5"/>
  <c r="R28" i="7"/>
  <c r="DH290" i="5"/>
  <c r="DJ291" i="5"/>
  <c r="DB129" i="5"/>
  <c r="DJ129" i="5"/>
  <c r="BF200" i="10"/>
  <c r="BF202" i="10" s="1"/>
  <c r="CS2" i="11"/>
  <c r="DA2" i="11" s="1"/>
  <c r="BU117" i="11" s="1"/>
  <c r="BM97" i="11"/>
  <c r="BU97" i="11" s="1"/>
  <c r="CC97" i="11" s="1"/>
  <c r="BM96" i="11"/>
  <c r="BU96" i="11" s="1"/>
  <c r="CC96" i="11" s="1"/>
  <c r="BM98" i="11"/>
  <c r="BU98" i="11" s="1"/>
  <c r="CC98" i="11" s="1"/>
  <c r="BM90" i="10"/>
  <c r="BJ90" i="10"/>
  <c r="BI90" i="10"/>
  <c r="BV90" i="10"/>
  <c r="BP90" i="10" s="1"/>
  <c r="BG90" i="10"/>
  <c r="BK90" i="10"/>
  <c r="T59" i="10"/>
  <c r="T62" i="10" s="1"/>
  <c r="Y57" i="10"/>
  <c r="Y59" i="10" s="1"/>
  <c r="Z39" i="5"/>
  <c r="X39" i="5" s="1"/>
  <c r="S7" i="7"/>
  <c r="CL256" i="5" s="1"/>
  <c r="CL268" i="5" s="1"/>
  <c r="CL273" i="5" s="1"/>
  <c r="CL296" i="5" s="1"/>
  <c r="BJ129" i="5"/>
  <c r="BN184" i="10"/>
  <c r="CS153" i="11" s="1"/>
  <c r="AI83" i="11"/>
  <c r="AI150" i="11" s="1"/>
  <c r="AI151" i="11" s="1"/>
  <c r="I132" i="8"/>
  <c r="I133" i="8" s="1"/>
  <c r="H131" i="8"/>
  <c r="X66" i="10"/>
  <c r="P132" i="8"/>
  <c r="P133" i="8" s="1"/>
  <c r="P131" i="8"/>
  <c r="U132" i="8"/>
  <c r="U133" i="8" s="1"/>
  <c r="T131" i="8"/>
  <c r="G132" i="8"/>
  <c r="G133" i="8" s="1"/>
  <c r="G131" i="8"/>
  <c r="G91" i="6"/>
  <c r="CU161" i="5"/>
  <c r="CV161" i="5"/>
  <c r="DD161" i="5"/>
  <c r="CV170" i="5"/>
  <c r="CV171" i="5" s="1"/>
  <c r="DG171" i="5"/>
  <c r="U190" i="10"/>
  <c r="U192" i="10" s="1"/>
  <c r="Y189" i="10"/>
  <c r="T190" i="10"/>
  <c r="T191" i="10" s="1"/>
  <c r="D45" i="3"/>
  <c r="BF35" i="5"/>
  <c r="AO156" i="10"/>
  <c r="CX128" i="5"/>
  <c r="H70" i="6"/>
  <c r="S132" i="8"/>
  <c r="S133" i="8" s="1"/>
  <c r="R132" i="8"/>
  <c r="R133" i="8" s="1"/>
  <c r="R53" i="6"/>
  <c r="X37" i="8"/>
  <c r="BC200" i="10"/>
  <c r="AH84" i="11"/>
  <c r="AH77" i="11" s="1"/>
  <c r="R17" i="3"/>
  <c r="R32" i="3" s="1"/>
  <c r="AZ197" i="10"/>
  <c r="CU167" i="5"/>
  <c r="R50" i="6"/>
  <c r="R19" i="3" s="1"/>
  <c r="R43" i="6"/>
  <c r="R44" i="6" s="1"/>
  <c r="R48" i="6" s="1"/>
  <c r="CV165" i="5"/>
  <c r="DA165" i="5" s="1"/>
  <c r="AU99" i="10"/>
  <c r="L4" i="8"/>
  <c r="AS99" i="10"/>
  <c r="J72" i="7"/>
  <c r="J74" i="7" s="1"/>
  <c r="E54" i="3"/>
  <c r="E39" i="3" s="1"/>
  <c r="P3" i="6"/>
  <c r="P4" i="6" s="1"/>
  <c r="T71" i="10"/>
  <c r="T66" i="10" s="1"/>
  <c r="R240" i="9"/>
  <c r="AG153" i="10"/>
  <c r="AA154" i="10"/>
  <c r="AA157" i="10" s="1"/>
  <c r="C115" i="8"/>
  <c r="Q3" i="7"/>
  <c r="K4" i="7"/>
  <c r="BR36" i="5"/>
  <c r="R57" i="6"/>
  <c r="AT232" i="12"/>
  <c r="BB232" i="12" s="1"/>
  <c r="BJ232" i="12" s="1"/>
  <c r="BR232" i="12" s="1"/>
  <c r="BZ232" i="12" s="1"/>
  <c r="CH232" i="12" s="1"/>
  <c r="P83" i="6"/>
  <c r="AF5" i="12"/>
  <c r="BC156" i="10"/>
  <c r="BD156" i="10" s="1"/>
  <c r="BA156" i="10" s="1"/>
  <c r="BB156" i="10" s="1"/>
  <c r="DU163" i="5"/>
  <c r="P55" i="6"/>
  <c r="P56" i="6" s="1"/>
  <c r="P57" i="6" s="1"/>
  <c r="Q4" i="13"/>
  <c r="BZ35" i="5"/>
  <c r="CB35" i="5" s="1"/>
  <c r="CB36" i="5" s="1"/>
  <c r="G90" i="6"/>
  <c r="Q190" i="10"/>
  <c r="AV99" i="10"/>
  <c r="AW99" i="10"/>
  <c r="AG77" i="11"/>
  <c r="G7" i="7"/>
  <c r="G9" i="7" s="1"/>
  <c r="G28" i="7" s="1"/>
  <c r="G72" i="7" s="1"/>
  <c r="S3" i="6"/>
  <c r="S4" i="6" s="1"/>
  <c r="N63" i="3"/>
  <c r="O66" i="3" s="1"/>
  <c r="AQ99" i="10"/>
  <c r="AT99" i="10"/>
  <c r="AT219" i="12"/>
  <c r="AT218" i="12" s="1"/>
  <c r="AT224" i="12" s="1"/>
  <c r="DZ36" i="5"/>
  <c r="G53" i="8"/>
  <c r="G54" i="3" s="1"/>
  <c r="G39" i="3" s="1"/>
  <c r="E35" i="7"/>
  <c r="E64" i="7" s="1"/>
  <c r="E122" i="6" s="1"/>
  <c r="S3" i="7"/>
  <c r="AR99" i="10"/>
  <c r="R35" i="3"/>
  <c r="R16" i="3" s="1"/>
  <c r="R31" i="3" s="1"/>
  <c r="R233" i="9"/>
  <c r="R241" i="9" s="1"/>
  <c r="X232" i="9"/>
  <c r="AF240" i="9" s="1"/>
  <c r="BF125" i="10"/>
  <c r="BD125" i="10" s="1"/>
  <c r="AQ156" i="10"/>
  <c r="AR156" i="10" s="1"/>
  <c r="Q228" i="9"/>
  <c r="Q226" i="9" s="1"/>
  <c r="BF119" i="10"/>
  <c r="BC119" i="10" s="1"/>
  <c r="N232" i="9"/>
  <c r="N233" i="9" s="1"/>
  <c r="O241" i="9" s="1"/>
  <c r="AR119" i="10"/>
  <c r="AU119" i="10"/>
  <c r="BM126" i="11"/>
  <c r="C91" i="6"/>
  <c r="L4" i="7"/>
  <c r="V232" i="9"/>
  <c r="W240" i="9" s="1"/>
  <c r="AZ199" i="10"/>
  <c r="AZ200" i="10" s="1"/>
  <c r="O228" i="9"/>
  <c r="O226" i="9" s="1"/>
  <c r="AV125" i="10"/>
  <c r="AW119" i="10"/>
  <c r="AV119" i="10"/>
  <c r="F11" i="10"/>
  <c r="I72" i="10"/>
  <c r="I74" i="10" s="1"/>
  <c r="I75" i="10" s="1"/>
  <c r="I11" i="10"/>
  <c r="W166" i="9" s="1"/>
  <c r="W143" i="9" s="1"/>
  <c r="AS119" i="10"/>
  <c r="Q25" i="3"/>
  <c r="E12" i="10"/>
  <c r="E11" i="10"/>
  <c r="H11" i="10"/>
  <c r="CY167" i="5"/>
  <c r="DG168" i="5" s="1"/>
  <c r="CY161" i="5"/>
  <c r="F72" i="10"/>
  <c r="F74" i="10" s="1"/>
  <c r="F75" i="10" s="1"/>
  <c r="G67" i="10"/>
  <c r="E72" i="10"/>
  <c r="E74" i="10" s="1"/>
  <c r="E75" i="10" s="1"/>
  <c r="D67" i="10"/>
  <c r="H72" i="10"/>
  <c r="H74" i="10" s="1"/>
  <c r="H75" i="10" s="1"/>
  <c r="J167" i="10"/>
  <c r="J169" i="10" s="1"/>
  <c r="B11" i="10"/>
  <c r="B72" i="10"/>
  <c r="B74" i="10" s="1"/>
  <c r="B75" i="10" s="1"/>
  <c r="C72" i="10"/>
  <c r="C74" i="10" s="1"/>
  <c r="C75" i="10" s="1"/>
  <c r="C11" i="10"/>
  <c r="U237" i="9"/>
  <c r="T232" i="9"/>
  <c r="T233" i="9" s="1"/>
  <c r="P237" i="9"/>
  <c r="U214" i="9"/>
  <c r="U209" i="9"/>
  <c r="U210" i="9" s="1"/>
  <c r="T209" i="9"/>
  <c r="T210" i="9" s="1"/>
  <c r="T214" i="9"/>
  <c r="R210" i="9"/>
  <c r="R228" i="9"/>
  <c r="R226" i="9" s="1"/>
  <c r="P209" i="9"/>
  <c r="P214" i="9"/>
  <c r="N209" i="9"/>
  <c r="N214" i="9"/>
  <c r="V209" i="9"/>
  <c r="V210" i="9" s="1"/>
  <c r="V214" i="9"/>
  <c r="X209" i="9"/>
  <c r="X210" i="9" s="1"/>
  <c r="X214" i="9"/>
  <c r="S210" i="9"/>
  <c r="S228" i="9"/>
  <c r="S226" i="9" s="1"/>
  <c r="CX131" i="5"/>
  <c r="AG145" i="11"/>
  <c r="P240" i="9"/>
  <c r="P233" i="9"/>
  <c r="P241" i="9" s="1"/>
  <c r="U233" i="9"/>
  <c r="U241" i="9" s="1"/>
  <c r="U240" i="9"/>
  <c r="N126" i="9"/>
  <c r="N130" i="9" s="1"/>
  <c r="CT44" i="5"/>
  <c r="CR44" i="5" s="1"/>
  <c r="C90" i="6"/>
  <c r="C54" i="8"/>
  <c r="C56" i="8" s="1"/>
  <c r="C58" i="8" s="1"/>
  <c r="C3" i="8" s="1"/>
  <c r="H132" i="8"/>
  <c r="H133" i="8" s="1"/>
  <c r="C7" i="3"/>
  <c r="C10" i="3" s="1"/>
  <c r="AW190" i="10"/>
  <c r="D107" i="8"/>
  <c r="CT67" i="5"/>
  <c r="H62" i="6"/>
  <c r="C107" i="8"/>
  <c r="P4" i="8"/>
  <c r="Q4" i="8"/>
  <c r="AQ125" i="10"/>
  <c r="P3" i="7"/>
  <c r="P4" i="7" s="1"/>
  <c r="BD24" i="5"/>
  <c r="BD37" i="5" s="1"/>
  <c r="AT125" i="10"/>
  <c r="AW125" i="10"/>
  <c r="AZ184" i="10"/>
  <c r="BC184" i="10"/>
  <c r="AC190" i="10"/>
  <c r="AC192" i="10" s="1"/>
  <c r="AD192" i="10" s="1"/>
  <c r="AD191" i="10" s="1"/>
  <c r="S193" i="10"/>
  <c r="T193" i="10" s="1"/>
  <c r="T195" i="10" s="1"/>
  <c r="D115" i="8"/>
  <c r="F74" i="6"/>
  <c r="Q132" i="8"/>
  <c r="Q133" i="8" s="1"/>
  <c r="AS125" i="10"/>
  <c r="AY184" i="10"/>
  <c r="L62" i="6"/>
  <c r="AU125" i="10"/>
  <c r="BA184" i="10"/>
  <c r="F67" i="6"/>
  <c r="F105" i="8" s="1"/>
  <c r="F107" i="8" s="1"/>
  <c r="CV3" i="5"/>
  <c r="CV11" i="5" s="1"/>
  <c r="DD35" i="5" s="1"/>
  <c r="F70" i="6"/>
  <c r="K19" i="10"/>
  <c r="L19" i="10" s="1"/>
  <c r="Q19" i="10" s="1"/>
  <c r="L58" i="10"/>
  <c r="R3" i="8"/>
  <c r="R4" i="8" s="1"/>
  <c r="Z61" i="9"/>
  <c r="Z62" i="9"/>
  <c r="Z60" i="9"/>
  <c r="AH12" i="9"/>
  <c r="AL153" i="5"/>
  <c r="M62" i="6"/>
  <c r="AG136" i="11"/>
  <c r="AH136" i="11" s="1"/>
  <c r="AI136" i="11" s="1"/>
  <c r="AJ136" i="11" s="1"/>
  <c r="AK136" i="11" s="1"/>
  <c r="AL136" i="11" s="1"/>
  <c r="AM136" i="11" s="1"/>
  <c r="AN136" i="11" s="1"/>
  <c r="AO136" i="11" s="1"/>
  <c r="AW136" i="11" s="1"/>
  <c r="BE136" i="11" s="1"/>
  <c r="BM136" i="11" s="1"/>
  <c r="BU136" i="11" s="1"/>
  <c r="CC136" i="11" s="1"/>
  <c r="CK136" i="11" s="1"/>
  <c r="CS136" i="11" s="1"/>
  <c r="DA136" i="11" s="1"/>
  <c r="AG137" i="11"/>
  <c r="AH137" i="11" s="1"/>
  <c r="AI137" i="11" s="1"/>
  <c r="AJ137" i="11" s="1"/>
  <c r="AK137" i="11" s="1"/>
  <c r="AL137" i="11" s="1"/>
  <c r="AM137" i="11" s="1"/>
  <c r="AN137" i="11" s="1"/>
  <c r="AO137" i="11" s="1"/>
  <c r="AW137" i="11" s="1"/>
  <c r="BB11" i="5"/>
  <c r="BB24" i="5" s="1"/>
  <c r="AH135" i="11"/>
  <c r="AH145" i="11" s="1"/>
  <c r="DD10" i="5"/>
  <c r="Z7" i="12"/>
  <c r="AB8" i="12"/>
  <c r="Z8" i="12" s="1"/>
  <c r="CZ261" i="5"/>
  <c r="DB316" i="5"/>
  <c r="CZ316" i="5" s="1"/>
  <c r="T3" i="6"/>
  <c r="CR183" i="5"/>
  <c r="T132" i="8"/>
  <c r="T133" i="8" s="1"/>
  <c r="P126" i="9"/>
  <c r="P130" i="9" s="1"/>
  <c r="CR39" i="5"/>
  <c r="CR50" i="5" s="1"/>
  <c r="CR67" i="5" s="1"/>
  <c r="T3" i="7"/>
  <c r="Z77" i="9"/>
  <c r="AO57" i="10"/>
  <c r="W59" i="10"/>
  <c r="AP19" i="10"/>
  <c r="CP159" i="5"/>
  <c r="AB86" i="9"/>
  <c r="CR159" i="5"/>
  <c r="AD86" i="9"/>
  <c r="Q192" i="10"/>
  <c r="P30" i="3"/>
  <c r="R3" i="7"/>
  <c r="AW166" i="10"/>
  <c r="BB13" i="5"/>
  <c r="P309" i="5"/>
  <c r="V256" i="9"/>
  <c r="AI154" i="10"/>
  <c r="AI157" i="10" s="1"/>
  <c r="AI159" i="10" s="1"/>
  <c r="AU193" i="10"/>
  <c r="AV193" i="10" s="1"/>
  <c r="AO153" i="10"/>
  <c r="AR30" i="13"/>
  <c r="G85" i="10"/>
  <c r="F18" i="10"/>
  <c r="F20" i="10" s="1"/>
  <c r="P118" i="5"/>
  <c r="J63" i="10"/>
  <c r="AT98" i="10"/>
  <c r="BF98" i="10"/>
  <c r="AR98" i="10"/>
  <c r="AU98" i="10"/>
  <c r="AW98" i="10"/>
  <c r="AQ98" i="10"/>
  <c r="AV98" i="10"/>
  <c r="AS98" i="10"/>
  <c r="Q169" i="9"/>
  <c r="Q161" i="9" s="1"/>
  <c r="E33" i="10"/>
  <c r="Q177" i="9" s="1"/>
  <c r="R80" i="10"/>
  <c r="BT173" i="5"/>
  <c r="CB174" i="5" s="1"/>
  <c r="Y65" i="6"/>
  <c r="X10" i="6"/>
  <c r="M25" i="3"/>
  <c r="M29" i="3"/>
  <c r="AY144" i="10"/>
  <c r="BC144" i="10"/>
  <c r="X330" i="5"/>
  <c r="CT102" i="5"/>
  <c r="CR102" i="5" s="1"/>
  <c r="T32" i="6"/>
  <c r="F81" i="10"/>
  <c r="F12" i="10" s="1"/>
  <c r="AN153" i="5"/>
  <c r="AN152" i="5"/>
  <c r="H53" i="8"/>
  <c r="H7" i="7"/>
  <c r="H9" i="7" s="1"/>
  <c r="H28" i="7" s="1"/>
  <c r="H90" i="6"/>
  <c r="H91" i="6"/>
  <c r="CB39" i="5"/>
  <c r="CB50" i="5" s="1"/>
  <c r="CD50" i="5"/>
  <c r="E115" i="8"/>
  <c r="E107" i="8"/>
  <c r="Q87" i="6"/>
  <c r="Q89" i="6" s="1"/>
  <c r="Q83" i="6"/>
  <c r="Q55" i="6"/>
  <c r="Q56" i="6" s="1"/>
  <c r="DA129" i="5"/>
  <c r="CS129" i="5"/>
  <c r="I70" i="6"/>
  <c r="I67" i="6"/>
  <c r="I105" i="8" s="1"/>
  <c r="I115" i="8" s="1"/>
  <c r="O83" i="6"/>
  <c r="O87" i="6"/>
  <c r="O89" i="6" s="1"/>
  <c r="O55" i="6"/>
  <c r="O56" i="6" s="1"/>
  <c r="Y50" i="8"/>
  <c r="X48" i="7"/>
  <c r="DZ290" i="5" s="1"/>
  <c r="G29" i="3"/>
  <c r="G30" i="3"/>
  <c r="G71" i="3"/>
  <c r="G24" i="3"/>
  <c r="H24" i="3"/>
  <c r="K70" i="6"/>
  <c r="K67" i="6"/>
  <c r="K105" i="8" s="1"/>
  <c r="EM58" i="5"/>
  <c r="EN58" i="5" s="1"/>
  <c r="AB72" i="6"/>
  <c r="AA193" i="8"/>
  <c r="EX48" i="5"/>
  <c r="AA19" i="6"/>
  <c r="DZ107" i="5"/>
  <c r="DX107" i="5" s="1"/>
  <c r="Y86" i="6"/>
  <c r="X60" i="6"/>
  <c r="L7" i="7"/>
  <c r="L90" i="6"/>
  <c r="L91" i="6"/>
  <c r="EE109" i="5"/>
  <c r="EF109" i="5" s="1"/>
  <c r="AA40" i="6"/>
  <c r="EP109" i="5"/>
  <c r="EM109" i="5" s="1"/>
  <c r="EN109" i="5" s="1"/>
  <c r="Z50" i="5"/>
  <c r="J17" i="3"/>
  <c r="J46" i="6"/>
  <c r="J43" i="6"/>
  <c r="J50" i="6"/>
  <c r="J19" i="3" s="1"/>
  <c r="AA35" i="6"/>
  <c r="EP103" i="5"/>
  <c r="EM103" i="5" s="1"/>
  <c r="EN103" i="5" s="1"/>
  <c r="EN163" i="5"/>
  <c r="EN125" i="5"/>
  <c r="EP127" i="5"/>
  <c r="EP128" i="5"/>
  <c r="AF39" i="5"/>
  <c r="AH50" i="5"/>
  <c r="AH44" i="5"/>
  <c r="EU74" i="5"/>
  <c r="EV74" i="5" s="1"/>
  <c r="Z76" i="6"/>
  <c r="Y192" i="8"/>
  <c r="BF39" i="5"/>
  <c r="CJ39" i="5"/>
  <c r="CJ50" i="5" s="1"/>
  <c r="CL50" i="5"/>
  <c r="S200" i="10"/>
  <c r="S202" i="10" s="1"/>
  <c r="N3" i="8"/>
  <c r="N3" i="6"/>
  <c r="N3" i="7"/>
  <c r="S55" i="6"/>
  <c r="S56" i="6" s="1"/>
  <c r="S34" i="6"/>
  <c r="S36" i="6"/>
  <c r="S39" i="6" s="1"/>
  <c r="S42" i="6" s="1"/>
  <c r="S36" i="3"/>
  <c r="R25" i="3"/>
  <c r="R29" i="3"/>
  <c r="V196" i="9"/>
  <c r="W117" i="9"/>
  <c r="F71" i="3"/>
  <c r="F24" i="3"/>
  <c r="P43" i="6"/>
  <c r="P53" i="6"/>
  <c r="P46" i="6"/>
  <c r="P17" i="3"/>
  <c r="P50" i="6"/>
  <c r="P19" i="3" s="1"/>
  <c r="Y30" i="8"/>
  <c r="Z42" i="8"/>
  <c r="K81" i="6"/>
  <c r="K55" i="6"/>
  <c r="K56" i="6" s="1"/>
  <c r="K83" i="6"/>
  <c r="K87" i="6"/>
  <c r="K89" i="6" s="1"/>
  <c r="EP46" i="5"/>
  <c r="EV125" i="5"/>
  <c r="EV163" i="5"/>
  <c r="EX127" i="5"/>
  <c r="EX128" i="5"/>
  <c r="E61" i="6"/>
  <c r="E62" i="6" s="1"/>
  <c r="E57" i="6"/>
  <c r="W195" i="10"/>
  <c r="X195" i="10" s="1"/>
  <c r="BN261" i="9"/>
  <c r="EI163" i="5"/>
  <c r="Y57" i="7"/>
  <c r="DZ286" i="5"/>
  <c r="BB95" i="10"/>
  <c r="BN95" i="10"/>
  <c r="AZ95" i="10"/>
  <c r="BC95" i="10"/>
  <c r="BE95" i="10"/>
  <c r="BD95" i="10"/>
  <c r="BA95" i="10"/>
  <c r="AY95" i="10"/>
  <c r="L29" i="3"/>
  <c r="L25" i="3"/>
  <c r="E66" i="7"/>
  <c r="D49" i="3"/>
  <c r="D59" i="3"/>
  <c r="M106" i="8"/>
  <c r="M111" i="8" s="1"/>
  <c r="M66" i="6"/>
  <c r="Z26" i="7"/>
  <c r="EP112" i="5"/>
  <c r="T29" i="3"/>
  <c r="T25" i="3"/>
  <c r="X41" i="8"/>
  <c r="EE46" i="5"/>
  <c r="EF46" i="5" s="1"/>
  <c r="EH86" i="5"/>
  <c r="R117" i="9"/>
  <c r="R97" i="9" s="1"/>
  <c r="S196" i="9"/>
  <c r="O25" i="3"/>
  <c r="O29" i="3"/>
  <c r="W9" i="3"/>
  <c r="X49" i="8"/>
  <c r="W55" i="3"/>
  <c r="K25" i="3"/>
  <c r="K29" i="3"/>
  <c r="B53" i="8"/>
  <c r="B90" i="6"/>
  <c r="B91" i="6"/>
  <c r="DX300" i="5"/>
  <c r="BL281" i="5"/>
  <c r="BD282" i="5"/>
  <c r="BL282" i="5" s="1"/>
  <c r="P35" i="3"/>
  <c r="P16" i="3" s="1"/>
  <c r="P31" i="3" s="1"/>
  <c r="W8" i="3"/>
  <c r="W125" i="6" s="1"/>
  <c r="N25" i="3"/>
  <c r="N29" i="3"/>
  <c r="N44" i="3"/>
  <c r="N50" i="3"/>
  <c r="O44" i="3"/>
  <c r="O40" i="3"/>
  <c r="O43" i="3"/>
  <c r="O42" i="3"/>
  <c r="DX265" i="5"/>
  <c r="AD47" i="4"/>
  <c r="EX58" i="5"/>
  <c r="EU58" i="5" s="1"/>
  <c r="EV58" i="5" s="1"/>
  <c r="AA88" i="3"/>
  <c r="BV261" i="9"/>
  <c r="EQ163" i="5"/>
  <c r="E35" i="3"/>
  <c r="E16" i="3" s="1"/>
  <c r="E31" i="3" s="1"/>
  <c r="Z8" i="8"/>
  <c r="BN333" i="5"/>
  <c r="L74" i="6"/>
  <c r="L67" i="6"/>
  <c r="L105" i="8" s="1"/>
  <c r="J61" i="6"/>
  <c r="J62" i="6" s="1"/>
  <c r="J57" i="6"/>
  <c r="M91" i="6"/>
  <c r="M7" i="7"/>
  <c r="M90" i="6"/>
  <c r="EM163" i="5"/>
  <c r="EM125" i="5"/>
  <c r="G111" i="8"/>
  <c r="AG144" i="11"/>
  <c r="AG158" i="11"/>
  <c r="BA189" i="10"/>
  <c r="BB189" i="10" s="1"/>
  <c r="BE187" i="10"/>
  <c r="BE143" i="10" s="1"/>
  <c r="F30" i="3"/>
  <c r="P24" i="3"/>
  <c r="P71" i="3"/>
  <c r="FF163" i="5"/>
  <c r="FF125" i="5"/>
  <c r="CC261" i="9"/>
  <c r="CI261" i="9"/>
  <c r="FE163" i="5" s="1"/>
  <c r="CG261" i="9"/>
  <c r="CH261" i="9"/>
  <c r="CK173" i="5"/>
  <c r="CK174" i="5" s="1"/>
  <c r="AN126" i="11"/>
  <c r="CY69" i="5"/>
  <c r="CY77" i="5" s="1"/>
  <c r="CY92" i="5" s="1"/>
  <c r="CY115" i="5" s="1"/>
  <c r="CY67" i="5"/>
  <c r="BD144" i="10"/>
  <c r="AY190" i="10"/>
  <c r="P29" i="3"/>
  <c r="P25" i="3"/>
  <c r="Y22" i="8"/>
  <c r="DX86" i="5"/>
  <c r="X78" i="6"/>
  <c r="BT39" i="5"/>
  <c r="BT50" i="5" s="1"/>
  <c r="BV50" i="5"/>
  <c r="FN5" i="5"/>
  <c r="FJ5" i="5" s="1"/>
  <c r="M3" i="8"/>
  <c r="M4" i="8" s="1"/>
  <c r="M3" i="7"/>
  <c r="M4" i="7" s="1"/>
  <c r="M3" i="6"/>
  <c r="M4" i="6" s="1"/>
  <c r="S25" i="3"/>
  <c r="S29" i="3"/>
  <c r="Z69" i="7"/>
  <c r="EH300" i="5"/>
  <c r="W56" i="3"/>
  <c r="U45" i="10"/>
  <c r="P90" i="6"/>
  <c r="P7" i="7"/>
  <c r="P91" i="6"/>
  <c r="EU125" i="5"/>
  <c r="EU163" i="5"/>
  <c r="Y24" i="8"/>
  <c r="E17" i="3"/>
  <c r="E32" i="3" s="1"/>
  <c r="E46" i="6"/>
  <c r="E43" i="6"/>
  <c r="E50" i="6"/>
  <c r="E19" i="3" s="1"/>
  <c r="DJ117" i="5"/>
  <c r="DH117" i="5" s="1"/>
  <c r="V5" i="3"/>
  <c r="V6" i="3" s="1"/>
  <c r="EH265" i="5"/>
  <c r="G74" i="6"/>
  <c r="G67" i="6"/>
  <c r="G105" i="8" s="1"/>
  <c r="G70" i="6"/>
  <c r="G81" i="6"/>
  <c r="J106" i="12"/>
  <c r="J105" i="12" s="1"/>
  <c r="J107" i="12" s="1"/>
  <c r="J35" i="3"/>
  <c r="J16" i="3" s="1"/>
  <c r="J31" i="3" s="1"/>
  <c r="CZ127" i="5"/>
  <c r="CZ128" i="5"/>
  <c r="O50" i="3"/>
  <c r="AA12" i="4"/>
  <c r="DZ10" i="5"/>
  <c r="X82" i="3"/>
  <c r="T4" i="8"/>
  <c r="AN39" i="5"/>
  <c r="AP50" i="5"/>
  <c r="Y105" i="6"/>
  <c r="Z4" i="3"/>
  <c r="O106" i="6"/>
  <c r="O18" i="3"/>
  <c r="K19" i="3"/>
  <c r="Q106" i="6"/>
  <c r="Q18" i="3"/>
  <c r="N106" i="6"/>
  <c r="N18" i="3"/>
  <c r="H41" i="3"/>
  <c r="H34" i="3"/>
  <c r="F54" i="3"/>
  <c r="F54" i="8"/>
  <c r="F56" i="8" s="1"/>
  <c r="F58" i="8" s="1"/>
  <c r="C51" i="3"/>
  <c r="C61" i="3"/>
  <c r="C39" i="3"/>
  <c r="I32" i="3"/>
  <c r="E3" i="8"/>
  <c r="E3" i="7"/>
  <c r="E3" i="6"/>
  <c r="R72" i="7"/>
  <c r="DB28" i="5"/>
  <c r="CT256" i="5"/>
  <c r="T28" i="7"/>
  <c r="T9" i="7"/>
  <c r="K31" i="3"/>
  <c r="K32" i="3"/>
  <c r="K67" i="3"/>
  <c r="M106" i="6"/>
  <c r="M18" i="3"/>
  <c r="O51" i="6"/>
  <c r="O19" i="3"/>
  <c r="G106" i="6"/>
  <c r="G18" i="3"/>
  <c r="Q19" i="3"/>
  <c r="L34" i="3"/>
  <c r="L41" i="3"/>
  <c r="I51" i="6"/>
  <c r="I19" i="3"/>
  <c r="H106" i="6"/>
  <c r="H18" i="3"/>
  <c r="L31" i="3"/>
  <c r="I73" i="7"/>
  <c r="I21" i="3"/>
  <c r="I74" i="7"/>
  <c r="CR170" i="5"/>
  <c r="CT171" i="5"/>
  <c r="G31" i="3"/>
  <c r="G32" i="3"/>
  <c r="M31" i="3"/>
  <c r="CR165" i="5"/>
  <c r="Q31" i="3"/>
  <c r="F32" i="3"/>
  <c r="H31" i="3"/>
  <c r="G19" i="3"/>
  <c r="W58" i="3"/>
  <c r="M279" i="12"/>
  <c r="N279" i="12"/>
  <c r="M32" i="3"/>
  <c r="M67" i="3"/>
  <c r="H32" i="3"/>
  <c r="Q67" i="3"/>
  <c r="Q32" i="3"/>
  <c r="D3" i="8"/>
  <c r="D3" i="7"/>
  <c r="D3" i="6"/>
  <c r="N31" i="3"/>
  <c r="N35" i="7"/>
  <c r="N64" i="7" s="1"/>
  <c r="N122" i="6" s="1"/>
  <c r="N72" i="7"/>
  <c r="CZ191" i="5"/>
  <c r="O67" i="3"/>
  <c r="O32" i="3"/>
  <c r="E73" i="7"/>
  <c r="E21" i="3"/>
  <c r="E74" i="7"/>
  <c r="N67" i="3"/>
  <c r="N32" i="3"/>
  <c r="I31" i="3"/>
  <c r="M51" i="6"/>
  <c r="M19" i="3"/>
  <c r="K106" i="6"/>
  <c r="K18" i="3"/>
  <c r="L106" i="6"/>
  <c r="L18" i="3"/>
  <c r="F18" i="3"/>
  <c r="N41" i="3"/>
  <c r="N34" i="3"/>
  <c r="I106" i="6"/>
  <c r="I18" i="3"/>
  <c r="V62" i="3"/>
  <c r="DB183" i="5"/>
  <c r="K5" i="13"/>
  <c r="CX187" i="5"/>
  <c r="O31" i="3"/>
  <c r="O65" i="3"/>
  <c r="F35" i="7"/>
  <c r="F64" i="7" s="1"/>
  <c r="F122" i="6" s="1"/>
  <c r="F72" i="7"/>
  <c r="V58" i="3"/>
  <c r="L67" i="3"/>
  <c r="L32" i="3"/>
  <c r="DJ36" i="5"/>
  <c r="AZ37" i="13"/>
  <c r="BK37" i="13"/>
  <c r="S6" i="13"/>
  <c r="U247" i="12"/>
  <c r="T246" i="12"/>
  <c r="Q183" i="12"/>
  <c r="BO31" i="12"/>
  <c r="AT188" i="12"/>
  <c r="AT160" i="12"/>
  <c r="T237" i="12"/>
  <c r="U238" i="12"/>
  <c r="BR172" i="12"/>
  <c r="BJ174" i="12"/>
  <c r="S249" i="12"/>
  <c r="S252" i="12" s="1"/>
  <c r="S253" i="12" s="1"/>
  <c r="M183" i="12"/>
  <c r="M193" i="12" s="1"/>
  <c r="M195" i="12" s="1"/>
  <c r="O183" i="12"/>
  <c r="O179" i="12"/>
  <c r="O164" i="12" s="1"/>
  <c r="BB215" i="12"/>
  <c r="AL234" i="12"/>
  <c r="AL228" i="12"/>
  <c r="BZ173" i="12"/>
  <c r="Q172" i="12"/>
  <c r="Q173" i="12"/>
  <c r="Q171" i="12"/>
  <c r="BJ212" i="12"/>
  <c r="BB183" i="12"/>
  <c r="BB193" i="12" s="1"/>
  <c r="BB195" i="12" s="1"/>
  <c r="N183" i="12"/>
  <c r="N193" i="12" s="1"/>
  <c r="N195" i="12" s="1"/>
  <c r="N179" i="12"/>
  <c r="N164" i="12" s="1"/>
  <c r="CH171" i="12"/>
  <c r="AB5" i="12"/>
  <c r="P169" i="12"/>
  <c r="O172" i="12"/>
  <c r="O177" i="12" s="1"/>
  <c r="O173" i="12"/>
  <c r="O178" i="12" s="1"/>
  <c r="O171" i="12"/>
  <c r="O176" i="12" s="1"/>
  <c r="AJ48" i="11"/>
  <c r="Q202" i="9" s="1"/>
  <c r="AJ12" i="11"/>
  <c r="AM177" i="11"/>
  <c r="AN173" i="11"/>
  <c r="AH151" i="11"/>
  <c r="AW121" i="11"/>
  <c r="AW108" i="11"/>
  <c r="AW92" i="11"/>
  <c r="AW93" i="11" s="1"/>
  <c r="AL171" i="11"/>
  <c r="AK170" i="11"/>
  <c r="AK11" i="11" s="1"/>
  <c r="S194" i="9" s="1"/>
  <c r="S186" i="9" s="1"/>
  <c r="AL181" i="11"/>
  <c r="AM180" i="11"/>
  <c r="F82" i="11"/>
  <c r="F84" i="11" s="1"/>
  <c r="F85" i="11" s="1"/>
  <c r="G81" i="11"/>
  <c r="AF73" i="11"/>
  <c r="AF68" i="11"/>
  <c r="AM156" i="11"/>
  <c r="AO107" i="11"/>
  <c r="AO118" i="11"/>
  <c r="AO120" i="11" s="1"/>
  <c r="AO125" i="11" s="1"/>
  <c r="AO124" i="11"/>
  <c r="CK51" i="11"/>
  <c r="AK81" i="11"/>
  <c r="AJ82" i="11"/>
  <c r="AJ75" i="11" s="1"/>
  <c r="AK74" i="11"/>
  <c r="AL80" i="11"/>
  <c r="AL73" i="11"/>
  <c r="AM155" i="11"/>
  <c r="AL148" i="11"/>
  <c r="G209" i="10"/>
  <c r="G208" i="10"/>
  <c r="AH205" i="10"/>
  <c r="D208" i="10"/>
  <c r="D209" i="10"/>
  <c r="AK43" i="10"/>
  <c r="AL43" i="10" s="1"/>
  <c r="AN200" i="10"/>
  <c r="X169" i="10"/>
  <c r="AY57" i="10"/>
  <c r="AZ57" i="10" s="1"/>
  <c r="K159" i="10"/>
  <c r="BJ189" i="10"/>
  <c r="BI190" i="10" s="1"/>
  <c r="BC162" i="10"/>
  <c r="BC163" i="10" s="1"/>
  <c r="AY162" i="10"/>
  <c r="AY163" i="10" s="1"/>
  <c r="BN162" i="10"/>
  <c r="BB162" i="10"/>
  <c r="BE162" i="10"/>
  <c r="BA162" i="10"/>
  <c r="BA163" i="10" s="1"/>
  <c r="BD162" i="10"/>
  <c r="AZ162" i="10"/>
  <c r="BF163" i="10"/>
  <c r="AX164" i="10" s="1"/>
  <c r="AX167" i="10" s="1"/>
  <c r="AA111" i="10"/>
  <c r="AC111" i="10"/>
  <c r="BG197" i="10"/>
  <c r="BG199" i="10" s="1"/>
  <c r="BB200" i="10" s="1"/>
  <c r="BK199" i="10"/>
  <c r="BL199" i="10" s="1"/>
  <c r="BN128" i="10"/>
  <c r="BC128" i="10"/>
  <c r="BV190" i="10"/>
  <c r="BQ147" i="10"/>
  <c r="BR147" i="10" s="1"/>
  <c r="AP110" i="10"/>
  <c r="AO82" i="10"/>
  <c r="AO110" i="10" s="1"/>
  <c r="AK82" i="10"/>
  <c r="AN82" i="10"/>
  <c r="AN110" i="10" s="1"/>
  <c r="AJ82" i="10"/>
  <c r="AJ110" i="10" s="1"/>
  <c r="AM82" i="10"/>
  <c r="AM15" i="10" s="1"/>
  <c r="AI82" i="10"/>
  <c r="AX82" i="10"/>
  <c r="AL82" i="10"/>
  <c r="AL110" i="10" s="1"/>
  <c r="AP15" i="10"/>
  <c r="AJ190" i="10"/>
  <c r="AR153" i="10"/>
  <c r="AR154" i="10" s="1"/>
  <c r="AP112" i="10"/>
  <c r="AO84" i="10"/>
  <c r="AO112" i="10" s="1"/>
  <c r="AK84" i="10"/>
  <c r="AN84" i="10"/>
  <c r="AN112" i="10" s="1"/>
  <c r="AJ84" i="10"/>
  <c r="AJ112" i="10" s="1"/>
  <c r="AM84" i="10"/>
  <c r="AM17" i="10" s="1"/>
  <c r="AI84" i="10"/>
  <c r="AX84" i="10"/>
  <c r="AL84" i="10"/>
  <c r="AL112" i="10" s="1"/>
  <c r="AP17" i="10"/>
  <c r="O202" i="10"/>
  <c r="P202" i="10" s="1"/>
  <c r="AU124" i="10"/>
  <c r="AQ124" i="10"/>
  <c r="AS124" i="10"/>
  <c r="AW124" i="10"/>
  <c r="AR124" i="10"/>
  <c r="BF124" i="10"/>
  <c r="AV124" i="10"/>
  <c r="AT124" i="10"/>
  <c r="BC120" i="10"/>
  <c r="AY120" i="10"/>
  <c r="BA120" i="10"/>
  <c r="BE120" i="10"/>
  <c r="AZ120" i="10"/>
  <c r="BN120" i="10"/>
  <c r="BD120" i="10"/>
  <c r="BB120" i="10"/>
  <c r="AU44" i="10"/>
  <c r="BF44" i="10"/>
  <c r="BM187" i="10"/>
  <c r="BM143" i="10" s="1"/>
  <c r="BM92" i="10"/>
  <c r="BI92" i="10"/>
  <c r="BL92" i="10"/>
  <c r="BH92" i="10"/>
  <c r="BK92" i="10"/>
  <c r="BG92" i="10"/>
  <c r="BV92" i="10"/>
  <c r="BJ92" i="10"/>
  <c r="AS199" i="10"/>
  <c r="AW197" i="10"/>
  <c r="AK40" i="10"/>
  <c r="AE169" i="10"/>
  <c r="BA57" i="10"/>
  <c r="AS156" i="10"/>
  <c r="AT156" i="10" s="1"/>
  <c r="AV121" i="10"/>
  <c r="AR121" i="10"/>
  <c r="AT121" i="10"/>
  <c r="AS121" i="10"/>
  <c r="AW121" i="10"/>
  <c r="AQ121" i="10"/>
  <c r="AU121" i="10"/>
  <c r="BF121" i="10"/>
  <c r="AE111" i="10"/>
  <c r="AP114" i="10"/>
  <c r="AO86" i="10"/>
  <c r="AO114" i="10" s="1"/>
  <c r="AK86" i="10"/>
  <c r="AK114" i="10" s="1"/>
  <c r="AN86" i="10"/>
  <c r="AN114" i="10" s="1"/>
  <c r="AJ86" i="10"/>
  <c r="AJ114" i="10" s="1"/>
  <c r="AM86" i="10"/>
  <c r="AI86" i="10"/>
  <c r="AI114" i="10" s="1"/>
  <c r="AX86" i="10"/>
  <c r="AL86" i="10"/>
  <c r="AL114" i="10" s="1"/>
  <c r="AA193" i="10"/>
  <c r="AA195" i="10" s="1"/>
  <c r="BM161" i="10"/>
  <c r="AQ200" i="10"/>
  <c r="BS189" i="10"/>
  <c r="BO187" i="10"/>
  <c r="BV199" i="10"/>
  <c r="BV200" i="10" s="1"/>
  <c r="BS197" i="10"/>
  <c r="BT197" i="10" s="1"/>
  <c r="U163" i="10"/>
  <c r="T164" i="10" s="1"/>
  <c r="Y161" i="10"/>
  <c r="AA45" i="10"/>
  <c r="AA71" i="10" s="1"/>
  <c r="AA110" i="10"/>
  <c r="AK41" i="10"/>
  <c r="AL41" i="10" s="1"/>
  <c r="AF202" i="10"/>
  <c r="AF201" i="10" s="1"/>
  <c r="BU161" i="10"/>
  <c r="AW122" i="10"/>
  <c r="AS122" i="10"/>
  <c r="AR122" i="10"/>
  <c r="AV122" i="10"/>
  <c r="AQ122" i="10"/>
  <c r="BF122" i="10"/>
  <c r="AU122" i="10"/>
  <c r="AT122" i="10"/>
  <c r="AA112" i="10"/>
  <c r="AC112" i="10"/>
  <c r="Z205" i="10"/>
  <c r="AA164" i="10"/>
  <c r="AA167" i="10" s="1"/>
  <c r="AI44" i="10"/>
  <c r="AJ44" i="10" s="1"/>
  <c r="BV156" i="10"/>
  <c r="BK156" i="10"/>
  <c r="BL156" i="10" s="1"/>
  <c r="BM93" i="10"/>
  <c r="BI93" i="10"/>
  <c r="BL93" i="10"/>
  <c r="BG93" i="10"/>
  <c r="BV93" i="10"/>
  <c r="BK93" i="10"/>
  <c r="BJ93" i="10"/>
  <c r="BH93" i="10"/>
  <c r="M200" i="10"/>
  <c r="Q199" i="10"/>
  <c r="Q200" i="10" s="1"/>
  <c r="L200" i="10"/>
  <c r="AI169" i="10"/>
  <c r="AX45" i="10"/>
  <c r="BF40" i="10"/>
  <c r="AU40" i="10"/>
  <c r="AV40" i="10" s="1"/>
  <c r="AI43" i="10"/>
  <c r="AJ43" i="10" s="1"/>
  <c r="AL163" i="10"/>
  <c r="AL164" i="10" s="1"/>
  <c r="AN164" i="10"/>
  <c r="BF192" i="10"/>
  <c r="AV163" i="10"/>
  <c r="AP164" i="10"/>
  <c r="AP167" i="10" s="1"/>
  <c r="AR163" i="10"/>
  <c r="BN158" i="10"/>
  <c r="BB158" i="10"/>
  <c r="BE158" i="10"/>
  <c r="BA158" i="10"/>
  <c r="BD158" i="10"/>
  <c r="AZ158" i="10"/>
  <c r="BC158" i="10"/>
  <c r="AY158" i="10"/>
  <c r="AK199" i="10"/>
  <c r="AO197" i="10"/>
  <c r="AW168" i="10"/>
  <c r="AS168" i="10"/>
  <c r="AR168" i="10"/>
  <c r="AV168" i="10"/>
  <c r="AQ168" i="10"/>
  <c r="BF168" i="10"/>
  <c r="AU168" i="10"/>
  <c r="AT168" i="10"/>
  <c r="BT187" i="10"/>
  <c r="BT143" i="10" s="1"/>
  <c r="BN102" i="10"/>
  <c r="BB102" i="10"/>
  <c r="BE102" i="10"/>
  <c r="BA102" i="10"/>
  <c r="BD102" i="10"/>
  <c r="BC102" i="10"/>
  <c r="AZ102" i="10"/>
  <c r="AY102" i="10"/>
  <c r="AZ103" i="10"/>
  <c r="AL189" i="10"/>
  <c r="AL190" i="10" s="1"/>
  <c r="AS192" i="10"/>
  <c r="AS193" i="10" s="1"/>
  <c r="AB40" i="10"/>
  <c r="AG40" i="10" s="1"/>
  <c r="AE110" i="10"/>
  <c r="BL181" i="10"/>
  <c r="BH181" i="10"/>
  <c r="BK181" i="10"/>
  <c r="BG181" i="10"/>
  <c r="BV181" i="10"/>
  <c r="BJ181" i="10"/>
  <c r="BI181" i="10"/>
  <c r="AU41" i="10"/>
  <c r="AV41" i="10" s="1"/>
  <c r="BF41" i="10"/>
  <c r="BC191" i="10"/>
  <c r="AY191" i="10"/>
  <c r="BN191" i="10"/>
  <c r="BB191" i="10"/>
  <c r="BA191" i="10"/>
  <c r="BD191" i="10"/>
  <c r="AZ191" i="10"/>
  <c r="AO189" i="10"/>
  <c r="BJ147" i="10"/>
  <c r="BC152" i="10"/>
  <c r="BC153" i="10" s="1"/>
  <c r="AY152" i="10"/>
  <c r="AY153" i="10" s="1"/>
  <c r="BN152" i="10"/>
  <c r="BB152" i="10"/>
  <c r="BE152" i="10"/>
  <c r="BA152" i="10"/>
  <c r="BA153" i="10" s="1"/>
  <c r="BD152" i="10"/>
  <c r="AZ152" i="10"/>
  <c r="AE112" i="10"/>
  <c r="AG163" i="10"/>
  <c r="AG164" i="10" s="1"/>
  <c r="BK190" i="10"/>
  <c r="BD190" i="10"/>
  <c r="AC199" i="10"/>
  <c r="AG197" i="10"/>
  <c r="AO163" i="10"/>
  <c r="K164" i="10"/>
  <c r="K167" i="10" s="1"/>
  <c r="BN123" i="10"/>
  <c r="BB123" i="10"/>
  <c r="BD123" i="10"/>
  <c r="AY123" i="10"/>
  <c r="BC123" i="10"/>
  <c r="BA123" i="10"/>
  <c r="AZ123" i="10"/>
  <c r="BE123" i="10"/>
  <c r="BN101" i="10"/>
  <c r="BB101" i="10"/>
  <c r="BE101" i="10"/>
  <c r="BA101" i="10"/>
  <c r="AZ101" i="10"/>
  <c r="AY101" i="10"/>
  <c r="BD101" i="10"/>
  <c r="BC101" i="10"/>
  <c r="AP46" i="10"/>
  <c r="AP71" i="10"/>
  <c r="BF43" i="10"/>
  <c r="AU43" i="10"/>
  <c r="AV43" i="10" s="1"/>
  <c r="AJ164" i="10"/>
  <c r="V199" i="10"/>
  <c r="X200" i="10"/>
  <c r="BK57" i="10"/>
  <c r="BL57" i="10" s="1"/>
  <c r="BV57" i="10"/>
  <c r="AU9" i="10"/>
  <c r="AX32" i="10"/>
  <c r="BL176" i="9" s="1"/>
  <c r="BF9" i="10"/>
  <c r="BT168" i="9" s="1"/>
  <c r="N163" i="10"/>
  <c r="P164" i="10"/>
  <c r="AY119" i="10"/>
  <c r="BN190" i="10"/>
  <c r="AP111" i="10"/>
  <c r="AO83" i="10"/>
  <c r="AO111" i="10" s="1"/>
  <c r="AK83" i="10"/>
  <c r="AN83" i="10"/>
  <c r="AN111" i="10" s="1"/>
  <c r="AJ83" i="10"/>
  <c r="AJ111" i="10" s="1"/>
  <c r="AM83" i="10"/>
  <c r="AM16" i="10" s="1"/>
  <c r="AI83" i="10"/>
  <c r="AX83" i="10"/>
  <c r="AL83" i="10"/>
  <c r="AL111" i="10" s="1"/>
  <c r="AP16" i="10"/>
  <c r="AE114" i="10"/>
  <c r="AL197" i="10"/>
  <c r="BL197" i="10"/>
  <c r="O164" i="10"/>
  <c r="O167" i="10" s="1"/>
  <c r="BB104" i="10"/>
  <c r="BE104" i="10"/>
  <c r="BN100" i="10"/>
  <c r="BB100" i="10"/>
  <c r="BE100" i="10"/>
  <c r="BA100" i="10"/>
  <c r="BD100" i="10"/>
  <c r="BC100" i="10"/>
  <c r="AZ100" i="10"/>
  <c r="AY100" i="10"/>
  <c r="N15" i="10"/>
  <c r="V45" i="10"/>
  <c r="BV145" i="10"/>
  <c r="AM194" i="10"/>
  <c r="AI194" i="10"/>
  <c r="AO194" i="10"/>
  <c r="AJ194" i="10"/>
  <c r="AL194" i="10"/>
  <c r="AK194" i="10"/>
  <c r="AX194" i="10"/>
  <c r="AX195" i="10" s="1"/>
  <c r="AN194" i="10"/>
  <c r="S169" i="10"/>
  <c r="BO147" i="10"/>
  <c r="BP147" i="10" s="1"/>
  <c r="AQ192" i="10"/>
  <c r="AR192" i="10" s="1"/>
  <c r="P195" i="10"/>
  <c r="BK91" i="10"/>
  <c r="BG91" i="10"/>
  <c r="BV91" i="10"/>
  <c r="BJ91" i="10"/>
  <c r="BM91" i="10"/>
  <c r="BI91" i="10"/>
  <c r="BL91" i="10"/>
  <c r="BH91" i="10"/>
  <c r="AT57" i="10"/>
  <c r="AU202" i="10"/>
  <c r="AV202" i="10" s="1"/>
  <c r="BV89" i="10"/>
  <c r="BL89" i="10"/>
  <c r="BH89" i="10"/>
  <c r="BI89" i="10"/>
  <c r="BM89" i="10"/>
  <c r="BG89" i="10"/>
  <c r="BK89" i="10"/>
  <c r="BJ89" i="10"/>
  <c r="AI41" i="10"/>
  <c r="AX204" i="10"/>
  <c r="AX205" i="10" s="1"/>
  <c r="AL204" i="10"/>
  <c r="AO204" i="10"/>
  <c r="AK204" i="10"/>
  <c r="AI204" i="10"/>
  <c r="AM204" i="10"/>
  <c r="AJ204" i="10"/>
  <c r="AN204" i="10"/>
  <c r="BJ187" i="10"/>
  <c r="BJ143" i="10" s="1"/>
  <c r="AS163" i="10"/>
  <c r="AW161" i="10"/>
  <c r="Y199" i="10"/>
  <c r="M193" i="10"/>
  <c r="M195" i="10" s="1"/>
  <c r="AI193" i="10"/>
  <c r="AB43" i="10"/>
  <c r="AG43" i="10" s="1"/>
  <c r="BC201" i="10"/>
  <c r="BB201" i="10"/>
  <c r="BA201" i="10"/>
  <c r="BN201" i="10"/>
  <c r="BD201" i="10"/>
  <c r="AY201" i="10"/>
  <c r="BE201" i="10"/>
  <c r="AZ201" i="10"/>
  <c r="AP203" i="10"/>
  <c r="R203" i="10"/>
  <c r="BN99" i="10"/>
  <c r="BB99" i="10"/>
  <c r="BE99" i="10"/>
  <c r="BA99" i="10"/>
  <c r="AZ99" i="10"/>
  <c r="AY99" i="10"/>
  <c r="BD99" i="10"/>
  <c r="BC99" i="10"/>
  <c r="AR57" i="10"/>
  <c r="S159" i="10"/>
  <c r="AN44" i="10"/>
  <c r="AN45" i="10" s="1"/>
  <c r="BH187" i="10"/>
  <c r="BH143" i="10" s="1"/>
  <c r="BK94" i="10"/>
  <c r="BG94" i="10"/>
  <c r="BJ94" i="10"/>
  <c r="BI94" i="10"/>
  <c r="BM94" i="10"/>
  <c r="BH94" i="10"/>
  <c r="BV94" i="10"/>
  <c r="BL94" i="10"/>
  <c r="AL57" i="10"/>
  <c r="AM200" i="10"/>
  <c r="AM202" i="10" s="1"/>
  <c r="Q163" i="10"/>
  <c r="AM45" i="10"/>
  <c r="AM71" i="10" s="1"/>
  <c r="AI40" i="10"/>
  <c r="AJ40" i="10" s="1"/>
  <c r="AM164" i="10"/>
  <c r="AM167" i="10" s="1"/>
  <c r="DK199" i="5"/>
  <c r="Q280" i="9"/>
  <c r="Q256" i="9"/>
  <c r="AL225" i="9"/>
  <c r="AJ224" i="9"/>
  <c r="AR225" i="9" s="1"/>
  <c r="U16" i="9"/>
  <c r="U108" i="9" s="1"/>
  <c r="S97" i="9"/>
  <c r="S118" i="9"/>
  <c r="BQ222" i="9"/>
  <c r="CG47" i="9"/>
  <c r="BQ35" i="9"/>
  <c r="Q112" i="9"/>
  <c r="Q126" i="9"/>
  <c r="U259" i="9"/>
  <c r="U264" i="9" s="1"/>
  <c r="V258" i="9"/>
  <c r="CB29" i="9"/>
  <c r="BQ29" i="9"/>
  <c r="O126" i="9"/>
  <c r="O112" i="9"/>
  <c r="O267" i="9"/>
  <c r="O281" i="9" s="1"/>
  <c r="O269" i="9"/>
  <c r="AG225" i="9"/>
  <c r="P267" i="9"/>
  <c r="P281" i="9" s="1"/>
  <c r="P269" i="9"/>
  <c r="P277" i="9" s="1"/>
  <c r="P278" i="9" s="1"/>
  <c r="R245" i="9"/>
  <c r="S245" i="9" s="1"/>
  <c r="S244" i="9" s="1"/>
  <c r="S18" i="9" s="1"/>
  <c r="S16" i="9" s="1"/>
  <c r="S108" i="9" s="1"/>
  <c r="R18" i="9"/>
  <c r="R16" i="9" s="1"/>
  <c r="R108" i="9" s="1"/>
  <c r="R187" i="9"/>
  <c r="R186" i="9"/>
  <c r="R185" i="9"/>
  <c r="R118" i="9"/>
  <c r="DW199" i="5"/>
  <c r="BL224" i="9"/>
  <c r="EH199" i="5" s="1"/>
  <c r="Q266" i="9"/>
  <c r="Q122" i="9"/>
  <c r="U280" i="9"/>
  <c r="U256" i="9"/>
  <c r="CG245" i="9"/>
  <c r="BY245" i="9"/>
  <c r="Y195" i="8"/>
  <c r="X194" i="8"/>
  <c r="Y170" i="8"/>
  <c r="Y147" i="8"/>
  <c r="Y43" i="8" s="1"/>
  <c r="AA7" i="8"/>
  <c r="Y165" i="8"/>
  <c r="Y168" i="8" s="1"/>
  <c r="Z156" i="8"/>
  <c r="X148" i="8"/>
  <c r="X68" i="7" s="1"/>
  <c r="X32" i="8"/>
  <c r="Y66" i="8"/>
  <c r="S187" i="8"/>
  <c r="R189" i="8"/>
  <c r="R197" i="8" s="1"/>
  <c r="X99" i="8"/>
  <c r="X101" i="8" s="1"/>
  <c r="AA161" i="8"/>
  <c r="AB153" i="8"/>
  <c r="Y92" i="8"/>
  <c r="AB152" i="8"/>
  <c r="Y146" i="8"/>
  <c r="Z139" i="8"/>
  <c r="AA160" i="8" s="1"/>
  <c r="Q196" i="8"/>
  <c r="R191" i="8"/>
  <c r="Y122" i="8"/>
  <c r="Y25" i="8" s="1"/>
  <c r="L52" i="6"/>
  <c r="L47" i="6"/>
  <c r="AA88" i="6"/>
  <c r="F97" i="6"/>
  <c r="G63" i="6"/>
  <c r="L44" i="6"/>
  <c r="L48" i="6" s="1"/>
  <c r="N51" i="6"/>
  <c r="H52" i="6"/>
  <c r="H47" i="6"/>
  <c r="O47" i="6"/>
  <c r="O52" i="6"/>
  <c r="Q52" i="6"/>
  <c r="Q47" i="6"/>
  <c r="L51" i="6"/>
  <c r="I47" i="6"/>
  <c r="I52" i="6"/>
  <c r="M47" i="6"/>
  <c r="M52" i="6"/>
  <c r="O44" i="6"/>
  <c r="O48" i="6" s="1"/>
  <c r="G47" i="6"/>
  <c r="G52" i="6"/>
  <c r="K47" i="6"/>
  <c r="K52" i="6"/>
  <c r="Q44" i="6"/>
  <c r="Q48" i="6" s="1"/>
  <c r="AA18" i="6"/>
  <c r="N47" i="6"/>
  <c r="N52" i="6"/>
  <c r="I44" i="6"/>
  <c r="I48" i="6" s="1"/>
  <c r="H51" i="6"/>
  <c r="P321" i="5"/>
  <c r="P325" i="5" s="1"/>
  <c r="P332" i="5" s="1"/>
  <c r="P273" i="5"/>
  <c r="P296" i="5" s="1"/>
  <c r="BD138" i="5"/>
  <c r="BD142" i="5" s="1"/>
  <c r="BB142" i="5"/>
  <c r="BE138" i="5"/>
  <c r="BE142" i="5" s="1"/>
  <c r="O321" i="5"/>
  <c r="O325" i="5" s="1"/>
  <c r="O332" i="5" s="1"/>
  <c r="O273" i="5"/>
  <c r="O296" i="5" s="1"/>
  <c r="BL129" i="5"/>
  <c r="BD36" i="5"/>
  <c r="BZ173" i="5"/>
  <c r="CB176" i="5"/>
  <c r="J114" i="5"/>
  <c r="J100" i="5"/>
  <c r="CQ273" i="5"/>
  <c r="AM332" i="5"/>
  <c r="AN325" i="5"/>
  <c r="CE177" i="5"/>
  <c r="CK176" i="5"/>
  <c r="CK177" i="5" s="1"/>
  <c r="BC119" i="5"/>
  <c r="BK119" i="5" s="1"/>
  <c r="BC256" i="5"/>
  <c r="BK115" i="5"/>
  <c r="BY176" i="5"/>
  <c r="CG177" i="5" s="1"/>
  <c r="CA268" i="5"/>
  <c r="G309" i="5"/>
  <c r="G118" i="5"/>
  <c r="CA177" i="5"/>
  <c r="CA309" i="5"/>
  <c r="CA320" i="5" s="1"/>
  <c r="CA118" i="5"/>
  <c r="CH171" i="5"/>
  <c r="CB161" i="5"/>
  <c r="CJ161" i="5"/>
  <c r="CB163" i="5"/>
  <c r="CB170" i="5" s="1"/>
  <c r="CO177" i="5"/>
  <c r="CY319" i="5"/>
  <c r="BC114" i="5"/>
  <c r="BC100" i="5"/>
  <c r="BK100" i="5" s="1"/>
  <c r="BK91" i="5"/>
  <c r="P76" i="5"/>
  <c r="P91" i="5" s="1"/>
  <c r="P114" i="5" s="1"/>
  <c r="P67" i="5"/>
  <c r="CI174" i="5"/>
  <c r="CI176" i="5"/>
  <c r="BR167" i="5"/>
  <c r="BR163" i="5" s="1"/>
  <c r="BR170" i="5" s="1"/>
  <c r="BZ171" i="5" s="1"/>
  <c r="BT163" i="5"/>
  <c r="BT170" i="5" s="1"/>
  <c r="H119" i="5"/>
  <c r="CT100" i="5"/>
  <c r="AL35" i="5"/>
  <c r="CN176" i="5"/>
  <c r="CP35" i="5"/>
  <c r="CR35" i="5" s="1"/>
  <c r="CR36" i="5" s="1"/>
  <c r="AZ37" i="5"/>
  <c r="AZ35" i="5"/>
  <c r="BS118" i="5"/>
  <c r="BS309" i="5"/>
  <c r="BS320" i="5" s="1"/>
  <c r="BU176" i="5"/>
  <c r="CC177" i="5" s="1"/>
  <c r="BQ173" i="5"/>
  <c r="BQ176" i="5" s="1"/>
  <c r="G321" i="5"/>
  <c r="G325" i="5" s="1"/>
  <c r="G332" i="5" s="1"/>
  <c r="G334" i="5" s="1"/>
  <c r="H333" i="5" s="1"/>
  <c r="H334" i="5" s="1"/>
  <c r="G273" i="5"/>
  <c r="G296" i="5" s="1"/>
  <c r="G298" i="5" s="1"/>
  <c r="CQ173" i="5"/>
  <c r="CS173" i="5"/>
  <c r="CM176" i="5"/>
  <c r="CU174" i="5"/>
  <c r="J321" i="5"/>
  <c r="J325" i="5" s="1"/>
  <c r="J332" i="5" s="1"/>
  <c r="J334" i="5" s="1"/>
  <c r="J273" i="5"/>
  <c r="J296" i="5" s="1"/>
  <c r="J298" i="5" s="1"/>
  <c r="AF36" i="5"/>
  <c r="CP168" i="5"/>
  <c r="BE24" i="5"/>
  <c r="BE14" i="5"/>
  <c r="CI319" i="5"/>
  <c r="CI268" i="5"/>
  <c r="Z117" i="4"/>
  <c r="AA50" i="4"/>
  <c r="O15" i="4"/>
  <c r="N16" i="4"/>
  <c r="N64" i="6" s="1"/>
  <c r="BH190" i="10" l="1"/>
  <c r="AN71" i="10"/>
  <c r="BO189" i="10"/>
  <c r="BO143" i="10"/>
  <c r="AJ202" i="10"/>
  <c r="AN202" i="10"/>
  <c r="AN192" i="10"/>
  <c r="AJ192" i="10"/>
  <c r="AM193" i="10"/>
  <c r="AN193" i="10" s="1"/>
  <c r="AN195" i="10" s="1"/>
  <c r="AE195" i="10"/>
  <c r="R52" i="6"/>
  <c r="BA103" i="10"/>
  <c r="R47" i="6"/>
  <c r="F47" i="6"/>
  <c r="BD103" i="10"/>
  <c r="BE103" i="10"/>
  <c r="F52" i="6"/>
  <c r="AY103" i="10"/>
  <c r="BB103" i="10"/>
  <c r="AB200" i="10"/>
  <c r="AD199" i="10"/>
  <c r="AD200" i="10" s="1"/>
  <c r="AD15" i="10"/>
  <c r="BD119" i="10"/>
  <c r="BN104" i="10"/>
  <c r="BK104" i="10" s="1"/>
  <c r="D51" i="3"/>
  <c r="AY104" i="10"/>
  <c r="AZ104" i="10"/>
  <c r="BC104" i="10"/>
  <c r="BD104" i="10"/>
  <c r="C38" i="16"/>
  <c r="CB256" i="5"/>
  <c r="BN103" i="10"/>
  <c r="Y37" i="8"/>
  <c r="R18" i="3"/>
  <c r="R26" i="3" s="1"/>
  <c r="F19" i="3"/>
  <c r="Z44" i="5"/>
  <c r="Z69" i="5" s="1"/>
  <c r="Z77" i="5" s="1"/>
  <c r="Z92" i="5" s="1"/>
  <c r="Z115" i="5" s="1"/>
  <c r="Z119" i="5" s="1"/>
  <c r="X119" i="5" s="1"/>
  <c r="AG45" i="10"/>
  <c r="AG15" i="10"/>
  <c r="BI184" i="10"/>
  <c r="BG184" i="10"/>
  <c r="AZ125" i="10"/>
  <c r="BT90" i="10"/>
  <c r="BV184" i="10"/>
  <c r="DA153" i="11" s="1"/>
  <c r="BK184" i="10"/>
  <c r="BH184" i="10"/>
  <c r="BU90" i="10"/>
  <c r="BR90" i="10"/>
  <c r="BA119" i="10"/>
  <c r="S28" i="7"/>
  <c r="AZ119" i="10"/>
  <c r="BS90" i="10"/>
  <c r="BN119" i="10"/>
  <c r="BV119" i="10" s="1"/>
  <c r="S9" i="7"/>
  <c r="BQ90" i="10"/>
  <c r="BE119" i="10"/>
  <c r="AY156" i="10"/>
  <c r="AZ156" i="10" s="1"/>
  <c r="BE156" i="10" s="1"/>
  <c r="BO90" i="10"/>
  <c r="BB119" i="10"/>
  <c r="Q191" i="10"/>
  <c r="R35" i="7"/>
  <c r="R64" i="7" s="1"/>
  <c r="R122" i="6" s="1"/>
  <c r="R67" i="3"/>
  <c r="AE59" i="10"/>
  <c r="AE73" i="10" s="1"/>
  <c r="AF73" i="10" s="1"/>
  <c r="AE19" i="10"/>
  <c r="AF19" i="10" s="1"/>
  <c r="DD187" i="5"/>
  <c r="DL191" i="5" s="1"/>
  <c r="Y6" i="13"/>
  <c r="Y5" i="13"/>
  <c r="Y7" i="13"/>
  <c r="AN7" i="12"/>
  <c r="AN6" i="12"/>
  <c r="AN8" i="12"/>
  <c r="AG190" i="10"/>
  <c r="AG192" i="10"/>
  <c r="AC193" i="10"/>
  <c r="AD193" i="10" s="1"/>
  <c r="AD195" i="10" s="1"/>
  <c r="F67" i="3"/>
  <c r="AB71" i="10"/>
  <c r="DJ292" i="5"/>
  <c r="DH291" i="5"/>
  <c r="DH292" i="5" s="1"/>
  <c r="CZ129" i="5"/>
  <c r="DH129" i="5"/>
  <c r="CX132" i="5"/>
  <c r="DF132" i="5"/>
  <c r="CX129" i="5"/>
  <c r="DF129" i="5"/>
  <c r="BF203" i="10"/>
  <c r="BC202" i="10"/>
  <c r="BD202" i="10" s="1"/>
  <c r="BA202" i="10" s="1"/>
  <c r="BA203" i="10" s="1"/>
  <c r="BN200" i="10"/>
  <c r="BN202" i="10" s="1"/>
  <c r="AI76" i="11"/>
  <c r="AJ83" i="11"/>
  <c r="AJ150" i="11" s="1"/>
  <c r="AJ151" i="11" s="1"/>
  <c r="DA170" i="5"/>
  <c r="DA171" i="5" s="1"/>
  <c r="DD179" i="5"/>
  <c r="AK5" i="12"/>
  <c r="AS6" i="12" s="1"/>
  <c r="AH85" i="11"/>
  <c r="G54" i="8"/>
  <c r="G56" i="8" s="1"/>
  <c r="G58" i="8" s="1"/>
  <c r="G3" i="8" s="1"/>
  <c r="G35" i="7"/>
  <c r="G64" i="7" s="1"/>
  <c r="G122" i="6" s="1"/>
  <c r="J21" i="3"/>
  <c r="J75" i="3" s="1"/>
  <c r="R51" i="6"/>
  <c r="V192" i="10"/>
  <c r="V191" i="10" s="1"/>
  <c r="Y192" i="10"/>
  <c r="J73" i="7"/>
  <c r="AI84" i="11"/>
  <c r="AI77" i="11" s="1"/>
  <c r="CJ256" i="5"/>
  <c r="Y190" i="10"/>
  <c r="AY125" i="10"/>
  <c r="AT231" i="12"/>
  <c r="AT234" i="12" s="1"/>
  <c r="T4" i="6"/>
  <c r="E67" i="7"/>
  <c r="E49" i="3" s="1"/>
  <c r="E50" i="3" s="1"/>
  <c r="Q4" i="6"/>
  <c r="BE199" i="10"/>
  <c r="BN125" i="10"/>
  <c r="BH125" i="10" s="1"/>
  <c r="BA125" i="10"/>
  <c r="BC125" i="10"/>
  <c r="BB125" i="10"/>
  <c r="W203" i="10"/>
  <c r="X203" i="10" s="1"/>
  <c r="BT176" i="5"/>
  <c r="CB177" i="5" s="1"/>
  <c r="BE125" i="10"/>
  <c r="W73" i="10"/>
  <c r="W62" i="10"/>
  <c r="BI168" i="9"/>
  <c r="P61" i="6"/>
  <c r="P62" i="6" s="1"/>
  <c r="DC168" i="5"/>
  <c r="CU168" i="5"/>
  <c r="S4" i="7"/>
  <c r="T4" i="7"/>
  <c r="AA159" i="10"/>
  <c r="S171" i="10"/>
  <c r="S173" i="10" s="1"/>
  <c r="U193" i="10"/>
  <c r="Y193" i="10" s="1"/>
  <c r="Y195" i="10" s="1"/>
  <c r="V240" i="9"/>
  <c r="V4" i="13"/>
  <c r="AD5" i="13" s="1"/>
  <c r="Q5" i="13"/>
  <c r="AI135" i="11"/>
  <c r="AJ135" i="11" s="1"/>
  <c r="BB219" i="12"/>
  <c r="BB218" i="12" s="1"/>
  <c r="BB224" i="12" s="1"/>
  <c r="X233" i="9"/>
  <c r="AF241" i="9" s="1"/>
  <c r="AF6" i="12"/>
  <c r="T240" i="9"/>
  <c r="Q4" i="7"/>
  <c r="CV17" i="5"/>
  <c r="S241" i="9"/>
  <c r="P51" i="6"/>
  <c r="AY200" i="10"/>
  <c r="O240" i="9"/>
  <c r="I107" i="8"/>
  <c r="S195" i="10"/>
  <c r="V233" i="9"/>
  <c r="V241" i="9" s="1"/>
  <c r="G11" i="10"/>
  <c r="CV167" i="5"/>
  <c r="DD168" i="5" s="1"/>
  <c r="CY168" i="5"/>
  <c r="CR76" i="5"/>
  <c r="CR91" i="5" s="1"/>
  <c r="CR100" i="5" s="1"/>
  <c r="BD35" i="5"/>
  <c r="AH152" i="11"/>
  <c r="AH149" i="11" s="1"/>
  <c r="CV13" i="5"/>
  <c r="I30" i="10"/>
  <c r="W174" i="9" s="1"/>
  <c r="D12" i="10"/>
  <c r="D11" i="10"/>
  <c r="CT114" i="5"/>
  <c r="CT118" i="5" s="1"/>
  <c r="CR118" i="5" s="1"/>
  <c r="CT69" i="5"/>
  <c r="CT77" i="5" s="1"/>
  <c r="CT92" i="5" s="1"/>
  <c r="CT115" i="5" s="1"/>
  <c r="BE137" i="11"/>
  <c r="BM137" i="11" s="1"/>
  <c r="BU137" i="11" s="1"/>
  <c r="CC137" i="11" s="1"/>
  <c r="CK137" i="11" s="1"/>
  <c r="CS137" i="11" s="1"/>
  <c r="DA137" i="11" s="1"/>
  <c r="D72" i="10"/>
  <c r="D74" i="10" s="1"/>
  <c r="D75" i="10" s="1"/>
  <c r="G72" i="10"/>
  <c r="G74" i="10" s="1"/>
  <c r="G75" i="10" s="1"/>
  <c r="O167" i="9"/>
  <c r="C31" i="10"/>
  <c r="O175" i="9" s="1"/>
  <c r="B13" i="10"/>
  <c r="B30" i="10"/>
  <c r="N174" i="9" s="1"/>
  <c r="N166" i="9"/>
  <c r="N158" i="9" s="1"/>
  <c r="O166" i="9"/>
  <c r="C30" i="10"/>
  <c r="O174" i="9" s="1"/>
  <c r="C13" i="10"/>
  <c r="B31" i="10"/>
  <c r="N175" i="9" s="1"/>
  <c r="N167" i="9"/>
  <c r="N159" i="9" s="1"/>
  <c r="V166" i="9"/>
  <c r="V143" i="9" s="1"/>
  <c r="H30" i="10"/>
  <c r="V174" i="9" s="1"/>
  <c r="Q166" i="9"/>
  <c r="E30" i="10"/>
  <c r="Q174" i="9" s="1"/>
  <c r="F30" i="10"/>
  <c r="S174" i="9" s="1"/>
  <c r="S166" i="9"/>
  <c r="S158" i="9" s="1"/>
  <c r="S132" i="9" s="1"/>
  <c r="N210" i="9"/>
  <c r="O218" i="9" s="1"/>
  <c r="N228" i="9"/>
  <c r="N226" i="9" s="1"/>
  <c r="O217" i="9"/>
  <c r="S218" i="9"/>
  <c r="P210" i="9"/>
  <c r="Q217" i="9"/>
  <c r="P228" i="9"/>
  <c r="P226" i="9" s="1"/>
  <c r="P217" i="9"/>
  <c r="Q241" i="9"/>
  <c r="C3" i="6"/>
  <c r="D4" i="6" s="1"/>
  <c r="C3" i="7"/>
  <c r="D4" i="7" s="1"/>
  <c r="BT35" i="5"/>
  <c r="BT36" i="5" s="1"/>
  <c r="BB14" i="5"/>
  <c r="F115" i="8"/>
  <c r="Q51" i="6"/>
  <c r="CV24" i="5"/>
  <c r="AW153" i="10"/>
  <c r="BU147" i="10"/>
  <c r="R4" i="7"/>
  <c r="Z64" i="9"/>
  <c r="L59" i="10"/>
  <c r="T60" i="10" s="1"/>
  <c r="Q58" i="10"/>
  <c r="Q59" i="10" s="1"/>
  <c r="DA198" i="5" s="1"/>
  <c r="F51" i="6"/>
  <c r="DI10" i="5"/>
  <c r="S4" i="8"/>
  <c r="AM203" i="10"/>
  <c r="AN203" i="10" s="1"/>
  <c r="AH133" i="11"/>
  <c r="AH7" i="11" s="1"/>
  <c r="DF10" i="5"/>
  <c r="O203" i="10"/>
  <c r="P203" i="10" s="1"/>
  <c r="Z80" i="9"/>
  <c r="Z81" i="9"/>
  <c r="Z82" i="9"/>
  <c r="AJ7" i="12"/>
  <c r="J51" i="6"/>
  <c r="K51" i="6"/>
  <c r="EX129" i="5"/>
  <c r="BK18" i="13" s="1"/>
  <c r="AP59" i="10"/>
  <c r="AX58" i="10"/>
  <c r="AX19" i="10" s="1"/>
  <c r="DG198" i="5"/>
  <c r="W60" i="10"/>
  <c r="AZ144" i="10"/>
  <c r="S59" i="10"/>
  <c r="S73" i="10" s="1"/>
  <c r="S74" i="10" s="1"/>
  <c r="AW156" i="10"/>
  <c r="AC19" i="10"/>
  <c r="AA19" i="10"/>
  <c r="AZ190" i="10"/>
  <c r="BE189" i="10"/>
  <c r="DZ129" i="5"/>
  <c r="BB19" i="12" s="1"/>
  <c r="Q164" i="10"/>
  <c r="Y200" i="10"/>
  <c r="AQ154" i="10"/>
  <c r="AQ157" i="10" s="1"/>
  <c r="AQ159" i="10" s="1"/>
  <c r="Z65" i="6"/>
  <c r="Y10" i="6"/>
  <c r="M80" i="10"/>
  <c r="M11" i="10" s="1"/>
  <c r="K80" i="10"/>
  <c r="K11" i="10" s="1"/>
  <c r="P80" i="10"/>
  <c r="Z80" i="10"/>
  <c r="W80" i="10" s="1"/>
  <c r="W11" i="10" s="1"/>
  <c r="Q80" i="10"/>
  <c r="Q108" i="10" s="1"/>
  <c r="R108" i="10"/>
  <c r="L80" i="10"/>
  <c r="N80" i="10"/>
  <c r="O80" i="10"/>
  <c r="O11" i="10" s="1"/>
  <c r="BE98" i="10"/>
  <c r="BN98" i="10"/>
  <c r="AY98" i="10"/>
  <c r="BA98" i="10"/>
  <c r="BC98" i="10"/>
  <c r="AZ98" i="10"/>
  <c r="BD98" i="10"/>
  <c r="BB98" i="10"/>
  <c r="S169" i="9"/>
  <c r="S161" i="9" s="1"/>
  <c r="F33" i="10"/>
  <c r="S177" i="9" s="1"/>
  <c r="BH197" i="10"/>
  <c r="H85" i="10"/>
  <c r="G18" i="10"/>
  <c r="G20" i="10" s="1"/>
  <c r="AZ30" i="13"/>
  <c r="R188" i="9"/>
  <c r="R96" i="9"/>
  <c r="R162" i="9" s="1"/>
  <c r="BA190" i="10"/>
  <c r="BB190" i="10"/>
  <c r="N106" i="8"/>
  <c r="N111" i="8" s="1"/>
  <c r="N66" i="6"/>
  <c r="N70" i="6"/>
  <c r="AA26" i="7"/>
  <c r="EX112" i="5"/>
  <c r="EU112" i="5" s="1"/>
  <c r="EV112" i="5" s="1"/>
  <c r="AH225" i="9"/>
  <c r="DD199" i="5"/>
  <c r="DL199" i="5"/>
  <c r="AN50" i="5"/>
  <c r="AN67" i="5" s="1"/>
  <c r="AP76" i="5"/>
  <c r="AP67" i="5"/>
  <c r="DX10" i="5"/>
  <c r="E106" i="6"/>
  <c r="E18" i="3"/>
  <c r="E33" i="3" s="1"/>
  <c r="AA69" i="7"/>
  <c r="EP300" i="5"/>
  <c r="FK5" i="5"/>
  <c r="FJ6" i="5"/>
  <c r="BA144" i="10"/>
  <c r="BE144" i="10"/>
  <c r="CY256" i="5"/>
  <c r="CY268" i="5" s="1"/>
  <c r="CY273" i="5" s="1"/>
  <c r="CY296" i="5" s="1"/>
  <c r="CY119" i="5"/>
  <c r="FC163" i="5"/>
  <c r="FC125" i="5"/>
  <c r="EP86" i="5"/>
  <c r="X17" i="7"/>
  <c r="Y41" i="8"/>
  <c r="Y8" i="3" s="1"/>
  <c r="DB36" i="5"/>
  <c r="D7" i="3"/>
  <c r="D10" i="3" s="1"/>
  <c r="D60" i="3"/>
  <c r="D61" i="3" s="1"/>
  <c r="P41" i="3"/>
  <c r="P34" i="3"/>
  <c r="S43" i="6"/>
  <c r="S17" i="3"/>
  <c r="S53" i="6"/>
  <c r="S50" i="6"/>
  <c r="S46" i="6"/>
  <c r="N4" i="6"/>
  <c r="O4" i="6"/>
  <c r="CL67" i="5"/>
  <c r="CL76" i="5"/>
  <c r="CL91" i="5" s="1"/>
  <c r="BF50" i="5"/>
  <c r="BD39" i="5"/>
  <c r="BL39" i="5" s="1"/>
  <c r="BN39" i="5"/>
  <c r="AB35" i="6"/>
  <c r="EX103" i="5"/>
  <c r="J52" i="6"/>
  <c r="J47" i="6"/>
  <c r="EX46" i="5"/>
  <c r="EU46" i="5" s="1"/>
  <c r="EV46" i="5" s="1"/>
  <c r="O57" i="6"/>
  <c r="O61" i="6"/>
  <c r="O62" i="6" s="1"/>
  <c r="Q7" i="7"/>
  <c r="Q91" i="6"/>
  <c r="Q90" i="6"/>
  <c r="CB67" i="5"/>
  <c r="CB76" i="5"/>
  <c r="CB91" i="5" s="1"/>
  <c r="CB100" i="5" s="1"/>
  <c r="H35" i="7"/>
  <c r="H64" i="7" s="1"/>
  <c r="H122" i="6" s="1"/>
  <c r="H72" i="7"/>
  <c r="E31" i="10"/>
  <c r="Q175" i="9" s="1"/>
  <c r="Q167" i="9"/>
  <c r="E13" i="10"/>
  <c r="X54" i="7"/>
  <c r="N193" i="10"/>
  <c r="N195" i="10" s="1"/>
  <c r="V99" i="6"/>
  <c r="E41" i="3"/>
  <c r="E34" i="3"/>
  <c r="BV76" i="5"/>
  <c r="BV91" i="5" s="1"/>
  <c r="BV67" i="5"/>
  <c r="BB144" i="10"/>
  <c r="E67" i="3"/>
  <c r="AA8" i="8"/>
  <c r="BW261" i="9"/>
  <c r="ER163" i="5"/>
  <c r="B54" i="8"/>
  <c r="B56" i="8" s="1"/>
  <c r="B58" i="8" s="1"/>
  <c r="B54" i="3"/>
  <c r="X55" i="3"/>
  <c r="Y49" i="8"/>
  <c r="X9" i="3"/>
  <c r="EE86" i="5"/>
  <c r="EF86" i="5" s="1"/>
  <c r="Y78" i="6"/>
  <c r="EM112" i="5"/>
  <c r="EN112" i="5" s="1"/>
  <c r="M74" i="6"/>
  <c r="M81" i="6"/>
  <c r="M67" i="6"/>
  <c r="M105" i="8" s="1"/>
  <c r="M115" i="8" s="1"/>
  <c r="DX286" i="5"/>
  <c r="EM46" i="5"/>
  <c r="EN46" i="5" s="1"/>
  <c r="K61" i="6"/>
  <c r="K62" i="6" s="1"/>
  <c r="K57" i="6"/>
  <c r="Z30" i="8"/>
  <c r="P67" i="3"/>
  <c r="P32" i="3"/>
  <c r="P52" i="6"/>
  <c r="P47" i="6"/>
  <c r="N4" i="8"/>
  <c r="O4" i="8"/>
  <c r="CJ67" i="5"/>
  <c r="CJ76" i="5"/>
  <c r="CJ91" i="5" s="1"/>
  <c r="CJ100" i="5" s="1"/>
  <c r="J44" i="6"/>
  <c r="J48" i="6" s="1"/>
  <c r="J106" i="6"/>
  <c r="J18" i="3"/>
  <c r="J33" i="3" s="1"/>
  <c r="X44" i="5"/>
  <c r="X69" i="5" s="1"/>
  <c r="X77" i="5" s="1"/>
  <c r="X92" i="5" s="1"/>
  <c r="X115" i="5" s="1"/>
  <c r="X256" i="5" s="1"/>
  <c r="X268" i="5" s="1"/>
  <c r="X321" i="5" s="1"/>
  <c r="X325" i="5" s="1"/>
  <c r="X332" i="5" s="1"/>
  <c r="X50" i="5"/>
  <c r="EU48" i="5"/>
  <c r="EV48" i="5" s="1"/>
  <c r="X107" i="6"/>
  <c r="X93" i="6" s="1"/>
  <c r="DZ291" i="5"/>
  <c r="DX291" i="5" s="1"/>
  <c r="O7" i="7"/>
  <c r="O90" i="6"/>
  <c r="O91" i="6"/>
  <c r="Q61" i="6"/>
  <c r="Q62" i="6" s="1"/>
  <c r="Q57" i="6"/>
  <c r="H54" i="8"/>
  <c r="H56" i="8" s="1"/>
  <c r="H58" i="8" s="1"/>
  <c r="H54" i="3"/>
  <c r="H67" i="3" s="1"/>
  <c r="G81" i="10"/>
  <c r="G12" i="10" s="1"/>
  <c r="DB102" i="5"/>
  <c r="CZ102" i="5" s="1"/>
  <c r="BB224" i="9"/>
  <c r="DX199" i="5" s="1"/>
  <c r="AV9" i="10"/>
  <c r="BJ168" i="9" s="1"/>
  <c r="D4" i="8"/>
  <c r="AB12" i="4"/>
  <c r="Y82" i="3"/>
  <c r="EH10" i="5"/>
  <c r="EE10" i="5" s="1"/>
  <c r="DB285" i="5"/>
  <c r="EE265" i="5"/>
  <c r="EF265" i="5" s="1"/>
  <c r="W5" i="3"/>
  <c r="W6" i="3" s="1"/>
  <c r="BT67" i="5"/>
  <c r="BT76" i="5"/>
  <c r="BT91" i="5" s="1"/>
  <c r="Z22" i="8"/>
  <c r="CD261" i="9"/>
  <c r="EY163" i="5"/>
  <c r="AG9" i="11"/>
  <c r="AG46" i="11" s="1"/>
  <c r="N201" i="9" s="1"/>
  <c r="N193" i="9"/>
  <c r="N185" i="9" s="1"/>
  <c r="AK5" i="11"/>
  <c r="U197" i="9"/>
  <c r="EP265" i="5"/>
  <c r="X56" i="3"/>
  <c r="P106" i="6"/>
  <c r="P18" i="3"/>
  <c r="Q26" i="3" s="1"/>
  <c r="X117" i="9"/>
  <c r="W196" i="9"/>
  <c r="S61" i="6"/>
  <c r="S62" i="6" s="1"/>
  <c r="S57" i="6"/>
  <c r="S35" i="3"/>
  <c r="S16" i="3" s="1"/>
  <c r="S31" i="3" s="1"/>
  <c r="AF44" i="5"/>
  <c r="AH69" i="5"/>
  <c r="J67" i="3"/>
  <c r="J32" i="3"/>
  <c r="AB40" i="6"/>
  <c r="EX109" i="5"/>
  <c r="EU109" i="5" s="1"/>
  <c r="EV109" i="5" s="1"/>
  <c r="EH107" i="5"/>
  <c r="EE107" i="5" s="1"/>
  <c r="EF107" i="5" s="1"/>
  <c r="Z86" i="6"/>
  <c r="Y60" i="6"/>
  <c r="K115" i="8"/>
  <c r="L115" i="8"/>
  <c r="L107" i="8"/>
  <c r="Z50" i="8"/>
  <c r="Y48" i="7"/>
  <c r="EH290" i="5" s="1"/>
  <c r="T36" i="3"/>
  <c r="T36" i="6"/>
  <c r="T39" i="6" s="1"/>
  <c r="T42" i="6" s="1"/>
  <c r="T34" i="6"/>
  <c r="T55" i="6"/>
  <c r="T56" i="6" s="1"/>
  <c r="AJ225" i="9"/>
  <c r="DF199" i="5"/>
  <c r="BP187" i="10"/>
  <c r="BP143" i="10" s="1"/>
  <c r="EX36" i="5"/>
  <c r="E4" i="7"/>
  <c r="H115" i="8"/>
  <c r="G107" i="8"/>
  <c r="G115" i="8"/>
  <c r="H107" i="8"/>
  <c r="E44" i="6"/>
  <c r="E48" i="6" s="1"/>
  <c r="E52" i="6"/>
  <c r="E47" i="6"/>
  <c r="Z24" i="8"/>
  <c r="BF256" i="5"/>
  <c r="BD256" i="5" s="1"/>
  <c r="P28" i="7"/>
  <c r="EF300" i="5"/>
  <c r="EE300" i="5"/>
  <c r="FD163" i="5"/>
  <c r="FD125" i="5"/>
  <c r="FF127" i="5"/>
  <c r="FF128" i="5"/>
  <c r="FF129" i="5" s="1"/>
  <c r="M28" i="7"/>
  <c r="Z256" i="5"/>
  <c r="Z268" i="5" s="1"/>
  <c r="Z273" i="5" s="1"/>
  <c r="Z296" i="5" s="1"/>
  <c r="FF58" i="5"/>
  <c r="FC58" i="5" s="1"/>
  <c r="FD58" i="5" s="1"/>
  <c r="AB88" i="3"/>
  <c r="R196" i="9"/>
  <c r="S197" i="9" s="1"/>
  <c r="Q117" i="9"/>
  <c r="BG95" i="10"/>
  <c r="BH95" i="10"/>
  <c r="BM95" i="10"/>
  <c r="BV95" i="10"/>
  <c r="BI95" i="10"/>
  <c r="BK95" i="10"/>
  <c r="BL95" i="10"/>
  <c r="BJ95" i="10"/>
  <c r="Z57" i="7"/>
  <c r="EH286" i="5"/>
  <c r="EE286" i="5" s="1"/>
  <c r="EF286" i="5" s="1"/>
  <c r="BO261" i="9"/>
  <c r="EJ163" i="5"/>
  <c r="K7" i="7"/>
  <c r="K91" i="6"/>
  <c r="K90" i="6"/>
  <c r="AA42" i="8"/>
  <c r="X8" i="3"/>
  <c r="X125" i="6" s="1"/>
  <c r="P44" i="6"/>
  <c r="P48" i="6" s="1"/>
  <c r="AM5" i="11"/>
  <c r="V197" i="9"/>
  <c r="N4" i="7"/>
  <c r="O4" i="7"/>
  <c r="AA76" i="6"/>
  <c r="Z192" i="8"/>
  <c r="AF50" i="5"/>
  <c r="AF67" i="5" s="1"/>
  <c r="AH67" i="5"/>
  <c r="AH76" i="5"/>
  <c r="J34" i="3"/>
  <c r="J41" i="3"/>
  <c r="Z76" i="5"/>
  <c r="Z91" i="5" s="1"/>
  <c r="Z67" i="5"/>
  <c r="L28" i="7"/>
  <c r="AB193" i="8"/>
  <c r="FF48" i="5"/>
  <c r="AB19" i="6"/>
  <c r="J107" i="8"/>
  <c r="J115" i="8"/>
  <c r="CD67" i="5"/>
  <c r="CD76" i="5"/>
  <c r="CD91" i="5" s="1"/>
  <c r="K107" i="8"/>
  <c r="Z105" i="6"/>
  <c r="AA4" i="3"/>
  <c r="W62" i="3"/>
  <c r="F73" i="7"/>
  <c r="F21" i="3"/>
  <c r="F74" i="7"/>
  <c r="I26" i="3"/>
  <c r="I33" i="3"/>
  <c r="F33" i="3"/>
  <c r="K33" i="3"/>
  <c r="M41" i="3"/>
  <c r="M34" i="3"/>
  <c r="G67" i="3"/>
  <c r="C63" i="3"/>
  <c r="C40" i="3"/>
  <c r="F3" i="8"/>
  <c r="F4" i="8" s="1"/>
  <c r="F3" i="7"/>
  <c r="F4" i="7" s="1"/>
  <c r="F3" i="6"/>
  <c r="F4" i="6" s="1"/>
  <c r="X169" i="8"/>
  <c r="X171" i="8" s="1"/>
  <c r="N73" i="7"/>
  <c r="N21" i="3"/>
  <c r="N74" i="7"/>
  <c r="CP170" i="5"/>
  <c r="CP171" i="5" s="1"/>
  <c r="CR171" i="5"/>
  <c r="H26" i="3"/>
  <c r="H33" i="3"/>
  <c r="F41" i="3"/>
  <c r="F34" i="3"/>
  <c r="Q41" i="3"/>
  <c r="Q34" i="3"/>
  <c r="O34" i="3"/>
  <c r="O41" i="3"/>
  <c r="CB320" i="5"/>
  <c r="E4" i="6"/>
  <c r="F39" i="3"/>
  <c r="R34" i="3"/>
  <c r="R41" i="3"/>
  <c r="X12" i="7"/>
  <c r="AB6" i="12"/>
  <c r="CZ179" i="5"/>
  <c r="CX191" i="5"/>
  <c r="L33" i="3"/>
  <c r="L26" i="3"/>
  <c r="G41" i="3"/>
  <c r="G34" i="3"/>
  <c r="G73" i="7"/>
  <c r="G21" i="3"/>
  <c r="G74" i="7"/>
  <c r="T72" i="7"/>
  <c r="T35" i="7"/>
  <c r="T64" i="7" s="1"/>
  <c r="T122" i="6" s="1"/>
  <c r="N33" i="3"/>
  <c r="N26" i="3"/>
  <c r="K41" i="3"/>
  <c r="K34" i="3"/>
  <c r="DZ299" i="5"/>
  <c r="X58" i="3"/>
  <c r="U114" i="9"/>
  <c r="S42" i="12"/>
  <c r="E75" i="3"/>
  <c r="E45" i="3"/>
  <c r="E76" i="3"/>
  <c r="I45" i="3"/>
  <c r="I76" i="3"/>
  <c r="I75" i="3"/>
  <c r="I41" i="3"/>
  <c r="I34" i="3"/>
  <c r="G26" i="3"/>
  <c r="G33" i="3"/>
  <c r="M26" i="3"/>
  <c r="M33" i="3"/>
  <c r="CT268" i="5"/>
  <c r="CR256" i="5"/>
  <c r="R73" i="7"/>
  <c r="R21" i="3"/>
  <c r="E4" i="8"/>
  <c r="O33" i="3"/>
  <c r="O26" i="3"/>
  <c r="FF36" i="5"/>
  <c r="BS37" i="13"/>
  <c r="BH37" i="13"/>
  <c r="Z5" i="12"/>
  <c r="N187" i="12"/>
  <c r="O189" i="12" s="1"/>
  <c r="BR212" i="12"/>
  <c r="M187" i="12"/>
  <c r="AT163" i="12"/>
  <c r="AT228" i="12"/>
  <c r="CH173" i="12"/>
  <c r="BJ183" i="12"/>
  <c r="BJ193" i="12" s="1"/>
  <c r="BJ195" i="12" s="1"/>
  <c r="Q187" i="12"/>
  <c r="P172" i="12"/>
  <c r="Q177" i="12" s="1"/>
  <c r="P173" i="12"/>
  <c r="Q178" i="12" s="1"/>
  <c r="P171" i="12"/>
  <c r="Q176" i="12" s="1"/>
  <c r="P174" i="12"/>
  <c r="Q179" i="12" s="1"/>
  <c r="Q164" i="12" s="1"/>
  <c r="BB231" i="12"/>
  <c r="O187" i="12"/>
  <c r="BZ172" i="12"/>
  <c r="BR174" i="12"/>
  <c r="V238" i="12"/>
  <c r="U237" i="12"/>
  <c r="T249" i="12"/>
  <c r="T252" i="12" s="1"/>
  <c r="T253" i="12" s="1"/>
  <c r="BB187" i="12"/>
  <c r="BJ215" i="12"/>
  <c r="O193" i="12"/>
  <c r="O195" i="12" s="1"/>
  <c r="Q193" i="12"/>
  <c r="Q195" i="12" s="1"/>
  <c r="V247" i="12"/>
  <c r="U246" i="12"/>
  <c r="AN155" i="11"/>
  <c r="AM148" i="11"/>
  <c r="G82" i="11"/>
  <c r="G84" i="11" s="1"/>
  <c r="G85" i="11" s="1"/>
  <c r="H81" i="11"/>
  <c r="BE121" i="11"/>
  <c r="BE92" i="11"/>
  <c r="BE108" i="11"/>
  <c r="CS51" i="11"/>
  <c r="AN156" i="11"/>
  <c r="AK12" i="11"/>
  <c r="AK48" i="11"/>
  <c r="S202" i="9" s="1"/>
  <c r="AM80" i="11"/>
  <c r="AM73" i="11"/>
  <c r="AF75" i="11"/>
  <c r="AF70" i="11"/>
  <c r="AF77" i="11" s="1"/>
  <c r="AM171" i="11"/>
  <c r="AL170" i="11"/>
  <c r="AL11" i="11" s="1"/>
  <c r="U194" i="9" s="1"/>
  <c r="AW118" i="11"/>
  <c r="AW120" i="11" s="1"/>
  <c r="AW125" i="11" s="1"/>
  <c r="AW107" i="11"/>
  <c r="AW124" i="11"/>
  <c r="BU121" i="11"/>
  <c r="BU118" i="11"/>
  <c r="BU120" i="11" s="1"/>
  <c r="AN177" i="11"/>
  <c r="AO173" i="11"/>
  <c r="AK101" i="11"/>
  <c r="AK102" i="11"/>
  <c r="AL81" i="11"/>
  <c r="AK82" i="11"/>
  <c r="AK75" i="11" s="1"/>
  <c r="AK103" i="11"/>
  <c r="AL74" i="11"/>
  <c r="AO126" i="11"/>
  <c r="AM181" i="11"/>
  <c r="AN180" i="11"/>
  <c r="AN181" i="11" s="1"/>
  <c r="CC117" i="11"/>
  <c r="AS202" i="10"/>
  <c r="AT202" i="10" s="1"/>
  <c r="AO40" i="10"/>
  <c r="AI45" i="10"/>
  <c r="AI71" i="10" s="1"/>
  <c r="AJ71" i="10" s="1"/>
  <c r="BV99" i="10"/>
  <c r="BJ99" i="10"/>
  <c r="BM99" i="10"/>
  <c r="BI99" i="10"/>
  <c r="BH99" i="10"/>
  <c r="BG99" i="10"/>
  <c r="BL99" i="10"/>
  <c r="BK99" i="10"/>
  <c r="BI197" i="10"/>
  <c r="BJ197" i="10" s="1"/>
  <c r="AI111" i="10"/>
  <c r="AI16" i="10"/>
  <c r="AJ16" i="10" s="1"/>
  <c r="AK111" i="10"/>
  <c r="AK16" i="10"/>
  <c r="N164" i="10"/>
  <c r="M164" i="10"/>
  <c r="M167" i="10" s="1"/>
  <c r="M169" i="10" s="1"/>
  <c r="BF32" i="10"/>
  <c r="BT176" i="9" s="1"/>
  <c r="BC9" i="10"/>
  <c r="BN9" i="10"/>
  <c r="CB168" i="9" s="1"/>
  <c r="BI57" i="10"/>
  <c r="BJ57" i="10" s="1"/>
  <c r="V200" i="10"/>
  <c r="U200" i="10"/>
  <c r="U202" i="10" s="1"/>
  <c r="AQ43" i="10"/>
  <c r="AR43" i="10" s="1"/>
  <c r="AW57" i="10"/>
  <c r="BK191" i="10"/>
  <c r="BG191" i="10"/>
  <c r="BV191" i="10"/>
  <c r="BV192" i="10" s="1"/>
  <c r="BJ191" i="10"/>
  <c r="BI191" i="10"/>
  <c r="BH191" i="10"/>
  <c r="BL191" i="10"/>
  <c r="AO199" i="10"/>
  <c r="BV158" i="10"/>
  <c r="BJ158" i="10"/>
  <c r="BM158" i="10"/>
  <c r="BI158" i="10"/>
  <c r="BL158" i="10"/>
  <c r="BH158" i="10"/>
  <c r="BK158" i="10"/>
  <c r="BG158" i="10"/>
  <c r="AX169" i="10"/>
  <c r="AS40" i="10"/>
  <c r="BI156" i="10"/>
  <c r="BJ156" i="10" s="1"/>
  <c r="BG190" i="10"/>
  <c r="BP189" i="10"/>
  <c r="BO190" i="10" s="1"/>
  <c r="AT199" i="10"/>
  <c r="AT200" i="10" s="1"/>
  <c r="BU92" i="10"/>
  <c r="BQ92" i="10"/>
  <c r="BT92" i="10"/>
  <c r="BP92" i="10"/>
  <c r="BS92" i="10"/>
  <c r="BO92" i="10"/>
  <c r="BR92" i="10"/>
  <c r="AQ44" i="10"/>
  <c r="AR44" i="10" s="1"/>
  <c r="AX110" i="10"/>
  <c r="AW82" i="10"/>
  <c r="AW110" i="10" s="1"/>
  <c r="AS82" i="10"/>
  <c r="AV82" i="10"/>
  <c r="AV110" i="10" s="1"/>
  <c r="AR82" i="10"/>
  <c r="AR110" i="10" s="1"/>
  <c r="AU82" i="10"/>
  <c r="AQ82" i="10"/>
  <c r="BF82" i="10"/>
  <c r="AT82" i="10"/>
  <c r="AT110" i="10" s="1"/>
  <c r="AX15" i="10"/>
  <c r="BL190" i="10"/>
  <c r="AJ167" i="10"/>
  <c r="AM169" i="10"/>
  <c r="BS94" i="10"/>
  <c r="BO94" i="10"/>
  <c r="BU94" i="10"/>
  <c r="BP94" i="10"/>
  <c r="BT94" i="10"/>
  <c r="BR94" i="10"/>
  <c r="BQ94" i="10"/>
  <c r="AK44" i="10"/>
  <c r="AK45" i="10" s="1"/>
  <c r="AK71" i="10" s="1"/>
  <c r="R205" i="10"/>
  <c r="BR89" i="10"/>
  <c r="BT89" i="10"/>
  <c r="BP89" i="10"/>
  <c r="BU89" i="10"/>
  <c r="BS89" i="10"/>
  <c r="BQ89" i="10"/>
  <c r="BO89" i="10"/>
  <c r="AQ202" i="10"/>
  <c r="AQ203" i="10" s="1"/>
  <c r="BS91" i="10"/>
  <c r="BO91" i="10"/>
  <c r="BR91" i="10"/>
  <c r="BU91" i="10"/>
  <c r="BQ91" i="10"/>
  <c r="BT91" i="10"/>
  <c r="BP91" i="10"/>
  <c r="AU194" i="10"/>
  <c r="AU195" i="10" s="1"/>
  <c r="AQ194" i="10"/>
  <c r="AT194" i="10"/>
  <c r="AW194" i="10"/>
  <c r="AR194" i="10"/>
  <c r="BF194" i="10"/>
  <c r="AV194" i="10"/>
  <c r="AV195" i="10" s="1"/>
  <c r="AS194" i="10"/>
  <c r="AS195" i="10" s="1"/>
  <c r="AM111" i="10"/>
  <c r="BN192" i="10"/>
  <c r="AS43" i="10"/>
  <c r="AT43" i="10" s="1"/>
  <c r="BV101" i="10"/>
  <c r="BJ101" i="10"/>
  <c r="BM101" i="10"/>
  <c r="BI101" i="10"/>
  <c r="BH101" i="10"/>
  <c r="BG101" i="10"/>
  <c r="BL101" i="10"/>
  <c r="BK101" i="10"/>
  <c r="BV123" i="10"/>
  <c r="BJ123" i="10"/>
  <c r="BI123" i="10"/>
  <c r="BM123" i="10"/>
  <c r="BH123" i="10"/>
  <c r="BL123" i="10"/>
  <c r="BG123" i="10"/>
  <c r="BK123" i="10"/>
  <c r="BK152" i="10"/>
  <c r="BK153" i="10" s="1"/>
  <c r="BG152" i="10"/>
  <c r="BG153" i="10" s="1"/>
  <c r="BV152" i="10"/>
  <c r="BJ152" i="10"/>
  <c r="BM152" i="10"/>
  <c r="BI152" i="10"/>
  <c r="BI153" i="10" s="1"/>
  <c r="BH152" i="10"/>
  <c r="BL152" i="10"/>
  <c r="AS41" i="10"/>
  <c r="AT41" i="10" s="1"/>
  <c r="AR164" i="10"/>
  <c r="AT163" i="10"/>
  <c r="AT164" i="10" s="1"/>
  <c r="AV164" i="10"/>
  <c r="BF45" i="10"/>
  <c r="BN40" i="10"/>
  <c r="BC40" i="10"/>
  <c r="AI171" i="10"/>
  <c r="BS156" i="10"/>
  <c r="AA169" i="10"/>
  <c r="BE122" i="10"/>
  <c r="BA122" i="10"/>
  <c r="BN122" i="10"/>
  <c r="BC122" i="10"/>
  <c r="BB122" i="10"/>
  <c r="AZ122" i="10"/>
  <c r="AY122" i="10"/>
  <c r="BD122" i="10"/>
  <c r="AB202" i="10"/>
  <c r="AB201" i="10" s="1"/>
  <c r="V163" i="10"/>
  <c r="V164" i="10" s="1"/>
  <c r="Y163" i="10"/>
  <c r="AK164" i="10"/>
  <c r="AK167" i="10" s="1"/>
  <c r="AK169" i="10" s="1"/>
  <c r="AM114" i="10"/>
  <c r="AX112" i="10"/>
  <c r="AW84" i="10"/>
  <c r="AW112" i="10" s="1"/>
  <c r="AS84" i="10"/>
  <c r="AV84" i="10"/>
  <c r="AV112" i="10" s="1"/>
  <c r="AR84" i="10"/>
  <c r="AR112" i="10" s="1"/>
  <c r="AU84" i="10"/>
  <c r="AQ84" i="10"/>
  <c r="BF84" i="10"/>
  <c r="AT84" i="10"/>
  <c r="AT112" i="10" s="1"/>
  <c r="AX17" i="10"/>
  <c r="AI110" i="10"/>
  <c r="AI15" i="10"/>
  <c r="AJ15" i="10" s="1"/>
  <c r="AK110" i="10"/>
  <c r="AK15" i="10"/>
  <c r="BK162" i="10"/>
  <c r="BK163" i="10" s="1"/>
  <c r="BG162" i="10"/>
  <c r="BG163" i="10" s="1"/>
  <c r="BV162" i="10"/>
  <c r="BJ162" i="10"/>
  <c r="BM162" i="10"/>
  <c r="BI162" i="10"/>
  <c r="BI163" i="10" s="1"/>
  <c r="BH162" i="10"/>
  <c r="BL162" i="10"/>
  <c r="BN163" i="10"/>
  <c r="BF164" i="10" s="1"/>
  <c r="BF167" i="10" s="1"/>
  <c r="BJ190" i="10"/>
  <c r="AP205" i="10"/>
  <c r="AI195" i="10"/>
  <c r="BF204" i="10"/>
  <c r="AT204" i="10"/>
  <c r="AW204" i="10"/>
  <c r="AS204" i="10"/>
  <c r="AQ204" i="10"/>
  <c r="AV204" i="10"/>
  <c r="AU204" i="10"/>
  <c r="AR204" i="10"/>
  <c r="BG119" i="10"/>
  <c r="BI119" i="10"/>
  <c r="BH119" i="10"/>
  <c r="BS57" i="10"/>
  <c r="BN43" i="10"/>
  <c r="BC43" i="10"/>
  <c r="K169" i="10"/>
  <c r="K171" i="10" s="1"/>
  <c r="K173" i="10" s="1"/>
  <c r="T202" i="10"/>
  <c r="BC41" i="10"/>
  <c r="BN41" i="10"/>
  <c r="BV103" i="10"/>
  <c r="BJ103" i="10"/>
  <c r="BM103" i="10"/>
  <c r="BI103" i="10"/>
  <c r="BH103" i="10"/>
  <c r="BG103" i="10"/>
  <c r="BL103" i="10"/>
  <c r="BK103" i="10"/>
  <c r="BV102" i="10"/>
  <c r="BJ102" i="10"/>
  <c r="BM102" i="10"/>
  <c r="BI102" i="10"/>
  <c r="BL102" i="10"/>
  <c r="BK102" i="10"/>
  <c r="BH102" i="10"/>
  <c r="BG102" i="10"/>
  <c r="AU164" i="10"/>
  <c r="AU167" i="10" s="1"/>
  <c r="BC192" i="10"/>
  <c r="AU203" i="10"/>
  <c r="AO43" i="10"/>
  <c r="AX71" i="10"/>
  <c r="AX46" i="10"/>
  <c r="BQ197" i="10"/>
  <c r="BQ199" i="10" s="1"/>
  <c r="AB193" i="10"/>
  <c r="AB195" i="10" s="1"/>
  <c r="BD121" i="10"/>
  <c r="AZ121" i="10"/>
  <c r="BE121" i="10"/>
  <c r="AY121" i="10"/>
  <c r="BN121" i="10"/>
  <c r="BC121" i="10"/>
  <c r="BB121" i="10"/>
  <c r="BA121" i="10"/>
  <c r="AB167" i="10"/>
  <c r="AB169" i="10" s="1"/>
  <c r="AR200" i="10"/>
  <c r="AL40" i="10"/>
  <c r="AV44" i="10"/>
  <c r="M202" i="10"/>
  <c r="N202" i="10" s="1"/>
  <c r="AI112" i="10"/>
  <c r="AI17" i="10"/>
  <c r="AJ17" i="10" s="1"/>
  <c r="AK112" i="10"/>
  <c r="AK17" i="10"/>
  <c r="BK144" i="10"/>
  <c r="BG144" i="10"/>
  <c r="AM110" i="10"/>
  <c r="AK190" i="10"/>
  <c r="BK128" i="10"/>
  <c r="BV128" i="10"/>
  <c r="BS128" i="10" s="1"/>
  <c r="AE203" i="10"/>
  <c r="AF203" i="10" s="1"/>
  <c r="AF205" i="10" s="1"/>
  <c r="AG199" i="10"/>
  <c r="AQ164" i="10"/>
  <c r="AQ167" i="10" s="1"/>
  <c r="AW199" i="10"/>
  <c r="BK201" i="10"/>
  <c r="BG201" i="10"/>
  <c r="BM201" i="10"/>
  <c r="BH201" i="10"/>
  <c r="BV201" i="10"/>
  <c r="BL201" i="10"/>
  <c r="BI201" i="10"/>
  <c r="BJ201" i="10"/>
  <c r="AJ41" i="10"/>
  <c r="AJ45" i="10" s="1"/>
  <c r="AW192" i="10"/>
  <c r="AW191" i="10" s="1"/>
  <c r="AQ193" i="10"/>
  <c r="BV100" i="10"/>
  <c r="BJ100" i="10"/>
  <c r="BM100" i="10"/>
  <c r="BI100" i="10"/>
  <c r="BL100" i="10"/>
  <c r="BK100" i="10"/>
  <c r="BH100" i="10"/>
  <c r="BG100" i="10"/>
  <c r="BL104" i="10"/>
  <c r="O169" i="10"/>
  <c r="L167" i="10"/>
  <c r="L169" i="10" s="1"/>
  <c r="P167" i="10"/>
  <c r="AX111" i="10"/>
  <c r="AW83" i="10"/>
  <c r="AW111" i="10" s="1"/>
  <c r="AS83" i="10"/>
  <c r="AV83" i="10"/>
  <c r="AV111" i="10" s="1"/>
  <c r="AR83" i="10"/>
  <c r="AR111" i="10" s="1"/>
  <c r="AU83" i="10"/>
  <c r="AQ83" i="10"/>
  <c r="BF83" i="10"/>
  <c r="AT83" i="10"/>
  <c r="AT111" i="10" s="1"/>
  <c r="AX16" i="10"/>
  <c r="AQ9" i="10"/>
  <c r="BE168" i="9" s="1"/>
  <c r="AU32" i="10"/>
  <c r="BG57" i="10"/>
  <c r="AO164" i="10"/>
  <c r="AJ200" i="10"/>
  <c r="X202" i="10"/>
  <c r="AZ153" i="10"/>
  <c r="AZ154" i="10" s="1"/>
  <c r="AQ41" i="10"/>
  <c r="BT181" i="10"/>
  <c r="BP181" i="10"/>
  <c r="BS181" i="10"/>
  <c r="BO181" i="10"/>
  <c r="BR181" i="10"/>
  <c r="BQ181" i="10"/>
  <c r="AB45" i="10"/>
  <c r="AT192" i="10"/>
  <c r="BQ187" i="10"/>
  <c r="BQ143" i="10" s="1"/>
  <c r="BE168" i="10"/>
  <c r="BA168" i="10"/>
  <c r="BN168" i="10"/>
  <c r="BC168" i="10"/>
  <c r="BB168" i="10"/>
  <c r="AZ168" i="10"/>
  <c r="AY168" i="10"/>
  <c r="BD168" i="10"/>
  <c r="AT193" i="10"/>
  <c r="AP169" i="10"/>
  <c r="AN167" i="10"/>
  <c r="BF193" i="10"/>
  <c r="AU45" i="10"/>
  <c r="AQ40" i="10"/>
  <c r="BU93" i="10"/>
  <c r="BQ93" i="10"/>
  <c r="BR93" i="10"/>
  <c r="BP93" i="10"/>
  <c r="BT93" i="10"/>
  <c r="BO93" i="10"/>
  <c r="BS93" i="10"/>
  <c r="BG156" i="10"/>
  <c r="BH156" i="10" s="1"/>
  <c r="BM189" i="10"/>
  <c r="BO197" i="10"/>
  <c r="BO199" i="10" s="1"/>
  <c r="BS199" i="10"/>
  <c r="AX114" i="10"/>
  <c r="AW86" i="10"/>
  <c r="AW114" i="10" s="1"/>
  <c r="AS86" i="10"/>
  <c r="AS114" i="10" s="1"/>
  <c r="BF86" i="10"/>
  <c r="AV86" i="10"/>
  <c r="AV114" i="10" s="1"/>
  <c r="AR86" i="10"/>
  <c r="AR114" i="10" s="1"/>
  <c r="AU86" i="10"/>
  <c r="AQ86" i="10"/>
  <c r="AQ114" i="10" s="1"/>
  <c r="AT86" i="10"/>
  <c r="AT114" i="10" s="1"/>
  <c r="BB57" i="10"/>
  <c r="BC44" i="10"/>
  <c r="BN44" i="10"/>
  <c r="BK120" i="10"/>
  <c r="BG120" i="10"/>
  <c r="BV120" i="10"/>
  <c r="BL120" i="10"/>
  <c r="BJ120" i="10"/>
  <c r="BI120" i="10"/>
  <c r="BH120" i="10"/>
  <c r="BM120" i="10"/>
  <c r="BC124" i="10"/>
  <c r="AY124" i="10"/>
  <c r="BN124" i="10"/>
  <c r="BD124" i="10"/>
  <c r="BB124" i="10"/>
  <c r="BA124" i="10"/>
  <c r="AZ124" i="10"/>
  <c r="BE124" i="10"/>
  <c r="K202" i="10"/>
  <c r="AM112" i="10"/>
  <c r="Q193" i="10"/>
  <c r="Q195" i="10" s="1"/>
  <c r="BT189" i="10"/>
  <c r="BK200" i="10"/>
  <c r="BH199" i="10"/>
  <c r="BD200" i="10"/>
  <c r="BD163" i="10"/>
  <c r="BC164" i="10" s="1"/>
  <c r="BC167" i="10" s="1"/>
  <c r="AZ163" i="10"/>
  <c r="AZ164" i="10" s="1"/>
  <c r="BE57" i="10"/>
  <c r="AL199" i="10"/>
  <c r="AL200" i="10" s="1"/>
  <c r="AW163" i="10"/>
  <c r="R287" i="9"/>
  <c r="R112" i="9"/>
  <c r="AM224" i="9"/>
  <c r="AU225" i="9" s="1"/>
  <c r="BY35" i="9"/>
  <c r="U218" i="9"/>
  <c r="Q269" i="9"/>
  <c r="Q277" i="9" s="1"/>
  <c r="Q278" i="9" s="1"/>
  <c r="Q267" i="9"/>
  <c r="Q281" i="9" s="1"/>
  <c r="S126" i="9"/>
  <c r="S112" i="9"/>
  <c r="O271" i="9"/>
  <c r="V259" i="9"/>
  <c r="V264" i="9" s="1"/>
  <c r="W258" i="9"/>
  <c r="BI224" i="9"/>
  <c r="EE199" i="5" s="1"/>
  <c r="BT224" i="9"/>
  <c r="EP199" i="5" s="1"/>
  <c r="R266" i="9"/>
  <c r="R152" i="9"/>
  <c r="R116" i="9"/>
  <c r="E4" i="10" s="1"/>
  <c r="O130" i="9"/>
  <c r="CG222" i="9"/>
  <c r="BY222" i="9"/>
  <c r="S266" i="9"/>
  <c r="S122" i="9"/>
  <c r="S116" i="9"/>
  <c r="F4" i="10" s="1"/>
  <c r="U112" i="9"/>
  <c r="DS199" i="5"/>
  <c r="BA225" i="9"/>
  <c r="P271" i="9"/>
  <c r="O277" i="9"/>
  <c r="O278" i="9" s="1"/>
  <c r="CJ29" i="9"/>
  <c r="BY29" i="9"/>
  <c r="Q130" i="9"/>
  <c r="S96" i="9"/>
  <c r="Y99" i="8"/>
  <c r="Y101" i="8" s="1"/>
  <c r="X18" i="8"/>
  <c r="Z122" i="8"/>
  <c r="Z25" i="8" s="1"/>
  <c r="R196" i="8"/>
  <c r="S191" i="8"/>
  <c r="AB7" i="8"/>
  <c r="Y148" i="8"/>
  <c r="Y32" i="8"/>
  <c r="Z170" i="8"/>
  <c r="T187" i="8"/>
  <c r="S189" i="8"/>
  <c r="S197" i="8" s="1"/>
  <c r="Z147" i="8"/>
  <c r="Z43" i="8" s="1"/>
  <c r="Z146" i="8"/>
  <c r="AA139" i="8"/>
  <c r="Z92" i="8"/>
  <c r="AB161" i="8"/>
  <c r="Z66" i="8"/>
  <c r="Z165" i="8"/>
  <c r="Z168" i="8" s="1"/>
  <c r="AA156" i="8"/>
  <c r="Z195" i="8"/>
  <c r="Y194" i="8"/>
  <c r="AB88" i="6"/>
  <c r="AB18" i="6"/>
  <c r="G97" i="6"/>
  <c r="H63" i="6"/>
  <c r="BE37" i="5"/>
  <c r="BE35" i="5"/>
  <c r="CM177" i="5"/>
  <c r="CS176" i="5"/>
  <c r="CU177" i="5"/>
  <c r="BB35" i="5"/>
  <c r="BB37" i="5"/>
  <c r="BC268" i="5"/>
  <c r="BK256" i="5"/>
  <c r="CI273" i="5"/>
  <c r="CJ268" i="5"/>
  <c r="O297" i="5"/>
  <c r="R297" i="5" s="1"/>
  <c r="R298" i="5" s="1"/>
  <c r="J301" i="5"/>
  <c r="CS174" i="5"/>
  <c r="BC118" i="5"/>
  <c r="BK118" i="5" s="1"/>
  <c r="BK114" i="5"/>
  <c r="CB171" i="5"/>
  <c r="CJ171" i="5"/>
  <c r="CA319" i="5"/>
  <c r="CA273" i="5"/>
  <c r="CB268" i="5"/>
  <c r="O333" i="5"/>
  <c r="O334" i="5" s="1"/>
  <c r="P333" i="5" s="1"/>
  <c r="P334" i="5" s="1"/>
  <c r="R333" i="5"/>
  <c r="CQ174" i="5"/>
  <c r="CQ176" i="5"/>
  <c r="BS319" i="5"/>
  <c r="CI177" i="5"/>
  <c r="BY177" i="5"/>
  <c r="CQ296" i="5"/>
  <c r="BZ176" i="5"/>
  <c r="BR173" i="5"/>
  <c r="BR176" i="5" s="1"/>
  <c r="H297" i="5"/>
  <c r="H298" i="5" s="1"/>
  <c r="H301" i="5" s="1"/>
  <c r="G301" i="5"/>
  <c r="CN177" i="5"/>
  <c r="J118" i="5"/>
  <c r="H118" i="5" s="1"/>
  <c r="J309" i="5"/>
  <c r="H309" i="5" s="1"/>
  <c r="Q15" i="4"/>
  <c r="O16" i="4"/>
  <c r="O64" i="6" s="1"/>
  <c r="P15" i="4"/>
  <c r="P16" i="4" s="1"/>
  <c r="AA117" i="4"/>
  <c r="AB50" i="4"/>
  <c r="U118" i="9" l="1"/>
  <c r="AL19" i="11"/>
  <c r="X183" i="8"/>
  <c r="BV125" i="10"/>
  <c r="AJ66" i="10"/>
  <c r="AL71" i="10"/>
  <c r="AN66" i="10"/>
  <c r="S72" i="7"/>
  <c r="Z37" i="8"/>
  <c r="BV104" i="10"/>
  <c r="BP104" i="10" s="1"/>
  <c r="BJ104" i="10"/>
  <c r="BG104" i="10"/>
  <c r="BI104" i="10"/>
  <c r="BH104" i="10"/>
  <c r="BM104" i="10"/>
  <c r="AN201" i="10"/>
  <c r="AJ201" i="10"/>
  <c r="AI173" i="10"/>
  <c r="AJ191" i="10"/>
  <c r="AN191" i="10"/>
  <c r="AK192" i="10"/>
  <c r="AL192" i="10" s="1"/>
  <c r="AL191" i="10" s="1"/>
  <c r="AM195" i="10"/>
  <c r="AJ193" i="10"/>
  <c r="AJ195" i="10" s="1"/>
  <c r="AN58" i="10"/>
  <c r="AN59" i="10" s="1"/>
  <c r="AM19" i="10"/>
  <c r="AN19" i="10" s="1"/>
  <c r="E10" i="16"/>
  <c r="E22" i="16" s="1"/>
  <c r="AF68" i="10"/>
  <c r="AD19" i="10"/>
  <c r="AC195" i="10"/>
  <c r="AS8" i="12"/>
  <c r="AY202" i="10"/>
  <c r="AZ202" i="10" s="1"/>
  <c r="AS7" i="12"/>
  <c r="S35" i="7"/>
  <c r="S64" i="7" s="1"/>
  <c r="S122" i="6" s="1"/>
  <c r="BC203" i="10"/>
  <c r="BD203" i="10" s="1"/>
  <c r="AD7" i="13"/>
  <c r="AD6" i="13"/>
  <c r="BP184" i="10"/>
  <c r="BQ184" i="10"/>
  <c r="BO184" i="10"/>
  <c r="BS184" i="10"/>
  <c r="BL125" i="10"/>
  <c r="G3" i="6"/>
  <c r="G4" i="6" s="1"/>
  <c r="AG191" i="10"/>
  <c r="BM119" i="10"/>
  <c r="BK119" i="10"/>
  <c r="BL119" i="10"/>
  <c r="AA171" i="10"/>
  <c r="AA173" i="10" s="1"/>
  <c r="BJ119" i="10"/>
  <c r="AB19" i="10"/>
  <c r="AG19" i="10" s="1"/>
  <c r="DD191" i="5"/>
  <c r="J76" i="3"/>
  <c r="AJ84" i="11"/>
  <c r="AJ77" i="11" s="1"/>
  <c r="AB57" i="10"/>
  <c r="AG57" i="10" s="1"/>
  <c r="DD183" i="5"/>
  <c r="DL183" i="5"/>
  <c r="G3" i="7"/>
  <c r="G4" i="7" s="1"/>
  <c r="AB66" i="10"/>
  <c r="V98" i="6"/>
  <c r="V124" i="6"/>
  <c r="AJ76" i="11"/>
  <c r="J45" i="3"/>
  <c r="AK83" i="11"/>
  <c r="AK150" i="11" s="1"/>
  <c r="AK151" i="11" s="1"/>
  <c r="D10" i="16"/>
  <c r="D22" i="16" s="1"/>
  <c r="X241" i="9"/>
  <c r="W205" i="10"/>
  <c r="F66" i="7"/>
  <c r="F67" i="7" s="1"/>
  <c r="F59" i="3" s="1"/>
  <c r="Y60" i="10"/>
  <c r="AK6" i="12"/>
  <c r="DI179" i="5"/>
  <c r="AI85" i="11"/>
  <c r="Y191" i="10"/>
  <c r="BJ219" i="12"/>
  <c r="BJ218" i="12" s="1"/>
  <c r="BJ224" i="12" s="1"/>
  <c r="E59" i="3"/>
  <c r="E60" i="3" s="1"/>
  <c r="E61" i="3" s="1"/>
  <c r="E63" i="3" s="1"/>
  <c r="AI152" i="11"/>
  <c r="AI149" i="11" s="1"/>
  <c r="E51" i="3"/>
  <c r="CR114" i="5"/>
  <c r="BI125" i="10"/>
  <c r="BG125" i="10"/>
  <c r="AI145" i="11"/>
  <c r="BJ125" i="10"/>
  <c r="BM125" i="10"/>
  <c r="AI133" i="11"/>
  <c r="AI7" i="11" s="1"/>
  <c r="AI134" i="11" s="1"/>
  <c r="BK125" i="10"/>
  <c r="W30" i="10"/>
  <c r="AK166" i="9"/>
  <c r="BQ168" i="9"/>
  <c r="AR9" i="10"/>
  <c r="BF168" i="9" s="1"/>
  <c r="U195" i="10"/>
  <c r="V193" i="10"/>
  <c r="T73" i="10"/>
  <c r="T68" i="10" s="1"/>
  <c r="S143" i="9"/>
  <c r="DI187" i="5"/>
  <c r="V5" i="13"/>
  <c r="AM205" i="10"/>
  <c r="BE190" i="10"/>
  <c r="W241" i="9"/>
  <c r="AY225" i="9"/>
  <c r="CR69" i="5"/>
  <c r="CR77" i="5" s="1"/>
  <c r="CR92" i="5" s="1"/>
  <c r="L108" i="10"/>
  <c r="L11" i="10"/>
  <c r="CT309" i="5"/>
  <c r="CR309" i="5" s="1"/>
  <c r="U97" i="9"/>
  <c r="U96" i="9" s="1"/>
  <c r="DD197" i="5"/>
  <c r="DC197" i="5"/>
  <c r="P108" i="10"/>
  <c r="P11" i="10"/>
  <c r="CV168" i="5"/>
  <c r="DA167" i="5"/>
  <c r="DA168" i="5" s="1"/>
  <c r="X273" i="5"/>
  <c r="X296" i="5" s="1"/>
  <c r="AS9" i="10"/>
  <c r="BG168" i="9" s="1"/>
  <c r="DG197" i="5"/>
  <c r="N108" i="10"/>
  <c r="N11" i="10"/>
  <c r="S172" i="10"/>
  <c r="P166" i="9"/>
  <c r="D30" i="10"/>
  <c r="P174" i="9" s="1"/>
  <c r="D13" i="10"/>
  <c r="G30" i="10"/>
  <c r="U174" i="9" s="1"/>
  <c r="U166" i="9"/>
  <c r="U143" i="9" s="1"/>
  <c r="O143" i="9"/>
  <c r="O158" i="9"/>
  <c r="O132" i="9" s="1"/>
  <c r="Q143" i="9"/>
  <c r="Q158" i="9"/>
  <c r="Q132" i="9" s="1"/>
  <c r="O146" i="9"/>
  <c r="O159" i="9"/>
  <c r="O135" i="9" s="1"/>
  <c r="P167" i="9"/>
  <c r="D31" i="10"/>
  <c r="P175" i="9" s="1"/>
  <c r="P218" i="9"/>
  <c r="Q218" i="9"/>
  <c r="AT195" i="10"/>
  <c r="U126" i="9"/>
  <c r="U130" i="9" s="1"/>
  <c r="AM18" i="13"/>
  <c r="CV198" i="5"/>
  <c r="L62" i="10"/>
  <c r="AH134" i="11"/>
  <c r="AH144" i="11" s="1"/>
  <c r="AH8" i="11"/>
  <c r="O205" i="10"/>
  <c r="O192" i="9"/>
  <c r="O144" i="9" s="1"/>
  <c r="BZ19" i="12"/>
  <c r="AO17" i="10"/>
  <c r="F26" i="3"/>
  <c r="D40" i="3"/>
  <c r="U186" i="9"/>
  <c r="O188" i="12"/>
  <c r="O190" i="12" s="1"/>
  <c r="O165" i="12" s="1"/>
  <c r="O166" i="12" s="1"/>
  <c r="K26" i="3"/>
  <c r="AH7" i="12"/>
  <c r="J26" i="3"/>
  <c r="Z83" i="9"/>
  <c r="BZ177" i="5"/>
  <c r="X51" i="8"/>
  <c r="Y56" i="3"/>
  <c r="DO198" i="5"/>
  <c r="AE60" i="10"/>
  <c r="DD198" i="5"/>
  <c r="AM59" i="10"/>
  <c r="AM73" i="10" s="1"/>
  <c r="AJ58" i="10"/>
  <c r="AJ59" i="10" s="1"/>
  <c r="U59" i="10"/>
  <c r="S60" i="10"/>
  <c r="DC198" i="5"/>
  <c r="BF58" i="10"/>
  <c r="BF19" i="10" s="1"/>
  <c r="AX59" i="10"/>
  <c r="AU58" i="10"/>
  <c r="AV58" i="10" s="1"/>
  <c r="AB58" i="10"/>
  <c r="AG58" i="10" s="1"/>
  <c r="AA59" i="10"/>
  <c r="DZ198" i="5"/>
  <c r="AP60" i="10"/>
  <c r="AP73" i="10"/>
  <c r="BB225" i="9"/>
  <c r="X196" i="9"/>
  <c r="AO5" i="11" s="1"/>
  <c r="AF117" i="9"/>
  <c r="AW200" i="10"/>
  <c r="BU197" i="10"/>
  <c r="P272" i="9"/>
  <c r="AG200" i="10"/>
  <c r="BZ174" i="5"/>
  <c r="AO44" i="10"/>
  <c r="AO16" i="10"/>
  <c r="AC200" i="10"/>
  <c r="G4" i="8"/>
  <c r="AW164" i="10"/>
  <c r="AS200" i="10"/>
  <c r="AS203" i="10" s="1"/>
  <c r="AS205" i="10" s="1"/>
  <c r="AL44" i="10"/>
  <c r="AL45" i="10" s="1"/>
  <c r="AL66" i="10" s="1"/>
  <c r="AW126" i="11"/>
  <c r="U169" i="9"/>
  <c r="U161" i="9" s="1"/>
  <c r="G33" i="10"/>
  <c r="U177" i="9" s="1"/>
  <c r="O108" i="10"/>
  <c r="M108" i="10"/>
  <c r="AA166" i="9"/>
  <c r="AA143" i="9" s="1"/>
  <c r="AA145" i="9" s="1"/>
  <c r="Q167" i="10"/>
  <c r="Q169" i="10" s="1"/>
  <c r="Y164" i="10"/>
  <c r="I85" i="10"/>
  <c r="H18" i="10"/>
  <c r="H20" i="10" s="1"/>
  <c r="Y80" i="10"/>
  <c r="Y108" i="10" s="1"/>
  <c r="W108" i="10"/>
  <c r="U80" i="10"/>
  <c r="U108" i="10" s="1"/>
  <c r="S80" i="10"/>
  <c r="T80" i="10"/>
  <c r="T108" i="10" s="1"/>
  <c r="X80" i="10"/>
  <c r="X108" i="10" s="1"/>
  <c r="Z108" i="10"/>
  <c r="V80" i="10"/>
  <c r="V108" i="10" s="1"/>
  <c r="BP197" i="10"/>
  <c r="AY164" i="10"/>
  <c r="AY167" i="10" s="1"/>
  <c r="AZ167" i="10" s="1"/>
  <c r="AZ169" i="10" s="1"/>
  <c r="AN16" i="10"/>
  <c r="AL16" i="10" s="1"/>
  <c r="AA65" i="6"/>
  <c r="Z10" i="6"/>
  <c r="BM98" i="10"/>
  <c r="BL98" i="10"/>
  <c r="BV98" i="10"/>
  <c r="BH98" i="10"/>
  <c r="BI98" i="10"/>
  <c r="BG98" i="10"/>
  <c r="BJ98" i="10"/>
  <c r="BK98" i="10"/>
  <c r="K108" i="10"/>
  <c r="T57" i="6"/>
  <c r="T61" i="6"/>
  <c r="T62" i="6" s="1"/>
  <c r="AB13" i="12"/>
  <c r="Z13" i="12" s="1"/>
  <c r="H81" i="10"/>
  <c r="H12" i="10" s="1"/>
  <c r="Y55" i="3"/>
  <c r="Y9" i="3"/>
  <c r="Z49" i="8"/>
  <c r="H73" i="7"/>
  <c r="H21" i="3"/>
  <c r="H74" i="7"/>
  <c r="BF67" i="5"/>
  <c r="BF76" i="5"/>
  <c r="BN50" i="5"/>
  <c r="BN67" i="5" s="1"/>
  <c r="BD50" i="5"/>
  <c r="S47" i="6"/>
  <c r="S52" i="6"/>
  <c r="S44" i="6"/>
  <c r="S48" i="6" s="1"/>
  <c r="FO5" i="5"/>
  <c r="FL5" i="5"/>
  <c r="FK6" i="5"/>
  <c r="FK7" i="5" s="1"/>
  <c r="FK9" i="5" s="1"/>
  <c r="O106" i="8"/>
  <c r="O111" i="8" s="1"/>
  <c r="O66" i="6"/>
  <c r="O70" i="6"/>
  <c r="AB26" i="7"/>
  <c r="FF112" i="5"/>
  <c r="FC112" i="5" s="1"/>
  <c r="FD112" i="5" s="1"/>
  <c r="Y54" i="7"/>
  <c r="AM225" i="9"/>
  <c r="DI199" i="5"/>
  <c r="AG167" i="10"/>
  <c r="AG169" i="10" s="1"/>
  <c r="AW62" i="11"/>
  <c r="AW146" i="11"/>
  <c r="AW60" i="11"/>
  <c r="DA91" i="11" s="1"/>
  <c r="DB197" i="5"/>
  <c r="D63" i="3"/>
  <c r="L35" i="7"/>
  <c r="L64" i="7" s="1"/>
  <c r="L122" i="6" s="1"/>
  <c r="L72" i="7"/>
  <c r="AH91" i="5"/>
  <c r="AF76" i="5"/>
  <c r="AA192" i="8"/>
  <c r="AB76" i="6"/>
  <c r="AB192" i="8" s="1"/>
  <c r="AM6" i="11"/>
  <c r="AM32" i="11" s="1"/>
  <c r="FN6" i="5"/>
  <c r="AB42" i="8"/>
  <c r="K28" i="7"/>
  <c r="M72" i="7"/>
  <c r="M35" i="7"/>
  <c r="M64" i="7" s="1"/>
  <c r="M122" i="6" s="1"/>
  <c r="AA50" i="8"/>
  <c r="Z48" i="7"/>
  <c r="EP290" i="5" s="1"/>
  <c r="AN5" i="11"/>
  <c r="CL173" i="5"/>
  <c r="W197" i="9"/>
  <c r="EM265" i="5"/>
  <c r="EN265" i="5" s="1"/>
  <c r="AA22" i="8"/>
  <c r="EF10" i="5"/>
  <c r="EC10" i="5" s="1"/>
  <c r="ED10" i="5" s="1"/>
  <c r="EA10" i="5"/>
  <c r="EB10" i="5" s="1"/>
  <c r="H39" i="3"/>
  <c r="I67" i="3"/>
  <c r="X67" i="5"/>
  <c r="X76" i="5"/>
  <c r="X91" i="5" s="1"/>
  <c r="X114" i="5" s="1"/>
  <c r="X309" i="5" s="1"/>
  <c r="AA30" i="8"/>
  <c r="BF18" i="13"/>
  <c r="BD18" i="13"/>
  <c r="BH18" i="13"/>
  <c r="B3" i="6"/>
  <c r="C4" i="6" s="1"/>
  <c r="B3" i="7"/>
  <c r="C4" i="7" s="1"/>
  <c r="B3" i="8"/>
  <c r="C4" i="8" s="1"/>
  <c r="AB8" i="8"/>
  <c r="FF103" i="5"/>
  <c r="S19" i="3"/>
  <c r="S51" i="6"/>
  <c r="EM86" i="5"/>
  <c r="EN86" i="5" s="1"/>
  <c r="Z78" i="6"/>
  <c r="EN300" i="5"/>
  <c r="EM300" i="5"/>
  <c r="DU10" i="5"/>
  <c r="P117" i="9"/>
  <c r="Q97" i="9"/>
  <c r="Q116" i="9"/>
  <c r="S120" i="9" s="1"/>
  <c r="Q196" i="9"/>
  <c r="AJ5" i="11" s="1"/>
  <c r="BS18" i="13"/>
  <c r="CH19" i="12"/>
  <c r="CH8" i="12" s="1"/>
  <c r="AL6" i="11"/>
  <c r="AL32" i="11" s="1"/>
  <c r="AP256" i="5"/>
  <c r="AP268" i="5" s="1"/>
  <c r="AP273" i="5" s="1"/>
  <c r="AP296" i="5" s="1"/>
  <c r="AP298" i="5" s="1"/>
  <c r="O28" i="7"/>
  <c r="M203" i="10"/>
  <c r="M205" i="10" s="1"/>
  <c r="U164" i="10"/>
  <c r="U167" i="10" s="1"/>
  <c r="Y167" i="10" s="1"/>
  <c r="Y169" i="10" s="1"/>
  <c r="CD114" i="5"/>
  <c r="CD100" i="5"/>
  <c r="FF46" i="5"/>
  <c r="FC46" i="5" s="1"/>
  <c r="FD46" i="5" s="1"/>
  <c r="Z114" i="5"/>
  <c r="Z100" i="5"/>
  <c r="AA57" i="7"/>
  <c r="EP286" i="5"/>
  <c r="EM286" i="5" s="1"/>
  <c r="EN286" i="5" s="1"/>
  <c r="X94" i="6"/>
  <c r="AW19" i="12"/>
  <c r="P35" i="7"/>
  <c r="P64" i="7" s="1"/>
  <c r="P72" i="7"/>
  <c r="AA24" i="8"/>
  <c r="T17" i="3"/>
  <c r="T50" i="6"/>
  <c r="U51" i="6" s="1"/>
  <c r="T46" i="6"/>
  <c r="T43" i="6"/>
  <c r="T53" i="6"/>
  <c r="EP107" i="5"/>
  <c r="EM107" i="5" s="1"/>
  <c r="EN107" i="5" s="1"/>
  <c r="AA86" i="6"/>
  <c r="Z60" i="6"/>
  <c r="U179" i="8"/>
  <c r="DB79" i="5"/>
  <c r="BT114" i="5"/>
  <c r="BT100" i="5"/>
  <c r="DJ102" i="5"/>
  <c r="DH102" i="5" s="1"/>
  <c r="DZ284" i="5"/>
  <c r="Q146" i="9"/>
  <c r="Q159" i="9"/>
  <c r="Q135" i="9" s="1"/>
  <c r="EU103" i="5"/>
  <c r="EV103" i="5" s="1"/>
  <c r="Y17" i="7"/>
  <c r="Z41" i="8"/>
  <c r="Z56" i="3" s="1"/>
  <c r="FF86" i="5"/>
  <c r="EX86" i="5"/>
  <c r="AB69" i="7"/>
  <c r="FF300" i="5" s="1"/>
  <c r="EX300" i="5"/>
  <c r="N74" i="6"/>
  <c r="N81" i="6"/>
  <c r="N67" i="6"/>
  <c r="N105" i="8" s="1"/>
  <c r="Y107" i="6"/>
  <c r="Y93" i="6" s="1"/>
  <c r="EH291" i="5"/>
  <c r="FF109" i="5"/>
  <c r="FC109" i="5" s="1"/>
  <c r="FD109" i="5" s="1"/>
  <c r="AC12" i="4"/>
  <c r="EP10" i="5"/>
  <c r="EM10" i="5" s="1"/>
  <c r="Z82" i="3"/>
  <c r="O298" i="5"/>
  <c r="P297" i="5" s="1"/>
  <c r="P298" i="5" s="1"/>
  <c r="P301" i="5" s="1"/>
  <c r="R334" i="5"/>
  <c r="W333" i="5" s="1"/>
  <c r="W334" i="5" s="1"/>
  <c r="X333" i="5" s="1"/>
  <c r="X334" i="5" s="1"/>
  <c r="AV32" i="10"/>
  <c r="BI176" i="9"/>
  <c r="FC48" i="5"/>
  <c r="FD48" i="5" s="1"/>
  <c r="BP261" i="9"/>
  <c r="EL163" i="5" s="1"/>
  <c r="EK163" i="5"/>
  <c r="BP95" i="10"/>
  <c r="BU95" i="10"/>
  <c r="BT95" i="10"/>
  <c r="BQ95" i="10"/>
  <c r="BO95" i="10"/>
  <c r="BR95" i="10"/>
  <c r="BS95" i="10"/>
  <c r="BF268" i="5"/>
  <c r="BN256" i="5"/>
  <c r="T35" i="3"/>
  <c r="T16" i="3" s="1"/>
  <c r="T31" i="3" s="1"/>
  <c r="AH77" i="5"/>
  <c r="AF69" i="5"/>
  <c r="P26" i="3"/>
  <c r="P33" i="3"/>
  <c r="EZ163" i="5"/>
  <c r="CE261" i="9"/>
  <c r="DB287" i="5"/>
  <c r="DB326" i="5" s="1"/>
  <c r="CZ326" i="5" s="1"/>
  <c r="CZ285" i="5"/>
  <c r="CZ287" i="5" s="1"/>
  <c r="F31" i="10"/>
  <c r="S175" i="9" s="1"/>
  <c r="S167" i="9"/>
  <c r="F13" i="10"/>
  <c r="F9" i="10" s="1"/>
  <c r="H3" i="8"/>
  <c r="H3" i="7"/>
  <c r="I4" i="7" s="1"/>
  <c r="H3" i="6"/>
  <c r="I4" i="6" s="1"/>
  <c r="Y125" i="6"/>
  <c r="DN163" i="5"/>
  <c r="B39" i="3"/>
  <c r="B61" i="3"/>
  <c r="B51" i="3"/>
  <c r="ES163" i="5"/>
  <c r="BX261" i="9"/>
  <c r="ET163" i="5" s="1"/>
  <c r="BV114" i="5"/>
  <c r="BV100" i="5"/>
  <c r="BV256" i="5"/>
  <c r="Q28" i="7"/>
  <c r="CL114" i="5"/>
  <c r="CL100" i="5"/>
  <c r="S18" i="3"/>
  <c r="S106" i="6"/>
  <c r="S67" i="3"/>
  <c r="S32" i="3"/>
  <c r="DZ259" i="5"/>
  <c r="DX259" i="5" s="1"/>
  <c r="M107" i="8"/>
  <c r="FJ7" i="5"/>
  <c r="AP91" i="5"/>
  <c r="AN76" i="5"/>
  <c r="EX265" i="5"/>
  <c r="AA105" i="6"/>
  <c r="AB4" i="3"/>
  <c r="AB105" i="6" s="1"/>
  <c r="Y12" i="7"/>
  <c r="Y169" i="8"/>
  <c r="Y171" i="8" s="1"/>
  <c r="Y183" i="8" s="1"/>
  <c r="Y68" i="7"/>
  <c r="X62" i="3"/>
  <c r="CT119" i="5"/>
  <c r="CR119" i="5" s="1"/>
  <c r="CR115" i="5"/>
  <c r="Z6" i="12"/>
  <c r="CX179" i="5"/>
  <c r="DX299" i="5"/>
  <c r="CJ320" i="5"/>
  <c r="T73" i="7"/>
  <c r="T21" i="3"/>
  <c r="T74" i="7"/>
  <c r="G76" i="3"/>
  <c r="G75" i="3"/>
  <c r="G45" i="3"/>
  <c r="DZ261" i="5"/>
  <c r="N76" i="3"/>
  <c r="N75" i="3"/>
  <c r="N45" i="3"/>
  <c r="F75" i="3"/>
  <c r="F45" i="3"/>
  <c r="F76" i="3"/>
  <c r="F6" i="10"/>
  <c r="F5" i="10"/>
  <c r="F26" i="10"/>
  <c r="V114" i="9"/>
  <c r="T42" i="12"/>
  <c r="T43" i="12" s="1"/>
  <c r="E6" i="10"/>
  <c r="E26" i="10"/>
  <c r="E25" i="10"/>
  <c r="E9" i="10"/>
  <c r="R76" i="3"/>
  <c r="R75" i="3"/>
  <c r="R45" i="3"/>
  <c r="CT273" i="5"/>
  <c r="CR268" i="5"/>
  <c r="CZ183" i="5"/>
  <c r="BP37" i="13"/>
  <c r="V246" i="12"/>
  <c r="AD247" i="12"/>
  <c r="BR183" i="12"/>
  <c r="BR193" i="12" s="1"/>
  <c r="BR195" i="12" s="1"/>
  <c r="Q188" i="12"/>
  <c r="BR215" i="12"/>
  <c r="N189" i="12"/>
  <c r="BJ231" i="12"/>
  <c r="BZ212" i="12"/>
  <c r="V237" i="12"/>
  <c r="AD238" i="12"/>
  <c r="CH172" i="12"/>
  <c r="BZ174" i="12"/>
  <c r="BB234" i="12"/>
  <c r="BB228" i="12"/>
  <c r="U249" i="12"/>
  <c r="U252" i="12" s="1"/>
  <c r="U253" i="12" s="1"/>
  <c r="BB188" i="12"/>
  <c r="BB160" i="12"/>
  <c r="Q189" i="12"/>
  <c r="N188" i="12"/>
  <c r="AN80" i="11"/>
  <c r="AN73" i="11"/>
  <c r="DA51" i="11"/>
  <c r="I81" i="11"/>
  <c r="H82" i="11"/>
  <c r="H84" i="11" s="1"/>
  <c r="H85" i="11" s="1"/>
  <c r="AL82" i="11"/>
  <c r="AL75" i="11" s="1"/>
  <c r="AM81" i="11"/>
  <c r="AM74" i="11"/>
  <c r="AL101" i="11"/>
  <c r="AL103" i="11"/>
  <c r="AL102" i="11"/>
  <c r="AO177" i="11"/>
  <c r="AW173" i="11"/>
  <c r="BE118" i="11"/>
  <c r="BE120" i="11" s="1"/>
  <c r="BE125" i="11" s="1"/>
  <c r="BE107" i="11"/>
  <c r="BE124" i="11"/>
  <c r="AL48" i="11"/>
  <c r="U202" i="9" s="1"/>
  <c r="AL12" i="11"/>
  <c r="BE93" i="11"/>
  <c r="BM93" i="11"/>
  <c r="AJ145" i="11"/>
  <c r="AJ152" i="11"/>
  <c r="AJ149" i="11" s="1"/>
  <c r="AJ133" i="11"/>
  <c r="AK135" i="11"/>
  <c r="CC121" i="11"/>
  <c r="CC118" i="11"/>
  <c r="CC120" i="11" s="1"/>
  <c r="CK117" i="11"/>
  <c r="BU125" i="11"/>
  <c r="BU126" i="11" s="1"/>
  <c r="AM170" i="11"/>
  <c r="AM11" i="11" s="1"/>
  <c r="V194" i="9" s="1"/>
  <c r="AN171" i="11"/>
  <c r="AO156" i="11"/>
  <c r="AO155" i="11"/>
  <c r="AN148" i="11"/>
  <c r="BC169" i="10"/>
  <c r="BE200" i="10"/>
  <c r="BT190" i="10"/>
  <c r="K203" i="10"/>
  <c r="AY44" i="10"/>
  <c r="AZ44" i="10" s="1"/>
  <c r="BP199" i="10"/>
  <c r="BP200" i="10" s="1"/>
  <c r="AN169" i="10"/>
  <c r="AL167" i="10"/>
  <c r="AL169" i="10" s="1"/>
  <c r="AU111" i="10"/>
  <c r="AU16" i="10"/>
  <c r="AV16" i="10" s="1"/>
  <c r="AS44" i="10"/>
  <c r="AT44" i="10" s="1"/>
  <c r="AY192" i="10"/>
  <c r="AZ192" i="10" s="1"/>
  <c r="BC193" i="10"/>
  <c r="BD193" i="10" s="1"/>
  <c r="BK41" i="10"/>
  <c r="BL41" i="10" s="1"/>
  <c r="BV41" i="10"/>
  <c r="BT125" i="10"/>
  <c r="BP125" i="10"/>
  <c r="BR125" i="10"/>
  <c r="BQ125" i="10"/>
  <c r="BU125" i="10"/>
  <c r="BO125" i="10"/>
  <c r="BS125" i="10"/>
  <c r="AU112" i="10"/>
  <c r="AU17" i="10"/>
  <c r="BK202" i="10"/>
  <c r="BL202" i="10" s="1"/>
  <c r="BF71" i="10"/>
  <c r="BF46" i="10"/>
  <c r="BR123" i="10"/>
  <c r="BT123" i="10"/>
  <c r="BO123" i="10"/>
  <c r="BS123" i="10"/>
  <c r="BQ123" i="10"/>
  <c r="BU123" i="10"/>
  <c r="BP123" i="10"/>
  <c r="BR101" i="10"/>
  <c r="BU101" i="10"/>
  <c r="BQ101" i="10"/>
  <c r="BP101" i="10"/>
  <c r="BO101" i="10"/>
  <c r="BT101" i="10"/>
  <c r="BS101" i="10"/>
  <c r="P205" i="10"/>
  <c r="AU110" i="10"/>
  <c r="AU15" i="10"/>
  <c r="AV15" i="10" s="1"/>
  <c r="BV202" i="10"/>
  <c r="BV203" i="10" s="1"/>
  <c r="AO200" i="10"/>
  <c r="BS191" i="10"/>
  <c r="BO191" i="10"/>
  <c r="BR191" i="10"/>
  <c r="BQ191" i="10"/>
  <c r="BT191" i="10"/>
  <c r="BP191" i="10"/>
  <c r="AO41" i="10"/>
  <c r="BR99" i="10"/>
  <c r="BU99" i="10"/>
  <c r="BQ99" i="10"/>
  <c r="BP99" i="10"/>
  <c r="BO99" i="10"/>
  <c r="BT99" i="10"/>
  <c r="BS99" i="10"/>
  <c r="W208" i="10"/>
  <c r="BF169" i="10"/>
  <c r="BD167" i="10"/>
  <c r="BL144" i="10"/>
  <c r="L202" i="10"/>
  <c r="Q202" i="10" s="1"/>
  <c r="BF114" i="10"/>
  <c r="BE86" i="10"/>
  <c r="BE114" i="10" s="1"/>
  <c r="BA86" i="10"/>
  <c r="BA114" i="10" s="1"/>
  <c r="BB86" i="10"/>
  <c r="BB114" i="10" s="1"/>
  <c r="AZ86" i="10"/>
  <c r="AZ114" i="10" s="1"/>
  <c r="BD86" i="10"/>
  <c r="BD114" i="10" s="1"/>
  <c r="AY86" i="10"/>
  <c r="AY114" i="10" s="1"/>
  <c r="BN86" i="10"/>
  <c r="BC86" i="10"/>
  <c r="AQ45" i="10"/>
  <c r="BM168" i="10"/>
  <c r="BI168" i="10"/>
  <c r="BV168" i="10"/>
  <c r="BH168" i="10"/>
  <c r="BL168" i="10"/>
  <c r="BG168" i="10"/>
  <c r="BK168" i="10"/>
  <c r="BJ168" i="10"/>
  <c r="BU104" i="10"/>
  <c r="BS104" i="10"/>
  <c r="AQ195" i="10"/>
  <c r="AR193" i="10"/>
  <c r="AR195" i="10" s="1"/>
  <c r="BS201" i="10"/>
  <c r="BO201" i="10"/>
  <c r="BR201" i="10"/>
  <c r="BQ201" i="10"/>
  <c r="BT201" i="10"/>
  <c r="BU201" i="10"/>
  <c r="BP201" i="10"/>
  <c r="AQ169" i="10"/>
  <c r="AQ171" i="10" s="1"/>
  <c r="BG200" i="10"/>
  <c r="AK193" i="10"/>
  <c r="AO190" i="10"/>
  <c r="AO15" i="10"/>
  <c r="AG193" i="10"/>
  <c r="AG195" i="10" s="1"/>
  <c r="BR197" i="10"/>
  <c r="AU205" i="10"/>
  <c r="AR203" i="10"/>
  <c r="AR205" i="10" s="1"/>
  <c r="AV203" i="10"/>
  <c r="AU169" i="10"/>
  <c r="AR167" i="10"/>
  <c r="AR169" i="10" s="1"/>
  <c r="AY41" i="10"/>
  <c r="AZ41" i="10" s="1"/>
  <c r="AY154" i="10"/>
  <c r="AY157" i="10" s="1"/>
  <c r="AY43" i="10"/>
  <c r="BO57" i="10"/>
  <c r="BL163" i="10"/>
  <c r="BH163" i="10"/>
  <c r="BH164" i="10" s="1"/>
  <c r="BM122" i="10"/>
  <c r="BI122" i="10"/>
  <c r="BH122" i="10"/>
  <c r="BL122" i="10"/>
  <c r="BG122" i="10"/>
  <c r="BV122" i="10"/>
  <c r="BK122" i="10"/>
  <c r="BJ122" i="10"/>
  <c r="BC45" i="10"/>
  <c r="AY40" i="10"/>
  <c r="AZ40" i="10" s="1"/>
  <c r="BS152" i="10"/>
  <c r="BS153" i="10" s="1"/>
  <c r="BO152" i="10"/>
  <c r="BO153" i="10" s="1"/>
  <c r="BR152" i="10"/>
  <c r="BU152" i="10"/>
  <c r="BQ152" i="10"/>
  <c r="BQ153" i="10" s="1"/>
  <c r="BT152" i="10"/>
  <c r="BP152" i="10"/>
  <c r="BK192" i="10"/>
  <c r="BL192" i="10" s="1"/>
  <c r="R208" i="10"/>
  <c r="AJ169" i="10"/>
  <c r="AO167" i="10"/>
  <c r="AO169" i="10" s="1"/>
  <c r="AI203" i="10"/>
  <c r="BT199" i="10"/>
  <c r="AK200" i="10"/>
  <c r="AY9" i="10"/>
  <c r="BM168" i="9" s="1"/>
  <c r="BC32" i="10"/>
  <c r="BB163" i="10"/>
  <c r="BD164" i="10"/>
  <c r="BD44" i="10"/>
  <c r="AU114" i="10"/>
  <c r="AR40" i="10"/>
  <c r="AW40" i="10" s="1"/>
  <c r="BQ189" i="10"/>
  <c r="BR189" i="10" s="1"/>
  <c r="BR190" i="10" s="1"/>
  <c r="BU187" i="10"/>
  <c r="BU143" i="10" s="1"/>
  <c r="U203" i="10"/>
  <c r="BH57" i="10"/>
  <c r="BF111" i="10"/>
  <c r="BE83" i="10"/>
  <c r="BE111" i="10" s="1"/>
  <c r="BA83" i="10"/>
  <c r="BD83" i="10"/>
  <c r="BD111" i="10" s="1"/>
  <c r="AZ83" i="10"/>
  <c r="AZ111" i="10" s="1"/>
  <c r="BC83" i="10"/>
  <c r="AY83" i="10"/>
  <c r="BN83" i="10"/>
  <c r="BB83" i="10"/>
  <c r="BB111" i="10" s="1"/>
  <c r="BF16" i="10"/>
  <c r="P169" i="10"/>
  <c r="N167" i="10"/>
  <c r="N169" i="10" s="1"/>
  <c r="BR100" i="10"/>
  <c r="BU100" i="10"/>
  <c r="BQ100" i="10"/>
  <c r="BT100" i="10"/>
  <c r="BS100" i="10"/>
  <c r="BP100" i="10"/>
  <c r="BO100" i="10"/>
  <c r="BS192" i="10"/>
  <c r="BT192" i="10" s="1"/>
  <c r="BE153" i="10"/>
  <c r="S203" i="10"/>
  <c r="T203" i="10" s="1"/>
  <c r="T205" i="10" s="1"/>
  <c r="BD43" i="10"/>
  <c r="BT57" i="10"/>
  <c r="AN205" i="10"/>
  <c r="BF112" i="10"/>
  <c r="BE84" i="10"/>
  <c r="BE112" i="10" s="1"/>
  <c r="BA84" i="10"/>
  <c r="BD84" i="10"/>
  <c r="BD112" i="10" s="1"/>
  <c r="AZ84" i="10"/>
  <c r="AZ112" i="10" s="1"/>
  <c r="BC84" i="10"/>
  <c r="AY84" i="10"/>
  <c r="BN84" i="10"/>
  <c r="BB84" i="10"/>
  <c r="BB112" i="10" s="1"/>
  <c r="BF17" i="10"/>
  <c r="BO156" i="10"/>
  <c r="BP156" i="10" s="1"/>
  <c r="BD40" i="10"/>
  <c r="BN193" i="10"/>
  <c r="BS144" i="10"/>
  <c r="BO144" i="10"/>
  <c r="BC194" i="10"/>
  <c r="AY194" i="10"/>
  <c r="BE194" i="10"/>
  <c r="AZ194" i="10"/>
  <c r="BB194" i="10"/>
  <c r="BN194" i="10"/>
  <c r="BD194" i="10"/>
  <c r="BA194" i="10"/>
  <c r="AR202" i="10"/>
  <c r="AW202" i="10" s="1"/>
  <c r="BB202" i="10"/>
  <c r="BF110" i="10"/>
  <c r="BE82" i="10"/>
  <c r="BE110" i="10" s="1"/>
  <c r="BA82" i="10"/>
  <c r="BD82" i="10"/>
  <c r="BD110" i="10" s="1"/>
  <c r="AZ82" i="10"/>
  <c r="AZ110" i="10" s="1"/>
  <c r="BC82" i="10"/>
  <c r="AY82" i="10"/>
  <c r="BN82" i="10"/>
  <c r="BB82" i="10"/>
  <c r="BB110" i="10" s="1"/>
  <c r="BF15" i="10"/>
  <c r="BM190" i="10"/>
  <c r="AV45" i="10"/>
  <c r="AV167" i="10"/>
  <c r="BD9" i="10"/>
  <c r="BR168" i="9" s="1"/>
  <c r="AS164" i="10"/>
  <c r="AS167" i="10" s="1"/>
  <c r="AS169" i="10" s="1"/>
  <c r="X205" i="10"/>
  <c r="AN17" i="10"/>
  <c r="AL17" i="10" s="1"/>
  <c r="BK124" i="10"/>
  <c r="BG124" i="10"/>
  <c r="BI124" i="10"/>
  <c r="BM124" i="10"/>
  <c r="BH124" i="10"/>
  <c r="BV124" i="10"/>
  <c r="BL124" i="10"/>
  <c r="BJ124" i="10"/>
  <c r="BS120" i="10"/>
  <c r="BO120" i="10"/>
  <c r="BQ120" i="10"/>
  <c r="BU120" i="10"/>
  <c r="BP120" i="10"/>
  <c r="BT120" i="10"/>
  <c r="BR120" i="10"/>
  <c r="BK44" i="10"/>
  <c r="BL44" i="10" s="1"/>
  <c r="BV44" i="10"/>
  <c r="BM156" i="10"/>
  <c r="BF195" i="10"/>
  <c r="BR187" i="10"/>
  <c r="BR143" i="10" s="1"/>
  <c r="AR41" i="10"/>
  <c r="AW41" i="10" s="1"/>
  <c r="AQ111" i="10"/>
  <c r="AQ16" i="10"/>
  <c r="AS111" i="10"/>
  <c r="AS16" i="10"/>
  <c r="AE205" i="10"/>
  <c r="BE163" i="10"/>
  <c r="BV193" i="10"/>
  <c r="AN15" i="10"/>
  <c r="BH144" i="10"/>
  <c r="BL121" i="10"/>
  <c r="BH121" i="10"/>
  <c r="BJ121" i="10"/>
  <c r="BI121" i="10"/>
  <c r="BM121" i="10"/>
  <c r="BG121" i="10"/>
  <c r="BV121" i="10"/>
  <c r="BK121" i="10"/>
  <c r="AQ205" i="10"/>
  <c r="BD192" i="10"/>
  <c r="BR102" i="10"/>
  <c r="BU102" i="10"/>
  <c r="BQ102" i="10"/>
  <c r="BT102" i="10"/>
  <c r="BS102" i="10"/>
  <c r="BP102" i="10"/>
  <c r="BO102" i="10"/>
  <c r="BR103" i="10"/>
  <c r="BU103" i="10"/>
  <c r="BQ103" i="10"/>
  <c r="BP103" i="10"/>
  <c r="BO103" i="10"/>
  <c r="BT103" i="10"/>
  <c r="BS103" i="10"/>
  <c r="BD41" i="10"/>
  <c r="BV43" i="10"/>
  <c r="BK43" i="10"/>
  <c r="BL43" i="10" s="1"/>
  <c r="BR119" i="10"/>
  <c r="BQ119" i="10"/>
  <c r="BU119" i="10"/>
  <c r="BP119" i="10"/>
  <c r="BT119" i="10"/>
  <c r="BO119" i="10"/>
  <c r="BS119" i="10"/>
  <c r="BN204" i="10"/>
  <c r="BB204" i="10"/>
  <c r="BE204" i="10"/>
  <c r="BA204" i="10"/>
  <c r="BA205" i="10" s="1"/>
  <c r="AY204" i="10"/>
  <c r="BC204" i="10"/>
  <c r="BD204" i="10"/>
  <c r="AZ204" i="10"/>
  <c r="BF205" i="10"/>
  <c r="BS162" i="10"/>
  <c r="BS163" i="10" s="1"/>
  <c r="BO162" i="10"/>
  <c r="BO163" i="10" s="1"/>
  <c r="BR162" i="10"/>
  <c r="BU162" i="10"/>
  <c r="BQ162" i="10"/>
  <c r="BQ163" i="10" s="1"/>
  <c r="BT162" i="10"/>
  <c r="BP162" i="10"/>
  <c r="BV163" i="10"/>
  <c r="BN164" i="10" s="1"/>
  <c r="BN167" i="10" s="1"/>
  <c r="AQ112" i="10"/>
  <c r="AQ17" i="10"/>
  <c r="AS112" i="10"/>
  <c r="AS17" i="10"/>
  <c r="BN203" i="10"/>
  <c r="AA203" i="10"/>
  <c r="AB203" i="10" s="1"/>
  <c r="AB205" i="10" s="1"/>
  <c r="BT156" i="10"/>
  <c r="BN45" i="10"/>
  <c r="BV40" i="10"/>
  <c r="BK40" i="10"/>
  <c r="BL40" i="10" s="1"/>
  <c r="BH153" i="10"/>
  <c r="BH154" i="10" s="1"/>
  <c r="AQ110" i="10"/>
  <c r="AQ15" i="10"/>
  <c r="AS110" i="10"/>
  <c r="AS15" i="10"/>
  <c r="BL200" i="10"/>
  <c r="BS190" i="10"/>
  <c r="AT40" i="10"/>
  <c r="BR158" i="10"/>
  <c r="BU158" i="10"/>
  <c r="BQ158" i="10"/>
  <c r="BT158" i="10"/>
  <c r="BP158" i="10"/>
  <c r="BS158" i="10"/>
  <c r="BO158" i="10"/>
  <c r="AW43" i="10"/>
  <c r="BK9" i="10"/>
  <c r="BN32" i="10"/>
  <c r="CB176" i="9" s="1"/>
  <c r="BV9" i="10"/>
  <c r="CJ168" i="9" s="1"/>
  <c r="BI199" i="10"/>
  <c r="BM199" i="10" s="1"/>
  <c r="BM197" i="10"/>
  <c r="S269" i="9"/>
  <c r="S277" i="9" s="1"/>
  <c r="S278" i="9" s="1"/>
  <c r="S267" i="9"/>
  <c r="S281" i="9" s="1"/>
  <c r="BQ224" i="9"/>
  <c r="EM199" i="5" s="1"/>
  <c r="CB224" i="9"/>
  <c r="EX199" i="5" s="1"/>
  <c r="U228" i="9"/>
  <c r="U226" i="9" s="1"/>
  <c r="U217" i="9"/>
  <c r="S162" i="9"/>
  <c r="S163" i="9" s="1"/>
  <c r="BI225" i="9"/>
  <c r="BE224" i="9"/>
  <c r="EA199" i="5" s="1"/>
  <c r="V218" i="9"/>
  <c r="X258" i="9"/>
  <c r="W259" i="9"/>
  <c r="W264" i="9" s="1"/>
  <c r="S130" i="9"/>
  <c r="Q271" i="9"/>
  <c r="Q272" i="9" s="1"/>
  <c r="Q273" i="9"/>
  <c r="AW225" i="9"/>
  <c r="BD76" i="9"/>
  <c r="U266" i="9"/>
  <c r="U122" i="9"/>
  <c r="U116" i="9"/>
  <c r="G4" i="10" s="1"/>
  <c r="CG29" i="9"/>
  <c r="P273" i="9"/>
  <c r="AX224" i="9"/>
  <c r="R269" i="9"/>
  <c r="R271" i="9" s="1"/>
  <c r="BJ224" i="9"/>
  <c r="EF199" i="5" s="1"/>
  <c r="CG35" i="9"/>
  <c r="Z194" i="8"/>
  <c r="AA195" i="8"/>
  <c r="AA165" i="8"/>
  <c r="AA168" i="8" s="1"/>
  <c r="AB156" i="8"/>
  <c r="AB165" i="8" s="1"/>
  <c r="AA92" i="8"/>
  <c r="Z99" i="8"/>
  <c r="Z101" i="8" s="1"/>
  <c r="Y18" i="8"/>
  <c r="AA170" i="8"/>
  <c r="AA122" i="8"/>
  <c r="AA25" i="8" s="1"/>
  <c r="Z148" i="8"/>
  <c r="Z32" i="8"/>
  <c r="AA147" i="8"/>
  <c r="AA43" i="8" s="1"/>
  <c r="AB147" i="8"/>
  <c r="AB43" i="8" s="1"/>
  <c r="T189" i="8"/>
  <c r="T197" i="8" s="1"/>
  <c r="U191" i="8" s="1"/>
  <c r="U196" i="8" s="1"/>
  <c r="V187" i="8"/>
  <c r="W187" i="8" s="1"/>
  <c r="W189" i="8" s="1"/>
  <c r="W197" i="8" s="1"/>
  <c r="AA66" i="8"/>
  <c r="AB139" i="8"/>
  <c r="AB146" i="8" s="1"/>
  <c r="AA146" i="8"/>
  <c r="T191" i="8"/>
  <c r="S196" i="8"/>
  <c r="AB160" i="8"/>
  <c r="H97" i="6"/>
  <c r="I63" i="6"/>
  <c r="CI296" i="5"/>
  <c r="CJ273" i="5"/>
  <c r="CJ296" i="5" s="1"/>
  <c r="CA296" i="5"/>
  <c r="CB273" i="5"/>
  <c r="CB296" i="5" s="1"/>
  <c r="BC273" i="5"/>
  <c r="BK268" i="5"/>
  <c r="CS177" i="5"/>
  <c r="R301" i="5"/>
  <c r="Z297" i="5"/>
  <c r="Z298" i="5" s="1"/>
  <c r="W297" i="5"/>
  <c r="W298" i="5" s="1"/>
  <c r="CQ177" i="5"/>
  <c r="BD268" i="5"/>
  <c r="BL256" i="5"/>
  <c r="AB117" i="4"/>
  <c r="AC50" i="4"/>
  <c r="S15" i="4"/>
  <c r="Q16" i="4"/>
  <c r="P64" i="6" s="1"/>
  <c r="V126" i="9" l="1"/>
  <c r="AM19" i="11"/>
  <c r="BR104" i="10"/>
  <c r="BO104" i="10"/>
  <c r="BQ104" i="10"/>
  <c r="BT104" i="10"/>
  <c r="AT9" i="10"/>
  <c r="BH168" i="9" s="1"/>
  <c r="X95" i="6"/>
  <c r="X99" i="6" s="1"/>
  <c r="E38" i="16"/>
  <c r="F10" i="16"/>
  <c r="F11" i="16" s="1"/>
  <c r="E11" i="16"/>
  <c r="AA37" i="8"/>
  <c r="BR219" i="12"/>
  <c r="S74" i="7"/>
  <c r="S21" i="3"/>
  <c r="S76" i="3" s="1"/>
  <c r="S73" i="7"/>
  <c r="AN73" i="10"/>
  <c r="AJ85" i="11"/>
  <c r="AK58" i="10"/>
  <c r="AL58" i="10" s="1"/>
  <c r="AL59" i="10" s="1"/>
  <c r="DV198" i="5" s="1"/>
  <c r="AC202" i="10"/>
  <c r="AK202" i="10"/>
  <c r="BE202" i="10"/>
  <c r="AO192" i="10"/>
  <c r="AO191" i="10" s="1"/>
  <c r="DY10" i="5"/>
  <c r="AF80" i="10"/>
  <c r="AF108" i="10" s="1"/>
  <c r="AD80" i="10"/>
  <c r="AD108" i="10" s="1"/>
  <c r="BC205" i="10"/>
  <c r="AY203" i="10"/>
  <c r="AZ203" i="10" s="1"/>
  <c r="AZ205" i="10" s="1"/>
  <c r="AG59" i="10"/>
  <c r="AG60" i="10" s="1"/>
  <c r="AK84" i="11"/>
  <c r="AK77" i="11" s="1"/>
  <c r="DI183" i="5"/>
  <c r="DQ183" i="5"/>
  <c r="AC59" i="10"/>
  <c r="DI191" i="5"/>
  <c r="DQ191" i="5"/>
  <c r="AA172" i="10"/>
  <c r="AK76" i="11"/>
  <c r="AL83" i="11"/>
  <c r="AL76" i="11" s="1"/>
  <c r="AB59" i="10"/>
  <c r="AJ60" i="10" s="1"/>
  <c r="D11" i="16"/>
  <c r="AA73" i="10"/>
  <c r="AA62" i="10"/>
  <c r="X187" i="8"/>
  <c r="Y187" i="8" s="1"/>
  <c r="Z187" i="8" s="1"/>
  <c r="AA187" i="8" s="1"/>
  <c r="AB187" i="8" s="1"/>
  <c r="V189" i="8"/>
  <c r="V197" i="8" s="1"/>
  <c r="E65" i="3"/>
  <c r="G66" i="7"/>
  <c r="G67" i="7" s="1"/>
  <c r="H66" i="7" s="1"/>
  <c r="H67" i="7" s="1"/>
  <c r="F49" i="3"/>
  <c r="F50" i="3" s="1"/>
  <c r="E7" i="3"/>
  <c r="E10" i="3" s="1"/>
  <c r="E42" i="3" s="1"/>
  <c r="P192" i="9"/>
  <c r="P144" i="9" s="1"/>
  <c r="E66" i="3"/>
  <c r="DA92" i="11"/>
  <c r="X197" i="9"/>
  <c r="DE198" i="5"/>
  <c r="U60" i="10"/>
  <c r="U62" i="10"/>
  <c r="U63" i="10" s="1"/>
  <c r="AI172" i="10"/>
  <c r="U103" i="9"/>
  <c r="V167" i="10"/>
  <c r="V169" i="10" s="1"/>
  <c r="U169" i="10"/>
  <c r="AK143" i="9"/>
  <c r="BY168" i="9"/>
  <c r="AZ9" i="10"/>
  <c r="BN168" i="9" s="1"/>
  <c r="AZ224" i="9"/>
  <c r="DV199" i="5" s="1"/>
  <c r="DU199" i="5"/>
  <c r="CX197" i="5"/>
  <c r="CC8" i="12"/>
  <c r="CC6" i="12" s="1"/>
  <c r="CH6" i="12"/>
  <c r="CA8" i="12"/>
  <c r="CA6" i="12" s="1"/>
  <c r="CE8" i="12"/>
  <c r="CE6" i="12" s="1"/>
  <c r="BS19" i="12"/>
  <c r="BZ8" i="12"/>
  <c r="U158" i="9"/>
  <c r="U132" i="9" s="1"/>
  <c r="S108" i="10"/>
  <c r="S11" i="10"/>
  <c r="AH18" i="13"/>
  <c r="P274" i="9"/>
  <c r="P282" i="9" s="1"/>
  <c r="P283" i="9" s="1"/>
  <c r="AU19" i="10"/>
  <c r="AV19" i="10" s="1"/>
  <c r="CT320" i="5"/>
  <c r="CR320" i="5" s="1"/>
  <c r="CR321" i="5" s="1"/>
  <c r="CR325" i="5" s="1"/>
  <c r="CR332" i="5" s="1"/>
  <c r="DS197" i="5"/>
  <c r="DK197" i="5"/>
  <c r="O145" i="9"/>
  <c r="AY169" i="10"/>
  <c r="P143" i="9"/>
  <c r="P158" i="9"/>
  <c r="P132" i="9" s="1"/>
  <c r="P146" i="9"/>
  <c r="P159" i="9"/>
  <c r="P135" i="9" s="1"/>
  <c r="AF196" i="9"/>
  <c r="BW19" i="12"/>
  <c r="BU19" i="12"/>
  <c r="Z333" i="5"/>
  <c r="AW203" i="10"/>
  <c r="AW205" i="10" s="1"/>
  <c r="AH158" i="11"/>
  <c r="O184" i="9"/>
  <c r="O133" i="9" s="1"/>
  <c r="O134" i="9" s="1"/>
  <c r="Y202" i="10"/>
  <c r="H4" i="6"/>
  <c r="BP144" i="10"/>
  <c r="BO200" i="10"/>
  <c r="O301" i="5"/>
  <c r="DB89" i="5"/>
  <c r="DB88" i="5"/>
  <c r="DB314" i="5" s="1"/>
  <c r="CZ314" i="5" s="1"/>
  <c r="FO6" i="5"/>
  <c r="AO45" i="10"/>
  <c r="CT173" i="5"/>
  <c r="AV59" i="10"/>
  <c r="AS58" i="10"/>
  <c r="AT58" i="10" s="1"/>
  <c r="AT59" i="10" s="1"/>
  <c r="DT198" i="5"/>
  <c r="AA60" i="10"/>
  <c r="DK198" i="5"/>
  <c r="AU59" i="10"/>
  <c r="AQ58" i="10"/>
  <c r="AN60" i="10"/>
  <c r="DX198" i="5"/>
  <c r="DI198" i="5"/>
  <c r="EH198" i="5"/>
  <c r="AX73" i="10"/>
  <c r="AX60" i="10"/>
  <c r="AI59" i="10"/>
  <c r="AI73" i="10" s="1"/>
  <c r="AJ73" i="10" s="1"/>
  <c r="AJ68" i="10" s="1"/>
  <c r="AI19" i="10"/>
  <c r="AJ19" i="10" s="1"/>
  <c r="BF59" i="10"/>
  <c r="BN58" i="10"/>
  <c r="BN19" i="10" s="1"/>
  <c r="BC58" i="10"/>
  <c r="BC19" i="10" s="1"/>
  <c r="DW198" i="5"/>
  <c r="AM60" i="10"/>
  <c r="DN199" i="5"/>
  <c r="AI8" i="11"/>
  <c r="BU199" i="10"/>
  <c r="F25" i="10"/>
  <c r="V158" i="9"/>
  <c r="V132" i="9" s="1"/>
  <c r="V118" i="9"/>
  <c r="V266" i="9" s="1"/>
  <c r="AW44" i="10"/>
  <c r="AW45" i="10" s="1"/>
  <c r="BF224" i="9"/>
  <c r="EB199" i="5" s="1"/>
  <c r="V97" i="9"/>
  <c r="V96" i="9" s="1"/>
  <c r="AS45" i="10"/>
  <c r="V186" i="9"/>
  <c r="H4" i="7"/>
  <c r="N190" i="12"/>
  <c r="EG10" i="5"/>
  <c r="BL9" i="10"/>
  <c r="BZ168" i="9" s="1"/>
  <c r="AT45" i="10"/>
  <c r="BT98" i="10"/>
  <c r="BP98" i="10"/>
  <c r="BO98" i="10"/>
  <c r="BU98" i="10"/>
  <c r="BS98" i="10"/>
  <c r="BQ98" i="10"/>
  <c r="BR98" i="10"/>
  <c r="AB65" i="6"/>
  <c r="AB10" i="6" s="1"/>
  <c r="AA10" i="6"/>
  <c r="H33" i="10"/>
  <c r="V177" i="9" s="1"/>
  <c r="V169" i="9"/>
  <c r="V161" i="9" s="1"/>
  <c r="AG80" i="10"/>
  <c r="AG108" i="10" s="1"/>
  <c r="AE80" i="10"/>
  <c r="AC80" i="10"/>
  <c r="AC11" i="10" s="1"/>
  <c r="AA80" i="10"/>
  <c r="AH108" i="10"/>
  <c r="AP80" i="10"/>
  <c r="AB80" i="10"/>
  <c r="AB108" i="10" s="1"/>
  <c r="J85" i="10"/>
  <c r="I18" i="10"/>
  <c r="I20" i="10" s="1"/>
  <c r="AK6" i="11"/>
  <c r="Y166" i="9"/>
  <c r="Y143" i="9" s="1"/>
  <c r="Y145" i="9" s="1"/>
  <c r="AC166" i="9"/>
  <c r="AC143" i="9" s="1"/>
  <c r="Z166" i="9"/>
  <c r="Z143" i="9" s="1"/>
  <c r="O30" i="10"/>
  <c r="AC174" i="9" s="1"/>
  <c r="Y94" i="6"/>
  <c r="AP114" i="5"/>
  <c r="AN91" i="5"/>
  <c r="AP100" i="5"/>
  <c r="AV130" i="10"/>
  <c r="BJ176" i="9"/>
  <c r="EH259" i="5"/>
  <c r="T106" i="6"/>
  <c r="T18" i="3"/>
  <c r="P74" i="7"/>
  <c r="P73" i="7"/>
  <c r="P21" i="3"/>
  <c r="AP301" i="5"/>
  <c r="BF297" i="5"/>
  <c r="BN297" i="5" s="1"/>
  <c r="FN7" i="5"/>
  <c r="AN6" i="11"/>
  <c r="AN32" i="11" s="1"/>
  <c r="L74" i="7"/>
  <c r="L73" i="7"/>
  <c r="L21" i="3"/>
  <c r="DG196" i="5"/>
  <c r="N203" i="10"/>
  <c r="N205" i="10" s="1"/>
  <c r="CX196" i="5" s="1"/>
  <c r="CC125" i="11"/>
  <c r="CC126" i="11" s="1"/>
  <c r="AO6" i="11"/>
  <c r="AO32" i="11" s="1"/>
  <c r="EU265" i="5"/>
  <c r="EV265" i="5" s="1"/>
  <c r="Q72" i="7"/>
  <c r="Q35" i="7"/>
  <c r="Q64" i="7" s="1"/>
  <c r="Q122" i="6" s="1"/>
  <c r="BV118" i="5"/>
  <c r="BT118" i="5" s="1"/>
  <c r="BV309" i="5"/>
  <c r="B63" i="3"/>
  <c r="B40" i="3"/>
  <c r="CZ292" i="5"/>
  <c r="EN10" i="5"/>
  <c r="EK10" i="5" s="1"/>
  <c r="EL10" i="5" s="1"/>
  <c r="EI10" i="5"/>
  <c r="EJ10" i="5" s="1"/>
  <c r="EU86" i="5"/>
  <c r="EV86" i="5" s="1"/>
  <c r="AA78" i="6"/>
  <c r="P67" i="7"/>
  <c r="P122" i="6"/>
  <c r="AB57" i="7"/>
  <c r="EX286" i="5"/>
  <c r="CD309" i="5"/>
  <c r="CD118" i="5"/>
  <c r="CB118" i="5" s="1"/>
  <c r="CB114" i="5"/>
  <c r="BL18" i="13"/>
  <c r="BN18" i="13"/>
  <c r="BP18" i="13"/>
  <c r="O117" i="9"/>
  <c r="P97" i="9"/>
  <c r="P96" i="9" s="1"/>
  <c r="P162" i="9" s="1"/>
  <c r="P116" i="9"/>
  <c r="Q120" i="9" s="1"/>
  <c r="P196" i="9"/>
  <c r="DV10" i="5"/>
  <c r="S34" i="3"/>
  <c r="S41" i="3"/>
  <c r="Z8" i="3"/>
  <c r="Z125" i="6" s="1"/>
  <c r="Z107" i="6"/>
  <c r="Z93" i="6" s="1"/>
  <c r="EP291" i="5"/>
  <c r="EM291" i="5" s="1"/>
  <c r="EN291" i="5" s="1"/>
  <c r="K72" i="7"/>
  <c r="K35" i="7"/>
  <c r="K64" i="7" s="1"/>
  <c r="BL50" i="5"/>
  <c r="BL67" i="5" s="1"/>
  <c r="BD67" i="5"/>
  <c r="Z9" i="3"/>
  <c r="AA49" i="8"/>
  <c r="Z55" i="3"/>
  <c r="I81" i="10"/>
  <c r="I12" i="10" s="1"/>
  <c r="Z54" i="7"/>
  <c r="CL309" i="5"/>
  <c r="CL118" i="5"/>
  <c r="CJ118" i="5" s="1"/>
  <c r="CJ114" i="5"/>
  <c r="I4" i="8"/>
  <c r="H4" i="8"/>
  <c r="BF273" i="5"/>
  <c r="BN268" i="5"/>
  <c r="EE291" i="5"/>
  <c r="EF291" i="5" s="1"/>
  <c r="FC300" i="5"/>
  <c r="FD300" i="5"/>
  <c r="DX284" i="5"/>
  <c r="CC19" i="12"/>
  <c r="CA19" i="12"/>
  <c r="CE19" i="12"/>
  <c r="Q96" i="9"/>
  <c r="S103" i="9"/>
  <c r="N107" i="8"/>
  <c r="AB30" i="8"/>
  <c r="AB22" i="8"/>
  <c r="EH284" i="5"/>
  <c r="Y51" i="8"/>
  <c r="FQ5" i="5"/>
  <c r="FM5" i="5"/>
  <c r="FP5" i="5" s="1"/>
  <c r="FL6" i="5"/>
  <c r="FM6" i="5" s="1"/>
  <c r="G31" i="10"/>
  <c r="U175" i="9" s="1"/>
  <c r="U167" i="9"/>
  <c r="G13" i="10"/>
  <c r="G9" i="10" s="1"/>
  <c r="DB180" i="5"/>
  <c r="DJ184" i="5" s="1"/>
  <c r="AB10" i="12"/>
  <c r="AB15" i="12" s="1"/>
  <c r="P106" i="8"/>
  <c r="P111" i="8" s="1"/>
  <c r="P66" i="6"/>
  <c r="P70" i="6"/>
  <c r="BS193" i="10"/>
  <c r="BT193" i="10" s="1"/>
  <c r="BE164" i="10"/>
  <c r="BP190" i="10"/>
  <c r="BK203" i="10"/>
  <c r="BL203" i="10" s="1"/>
  <c r="BE126" i="11"/>
  <c r="FO7" i="5"/>
  <c r="FJ9" i="5"/>
  <c r="FQ7" i="5"/>
  <c r="S26" i="3"/>
  <c r="S33" i="3"/>
  <c r="BV268" i="5"/>
  <c r="BV273" i="5" s="1"/>
  <c r="BV296" i="5" s="1"/>
  <c r="BV298" i="5" s="1"/>
  <c r="BT256" i="5"/>
  <c r="BT268" i="5" s="1"/>
  <c r="BT273" i="5" s="1"/>
  <c r="BT296" i="5" s="1"/>
  <c r="S146" i="9"/>
  <c r="S159" i="9"/>
  <c r="S135" i="9" s="1"/>
  <c r="DB292" i="5"/>
  <c r="AH92" i="5"/>
  <c r="AF77" i="5"/>
  <c r="FC86" i="5"/>
  <c r="FD86" i="5" s="1"/>
  <c r="AB78" i="6"/>
  <c r="CZ79" i="5"/>
  <c r="EX107" i="5"/>
  <c r="AB86" i="6"/>
  <c r="AA60" i="6"/>
  <c r="T44" i="6"/>
  <c r="T48" i="6" s="1"/>
  <c r="T52" i="6"/>
  <c r="T47" i="6"/>
  <c r="T51" i="6"/>
  <c r="T19" i="3"/>
  <c r="DZ117" i="5"/>
  <c r="X5" i="3"/>
  <c r="X6" i="3" s="1"/>
  <c r="FC103" i="5"/>
  <c r="FD103" i="5" s="1"/>
  <c r="AB50" i="8"/>
  <c r="AB48" i="7" s="1"/>
  <c r="FF290" i="5" s="1"/>
  <c r="AA48" i="7"/>
  <c r="EX290" i="5" s="1"/>
  <c r="M73" i="7"/>
  <c r="M21" i="3"/>
  <c r="M74" i="7"/>
  <c r="AW61" i="11"/>
  <c r="AW63" i="11" s="1"/>
  <c r="O74" i="6"/>
  <c r="O81" i="6"/>
  <c r="O67" i="6"/>
  <c r="H75" i="3"/>
  <c r="H76" i="3"/>
  <c r="H45" i="3"/>
  <c r="DB196" i="5"/>
  <c r="AX225" i="9"/>
  <c r="DT199" i="5"/>
  <c r="BD32" i="10"/>
  <c r="BQ176" i="9"/>
  <c r="FA163" i="5"/>
  <c r="CF261" i="9"/>
  <c r="FB163" i="5" s="1"/>
  <c r="AD12" i="4"/>
  <c r="EX10" i="5"/>
  <c r="EU10" i="5" s="1"/>
  <c r="AA82" i="3"/>
  <c r="EV300" i="5"/>
  <c r="EU300" i="5"/>
  <c r="Z17" i="7"/>
  <c r="AA41" i="8"/>
  <c r="AA8" i="3" s="1"/>
  <c r="X31" i="6"/>
  <c r="T67" i="3"/>
  <c r="T32" i="3"/>
  <c r="AB24" i="8"/>
  <c r="Z118" i="5"/>
  <c r="X118" i="5" s="1"/>
  <c r="Z309" i="5"/>
  <c r="Z321" i="5" s="1"/>
  <c r="Z325" i="5" s="1"/>
  <c r="Z332" i="5" s="1"/>
  <c r="O72" i="7"/>
  <c r="O35" i="7"/>
  <c r="O64" i="7" s="1"/>
  <c r="O122" i="6" s="1"/>
  <c r="N115" i="8"/>
  <c r="CJ173" i="5"/>
  <c r="CL174" i="5"/>
  <c r="CL176" i="5"/>
  <c r="AH100" i="5"/>
  <c r="AF91" i="5"/>
  <c r="AH114" i="5"/>
  <c r="FF265" i="5"/>
  <c r="FC265" i="5" s="1"/>
  <c r="FD265" i="5" s="1"/>
  <c r="BF91" i="5"/>
  <c r="BN76" i="5"/>
  <c r="BD76" i="5"/>
  <c r="BL76" i="5" s="1"/>
  <c r="W114" i="9"/>
  <c r="U42" i="12"/>
  <c r="U43" i="12" s="1"/>
  <c r="AH9" i="11"/>
  <c r="AH183" i="11" s="1"/>
  <c r="O193" i="9"/>
  <c r="S168" i="9"/>
  <c r="F32" i="10"/>
  <c r="F24" i="10"/>
  <c r="AJ7" i="11"/>
  <c r="AJ8" i="11" s="1"/>
  <c r="Q192" i="9"/>
  <c r="Q168" i="9"/>
  <c r="E24" i="10"/>
  <c r="E32" i="10"/>
  <c r="N132" i="6"/>
  <c r="F7" i="3"/>
  <c r="F10" i="3" s="1"/>
  <c r="F60" i="3"/>
  <c r="F61" i="3" s="1"/>
  <c r="EH261" i="5"/>
  <c r="Z12" i="7"/>
  <c r="R132" i="6"/>
  <c r="DX261" i="5"/>
  <c r="T75" i="3"/>
  <c r="T45" i="3"/>
  <c r="T76" i="3"/>
  <c r="Z169" i="8"/>
  <c r="Z171" i="8" s="1"/>
  <c r="Z183" i="8" s="1"/>
  <c r="Z68" i="7"/>
  <c r="Y62" i="3"/>
  <c r="G6" i="10"/>
  <c r="G26" i="10"/>
  <c r="G5" i="10"/>
  <c r="CT296" i="5"/>
  <c r="CR273" i="5"/>
  <c r="CR296" i="5" s="1"/>
  <c r="CX183" i="5"/>
  <c r="EH299" i="5"/>
  <c r="Y58" i="3"/>
  <c r="BB163" i="12"/>
  <c r="BZ183" i="12"/>
  <c r="BZ193" i="12" s="1"/>
  <c r="BZ195" i="12" s="1"/>
  <c r="BZ215" i="12"/>
  <c r="BR231" i="12"/>
  <c r="CH174" i="12"/>
  <c r="BZ219" i="12"/>
  <c r="BR218" i="12"/>
  <c r="BR224" i="12" s="1"/>
  <c r="AD246" i="12"/>
  <c r="AL247" i="12"/>
  <c r="AD237" i="12"/>
  <c r="AL238" i="12"/>
  <c r="BJ228" i="12"/>
  <c r="BJ234" i="12"/>
  <c r="CH212" i="12"/>
  <c r="Q190" i="12"/>
  <c r="BR187" i="12"/>
  <c r="V249" i="12"/>
  <c r="V252" i="12" s="1"/>
  <c r="V253" i="12" s="1"/>
  <c r="AW156" i="11"/>
  <c r="AI144" i="11"/>
  <c r="AI158" i="11"/>
  <c r="AI188" i="11" s="1"/>
  <c r="AI190" i="11" s="1"/>
  <c r="AO171" i="11"/>
  <c r="AN170" i="11"/>
  <c r="AN11" i="11" s="1"/>
  <c r="W194" i="9" s="1"/>
  <c r="AK152" i="11"/>
  <c r="AK149" i="11" s="1"/>
  <c r="AK145" i="11"/>
  <c r="AL135" i="11"/>
  <c r="AK133" i="11"/>
  <c r="BE173" i="11"/>
  <c r="AW177" i="11"/>
  <c r="AM82" i="11"/>
  <c r="AM75" i="11" s="1"/>
  <c r="AN81" i="11"/>
  <c r="AN74" i="11"/>
  <c r="AM101" i="11"/>
  <c r="AM102" i="11"/>
  <c r="AM103" i="11"/>
  <c r="AO148" i="11"/>
  <c r="AW155" i="11"/>
  <c r="AM48" i="11"/>
  <c r="V202" i="9" s="1"/>
  <c r="AM12" i="11"/>
  <c r="CK121" i="11"/>
  <c r="CK118" i="11"/>
  <c r="CK120" i="11" s="1"/>
  <c r="CS117" i="11"/>
  <c r="J81" i="11"/>
  <c r="I82" i="11"/>
  <c r="I84" i="11" s="1"/>
  <c r="I85" i="11" s="1"/>
  <c r="AO80" i="11"/>
  <c r="AW73" i="11" s="1"/>
  <c r="AO73" i="11"/>
  <c r="U205" i="10"/>
  <c r="V203" i="10"/>
  <c r="V205" i="10" s="1"/>
  <c r="BN169" i="10"/>
  <c r="BG9" i="10"/>
  <c r="BU168" i="9" s="1"/>
  <c r="BK32" i="10"/>
  <c r="BY176" i="9" s="1"/>
  <c r="BN71" i="10"/>
  <c r="BN46" i="10"/>
  <c r="BP163" i="10"/>
  <c r="BP164" i="10" s="1"/>
  <c r="BI43" i="10"/>
  <c r="BJ43" i="10" s="1"/>
  <c r="BT121" i="10"/>
  <c r="BP121" i="10"/>
  <c r="BU121" i="10"/>
  <c r="BO121" i="10"/>
  <c r="BS121" i="10"/>
  <c r="BR121" i="10"/>
  <c r="BQ121" i="10"/>
  <c r="BA9" i="10"/>
  <c r="BO168" i="9" s="1"/>
  <c r="AY110" i="10"/>
  <c r="AY15" i="10"/>
  <c r="BA110" i="10"/>
  <c r="BA15" i="10"/>
  <c r="BK194" i="10"/>
  <c r="BG194" i="10"/>
  <c r="BJ194" i="10"/>
  <c r="BM194" i="10"/>
  <c r="BH194" i="10"/>
  <c r="BV194" i="10"/>
  <c r="BL194" i="10"/>
  <c r="BI194" i="10"/>
  <c r="BM153" i="10"/>
  <c r="BN112" i="10"/>
  <c r="BM84" i="10"/>
  <c r="BM112" i="10" s="1"/>
  <c r="BI84" i="10"/>
  <c r="BL84" i="10"/>
  <c r="BL112" i="10" s="1"/>
  <c r="BH84" i="10"/>
  <c r="BH112" i="10" s="1"/>
  <c r="BK84" i="10"/>
  <c r="BG84" i="10"/>
  <c r="BV84" i="10"/>
  <c r="BJ84" i="10"/>
  <c r="BJ112" i="10" s="1"/>
  <c r="BN17" i="10"/>
  <c r="BA43" i="10"/>
  <c r="BB43" i="10" s="1"/>
  <c r="BC111" i="10"/>
  <c r="BC16" i="10"/>
  <c r="BD16" i="10" s="1"/>
  <c r="AI205" i="10"/>
  <c r="AJ203" i="10"/>
  <c r="AJ205" i="10" s="1"/>
  <c r="AY159" i="10"/>
  <c r="AK195" i="10"/>
  <c r="AL193" i="10"/>
  <c r="AL195" i="10" s="1"/>
  <c r="AO193" i="10"/>
  <c r="AO195" i="10" s="1"/>
  <c r="BI144" i="10"/>
  <c r="BM144" i="10"/>
  <c r="AR17" i="10"/>
  <c r="AW17" i="10" s="1"/>
  <c r="BG164" i="10"/>
  <c r="BG167" i="10" s="1"/>
  <c r="BI41" i="10"/>
  <c r="BJ41" i="10" s="1"/>
  <c r="BS9" i="10"/>
  <c r="BV32" i="10"/>
  <c r="CJ176" i="9" s="1"/>
  <c r="BT144" i="10"/>
  <c r="BK45" i="10"/>
  <c r="BG40" i="10"/>
  <c r="BH40" i="10" s="1"/>
  <c r="BQ156" i="10"/>
  <c r="BR156" i="10" s="1"/>
  <c r="BN205" i="10"/>
  <c r="BV205" i="10" s="1"/>
  <c r="BT163" i="10"/>
  <c r="BS164" i="10" s="1"/>
  <c r="BS167" i="10" s="1"/>
  <c r="BV164" i="10"/>
  <c r="BV167" i="10" s="1"/>
  <c r="BD205" i="10"/>
  <c r="BB203" i="10"/>
  <c r="BB205" i="10" s="1"/>
  <c r="BS43" i="10"/>
  <c r="BI44" i="10"/>
  <c r="BJ44" i="10" s="1"/>
  <c r="BS124" i="10"/>
  <c r="BO124" i="10"/>
  <c r="BT124" i="10"/>
  <c r="BR124" i="10"/>
  <c r="BQ124" i="10"/>
  <c r="BU124" i="10"/>
  <c r="BP124" i="10"/>
  <c r="AV169" i="10"/>
  <c r="AT167" i="10"/>
  <c r="AT169" i="10" s="1"/>
  <c r="BC110" i="10"/>
  <c r="BC15" i="10"/>
  <c r="BD15" i="10" s="1"/>
  <c r="AY112" i="10"/>
  <c r="AY17" i="10"/>
  <c r="BA112" i="10"/>
  <c r="BA17" i="10"/>
  <c r="S205" i="10"/>
  <c r="BQ190" i="10"/>
  <c r="BU189" i="10"/>
  <c r="BR199" i="10"/>
  <c r="BT200" i="10"/>
  <c r="BI192" i="10"/>
  <c r="BI193" i="10" s="1"/>
  <c r="BJ163" i="10"/>
  <c r="BL164" i="10"/>
  <c r="BP57" i="10"/>
  <c r="AT203" i="10"/>
  <c r="AT205" i="10" s="1"/>
  <c r="AV205" i="10"/>
  <c r="BC114" i="10"/>
  <c r="BJ144" i="10"/>
  <c r="BS202" i="10"/>
  <c r="AT15" i="10"/>
  <c r="CZ196" i="5"/>
  <c r="BM163" i="10"/>
  <c r="BS41" i="10"/>
  <c r="BT41" i="10" s="1"/>
  <c r="AY193" i="10"/>
  <c r="AZ193" i="10" s="1"/>
  <c r="AZ195" i="10" s="1"/>
  <c r="AT16" i="10"/>
  <c r="BJ199" i="10"/>
  <c r="BJ200" i="10" s="1"/>
  <c r="BL45" i="10"/>
  <c r="BI40" i="10"/>
  <c r="BV204" i="10"/>
  <c r="BJ204" i="10"/>
  <c r="BM204" i="10"/>
  <c r="BI204" i="10"/>
  <c r="BG204" i="10"/>
  <c r="BK204" i="10"/>
  <c r="BL204" i="10"/>
  <c r="BH204" i="10"/>
  <c r="BA41" i="10"/>
  <c r="BE41" i="10" s="1"/>
  <c r="AL15" i="10"/>
  <c r="BD195" i="10"/>
  <c r="BS44" i="10"/>
  <c r="BT44" i="10" s="1"/>
  <c r="BN195" i="10"/>
  <c r="BV195" i="10" s="1"/>
  <c r="BA40" i="10"/>
  <c r="BE40" i="10" s="1"/>
  <c r="BD45" i="10"/>
  <c r="BC112" i="10"/>
  <c r="BC17" i="10"/>
  <c r="BQ192" i="10"/>
  <c r="BR192" i="10" s="1"/>
  <c r="BN111" i="10"/>
  <c r="BM83" i="10"/>
  <c r="BM111" i="10" s="1"/>
  <c r="BI83" i="10"/>
  <c r="BL83" i="10"/>
  <c r="BL111" i="10" s="1"/>
  <c r="BH83" i="10"/>
  <c r="BH111" i="10" s="1"/>
  <c r="BK83" i="10"/>
  <c r="BG83" i="10"/>
  <c r="BV83" i="10"/>
  <c r="BJ83" i="10"/>
  <c r="BJ111" i="10" s="1"/>
  <c r="BN16" i="10"/>
  <c r="V202" i="10"/>
  <c r="AR45" i="10"/>
  <c r="BB164" i="10"/>
  <c r="BA164" i="10"/>
  <c r="BA167" i="10" s="1"/>
  <c r="BB167" i="10" s="1"/>
  <c r="BB169" i="10" s="1"/>
  <c r="BG192" i="10"/>
  <c r="BH192" i="10" s="1"/>
  <c r="BK193" i="10"/>
  <c r="BP153" i="10"/>
  <c r="BP154" i="10" s="1"/>
  <c r="BU122" i="10"/>
  <c r="BQ122" i="10"/>
  <c r="BS122" i="10"/>
  <c r="BR122" i="10"/>
  <c r="BP122" i="10"/>
  <c r="BT122" i="10"/>
  <c r="BO122" i="10"/>
  <c r="AQ172" i="10"/>
  <c r="AQ49" i="10"/>
  <c r="BM57" i="10"/>
  <c r="BN114" i="10"/>
  <c r="BM86" i="10"/>
  <c r="BM114" i="10" s="1"/>
  <c r="BI86" i="10"/>
  <c r="BI114" i="10" s="1"/>
  <c r="BL86" i="10"/>
  <c r="BL114" i="10" s="1"/>
  <c r="BG86" i="10"/>
  <c r="BG114" i="10" s="1"/>
  <c r="BV86" i="10"/>
  <c r="BK86" i="10"/>
  <c r="BJ86" i="10"/>
  <c r="BJ114" i="10" s="1"/>
  <c r="BH86" i="10"/>
  <c r="BH114" i="10" s="1"/>
  <c r="BI202" i="10"/>
  <c r="BJ202" i="10" s="1"/>
  <c r="AV17" i="10"/>
  <c r="AT17" i="10" s="1"/>
  <c r="BG41" i="10"/>
  <c r="BH41" i="10" s="1"/>
  <c r="BS200" i="10"/>
  <c r="BH200" i="10"/>
  <c r="BV45" i="10"/>
  <c r="BS40" i="10"/>
  <c r="BT40" i="10" s="1"/>
  <c r="AA205" i="10"/>
  <c r="BG43" i="10"/>
  <c r="BA192" i="10"/>
  <c r="BA193" i="10" s="1"/>
  <c r="BA195" i="10" s="1"/>
  <c r="BG44" i="10"/>
  <c r="BH44" i="10" s="1"/>
  <c r="BN110" i="10"/>
  <c r="BM82" i="10"/>
  <c r="BM110" i="10" s="1"/>
  <c r="BI82" i="10"/>
  <c r="BL82" i="10"/>
  <c r="BL110" i="10" s="1"/>
  <c r="BH82" i="10"/>
  <c r="BH110" i="10" s="1"/>
  <c r="BK82" i="10"/>
  <c r="BG82" i="10"/>
  <c r="BV82" i="10"/>
  <c r="BJ82" i="10"/>
  <c r="BJ110" i="10" s="1"/>
  <c r="BN15" i="10"/>
  <c r="AD166" i="9"/>
  <c r="AD143" i="9" s="1"/>
  <c r="BG154" i="10"/>
  <c r="BG157" i="10" s="1"/>
  <c r="BQ57" i="10"/>
  <c r="BO192" i="10"/>
  <c r="BP192" i="10" s="1"/>
  <c r="AY111" i="10"/>
  <c r="AY16" i="10"/>
  <c r="BA111" i="10"/>
  <c r="BA16" i="10"/>
  <c r="AW9" i="10"/>
  <c r="BK168" i="9" s="1"/>
  <c r="BA44" i="10"/>
  <c r="BE44" i="10" s="1"/>
  <c r="AY45" i="10"/>
  <c r="BK164" i="10"/>
  <c r="BK167" i="10" s="1"/>
  <c r="AZ43" i="10"/>
  <c r="AZ45" i="10" s="1"/>
  <c r="AW167" i="10"/>
  <c r="AW169" i="10" s="1"/>
  <c r="AW193" i="10"/>
  <c r="AW195" i="10" s="1"/>
  <c r="BU168" i="10"/>
  <c r="BQ168" i="10"/>
  <c r="BS168" i="10"/>
  <c r="BO168" i="10"/>
  <c r="BT168" i="10"/>
  <c r="BR168" i="10"/>
  <c r="BP168" i="10"/>
  <c r="BD169" i="10"/>
  <c r="AR15" i="10"/>
  <c r="BG202" i="10"/>
  <c r="BC195" i="10"/>
  <c r="AR16" i="10"/>
  <c r="AW16" i="10" s="1"/>
  <c r="K205" i="10"/>
  <c r="L203" i="10"/>
  <c r="L205" i="10" s="1"/>
  <c r="BG224" i="9"/>
  <c r="BJ225" i="9"/>
  <c r="U269" i="9"/>
  <c r="U267" i="9"/>
  <c r="U281" i="9" s="1"/>
  <c r="BB76" i="9"/>
  <c r="BL76" i="9"/>
  <c r="X259" i="9"/>
  <c r="X264" i="9" s="1"/>
  <c r="BQ225" i="9"/>
  <c r="BM224" i="9"/>
  <c r="EI199" i="5" s="1"/>
  <c r="U102" i="9"/>
  <c r="BC224" i="9"/>
  <c r="V228" i="9"/>
  <c r="V226" i="9" s="1"/>
  <c r="V217" i="9"/>
  <c r="BR224" i="9"/>
  <c r="EN199" i="5" s="1"/>
  <c r="R277" i="9"/>
  <c r="R278" i="9" s="1"/>
  <c r="U120" i="9"/>
  <c r="W218" i="9"/>
  <c r="Q274" i="9"/>
  <c r="Q282" i="9" s="1"/>
  <c r="Q283" i="9" s="1"/>
  <c r="BY224" i="9"/>
  <c r="EU199" i="5" s="1"/>
  <c r="CJ224" i="9"/>
  <c r="FF199" i="5" s="1"/>
  <c r="BE225" i="9"/>
  <c r="S273" i="9"/>
  <c r="S271" i="9"/>
  <c r="S272" i="9" s="1"/>
  <c r="AB168" i="8"/>
  <c r="AB148" i="8"/>
  <c r="AB68" i="7" s="1"/>
  <c r="AB32" i="8"/>
  <c r="AB122" i="8"/>
  <c r="AB25" i="8" s="1"/>
  <c r="AB170" i="8"/>
  <c r="T196" i="8"/>
  <c r="AB92" i="8"/>
  <c r="AA148" i="8"/>
  <c r="AA32" i="8"/>
  <c r="AB66" i="8"/>
  <c r="AA99" i="8"/>
  <c r="AA101" i="8" s="1"/>
  <c r="Z18" i="8"/>
  <c r="AA194" i="8"/>
  <c r="AB195" i="8"/>
  <c r="AB194" i="8" s="1"/>
  <c r="I97" i="6"/>
  <c r="J63" i="6"/>
  <c r="BL268" i="5"/>
  <c r="BD273" i="5"/>
  <c r="BL273" i="5" s="1"/>
  <c r="BC296" i="5"/>
  <c r="BK273" i="5"/>
  <c r="Z301" i="5"/>
  <c r="AH297" i="5"/>
  <c r="AE297" i="5"/>
  <c r="AE298" i="5" s="1"/>
  <c r="AE301" i="5" s="1"/>
  <c r="X297" i="5"/>
  <c r="X298" i="5" s="1"/>
  <c r="X301" i="5" s="1"/>
  <c r="W301" i="5"/>
  <c r="AC117" i="4"/>
  <c r="AD50" i="4"/>
  <c r="T15" i="4"/>
  <c r="S16" i="4"/>
  <c r="Q64" i="6" s="1"/>
  <c r="W126" i="9" l="1"/>
  <c r="AN19" i="11"/>
  <c r="S45" i="3"/>
  <c r="S75" i="3"/>
  <c r="F22" i="16"/>
  <c r="AB37" i="8"/>
  <c r="AK19" i="10"/>
  <c r="AL19" i="10" s="1"/>
  <c r="AO58" i="10"/>
  <c r="AO59" i="10" s="1"/>
  <c r="D38" i="16"/>
  <c r="F38" i="16"/>
  <c r="AK59" i="10"/>
  <c r="AK73" i="10" s="1"/>
  <c r="AL73" i="10" s="1"/>
  <c r="AL68" i="10" s="1"/>
  <c r="AN68" i="10"/>
  <c r="BE203" i="10"/>
  <c r="BE205" i="10" s="1"/>
  <c r="AL202" i="10"/>
  <c r="AL201" i="10" s="1"/>
  <c r="AO202" i="10"/>
  <c r="AO201" i="10" s="1"/>
  <c r="AK203" i="10"/>
  <c r="AO203" i="10" s="1"/>
  <c r="AO205" i="10" s="1"/>
  <c r="AD202" i="10"/>
  <c r="AD201" i="10" s="1"/>
  <c r="AG202" i="10"/>
  <c r="AG201" i="10" s="1"/>
  <c r="AC203" i="10"/>
  <c r="AK85" i="11"/>
  <c r="AY205" i="10"/>
  <c r="V196" i="8"/>
  <c r="W191" i="8"/>
  <c r="W196" i="8" s="1"/>
  <c r="DQ198" i="5"/>
  <c r="AL84" i="11"/>
  <c r="DM198" i="5"/>
  <c r="AC60" i="10"/>
  <c r="AC73" i="10"/>
  <c r="AD73" i="10" s="1"/>
  <c r="AD68" i="10" s="1"/>
  <c r="AC62" i="10"/>
  <c r="AC63" i="10" s="1"/>
  <c r="F51" i="3"/>
  <c r="AQ166" i="9"/>
  <c r="AL150" i="11"/>
  <c r="AL151" i="11" s="1"/>
  <c r="AM83" i="11"/>
  <c r="AN83" i="11" s="1"/>
  <c r="G49" i="3"/>
  <c r="G51" i="3" s="1"/>
  <c r="G59" i="3"/>
  <c r="G60" i="3" s="1"/>
  <c r="G61" i="3" s="1"/>
  <c r="AB60" i="10"/>
  <c r="DL198" i="5"/>
  <c r="AA108" i="10"/>
  <c r="AA11" i="10"/>
  <c r="AB73" i="10"/>
  <c r="AB68" i="10" s="1"/>
  <c r="P184" i="9"/>
  <c r="P133" i="9" s="1"/>
  <c r="P134" i="9" s="1"/>
  <c r="E43" i="3"/>
  <c r="E44" i="3"/>
  <c r="E40" i="3"/>
  <c r="AZ225" i="9"/>
  <c r="CG168" i="9"/>
  <c r="BH9" i="10"/>
  <c r="BV168" i="9" s="1"/>
  <c r="W63" i="10"/>
  <c r="W72" i="10"/>
  <c r="BS8" i="12"/>
  <c r="BS6" i="12" s="1"/>
  <c r="BU8" i="12"/>
  <c r="BU6" i="12" s="1"/>
  <c r="BZ6" i="12"/>
  <c r="BW8" i="12"/>
  <c r="BW6" i="12" s="1"/>
  <c r="AG166" i="9"/>
  <c r="N201" i="12"/>
  <c r="AY171" i="10"/>
  <c r="AY172" i="10" s="1"/>
  <c r="Z334" i="5"/>
  <c r="AE333" i="5" s="1"/>
  <c r="AE334" i="5" s="1"/>
  <c r="CT319" i="5"/>
  <c r="CR319" i="5" s="1"/>
  <c r="EA197" i="5"/>
  <c r="BI9" i="10"/>
  <c r="BW168" i="9" s="1"/>
  <c r="P145" i="9"/>
  <c r="BK205" i="10"/>
  <c r="W118" i="9"/>
  <c r="W266" i="9" s="1"/>
  <c r="V103" i="9"/>
  <c r="V116" i="9"/>
  <c r="H4" i="10" s="1"/>
  <c r="H26" i="10" s="1"/>
  <c r="V122" i="9"/>
  <c r="V130" i="9"/>
  <c r="AJ134" i="11"/>
  <c r="AJ144" i="11" s="1"/>
  <c r="AJ13" i="11"/>
  <c r="Q195" i="9" s="1"/>
  <c r="Q187" i="9" s="1"/>
  <c r="Q139" i="9" s="1"/>
  <c r="AT60" i="10"/>
  <c r="ED198" i="5"/>
  <c r="FO9" i="5"/>
  <c r="W186" i="9"/>
  <c r="AZ17" i="10"/>
  <c r="BE17" i="10" s="1"/>
  <c r="AA125" i="6"/>
  <c r="CZ89" i="5"/>
  <c r="CZ88" i="5"/>
  <c r="AK174" i="9"/>
  <c r="W158" i="9"/>
  <c r="W132" i="9" s="1"/>
  <c r="W97" i="9"/>
  <c r="W103" i="9" s="1"/>
  <c r="BO164" i="10"/>
  <c r="BO167" i="10" s="1"/>
  <c r="BO169" i="10" s="1"/>
  <c r="N165" i="12"/>
  <c r="N166" i="12" s="1"/>
  <c r="G25" i="10"/>
  <c r="CR173" i="5"/>
  <c r="CP173" i="5" s="1"/>
  <c r="CT174" i="5"/>
  <c r="CT176" i="5"/>
  <c r="EP198" i="5"/>
  <c r="BF73" i="10"/>
  <c r="BF60" i="10"/>
  <c r="AI60" i="10"/>
  <c r="DS198" i="5"/>
  <c r="AR58" i="10"/>
  <c r="AR59" i="10" s="1"/>
  <c r="AQ59" i="10"/>
  <c r="AQ19" i="10"/>
  <c r="AR19" i="10" s="1"/>
  <c r="EE198" i="5"/>
  <c r="AU60" i="10"/>
  <c r="BD58" i="10"/>
  <c r="AY58" i="10"/>
  <c r="AZ58" i="10" s="1"/>
  <c r="AZ59" i="10" s="1"/>
  <c r="BC59" i="10"/>
  <c r="DY198" i="5"/>
  <c r="AS19" i="10"/>
  <c r="AT19" i="10" s="1"/>
  <c r="AS59" i="10"/>
  <c r="BN59" i="10"/>
  <c r="BV58" i="10"/>
  <c r="BV19" i="10" s="1"/>
  <c r="BK58" i="10"/>
  <c r="BL58" i="10" s="1"/>
  <c r="AO19" i="10"/>
  <c r="AV60" i="10"/>
  <c r="EF198" i="5"/>
  <c r="BF225" i="9"/>
  <c r="AH10" i="11"/>
  <c r="BU163" i="10"/>
  <c r="BL32" i="10"/>
  <c r="BL130" i="10" s="1"/>
  <c r="BM164" i="10"/>
  <c r="CK125" i="11"/>
  <c r="CK126" i="11" s="1"/>
  <c r="R62" i="10"/>
  <c r="R63" i="10" s="1"/>
  <c r="BS203" i="10"/>
  <c r="BT203" i="10" s="1"/>
  <c r="EO10" i="5"/>
  <c r="BI45" i="10"/>
  <c r="Z51" i="8"/>
  <c r="R52" i="10"/>
  <c r="AK80" i="10"/>
  <c r="AK108" i="10" s="1"/>
  <c r="AI80" i="10"/>
  <c r="AI11" i="10" s="1"/>
  <c r="AM80" i="10"/>
  <c r="AN80" i="10"/>
  <c r="AN108" i="10" s="1"/>
  <c r="AX80" i="10"/>
  <c r="AP108" i="10"/>
  <c r="AJ80" i="10"/>
  <c r="AJ108" i="10" s="1"/>
  <c r="AL80" i="10"/>
  <c r="AL108" i="10" s="1"/>
  <c r="AO80" i="10"/>
  <c r="AO108" i="10" s="1"/>
  <c r="BB44" i="10"/>
  <c r="W169" i="9"/>
  <c r="W161" i="9" s="1"/>
  <c r="I33" i="10"/>
  <c r="W177" i="9" s="1"/>
  <c r="AC108" i="10"/>
  <c r="R85" i="10"/>
  <c r="R18" i="10" s="1"/>
  <c r="R20" i="10" s="1"/>
  <c r="J18" i="10"/>
  <c r="J20" i="10" s="1"/>
  <c r="AE108" i="10"/>
  <c r="Z94" i="6"/>
  <c r="O73" i="7"/>
  <c r="O21" i="3"/>
  <c r="O74" i="7"/>
  <c r="K67" i="7"/>
  <c r="K122" i="6"/>
  <c r="FM7" i="5"/>
  <c r="FN9" i="5"/>
  <c r="BI195" i="10"/>
  <c r="AH46" i="11"/>
  <c r="O201" i="9" s="1"/>
  <c r="AF114" i="5"/>
  <c r="AH309" i="5"/>
  <c r="AH321" i="5" s="1"/>
  <c r="AH325" i="5" s="1"/>
  <c r="AH118" i="5"/>
  <c r="AF118" i="5" s="1"/>
  <c r="EP259" i="5"/>
  <c r="DX117" i="5"/>
  <c r="T41" i="3"/>
  <c r="T34" i="3"/>
  <c r="P74" i="6"/>
  <c r="P67" i="6"/>
  <c r="P81" i="6"/>
  <c r="CZ180" i="5"/>
  <c r="Z10" i="12"/>
  <c r="Z15" i="12" s="1"/>
  <c r="Z31" i="12" s="1"/>
  <c r="AB11" i="12"/>
  <c r="U146" i="9"/>
  <c r="U159" i="9"/>
  <c r="U135" i="9" s="1"/>
  <c r="AA56" i="3"/>
  <c r="CJ309" i="5"/>
  <c r="CJ321" i="5" s="1"/>
  <c r="CJ325" i="5" s="1"/>
  <c r="CJ332" i="5" s="1"/>
  <c r="CJ334" i="5" s="1"/>
  <c r="CL321" i="5"/>
  <c r="CL325" i="5" s="1"/>
  <c r="CL332" i="5" s="1"/>
  <c r="H31" i="10"/>
  <c r="V175" i="9" s="1"/>
  <c r="V167" i="9"/>
  <c r="H13" i="10"/>
  <c r="K73" i="7"/>
  <c r="K21" i="3"/>
  <c r="K74" i="7"/>
  <c r="Q102" i="9"/>
  <c r="EU286" i="5"/>
  <c r="EV286" i="5" s="1"/>
  <c r="Q66" i="7"/>
  <c r="Q67" i="7" s="1"/>
  <c r="P49" i="3"/>
  <c r="P70" i="7"/>
  <c r="P59" i="3"/>
  <c r="BF100" i="5"/>
  <c r="BN100" i="5" s="1"/>
  <c r="BN91" i="5"/>
  <c r="BD91" i="5"/>
  <c r="BF114" i="5"/>
  <c r="CH173" i="5"/>
  <c r="CJ174" i="5"/>
  <c r="BV301" i="5"/>
  <c r="CA297" i="5"/>
  <c r="CA298" i="5" s="1"/>
  <c r="BT298" i="5"/>
  <c r="CD297" i="5"/>
  <c r="CD298" i="5" s="1"/>
  <c r="Q162" i="9"/>
  <c r="Q163" i="9" s="1"/>
  <c r="S102" i="9"/>
  <c r="BN273" i="5"/>
  <c r="BF296" i="5"/>
  <c r="Y5" i="3"/>
  <c r="Y6" i="3" s="1"/>
  <c r="EH117" i="5"/>
  <c r="BE9" i="10"/>
  <c r="BS168" i="9" s="1"/>
  <c r="BG225" i="9"/>
  <c r="EC199" i="5"/>
  <c r="BU156" i="10"/>
  <c r="BA45" i="10"/>
  <c r="CJ176" i="5"/>
  <c r="CL177" i="5"/>
  <c r="CH176" i="5"/>
  <c r="CH177" i="5" s="1"/>
  <c r="EV10" i="5"/>
  <c r="ES10" i="5" s="1"/>
  <c r="ET10" i="5" s="1"/>
  <c r="EQ10" i="5"/>
  <c r="ER10" i="5" s="1"/>
  <c r="EX291" i="5"/>
  <c r="AA107" i="6"/>
  <c r="AA93" i="6" s="1"/>
  <c r="AF92" i="5"/>
  <c r="AH115" i="5"/>
  <c r="J81" i="10"/>
  <c r="O116" i="9"/>
  <c r="C4" i="10" s="1"/>
  <c r="O196" i="9"/>
  <c r="O97" i="9"/>
  <c r="N117" i="9"/>
  <c r="Q73" i="7"/>
  <c r="Q21" i="3"/>
  <c r="Q74" i="7"/>
  <c r="L75" i="3"/>
  <c r="L76" i="3"/>
  <c r="L45" i="3"/>
  <c r="Y95" i="6"/>
  <c r="AA54" i="7"/>
  <c r="AB54" i="7"/>
  <c r="AA17" i="7"/>
  <c r="AB41" i="8"/>
  <c r="AB56" i="3" s="1"/>
  <c r="FF10" i="5"/>
  <c r="FC10" i="5" s="1"/>
  <c r="AB82" i="3"/>
  <c r="AP44" i="5"/>
  <c r="O105" i="8"/>
  <c r="EU107" i="5"/>
  <c r="EV107" i="5" s="1"/>
  <c r="AA9" i="3"/>
  <c r="AB49" i="8"/>
  <c r="AA55" i="3"/>
  <c r="D4" i="10"/>
  <c r="CD321" i="5"/>
  <c r="CD325" i="5" s="1"/>
  <c r="CB309" i="5"/>
  <c r="CB321" i="5" s="1"/>
  <c r="CB325" i="5" s="1"/>
  <c r="AP118" i="5"/>
  <c r="AN118" i="5" s="1"/>
  <c r="AN114" i="5"/>
  <c r="Q106" i="8"/>
  <c r="Q111" i="8" s="1"/>
  <c r="Q66" i="6"/>
  <c r="Q70" i="6"/>
  <c r="BC225" i="9"/>
  <c r="DY199" i="5"/>
  <c r="P51" i="10"/>
  <c r="P62" i="10" s="1"/>
  <c r="CZ197" i="5"/>
  <c r="BE43" i="10"/>
  <c r="BE45" i="10" s="1"/>
  <c r="N51" i="10"/>
  <c r="N62" i="10" s="1"/>
  <c r="BJ40" i="10"/>
  <c r="BJ45" i="10" s="1"/>
  <c r="Y31" i="6"/>
  <c r="DZ102" i="5"/>
  <c r="DX102" i="5" s="1"/>
  <c r="BD130" i="10"/>
  <c r="BR176" i="9"/>
  <c r="DA121" i="11"/>
  <c r="DA108" i="11"/>
  <c r="DA93" i="11"/>
  <c r="M75" i="3"/>
  <c r="M45" i="3"/>
  <c r="M76" i="3"/>
  <c r="AB107" i="6"/>
  <c r="FF291" i="5"/>
  <c r="FC291" i="5" s="1"/>
  <c r="FD291" i="5" s="1"/>
  <c r="BN320" i="5"/>
  <c r="BL320" i="5" s="1"/>
  <c r="BN319" i="5"/>
  <c r="BL319" i="5" s="1"/>
  <c r="AB60" i="6"/>
  <c r="FF107" i="5"/>
  <c r="FC107" i="5" s="1"/>
  <c r="FD107" i="5" s="1"/>
  <c r="Q103" i="9"/>
  <c r="AJ12" i="12"/>
  <c r="DB184" i="5"/>
  <c r="DB181" i="5"/>
  <c r="DB185" i="5" s="1"/>
  <c r="FL9" i="5"/>
  <c r="CG144" i="5" s="1"/>
  <c r="FP6" i="5"/>
  <c r="FQ6" i="5"/>
  <c r="FQ9" i="5" s="1"/>
  <c r="CK144" i="5" s="1"/>
  <c r="EE284" i="5"/>
  <c r="EF284" i="5" s="1"/>
  <c r="EP284" i="5"/>
  <c r="EM284" i="5" s="1"/>
  <c r="EN284" i="5" s="1"/>
  <c r="AI5" i="11"/>
  <c r="Q197" i="9"/>
  <c r="FF286" i="5"/>
  <c r="BT309" i="5"/>
  <c r="P75" i="3"/>
  <c r="P45" i="3"/>
  <c r="P76" i="3"/>
  <c r="T26" i="3"/>
  <c r="T33" i="3"/>
  <c r="AB12" i="7"/>
  <c r="FF299" i="5"/>
  <c r="AB58" i="3"/>
  <c r="X114" i="9"/>
  <c r="X118" i="9" s="1"/>
  <c r="V42" i="12"/>
  <c r="V43" i="12" s="1"/>
  <c r="AI9" i="11"/>
  <c r="AI183" i="11" s="1"/>
  <c r="P193" i="9"/>
  <c r="O201" i="12"/>
  <c r="EE261" i="5"/>
  <c r="EF261" i="5" s="1"/>
  <c r="F63" i="3"/>
  <c r="F65" i="3"/>
  <c r="E34" i="10"/>
  <c r="E35" i="10" s="1"/>
  <c r="Q176" i="9"/>
  <c r="Q178" i="9" s="1"/>
  <c r="Q124" i="9" s="1"/>
  <c r="AA12" i="7"/>
  <c r="AB169" i="8"/>
  <c r="AB171" i="8" s="1"/>
  <c r="S274" i="9"/>
  <c r="S282" i="9" s="1"/>
  <c r="S283" i="9" s="1"/>
  <c r="EF299" i="5"/>
  <c r="EE299" i="5"/>
  <c r="I66" i="7"/>
  <c r="I67" i="7" s="1"/>
  <c r="H49" i="3"/>
  <c r="H59" i="3"/>
  <c r="S132" i="6"/>
  <c r="F43" i="3"/>
  <c r="F44" i="3"/>
  <c r="F40" i="3"/>
  <c r="F42" i="3"/>
  <c r="Q144" i="9"/>
  <c r="Q145" i="9" s="1"/>
  <c r="Q184" i="9"/>
  <c r="F34" i="10"/>
  <c r="F35" i="10" s="1"/>
  <c r="S176" i="9"/>
  <c r="S178" i="9" s="1"/>
  <c r="S124" i="9" s="1"/>
  <c r="O147" i="9"/>
  <c r="O148" i="9" s="1"/>
  <c r="O185" i="9"/>
  <c r="Z62" i="3"/>
  <c r="AK7" i="11"/>
  <c r="S192" i="9"/>
  <c r="U168" i="9"/>
  <c r="G32" i="10"/>
  <c r="G24" i="10"/>
  <c r="EP299" i="5"/>
  <c r="Z58" i="3"/>
  <c r="Q170" i="9"/>
  <c r="Q149" i="9"/>
  <c r="Q160" i="9"/>
  <c r="Q138" i="9" s="1"/>
  <c r="S170" i="9"/>
  <c r="S149" i="9"/>
  <c r="S160" i="9"/>
  <c r="S138" i="9" s="1"/>
  <c r="AA169" i="8"/>
  <c r="AA171" i="8" s="1"/>
  <c r="AA183" i="8" s="1"/>
  <c r="AA68" i="7"/>
  <c r="T132" i="6"/>
  <c r="EP261" i="5"/>
  <c r="BR160" i="12"/>
  <c r="AT247" i="12"/>
  <c r="AL246" i="12"/>
  <c r="AT77" i="12"/>
  <c r="AT90" i="12"/>
  <c r="AT83" i="12"/>
  <c r="CH219" i="12"/>
  <c r="CH218" i="12" s="1"/>
  <c r="CH224" i="12" s="1"/>
  <c r="BZ218" i="12"/>
  <c r="BZ224" i="12" s="1"/>
  <c r="Q165" i="12"/>
  <c r="Q166" i="12" s="1"/>
  <c r="AT238" i="12"/>
  <c r="AL237" i="12"/>
  <c r="AD249" i="12"/>
  <c r="AD252" i="12" s="1"/>
  <c r="AD253" i="12" s="1"/>
  <c r="CH183" i="12"/>
  <c r="CH193" i="12" s="1"/>
  <c r="CH195" i="12" s="1"/>
  <c r="CH215" i="12"/>
  <c r="BR228" i="12"/>
  <c r="BR234" i="12"/>
  <c r="BZ231" i="12"/>
  <c r="BZ187" i="12"/>
  <c r="J82" i="11"/>
  <c r="J84" i="11" s="1"/>
  <c r="J85" i="11" s="1"/>
  <c r="K81" i="11"/>
  <c r="CS121" i="11"/>
  <c r="CS118" i="11"/>
  <c r="CS120" i="11" s="1"/>
  <c r="AN102" i="11"/>
  <c r="AN101" i="11"/>
  <c r="AO81" i="11"/>
  <c r="AW74" i="11" s="1"/>
  <c r="AN82" i="11"/>
  <c r="AN75" i="11" s="1"/>
  <c r="AN103" i="11"/>
  <c r="AO74" i="11"/>
  <c r="AW171" i="11"/>
  <c r="AW170" i="11" s="1"/>
  <c r="AO170" i="11"/>
  <c r="AO11" i="11" s="1"/>
  <c r="X194" i="9" s="1"/>
  <c r="AL152" i="11"/>
  <c r="AL145" i="11"/>
  <c r="AM135" i="11"/>
  <c r="AL133" i="11"/>
  <c r="AW80" i="11"/>
  <c r="BE73" i="11" s="1"/>
  <c r="BE155" i="11"/>
  <c r="AW148" i="11"/>
  <c r="AL85" i="11"/>
  <c r="AL77" i="11"/>
  <c r="BM173" i="11"/>
  <c r="BE177" i="11"/>
  <c r="AN12" i="11"/>
  <c r="AN48" i="11"/>
  <c r="W202" i="9" s="1"/>
  <c r="BE156" i="11"/>
  <c r="BS169" i="10"/>
  <c r="BK169" i="10"/>
  <c r="BH167" i="10"/>
  <c r="BH169" i="10" s="1"/>
  <c r="BK110" i="10"/>
  <c r="BK15" i="10"/>
  <c r="BL15" i="10" s="1"/>
  <c r="BQ40" i="10"/>
  <c r="BR40" i="10" s="1"/>
  <c r="AW15" i="10"/>
  <c r="BV114" i="10"/>
  <c r="BU86" i="10"/>
  <c r="BU114" i="10" s="1"/>
  <c r="BQ86" i="10"/>
  <c r="BQ114" i="10" s="1"/>
  <c r="BR86" i="10"/>
  <c r="BR114" i="10" s="1"/>
  <c r="BP86" i="10"/>
  <c r="BP114" i="10" s="1"/>
  <c r="BT86" i="10"/>
  <c r="BT114" i="10" s="1"/>
  <c r="BO86" i="10"/>
  <c r="BO114" i="10" s="1"/>
  <c r="BS86" i="10"/>
  <c r="BA169" i="10"/>
  <c r="BE167" i="10"/>
  <c r="BE169" i="10" s="1"/>
  <c r="BE192" i="10"/>
  <c r="BE191" i="10" s="1"/>
  <c r="BO154" i="10"/>
  <c r="BO157" i="10" s="1"/>
  <c r="BB15" i="10"/>
  <c r="BG169" i="10"/>
  <c r="BB16" i="10"/>
  <c r="BV112" i="10"/>
  <c r="BU84" i="10"/>
  <c r="BU112" i="10" s="1"/>
  <c r="BQ84" i="10"/>
  <c r="BT84" i="10"/>
  <c r="BT112" i="10" s="1"/>
  <c r="BP84" i="10"/>
  <c r="BP112" i="10" s="1"/>
  <c r="BS84" i="10"/>
  <c r="BO84" i="10"/>
  <c r="BR84" i="10"/>
  <c r="BR112" i="10" s="1"/>
  <c r="BV17" i="10"/>
  <c r="BM200" i="10"/>
  <c r="BH202" i="10"/>
  <c r="BM202" i="10" s="1"/>
  <c r="BG159" i="10"/>
  <c r="BM44" i="10"/>
  <c r="BV46" i="10"/>
  <c r="BV71" i="10"/>
  <c r="BM41" i="10"/>
  <c r="BK195" i="10"/>
  <c r="BV111" i="10"/>
  <c r="BU83" i="10"/>
  <c r="BU111" i="10" s="1"/>
  <c r="BQ83" i="10"/>
  <c r="BT83" i="10"/>
  <c r="BT111" i="10" s="1"/>
  <c r="BP83" i="10"/>
  <c r="BP111" i="10" s="1"/>
  <c r="BS83" i="10"/>
  <c r="BO83" i="10"/>
  <c r="BR83" i="10"/>
  <c r="BR111" i="10" s="1"/>
  <c r="BV16" i="10"/>
  <c r="BB40" i="10"/>
  <c r="BQ44" i="10"/>
  <c r="BR44" i="10" s="1"/>
  <c r="BB193" i="10"/>
  <c r="BB195" i="10" s="1"/>
  <c r="BB41" i="10"/>
  <c r="BR204" i="10"/>
  <c r="BU204" i="10"/>
  <c r="BQ204" i="10"/>
  <c r="BO204" i="10"/>
  <c r="BS204" i="10"/>
  <c r="BT204" i="10"/>
  <c r="BP204" i="10"/>
  <c r="BI200" i="10"/>
  <c r="BI203" i="10" s="1"/>
  <c r="BI205" i="10" s="1"/>
  <c r="BQ41" i="10"/>
  <c r="BR41" i="10" s="1"/>
  <c r="BO202" i="10"/>
  <c r="BP202" i="10" s="1"/>
  <c r="BU153" i="10"/>
  <c r="BR200" i="10"/>
  <c r="BQ200" i="10"/>
  <c r="Y203" i="10"/>
  <c r="Y205" i="10" s="1"/>
  <c r="BV169" i="10"/>
  <c r="BT167" i="10"/>
  <c r="BQ144" i="10"/>
  <c r="BU144" i="10"/>
  <c r="BS32" i="10"/>
  <c r="BO9" i="10"/>
  <c r="CC168" i="9" s="1"/>
  <c r="BG112" i="10"/>
  <c r="BG17" i="10"/>
  <c r="BI112" i="10"/>
  <c r="BI17" i="10"/>
  <c r="Q203" i="10"/>
  <c r="Q205" i="10" s="1"/>
  <c r="BU192" i="10"/>
  <c r="BO193" i="10"/>
  <c r="BR57" i="10"/>
  <c r="BV110" i="10"/>
  <c r="BU82" i="10"/>
  <c r="BU110" i="10" s="1"/>
  <c r="BQ82" i="10"/>
  <c r="BT82" i="10"/>
  <c r="BT110" i="10" s="1"/>
  <c r="BP82" i="10"/>
  <c r="BP110" i="10" s="1"/>
  <c r="BS82" i="10"/>
  <c r="BO82" i="10"/>
  <c r="BR82" i="10"/>
  <c r="BR110" i="10" s="1"/>
  <c r="BV15" i="10"/>
  <c r="BB192" i="10"/>
  <c r="BG111" i="10"/>
  <c r="BG16" i="10"/>
  <c r="BI111" i="10"/>
  <c r="BI16" i="10"/>
  <c r="BD17" i="10"/>
  <c r="BB17" i="10" s="1"/>
  <c r="BL193" i="10"/>
  <c r="BO44" i="10"/>
  <c r="BP44" i="10" s="1"/>
  <c r="BO41" i="10"/>
  <c r="BP41" i="10" s="1"/>
  <c r="BT202" i="10"/>
  <c r="BJ164" i="10"/>
  <c r="BI164" i="10"/>
  <c r="BI167" i="10" s="1"/>
  <c r="BI169" i="10" s="1"/>
  <c r="BQ193" i="10"/>
  <c r="BR193" i="10" s="1"/>
  <c r="BU190" i="10"/>
  <c r="S208" i="10"/>
  <c r="AZ15" i="10"/>
  <c r="BE15" i="10" s="1"/>
  <c r="BO43" i="10"/>
  <c r="BP43" i="10" s="1"/>
  <c r="BR163" i="10"/>
  <c r="BT164" i="10"/>
  <c r="BR144" i="10"/>
  <c r="BT9" i="10"/>
  <c r="CH168" i="9" s="1"/>
  <c r="BU57" i="10"/>
  <c r="AZ16" i="10"/>
  <c r="BE16" i="10" s="1"/>
  <c r="BK112" i="10"/>
  <c r="BK17" i="10"/>
  <c r="BB9" i="10"/>
  <c r="BP168" i="9" s="1"/>
  <c r="U208" i="10"/>
  <c r="BG110" i="10"/>
  <c r="BG15" i="10"/>
  <c r="BI110" i="10"/>
  <c r="BI15" i="10"/>
  <c r="BH43" i="10"/>
  <c r="BM43" i="10" s="1"/>
  <c r="BS45" i="10"/>
  <c r="BO40" i="10"/>
  <c r="BP40" i="10" s="1"/>
  <c r="BK114" i="10"/>
  <c r="BM192" i="10"/>
  <c r="BM191" i="10" s="1"/>
  <c r="BG193" i="10"/>
  <c r="BK111" i="10"/>
  <c r="BK16" i="10"/>
  <c r="AY195" i="10"/>
  <c r="BE193" i="10"/>
  <c r="BE195" i="10" s="1"/>
  <c r="BG203" i="10"/>
  <c r="BJ192" i="10"/>
  <c r="BT43" i="10"/>
  <c r="BL205" i="10"/>
  <c r="BG45" i="10"/>
  <c r="BM40" i="10"/>
  <c r="BD19" i="10"/>
  <c r="BS194" i="10"/>
  <c r="BS195" i="10" s="1"/>
  <c r="BO194" i="10"/>
  <c r="BU194" i="10"/>
  <c r="BP194" i="10"/>
  <c r="BR194" i="10"/>
  <c r="BQ194" i="10"/>
  <c r="BT194" i="10"/>
  <c r="BT195" i="10" s="1"/>
  <c r="BU200" i="10"/>
  <c r="BL167" i="10"/>
  <c r="AY76" i="9"/>
  <c r="AZ76" i="9" s="1"/>
  <c r="U273" i="9"/>
  <c r="U271" i="9"/>
  <c r="U272" i="9" s="1"/>
  <c r="BY225" i="9"/>
  <c r="BU224" i="9"/>
  <c r="EQ199" i="5" s="1"/>
  <c r="BM225" i="9"/>
  <c r="U277" i="9"/>
  <c r="U278" i="9" s="1"/>
  <c r="CG224" i="9"/>
  <c r="FC199" i="5" s="1"/>
  <c r="W228" i="9"/>
  <c r="W226" i="9" s="1"/>
  <c r="W217" i="9"/>
  <c r="BR225" i="9"/>
  <c r="BO224" i="9"/>
  <c r="BP224" i="9" s="1"/>
  <c r="EL199" i="5" s="1"/>
  <c r="AW76" i="9"/>
  <c r="AX76" i="9" s="1"/>
  <c r="X218" i="9"/>
  <c r="V269" i="9"/>
  <c r="V267" i="9"/>
  <c r="V281" i="9" s="1"/>
  <c r="BZ224" i="9"/>
  <c r="EV199" i="5" s="1"/>
  <c r="BN224" i="9"/>
  <c r="AC258" i="9"/>
  <c r="Y258" i="9"/>
  <c r="AB258" i="9"/>
  <c r="AD258" i="9"/>
  <c r="Z258" i="9"/>
  <c r="Z259" i="9" s="1"/>
  <c r="AE258" i="9"/>
  <c r="AF259" i="9"/>
  <c r="AF264" i="9" s="1"/>
  <c r="AA258" i="9"/>
  <c r="BH224" i="9"/>
  <c r="V102" i="9"/>
  <c r="BK224" i="9"/>
  <c r="BI76" i="9"/>
  <c r="BJ76" i="9" s="1"/>
  <c r="BT76" i="9"/>
  <c r="AB99" i="8"/>
  <c r="AB101" i="8" s="1"/>
  <c r="AB18" i="8" s="1"/>
  <c r="AA18" i="8"/>
  <c r="J97" i="6"/>
  <c r="K63" i="6"/>
  <c r="BC298" i="5"/>
  <c r="BK296" i="5"/>
  <c r="T16" i="4"/>
  <c r="R64" i="6" s="1"/>
  <c r="U15" i="4"/>
  <c r="AD117" i="4"/>
  <c r="AK60" i="10" l="1"/>
  <c r="DU198" i="5"/>
  <c r="AM84" i="11"/>
  <c r="AD203" i="10"/>
  <c r="AD205" i="10" s="1"/>
  <c r="AG203" i="10"/>
  <c r="AG205" i="10" s="1"/>
  <c r="AC205" i="10"/>
  <c r="AK205" i="10"/>
  <c r="AL203" i="10"/>
  <c r="AL205" i="10" s="1"/>
  <c r="AM150" i="11"/>
  <c r="AM76" i="11"/>
  <c r="AL149" i="11"/>
  <c r="AQ143" i="9"/>
  <c r="AC74" i="10"/>
  <c r="G7" i="3"/>
  <c r="G10" i="3" s="1"/>
  <c r="G44" i="3" s="1"/>
  <c r="W116" i="9"/>
  <c r="I4" i="10" s="1"/>
  <c r="I6" i="10" s="1"/>
  <c r="G50" i="3"/>
  <c r="AO60" i="10"/>
  <c r="AL60" i="10"/>
  <c r="DN198" i="5"/>
  <c r="W130" i="9"/>
  <c r="AO166" i="9"/>
  <c r="AO143" i="9" s="1"/>
  <c r="AK8" i="11"/>
  <c r="AM258" i="9"/>
  <c r="AM259" i="9" s="1"/>
  <c r="AM264" i="9" s="1"/>
  <c r="AM114" i="9" s="1"/>
  <c r="V41" i="13" s="1"/>
  <c r="AI258" i="9"/>
  <c r="DI197" i="5"/>
  <c r="AH12" i="12"/>
  <c r="AG258" i="9"/>
  <c r="AG259" i="9" s="1"/>
  <c r="AG264" i="9" s="1"/>
  <c r="AG114" i="9" s="1"/>
  <c r="AH258" i="9"/>
  <c r="AH259" i="9" s="1"/>
  <c r="BP9" i="10"/>
  <c r="CD168" i="9" s="1"/>
  <c r="BP167" i="10"/>
  <c r="BP169" i="10" s="1"/>
  <c r="W122" i="9"/>
  <c r="T72" i="10"/>
  <c r="W74" i="10"/>
  <c r="AY49" i="10"/>
  <c r="EI197" i="5" s="1"/>
  <c r="AH333" i="5"/>
  <c r="AG143" i="9"/>
  <c r="DC196" i="5"/>
  <c r="BJ9" i="10"/>
  <c r="BX168" i="9" s="1"/>
  <c r="BU164" i="10"/>
  <c r="Q150" i="9"/>
  <c r="Q151" i="9" s="1"/>
  <c r="AJ158" i="11"/>
  <c r="AJ188" i="11" s="1"/>
  <c r="AJ190" i="11" s="1"/>
  <c r="AJ50" i="11"/>
  <c r="Q203" i="9" s="1"/>
  <c r="H6" i="10"/>
  <c r="AK13" i="11"/>
  <c r="S195" i="9" s="1"/>
  <c r="S150" i="9" s="1"/>
  <c r="S151" i="9" s="1"/>
  <c r="AK134" i="11"/>
  <c r="AK144" i="11" s="1"/>
  <c r="H9" i="10"/>
  <c r="H24" i="10" s="1"/>
  <c r="H5" i="10"/>
  <c r="V120" i="9"/>
  <c r="W96" i="9"/>
  <c r="W102" i="9" s="1"/>
  <c r="AW58" i="10"/>
  <c r="AW59" i="10" s="1"/>
  <c r="EG198" i="5" s="1"/>
  <c r="BM9" i="10"/>
  <c r="CA168" i="9" s="1"/>
  <c r="Q140" i="9"/>
  <c r="CR174" i="5"/>
  <c r="X97" i="9"/>
  <c r="X103" i="9" s="1"/>
  <c r="X186" i="9"/>
  <c r="AW19" i="10"/>
  <c r="BJ203" i="10"/>
  <c r="BJ205" i="10" s="1"/>
  <c r="X126" i="9"/>
  <c r="X130" i="9" s="1"/>
  <c r="BK19" i="10"/>
  <c r="BL19" i="10" s="1"/>
  <c r="BS205" i="10"/>
  <c r="CR176" i="5"/>
  <c r="CR177" i="5" s="1"/>
  <c r="CP176" i="5"/>
  <c r="CP177" i="5" s="1"/>
  <c r="CT177" i="5"/>
  <c r="BB197" i="12"/>
  <c r="BB75" i="12" s="1"/>
  <c r="BI58" i="10"/>
  <c r="BL59" i="10"/>
  <c r="BD59" i="10"/>
  <c r="BA58" i="10"/>
  <c r="BE58" i="10" s="1"/>
  <c r="BE59" i="10" s="1"/>
  <c r="EB198" i="5"/>
  <c r="AR60" i="10"/>
  <c r="BH16" i="10"/>
  <c r="BM16" i="10" s="1"/>
  <c r="BG58" i="10"/>
  <c r="BK59" i="10"/>
  <c r="AZ60" i="10"/>
  <c r="EJ198" i="5"/>
  <c r="BV59" i="10"/>
  <c r="BS58" i="10"/>
  <c r="BT58" i="10" s="1"/>
  <c r="AS60" i="10"/>
  <c r="EC198" i="5"/>
  <c r="EM198" i="5"/>
  <c r="BC60" i="10"/>
  <c r="EX198" i="5"/>
  <c r="BN73" i="10"/>
  <c r="BN60" i="10"/>
  <c r="AY59" i="10"/>
  <c r="AY19" i="10"/>
  <c r="AZ19" i="10" s="1"/>
  <c r="AQ60" i="10"/>
  <c r="EA198" i="5"/>
  <c r="BZ176" i="9"/>
  <c r="AD259" i="9"/>
  <c r="AD264" i="9" s="1"/>
  <c r="BR197" i="12"/>
  <c r="BH17" i="10"/>
  <c r="BM17" i="10" s="1"/>
  <c r="H25" i="10"/>
  <c r="AI46" i="11"/>
  <c r="P201" i="9" s="1"/>
  <c r="EW10" i="5"/>
  <c r="BU191" i="10"/>
  <c r="AM108" i="10"/>
  <c r="BR195" i="10"/>
  <c r="X169" i="9"/>
  <c r="X161" i="9" s="1"/>
  <c r="J33" i="10"/>
  <c r="X177" i="9" s="1"/>
  <c r="AI108" i="10"/>
  <c r="AW166" i="9"/>
  <c r="AW143" i="9" s="1"/>
  <c r="CS125" i="11"/>
  <c r="CS126" i="11" s="1"/>
  <c r="P85" i="10"/>
  <c r="P113" i="10" s="1"/>
  <c r="Z85" i="10"/>
  <c r="K85" i="10"/>
  <c r="R113" i="10"/>
  <c r="L85" i="10"/>
  <c r="L113" i="10" s="1"/>
  <c r="N85" i="10"/>
  <c r="N113" i="10" s="1"/>
  <c r="M85" i="10"/>
  <c r="Q85" i="10"/>
  <c r="Q113" i="10" s="1"/>
  <c r="O85" i="10"/>
  <c r="AV80" i="10"/>
  <c r="AV108" i="10" s="1"/>
  <c r="BF80" i="10"/>
  <c r="AX108" i="10"/>
  <c r="AR80" i="10"/>
  <c r="AR108" i="10" s="1"/>
  <c r="AT80" i="10"/>
  <c r="AT108" i="10" s="1"/>
  <c r="AW80" i="10"/>
  <c r="AW108" i="10" s="1"/>
  <c r="AU80" i="10"/>
  <c r="AS80" i="10"/>
  <c r="AQ80" i="10"/>
  <c r="AQ11" i="10" s="1"/>
  <c r="AB93" i="6"/>
  <c r="AB94" i="6" s="1"/>
  <c r="AA94" i="6"/>
  <c r="DA124" i="11"/>
  <c r="DA107" i="11"/>
  <c r="DA118" i="11"/>
  <c r="DA120" i="11" s="1"/>
  <c r="DA125" i="11" s="1"/>
  <c r="Q74" i="6"/>
  <c r="Q67" i="6"/>
  <c r="Q81" i="6"/>
  <c r="C6" i="10"/>
  <c r="C9" i="10"/>
  <c r="C25" i="10"/>
  <c r="C26" i="10"/>
  <c r="AI10" i="11"/>
  <c r="S171" i="9"/>
  <c r="O115" i="8"/>
  <c r="O107" i="8"/>
  <c r="EX284" i="5"/>
  <c r="AA51" i="8"/>
  <c r="AB51" i="8" s="1"/>
  <c r="L132" i="6"/>
  <c r="Q76" i="3"/>
  <c r="Q75" i="3"/>
  <c r="Q45" i="3"/>
  <c r="N97" i="9"/>
  <c r="N116" i="9"/>
  <c r="B4" i="10" s="1"/>
  <c r="B26" i="10" s="1"/>
  <c r="N196" i="9"/>
  <c r="BF298" i="5"/>
  <c r="BN296" i="5"/>
  <c r="CD301" i="5"/>
  <c r="CL297" i="5"/>
  <c r="CL298" i="5" s="1"/>
  <c r="CI297" i="5"/>
  <c r="CI298" i="5" s="1"/>
  <c r="V146" i="9"/>
  <c r="V159" i="9"/>
  <c r="V135" i="9" s="1"/>
  <c r="P105" i="8"/>
  <c r="P107" i="8" s="1"/>
  <c r="BF44" i="5"/>
  <c r="O75" i="3"/>
  <c r="O76" i="3"/>
  <c r="O45" i="3"/>
  <c r="BK225" i="9"/>
  <c r="EG199" i="5"/>
  <c r="D6" i="10"/>
  <c r="D26" i="10"/>
  <c r="E5" i="10"/>
  <c r="D25" i="10"/>
  <c r="D9" i="10"/>
  <c r="D5" i="10"/>
  <c r="FD10" i="5"/>
  <c r="FA10" i="5" s="1"/>
  <c r="FB10" i="5" s="1"/>
  <c r="EY10" i="5"/>
  <c r="EZ10" i="5" s="1"/>
  <c r="AH332" i="5"/>
  <c r="AF325" i="5"/>
  <c r="FP7" i="5"/>
  <c r="FP9" i="5" s="1"/>
  <c r="CJ144" i="5" s="1"/>
  <c r="FM9" i="5"/>
  <c r="CH144" i="5" s="1"/>
  <c r="BN225" i="9"/>
  <c r="EJ199" i="5"/>
  <c r="BV224" i="9"/>
  <c r="BL17" i="10"/>
  <c r="BJ17" i="10" s="1"/>
  <c r="BT32" i="10"/>
  <c r="CG176" i="9"/>
  <c r="AT197" i="12"/>
  <c r="AJ6" i="11"/>
  <c r="AP144" i="5" s="1"/>
  <c r="AI13" i="11"/>
  <c r="AB9" i="3"/>
  <c r="AB55" i="3"/>
  <c r="U81" i="3"/>
  <c r="DB5" i="5"/>
  <c r="DB19" i="5" s="1"/>
  <c r="AN44" i="5"/>
  <c r="AP69" i="5"/>
  <c r="AB17" i="7"/>
  <c r="P103" i="9"/>
  <c r="O96" i="9"/>
  <c r="DB4" i="5"/>
  <c r="DB18" i="5" s="1"/>
  <c r="U80" i="3"/>
  <c r="AF115" i="5"/>
  <c r="AF256" i="5" s="1"/>
  <c r="AF268" i="5" s="1"/>
  <c r="AF273" i="5" s="1"/>
  <c r="AH119" i="5"/>
  <c r="AF119" i="5" s="1"/>
  <c r="CJ177" i="5"/>
  <c r="EE117" i="5"/>
  <c r="EF117" i="5"/>
  <c r="P50" i="3"/>
  <c r="P51" i="3"/>
  <c r="K45" i="3"/>
  <c r="K76" i="3"/>
  <c r="K75" i="3"/>
  <c r="CX180" i="5"/>
  <c r="Z11" i="12"/>
  <c r="K59" i="3"/>
  <c r="L66" i="7"/>
  <c r="L67" i="7" s="1"/>
  <c r="K49" i="3"/>
  <c r="K70" i="7"/>
  <c r="AB166" i="9"/>
  <c r="AB143" i="9" s="1"/>
  <c r="M132" i="6"/>
  <c r="Z31" i="6"/>
  <c r="EH102" i="5"/>
  <c r="EE102" i="5" s="1"/>
  <c r="EF102" i="5" s="1"/>
  <c r="R81" i="10"/>
  <c r="CH174" i="5"/>
  <c r="CP174" i="5"/>
  <c r="BL91" i="5"/>
  <c r="BD100" i="5"/>
  <c r="BL100" i="5" s="1"/>
  <c r="P7" i="3"/>
  <c r="P10" i="3" s="1"/>
  <c r="P60" i="3"/>
  <c r="P61" i="3" s="1"/>
  <c r="R106" i="8"/>
  <c r="R111" i="8" s="1"/>
  <c r="R66" i="6"/>
  <c r="R70" i="6"/>
  <c r="BH225" i="9"/>
  <c r="ED199" i="5"/>
  <c r="BO225" i="9"/>
  <c r="EK199" i="5"/>
  <c r="BS224" i="9"/>
  <c r="EO199" i="5" s="1"/>
  <c r="P132" i="6"/>
  <c r="FC286" i="5"/>
  <c r="FD286" i="5" s="1"/>
  <c r="AB8" i="3"/>
  <c r="AB125" i="6" s="1"/>
  <c r="P120" i="9"/>
  <c r="EX259" i="5"/>
  <c r="FF284" i="5"/>
  <c r="FC284" i="5" s="1"/>
  <c r="FD284" i="5" s="1"/>
  <c r="Z95" i="6"/>
  <c r="Z99" i="6" s="1"/>
  <c r="Y99" i="6"/>
  <c r="AH5" i="11"/>
  <c r="P197" i="9"/>
  <c r="I31" i="10"/>
  <c r="W175" i="9" s="1"/>
  <c r="W167" i="9"/>
  <c r="I13" i="10"/>
  <c r="EU291" i="5"/>
  <c r="EV291" i="5" s="1"/>
  <c r="CB297" i="5"/>
  <c r="CB298" i="5" s="1"/>
  <c r="CB301" i="5" s="1"/>
  <c r="CA301" i="5"/>
  <c r="BD114" i="5"/>
  <c r="BL114" i="5" s="1"/>
  <c r="BF309" i="5"/>
  <c r="BN114" i="5"/>
  <c r="BF118" i="5"/>
  <c r="Q49" i="3"/>
  <c r="Q59" i="3"/>
  <c r="Q70" i="7"/>
  <c r="R66" i="7"/>
  <c r="R67" i="7" s="1"/>
  <c r="CZ184" i="5"/>
  <c r="CZ181" i="5"/>
  <c r="CZ185" i="5" s="1"/>
  <c r="Z5" i="3"/>
  <c r="Z6" i="3" s="1"/>
  <c r="EP117" i="5"/>
  <c r="AB183" i="8"/>
  <c r="AA62" i="3"/>
  <c r="AJ9" i="11"/>
  <c r="AJ46" i="11" s="1"/>
  <c r="Q193" i="9"/>
  <c r="EM261" i="5"/>
  <c r="EN261" i="5" s="1"/>
  <c r="G63" i="3"/>
  <c r="G66" i="3" s="1"/>
  <c r="G34" i="10"/>
  <c r="G35" i="10" s="1"/>
  <c r="U176" i="9"/>
  <c r="U178" i="9" s="1"/>
  <c r="U124" i="9" s="1"/>
  <c r="Q133" i="9"/>
  <c r="Q134" i="9" s="1"/>
  <c r="EX261" i="5"/>
  <c r="F66" i="3"/>
  <c r="FD299" i="5"/>
  <c r="FC299" i="5"/>
  <c r="AB62" i="3"/>
  <c r="EM299" i="5"/>
  <c r="EN299" i="5"/>
  <c r="U170" i="9"/>
  <c r="U171" i="9" s="1"/>
  <c r="U149" i="9"/>
  <c r="U160" i="9"/>
  <c r="S144" i="9"/>
  <c r="S145" i="9" s="1"/>
  <c r="S184" i="9"/>
  <c r="O136" i="9"/>
  <c r="O137" i="9" s="1"/>
  <c r="J66" i="7"/>
  <c r="J67" i="7" s="1"/>
  <c r="I49" i="3"/>
  <c r="I59" i="3"/>
  <c r="P147" i="9"/>
  <c r="P148" i="9" s="1"/>
  <c r="P185" i="9"/>
  <c r="EX299" i="5"/>
  <c r="AA58" i="3"/>
  <c r="H7" i="3"/>
  <c r="H10" i="3" s="1"/>
  <c r="H60" i="3"/>
  <c r="H61" i="3" s="1"/>
  <c r="H65" i="3" s="1"/>
  <c r="Q128" i="9"/>
  <c r="Q125" i="9"/>
  <c r="FF261" i="5"/>
  <c r="FC261" i="5" s="1"/>
  <c r="FD261" i="5" s="1"/>
  <c r="AL7" i="11"/>
  <c r="U192" i="9"/>
  <c r="S125" i="9"/>
  <c r="S128" i="9"/>
  <c r="H50" i="3"/>
  <c r="H51" i="3"/>
  <c r="G65" i="3"/>
  <c r="Q201" i="12"/>
  <c r="BZ234" i="12"/>
  <c r="BZ228" i="12"/>
  <c r="BB247" i="12"/>
  <c r="AT246" i="12"/>
  <c r="CH231" i="12"/>
  <c r="CH234" i="12" s="1"/>
  <c r="CH228" i="12"/>
  <c r="AT93" i="12"/>
  <c r="AT96" i="12" s="1"/>
  <c r="BZ188" i="12"/>
  <c r="BZ160" i="12"/>
  <c r="CH187" i="12"/>
  <c r="BB238" i="12"/>
  <c r="AT237" i="12"/>
  <c r="AL249" i="12"/>
  <c r="AL252" i="12" s="1"/>
  <c r="BM177" i="11"/>
  <c r="BU173" i="11"/>
  <c r="BE80" i="11"/>
  <c r="BM73" i="11" s="1"/>
  <c r="AO83" i="11"/>
  <c r="AN76" i="11"/>
  <c r="AN84" i="11"/>
  <c r="AN150" i="11"/>
  <c r="AN151" i="11" s="1"/>
  <c r="BM155" i="11"/>
  <c r="BE148" i="11"/>
  <c r="AM85" i="11"/>
  <c r="AM77" i="11"/>
  <c r="AO48" i="11"/>
  <c r="X202" i="9" s="1"/>
  <c r="AO12" i="11"/>
  <c r="BM156" i="11"/>
  <c r="AI184" i="11"/>
  <c r="AI185" i="11" s="1"/>
  <c r="BE171" i="11"/>
  <c r="K82" i="11"/>
  <c r="K84" i="11" s="1"/>
  <c r="K85" i="11" s="1"/>
  <c r="L81" i="11"/>
  <c r="AM152" i="11"/>
  <c r="AN135" i="11"/>
  <c r="AM133" i="11"/>
  <c r="AM145" i="11"/>
  <c r="AM151" i="11"/>
  <c r="AO101" i="11"/>
  <c r="AO102" i="11"/>
  <c r="AW68" i="11"/>
  <c r="AO82" i="11"/>
  <c r="AO75" i="11" s="1"/>
  <c r="AO103" i="11"/>
  <c r="BQ43" i="10"/>
  <c r="BR43" i="10" s="1"/>
  <c r="BR45" i="10" s="1"/>
  <c r="BG205" i="10"/>
  <c r="BH203" i="10"/>
  <c r="BH205" i="10" s="1"/>
  <c r="S62" i="10"/>
  <c r="S75" i="10" s="1"/>
  <c r="BQ195" i="10"/>
  <c r="BS110" i="10"/>
  <c r="BS15" i="10"/>
  <c r="BM167" i="10"/>
  <c r="BM169" i="10" s="1"/>
  <c r="BS114" i="10"/>
  <c r="BT205" i="10"/>
  <c r="BG195" i="10"/>
  <c r="BL195" i="10"/>
  <c r="BJ193" i="10"/>
  <c r="BJ195" i="10" s="1"/>
  <c r="BT169" i="10"/>
  <c r="BO111" i="10"/>
  <c r="BO16" i="10"/>
  <c r="BQ111" i="10"/>
  <c r="BQ16" i="10"/>
  <c r="BJ15" i="10"/>
  <c r="BL16" i="10"/>
  <c r="BJ16" i="10" s="1"/>
  <c r="BU40" i="10"/>
  <c r="BO45" i="10"/>
  <c r="BR164" i="10"/>
  <c r="BQ164" i="10"/>
  <c r="BQ167" i="10" s="1"/>
  <c r="BR167" i="10" s="1"/>
  <c r="BR169" i="10" s="1"/>
  <c r="BU44" i="10"/>
  <c r="BB45" i="10"/>
  <c r="BS111" i="10"/>
  <c r="BS16" i="10"/>
  <c r="BT16" i="10" s="1"/>
  <c r="BO112" i="10"/>
  <c r="BO17" i="10"/>
  <c r="BQ112" i="10"/>
  <c r="BQ17" i="10"/>
  <c r="BH45" i="10"/>
  <c r="BO159" i="10"/>
  <c r="BO171" i="10" s="1"/>
  <c r="BT45" i="10"/>
  <c r="BL169" i="10"/>
  <c r="BJ167" i="10"/>
  <c r="BJ169" i="10" s="1"/>
  <c r="BM45" i="10"/>
  <c r="BP45" i="10"/>
  <c r="BQ9" i="10"/>
  <c r="CE168" i="9" s="1"/>
  <c r="BQ202" i="10"/>
  <c r="BQ203" i="10" s="1"/>
  <c r="BU41" i="10"/>
  <c r="BO110" i="10"/>
  <c r="BO15" i="10"/>
  <c r="BQ110" i="10"/>
  <c r="BQ15" i="10"/>
  <c r="BO195" i="10"/>
  <c r="BP193" i="10"/>
  <c r="BP195" i="10" s="1"/>
  <c r="BO203" i="10"/>
  <c r="BH193" i="10"/>
  <c r="BH195" i="10" s="1"/>
  <c r="BS112" i="10"/>
  <c r="BS17" i="10"/>
  <c r="BT17" i="10" s="1"/>
  <c r="BG171" i="10"/>
  <c r="BH15" i="10"/>
  <c r="BG76" i="9"/>
  <c r="BH76" i="9" s="1"/>
  <c r="W269" i="9"/>
  <c r="W277" i="9" s="1"/>
  <c r="W278" i="9" s="1"/>
  <c r="W267" i="9"/>
  <c r="W281" i="9" s="1"/>
  <c r="AE259" i="9"/>
  <c r="AE264" i="9" s="1"/>
  <c r="AE114" i="9" s="1"/>
  <c r="AB259" i="9"/>
  <c r="AB264" i="9" s="1"/>
  <c r="V273" i="9"/>
  <c r="V271" i="9"/>
  <c r="V272" i="9" s="1"/>
  <c r="X266" i="9"/>
  <c r="X122" i="9"/>
  <c r="X116" i="9"/>
  <c r="J4" i="10" s="1"/>
  <c r="AK258" i="9"/>
  <c r="AN259" i="9"/>
  <c r="AN264" i="9" s="1"/>
  <c r="AV293" i="9" s="1"/>
  <c r="AL258" i="9"/>
  <c r="Y259" i="9"/>
  <c r="Y264" i="9" s="1"/>
  <c r="Y114" i="9" s="1"/>
  <c r="H41" i="13" s="1"/>
  <c r="BW224" i="9"/>
  <c r="BZ225" i="9"/>
  <c r="X228" i="9"/>
  <c r="X226" i="9" s="1"/>
  <c r="X217" i="9"/>
  <c r="BP225" i="9"/>
  <c r="BQ76" i="9"/>
  <c r="CB76" i="9"/>
  <c r="AA259" i="9"/>
  <c r="AA264" i="9" s="1"/>
  <c r="AA114" i="9" s="1"/>
  <c r="J41" i="13" s="1"/>
  <c r="AC259" i="9"/>
  <c r="AC264" i="9" s="1"/>
  <c r="V277" i="9"/>
  <c r="V278" i="9" s="1"/>
  <c r="CC224" i="9"/>
  <c r="CG225" i="9"/>
  <c r="BU225" i="9"/>
  <c r="BE76" i="9"/>
  <c r="BF76" i="9" s="1"/>
  <c r="CH224" i="9"/>
  <c r="FD199" i="5" s="1"/>
  <c r="U274" i="9"/>
  <c r="K97" i="6"/>
  <c r="L63" i="6"/>
  <c r="BC301" i="5"/>
  <c r="BK301" i="5" s="1"/>
  <c r="BK298" i="5"/>
  <c r="V15" i="4"/>
  <c r="W16" i="4" s="1"/>
  <c r="U64" i="6" s="1"/>
  <c r="U16" i="4"/>
  <c r="S64" i="6" s="1"/>
  <c r="I26" i="10" l="1"/>
  <c r="I5" i="10"/>
  <c r="W120" i="9"/>
  <c r="AC75" i="10"/>
  <c r="I9" i="10"/>
  <c r="I32" i="10" s="1"/>
  <c r="G43" i="3"/>
  <c r="G40" i="3"/>
  <c r="G42" i="3"/>
  <c r="AU258" i="9"/>
  <c r="AU259" i="9" s="1"/>
  <c r="AU264" i="9" s="1"/>
  <c r="AU114" i="9" s="1"/>
  <c r="AD41" i="13" s="1"/>
  <c r="AQ258" i="9"/>
  <c r="AQ259" i="9" s="1"/>
  <c r="AQ264" i="9" s="1"/>
  <c r="AQ114" i="9" s="1"/>
  <c r="AO258" i="9"/>
  <c r="AO259" i="9" s="1"/>
  <c r="AO264" i="9" s="1"/>
  <c r="AS258" i="9"/>
  <c r="AP258" i="9"/>
  <c r="AP259" i="9" s="1"/>
  <c r="W85" i="10"/>
  <c r="W18" i="10" s="1"/>
  <c r="W20" i="10" s="1"/>
  <c r="AL259" i="9"/>
  <c r="AL264" i="9" s="1"/>
  <c r="AL134" i="11"/>
  <c r="AL144" i="11" s="1"/>
  <c r="AI259" i="9"/>
  <c r="AI264" i="9" s="1"/>
  <c r="AI114" i="9" s="1"/>
  <c r="W75" i="10"/>
  <c r="T74" i="10"/>
  <c r="AH334" i="5"/>
  <c r="AM333" i="5" s="1"/>
  <c r="AM334" i="5" s="1"/>
  <c r="AU334" i="5" s="1"/>
  <c r="AG187" i="9"/>
  <c r="AG158" i="9"/>
  <c r="AG132" i="9" s="1"/>
  <c r="I25" i="10"/>
  <c r="H32" i="10"/>
  <c r="H34" i="10" s="1"/>
  <c r="H35" i="10" s="1"/>
  <c r="X96" i="9"/>
  <c r="X102" i="9" s="1"/>
  <c r="AK158" i="11"/>
  <c r="AK188" i="11" s="1"/>
  <c r="AK190" i="11" s="1"/>
  <c r="AK50" i="11"/>
  <c r="S203" i="9" s="1"/>
  <c r="S187" i="9"/>
  <c r="S139" i="9" s="1"/>
  <c r="S140" i="9" s="1"/>
  <c r="AK14" i="11"/>
  <c r="V168" i="9"/>
  <c r="V149" i="9" s="1"/>
  <c r="B9" i="10"/>
  <c r="B24" i="10" s="1"/>
  <c r="BS225" i="9"/>
  <c r="AT75" i="12"/>
  <c r="AW60" i="10"/>
  <c r="BQ45" i="10"/>
  <c r="BU43" i="10"/>
  <c r="BU45" i="10" s="1"/>
  <c r="BS19" i="10"/>
  <c r="BT19" i="10" s="1"/>
  <c r="U106" i="8"/>
  <c r="U66" i="6"/>
  <c r="U70" i="6"/>
  <c r="AJ183" i="11"/>
  <c r="AJ184" i="11" s="1"/>
  <c r="FF198" i="5"/>
  <c r="BV60" i="10"/>
  <c r="BV73" i="10"/>
  <c r="BK60" i="10"/>
  <c r="EU198" i="5"/>
  <c r="EO198" i="5"/>
  <c r="BE60" i="10"/>
  <c r="BG59" i="10"/>
  <c r="BG19" i="10"/>
  <c r="BH19" i="10" s="1"/>
  <c r="EI198" i="5"/>
  <c r="AY60" i="10"/>
  <c r="BT59" i="10"/>
  <c r="BQ58" i="10"/>
  <c r="BB58" i="10"/>
  <c r="BB59" i="10" s="1"/>
  <c r="BA59" i="10"/>
  <c r="BA19" i="10"/>
  <c r="BB19" i="10" s="1"/>
  <c r="BL60" i="10"/>
  <c r="EV198" i="5"/>
  <c r="BO58" i="10"/>
  <c r="BS59" i="10"/>
  <c r="BH58" i="10"/>
  <c r="BH59" i="10" s="1"/>
  <c r="BD60" i="10"/>
  <c r="EN198" i="5"/>
  <c r="BJ58" i="10"/>
  <c r="BJ59" i="10" s="1"/>
  <c r="BI59" i="10"/>
  <c r="BI19" i="10"/>
  <c r="BJ19" i="10" s="1"/>
  <c r="N41" i="13"/>
  <c r="BR16" i="10"/>
  <c r="C5" i="10"/>
  <c r="B6" i="10"/>
  <c r="B25" i="10"/>
  <c r="O120" i="9"/>
  <c r="CA224" i="9"/>
  <c r="CA225" i="9" s="1"/>
  <c r="AQ108" i="10"/>
  <c r="U85" i="10"/>
  <c r="S85" i="10"/>
  <c r="S18" i="10" s="1"/>
  <c r="S20" i="10" s="1"/>
  <c r="Z113" i="10"/>
  <c r="V85" i="10"/>
  <c r="V113" i="10" s="1"/>
  <c r="X85" i="10"/>
  <c r="X113" i="10" s="1"/>
  <c r="T85" i="10"/>
  <c r="T113" i="10" s="1"/>
  <c r="Y85" i="10"/>
  <c r="Y113" i="10" s="1"/>
  <c r="AS108" i="10"/>
  <c r="O113" i="10"/>
  <c r="O18" i="10"/>
  <c r="P18" i="10" s="1"/>
  <c r="AU108" i="10"/>
  <c r="BD80" i="10"/>
  <c r="BD108" i="10" s="1"/>
  <c r="BN80" i="10"/>
  <c r="BF108" i="10"/>
  <c r="AZ80" i="10"/>
  <c r="BB80" i="10"/>
  <c r="BB108" i="10" s="1"/>
  <c r="BE80" i="10"/>
  <c r="BE108" i="10" s="1"/>
  <c r="BC80" i="10"/>
  <c r="BA80" i="10"/>
  <c r="BA108" i="10" s="1"/>
  <c r="AY80" i="10"/>
  <c r="AY11" i="10" s="1"/>
  <c r="M18" i="10"/>
  <c r="M20" i="10" s="1"/>
  <c r="AA169" i="9" s="1"/>
  <c r="AA161" i="9" s="1"/>
  <c r="M113" i="10"/>
  <c r="K113" i="10"/>
  <c r="K18" i="10"/>
  <c r="K20" i="10" s="1"/>
  <c r="Y169" i="9" s="1"/>
  <c r="Y161" i="9" s="1"/>
  <c r="AC114" i="9"/>
  <c r="L41" i="13" s="1"/>
  <c r="AA42" i="12"/>
  <c r="BN309" i="5"/>
  <c r="BL309" i="5" s="1"/>
  <c r="BF321" i="5"/>
  <c r="W146" i="9"/>
  <c r="W159" i="9"/>
  <c r="W135" i="9" s="1"/>
  <c r="C24" i="10"/>
  <c r="C32" i="10"/>
  <c r="O168" i="9"/>
  <c r="AJ10" i="11"/>
  <c r="AL13" i="11"/>
  <c r="U195" i="9" s="1"/>
  <c r="U150" i="9" s="1"/>
  <c r="U151" i="9" s="1"/>
  <c r="AT80" i="12"/>
  <c r="EM117" i="5"/>
  <c r="EN117" i="5"/>
  <c r="R70" i="7"/>
  <c r="S66" i="7"/>
  <c r="S67" i="7" s="1"/>
  <c r="R59" i="3"/>
  <c r="R49" i="3"/>
  <c r="Q51" i="3"/>
  <c r="Q50" i="3"/>
  <c r="P42" i="3"/>
  <c r="P43" i="3"/>
  <c r="P40" i="3"/>
  <c r="P44" i="3"/>
  <c r="K51" i="3"/>
  <c r="K50" i="3"/>
  <c r="O132" i="6"/>
  <c r="BF69" i="5"/>
  <c r="BN44" i="5"/>
  <c r="BD44" i="5"/>
  <c r="BL44" i="5" s="1"/>
  <c r="CQ297" i="5"/>
  <c r="CQ298" i="5" s="1"/>
  <c r="CL301" i="5"/>
  <c r="CT297" i="5"/>
  <c r="CT298" i="5" s="1"/>
  <c r="Q132" i="6"/>
  <c r="EU284" i="5"/>
  <c r="EV284" i="5" s="1"/>
  <c r="DA126" i="11"/>
  <c r="BT320" i="5"/>
  <c r="BT321" i="5" s="1"/>
  <c r="BT325" i="5" s="1"/>
  <c r="BV321" i="5"/>
  <c r="BV325" i="5" s="1"/>
  <c r="P63" i="3"/>
  <c r="P65" i="3"/>
  <c r="P195" i="9"/>
  <c r="AI50" i="11"/>
  <c r="P203" i="9" s="1"/>
  <c r="AJ14" i="11"/>
  <c r="CJ297" i="5"/>
  <c r="CJ298" i="5" s="1"/>
  <c r="CJ301" i="5" s="1"/>
  <c r="CI301" i="5"/>
  <c r="BW225" i="9"/>
  <c r="ES199" i="5"/>
  <c r="BU193" i="10"/>
  <c r="BU195" i="10" s="1"/>
  <c r="BU202" i="10"/>
  <c r="BR202" i="10"/>
  <c r="BR9" i="10"/>
  <c r="CF168" i="9" s="1"/>
  <c r="BM203" i="10"/>
  <c r="BM205" i="10" s="1"/>
  <c r="AL8" i="11"/>
  <c r="BN118" i="5"/>
  <c r="BD118" i="5"/>
  <c r="BL118" i="5" s="1"/>
  <c r="U87" i="3"/>
  <c r="U93" i="3" s="1"/>
  <c r="DB53" i="5"/>
  <c r="DB62" i="5" s="1"/>
  <c r="R67" i="6"/>
  <c r="R74" i="6"/>
  <c r="R81" i="6"/>
  <c r="AA31" i="6"/>
  <c r="EP102" i="5"/>
  <c r="M66" i="7"/>
  <c r="M67" i="7" s="1"/>
  <c r="L70" i="7"/>
  <c r="L59" i="3"/>
  <c r="L49" i="3"/>
  <c r="FF259" i="5"/>
  <c r="BN331" i="5"/>
  <c r="N96" i="9"/>
  <c r="O103" i="9"/>
  <c r="AA95" i="6"/>
  <c r="EX117" i="5"/>
  <c r="AA5" i="3"/>
  <c r="AA6" i="3" s="1"/>
  <c r="Q7" i="3"/>
  <c r="Q10" i="3" s="1"/>
  <c r="Q60" i="3"/>
  <c r="Q61" i="3" s="1"/>
  <c r="D24" i="10"/>
  <c r="D32" i="10"/>
  <c r="P168" i="9"/>
  <c r="BN298" i="5"/>
  <c r="BF301" i="5"/>
  <c r="BN301" i="5" s="1"/>
  <c r="AG5" i="11"/>
  <c r="M196" i="9"/>
  <c r="O197" i="9"/>
  <c r="S106" i="8"/>
  <c r="S111" i="8" s="1"/>
  <c r="S66" i="6"/>
  <c r="S70" i="6"/>
  <c r="CD224" i="9"/>
  <c r="EY199" i="5"/>
  <c r="BR17" i="10"/>
  <c r="BP16" i="10"/>
  <c r="BU16" i="10" s="1"/>
  <c r="AM149" i="11"/>
  <c r="CD333" i="5"/>
  <c r="AH13" i="11"/>
  <c r="Q81" i="10"/>
  <c r="Q109" i="10" s="1"/>
  <c r="O81" i="10"/>
  <c r="O12" i="10" s="1"/>
  <c r="O31" i="10" s="1"/>
  <c r="M81" i="10"/>
  <c r="M12" i="10" s="1"/>
  <c r="K81" i="10"/>
  <c r="K12" i="10" s="1"/>
  <c r="L81" i="10"/>
  <c r="Z81" i="10"/>
  <c r="P81" i="10"/>
  <c r="R109" i="10"/>
  <c r="N81" i="10"/>
  <c r="K7" i="3"/>
  <c r="K10" i="3" s="1"/>
  <c r="K60" i="3"/>
  <c r="K61" i="3" s="1"/>
  <c r="K63" i="3" s="1"/>
  <c r="CX184" i="5"/>
  <c r="CX181" i="5"/>
  <c r="CX185" i="5" s="1"/>
  <c r="P102" i="9"/>
  <c r="O162" i="9"/>
  <c r="P163" i="9" s="1"/>
  <c r="AP77" i="5"/>
  <c r="AN69" i="5"/>
  <c r="AI6" i="11"/>
  <c r="BT130" i="10"/>
  <c r="CH176" i="9"/>
  <c r="BV225" i="9"/>
  <c r="ER199" i="5"/>
  <c r="FE10" i="5"/>
  <c r="U86" i="3"/>
  <c r="U92" i="3" s="1"/>
  <c r="DB52" i="5"/>
  <c r="DB61" i="5" s="1"/>
  <c r="P115" i="8"/>
  <c r="Q105" i="8"/>
  <c r="Q115" i="8" s="1"/>
  <c r="BV44" i="5"/>
  <c r="FF117" i="5"/>
  <c r="AB5" i="3"/>
  <c r="AB6" i="3" s="1"/>
  <c r="J6" i="10"/>
  <c r="J5" i="10"/>
  <c r="J26" i="10"/>
  <c r="AK9" i="11"/>
  <c r="S193" i="9"/>
  <c r="Q129" i="9"/>
  <c r="AJ41" i="11"/>
  <c r="AJ42" i="11" s="1"/>
  <c r="I60" i="3"/>
  <c r="I61" i="3" s="1"/>
  <c r="I7" i="3"/>
  <c r="I10" i="3" s="1"/>
  <c r="V274" i="9"/>
  <c r="V282" i="9" s="1"/>
  <c r="V283" i="9" s="1"/>
  <c r="AK41" i="11"/>
  <c r="AK42" i="11" s="1"/>
  <c r="R204" i="9"/>
  <c r="R205" i="9" s="1"/>
  <c r="S129" i="9"/>
  <c r="P136" i="9"/>
  <c r="P137" i="9" s="1"/>
  <c r="I51" i="3"/>
  <c r="I50" i="3"/>
  <c r="S133" i="9"/>
  <c r="S134" i="9" s="1"/>
  <c r="EU261" i="5"/>
  <c r="EV261" i="5" s="1"/>
  <c r="Q147" i="9"/>
  <c r="Q148" i="9" s="1"/>
  <c r="Q152" i="9" s="1"/>
  <c r="Q185" i="9"/>
  <c r="AM7" i="11"/>
  <c r="V192" i="9"/>
  <c r="H63" i="3"/>
  <c r="AW81" i="11"/>
  <c r="Q201" i="9"/>
  <c r="U144" i="9"/>
  <c r="U145" i="9" s="1"/>
  <c r="U184" i="9"/>
  <c r="H44" i="3"/>
  <c r="H43" i="3"/>
  <c r="H42" i="3"/>
  <c r="H40" i="3"/>
  <c r="EU299" i="5"/>
  <c r="EV299" i="5"/>
  <c r="J59" i="3"/>
  <c r="J49" i="3"/>
  <c r="U162" i="9"/>
  <c r="U163" i="9" s="1"/>
  <c r="U138" i="9"/>
  <c r="U125" i="9"/>
  <c r="U128" i="9"/>
  <c r="BB237" i="12"/>
  <c r="BJ238" i="12"/>
  <c r="BR75" i="12"/>
  <c r="CH188" i="12"/>
  <c r="CH160" i="12"/>
  <c r="BZ197" i="12"/>
  <c r="BZ163" i="12"/>
  <c r="AT249" i="12"/>
  <c r="AT252" i="12" s="1"/>
  <c r="BB90" i="12"/>
  <c r="BB83" i="12"/>
  <c r="BB77" i="12"/>
  <c r="BB80" i="12" s="1"/>
  <c r="BB246" i="12"/>
  <c r="BJ247" i="12"/>
  <c r="BM80" i="11"/>
  <c r="AN152" i="11"/>
  <c r="AN149" i="11" s="1"/>
  <c r="AN133" i="11"/>
  <c r="AO135" i="11"/>
  <c r="AN145" i="11"/>
  <c r="AN144" i="11"/>
  <c r="BE170" i="11"/>
  <c r="BE11" i="11" s="1"/>
  <c r="BM171" i="11"/>
  <c r="BU156" i="11"/>
  <c r="AN85" i="11"/>
  <c r="AN77" i="11"/>
  <c r="M81" i="11"/>
  <c r="L82" i="11"/>
  <c r="L84" i="11" s="1"/>
  <c r="L85" i="11" s="1"/>
  <c r="BU155" i="11"/>
  <c r="BM148" i="11"/>
  <c r="AW83" i="11"/>
  <c r="AO76" i="11"/>
  <c r="AO84" i="11"/>
  <c r="AO150" i="11"/>
  <c r="AO151" i="11" s="1"/>
  <c r="BU177" i="11"/>
  <c r="CC173" i="11"/>
  <c r="AW70" i="11"/>
  <c r="AR170" i="11"/>
  <c r="AR11" i="11" s="1"/>
  <c r="AA194" i="9" s="1"/>
  <c r="AA150" i="9" s="1"/>
  <c r="AA117" i="9" s="1"/>
  <c r="AA196" i="9" s="1"/>
  <c r="AT170" i="11"/>
  <c r="AU170" i="11" s="1"/>
  <c r="AW11" i="11"/>
  <c r="BO172" i="10"/>
  <c r="BO49" i="10"/>
  <c r="BQ205" i="10"/>
  <c r="BR203" i="10"/>
  <c r="BR205" i="10" s="1"/>
  <c r="BM15" i="10"/>
  <c r="BO205" i="10"/>
  <c r="BP203" i="10"/>
  <c r="BP205" i="10" s="1"/>
  <c r="BG172" i="10"/>
  <c r="BG49" i="10"/>
  <c r="BQ169" i="10"/>
  <c r="BU167" i="10"/>
  <c r="BU169" i="10" s="1"/>
  <c r="BM193" i="10"/>
  <c r="BM195" i="10" s="1"/>
  <c r="BP15" i="10"/>
  <c r="BU15" i="10" s="1"/>
  <c r="BP17" i="10"/>
  <c r="BU17" i="10" s="1"/>
  <c r="BT15" i="10"/>
  <c r="BU9" i="10"/>
  <c r="CI168" i="9" s="1"/>
  <c r="S63" i="10"/>
  <c r="Y187" i="9"/>
  <c r="Y185" i="9"/>
  <c r="Y186" i="9"/>
  <c r="Y184" i="9"/>
  <c r="Y158" i="9"/>
  <c r="Y97" i="9"/>
  <c r="Y118" i="9"/>
  <c r="U282" i="9"/>
  <c r="BY76" i="9"/>
  <c r="BZ76" i="9" s="1"/>
  <c r="CJ76" i="9"/>
  <c r="AK259" i="9"/>
  <c r="AK264" i="9" s="1"/>
  <c r="AI42" i="12" s="1"/>
  <c r="X269" i="9"/>
  <c r="X277" i="9" s="1"/>
  <c r="X278" i="9" s="1"/>
  <c r="X267" i="9"/>
  <c r="X281" i="9" s="1"/>
  <c r="BK76" i="9"/>
  <c r="CC225" i="9"/>
  <c r="AA187" i="9"/>
  <c r="AA184" i="9"/>
  <c r="AA158" i="9"/>
  <c r="AA185" i="9"/>
  <c r="AA136" i="9" s="1"/>
  <c r="AA118" i="9"/>
  <c r="BM76" i="9"/>
  <c r="BN76" i="9" s="1"/>
  <c r="CE224" i="9"/>
  <c r="CF224" i="9" s="1"/>
  <c r="CH225" i="9"/>
  <c r="BR76" i="9"/>
  <c r="BC76" i="9"/>
  <c r="BX224" i="9"/>
  <c r="BD258" i="9"/>
  <c r="X120" i="9"/>
  <c r="W271" i="9"/>
  <c r="W272" i="9" s="1"/>
  <c r="W273" i="9"/>
  <c r="X191" i="8"/>
  <c r="X197" i="8" s="1"/>
  <c r="L97" i="6"/>
  <c r="M63" i="6"/>
  <c r="V16" i="4"/>
  <c r="T64" i="6" s="1"/>
  <c r="I24" i="10" l="1"/>
  <c r="W168" i="9"/>
  <c r="W170" i="9" s="1"/>
  <c r="AW258" i="9"/>
  <c r="AW259" i="9" s="1"/>
  <c r="AW264" i="9" s="1"/>
  <c r="AW114" i="9" s="1"/>
  <c r="AW118" i="9" s="1"/>
  <c r="AX258" i="9"/>
  <c r="AX259" i="9" s="1"/>
  <c r="AD85" i="10"/>
  <c r="AD113" i="10" s="1"/>
  <c r="AF85" i="10"/>
  <c r="AF113" i="10" s="1"/>
  <c r="AH18" i="10"/>
  <c r="Z41" i="13"/>
  <c r="AQ158" i="9"/>
  <c r="AO114" i="9"/>
  <c r="AO158" i="9" s="1"/>
  <c r="AS259" i="9"/>
  <c r="AS264" i="9" s="1"/>
  <c r="AQ42" i="12" s="1"/>
  <c r="AQ43" i="12" s="1"/>
  <c r="AW82" i="11"/>
  <c r="AW75" i="11" s="1"/>
  <c r="BE74" i="11"/>
  <c r="AL158" i="11"/>
  <c r="AL188" i="11" s="1"/>
  <c r="AL190" i="11" s="1"/>
  <c r="AM8" i="11"/>
  <c r="AK46" i="11"/>
  <c r="AK44" i="11" s="1"/>
  <c r="AK16" i="11"/>
  <c r="AP333" i="5"/>
  <c r="AP334" i="5" s="1"/>
  <c r="R41" i="13"/>
  <c r="AI118" i="9"/>
  <c r="W33" i="10"/>
  <c r="AK169" i="9"/>
  <c r="W81" i="10"/>
  <c r="W12" i="10" s="1"/>
  <c r="T18" i="10"/>
  <c r="T20" i="10" s="1"/>
  <c r="N168" i="9"/>
  <c r="N160" i="9" s="1"/>
  <c r="AX170" i="11"/>
  <c r="BB170" i="11"/>
  <c r="BC170" i="11" s="1"/>
  <c r="AG169" i="9"/>
  <c r="AG161" i="9" s="1"/>
  <c r="V176" i="9"/>
  <c r="V178" i="9" s="1"/>
  <c r="V124" i="9" s="1"/>
  <c r="V125" i="9" s="1"/>
  <c r="EY197" i="5"/>
  <c r="N109" i="10"/>
  <c r="N12" i="10"/>
  <c r="L109" i="10"/>
  <c r="L12" i="10"/>
  <c r="Q12" i="10" s="1"/>
  <c r="EW199" i="5"/>
  <c r="EQ197" i="5"/>
  <c r="AZ170" i="11"/>
  <c r="P109" i="10"/>
  <c r="P12" i="10"/>
  <c r="AZ108" i="10"/>
  <c r="V160" i="9"/>
  <c r="V138" i="9" s="1"/>
  <c r="B32" i="10"/>
  <c r="N176" i="9" s="1"/>
  <c r="N178" i="9" s="1"/>
  <c r="N124" i="9" s="1"/>
  <c r="V170" i="9"/>
  <c r="V171" i="9" s="1"/>
  <c r="AK10" i="11"/>
  <c r="AJ185" i="11"/>
  <c r="AK183" i="11"/>
  <c r="AK184" i="11" s="1"/>
  <c r="AL50" i="11"/>
  <c r="U203" i="9" s="1"/>
  <c r="U74" i="6"/>
  <c r="U81" i="6"/>
  <c r="U67" i="6"/>
  <c r="U105" i="8" s="1"/>
  <c r="AF194" i="9"/>
  <c r="AW48" i="11"/>
  <c r="AF202" i="9" s="1"/>
  <c r="AA186" i="9"/>
  <c r="AA139" i="9" s="1"/>
  <c r="BO59" i="10"/>
  <c r="BO19" i="10"/>
  <c r="BP19" i="10" s="1"/>
  <c r="BQ59" i="10"/>
  <c r="BR58" i="10"/>
  <c r="BR59" i="10" s="1"/>
  <c r="BQ19" i="10"/>
  <c r="BR19" i="10" s="1"/>
  <c r="BM19" i="10"/>
  <c r="ES198" i="5"/>
  <c r="BI60" i="10"/>
  <c r="BH60" i="10"/>
  <c r="ER198" i="5"/>
  <c r="BT60" i="10"/>
  <c r="FD198" i="5"/>
  <c r="BM58" i="10"/>
  <c r="BM59" i="10" s="1"/>
  <c r="BJ60" i="10"/>
  <c r="ET198" i="5"/>
  <c r="BP58" i="10"/>
  <c r="BP59" i="10" s="1"/>
  <c r="EK198" i="5"/>
  <c r="BA60" i="10"/>
  <c r="BG60" i="10"/>
  <c r="EQ198" i="5"/>
  <c r="BS60" i="10"/>
  <c r="FC198" i="5"/>
  <c r="EL198" i="5"/>
  <c r="BB60" i="10"/>
  <c r="BE19" i="10"/>
  <c r="AM13" i="11"/>
  <c r="V195" i="9" s="1"/>
  <c r="V150" i="9" s="1"/>
  <c r="V151" i="9" s="1"/>
  <c r="AC118" i="9"/>
  <c r="AC266" i="9" s="1"/>
  <c r="AC158" i="9"/>
  <c r="AC185" i="9"/>
  <c r="Z185" i="9" s="1"/>
  <c r="Z136" i="9" s="1"/>
  <c r="AC126" i="9"/>
  <c r="AC187" i="9"/>
  <c r="Z187" i="9" s="1"/>
  <c r="AE187" i="9" s="1"/>
  <c r="AM134" i="11"/>
  <c r="AM144" i="11" s="1"/>
  <c r="AW103" i="11"/>
  <c r="AW101" i="11"/>
  <c r="N18" i="10"/>
  <c r="N20" i="10" s="1"/>
  <c r="AB169" i="9" s="1"/>
  <c r="P20" i="10"/>
  <c r="AD169" i="9" s="1"/>
  <c r="W113" i="10"/>
  <c r="S113" i="10"/>
  <c r="BC108" i="10"/>
  <c r="AF169" i="9"/>
  <c r="R33" i="10"/>
  <c r="U113" i="10"/>
  <c r="BN108" i="10"/>
  <c r="BH80" i="10"/>
  <c r="BH108" i="10" s="1"/>
  <c r="BJ80" i="10"/>
  <c r="BJ108" i="10" s="1"/>
  <c r="BM80" i="10"/>
  <c r="BM108" i="10" s="1"/>
  <c r="BK80" i="10"/>
  <c r="BI80" i="10"/>
  <c r="BI108" i="10" s="1"/>
  <c r="BG80" i="10"/>
  <c r="BG108" i="10" s="1"/>
  <c r="BL80" i="10"/>
  <c r="BL108" i="10" s="1"/>
  <c r="BV80" i="10"/>
  <c r="O20" i="10"/>
  <c r="L18" i="10"/>
  <c r="BE166" i="9"/>
  <c r="BE143" i="9" s="1"/>
  <c r="AY108" i="10"/>
  <c r="AG85" i="10"/>
  <c r="AG113" i="10" s="1"/>
  <c r="AE85" i="10"/>
  <c r="AE18" i="10" s="1"/>
  <c r="AH113" i="10"/>
  <c r="AC85" i="10"/>
  <c r="AC18" i="10" s="1"/>
  <c r="AC20" i="10" s="1"/>
  <c r="AQ169" i="9" s="1"/>
  <c r="AQ161" i="9" s="1"/>
  <c r="AA85" i="10"/>
  <c r="AA18" i="10" s="1"/>
  <c r="AB85" i="10"/>
  <c r="AB113" i="10" s="1"/>
  <c r="AP85" i="10"/>
  <c r="CF225" i="9"/>
  <c r="FB199" i="5"/>
  <c r="K40" i="3"/>
  <c r="K43" i="3"/>
  <c r="K42" i="3"/>
  <c r="K44" i="3"/>
  <c r="AN77" i="5"/>
  <c r="AP92" i="5"/>
  <c r="AG13" i="11"/>
  <c r="AH14" i="11" s="1"/>
  <c r="Q40" i="3"/>
  <c r="Q44" i="3"/>
  <c r="Q43" i="3"/>
  <c r="Q42" i="3"/>
  <c r="O102" i="9"/>
  <c r="N162" i="9"/>
  <c r="O163" i="9" s="1"/>
  <c r="EM102" i="5"/>
  <c r="EN102" i="5" s="1"/>
  <c r="CR297" i="5"/>
  <c r="CR298" i="5" s="1"/>
  <c r="CR301" i="5" s="1"/>
  <c r="CQ301" i="5"/>
  <c r="R60" i="3"/>
  <c r="R61" i="3" s="1"/>
  <c r="R65" i="3" s="1"/>
  <c r="R7" i="3"/>
  <c r="R10" i="3" s="1"/>
  <c r="O176" i="9"/>
  <c r="O178" i="9" s="1"/>
  <c r="O124" i="9" s="1"/>
  <c r="C34" i="10"/>
  <c r="C35" i="10" s="1"/>
  <c r="AR5" i="11"/>
  <c r="CW173" i="5"/>
  <c r="FC117" i="5"/>
  <c r="FD117" i="5"/>
  <c r="K109" i="10"/>
  <c r="O195" i="9"/>
  <c r="AH50" i="11"/>
  <c r="O203" i="9" s="1"/>
  <c r="S74" i="6"/>
  <c r="S67" i="6"/>
  <c r="S81" i="6"/>
  <c r="AI14" i="11"/>
  <c r="P66" i="3"/>
  <c r="S59" i="3"/>
  <c r="S49" i="3"/>
  <c r="T66" i="7"/>
  <c r="T67" i="7" s="1"/>
  <c r="U66" i="7" s="1"/>
  <c r="S70" i="7"/>
  <c r="CE225" i="9"/>
  <c r="FA199" i="5"/>
  <c r="U187" i="9"/>
  <c r="U139" i="9" s="1"/>
  <c r="U140" i="9" s="1"/>
  <c r="M109" i="10"/>
  <c r="CD225" i="9"/>
  <c r="EZ199" i="5"/>
  <c r="EV117" i="5"/>
  <c r="EU117" i="5"/>
  <c r="AB31" i="6"/>
  <c r="EX102" i="5"/>
  <c r="EU102" i="5" s="1"/>
  <c r="EV102" i="5" s="1"/>
  <c r="CD44" i="5"/>
  <c r="R105" i="8"/>
  <c r="R107" i="8" s="1"/>
  <c r="P150" i="9"/>
  <c r="P187" i="9"/>
  <c r="DB297" i="5"/>
  <c r="CY297" i="5"/>
  <c r="CY298" i="5" s="1"/>
  <c r="CT301" i="5"/>
  <c r="BF325" i="5"/>
  <c r="BN321" i="5"/>
  <c r="BL321" i="5" s="1"/>
  <c r="BX225" i="9"/>
  <c r="ET199" i="5"/>
  <c r="P176" i="9"/>
  <c r="P178" i="9" s="1"/>
  <c r="P124" i="9" s="1"/>
  <c r="D34" i="10"/>
  <c r="D35" i="10" s="1"/>
  <c r="AA99" i="6"/>
  <c r="AB95" i="6"/>
  <c r="AB99" i="6" s="1"/>
  <c r="Q107" i="8"/>
  <c r="L60" i="3"/>
  <c r="L61" i="3" s="1"/>
  <c r="L7" i="3"/>
  <c r="L10" i="3" s="1"/>
  <c r="T106" i="8"/>
  <c r="T66" i="6"/>
  <c r="T70" i="6"/>
  <c r="AA97" i="9"/>
  <c r="AA96" i="9" s="1"/>
  <c r="AL14" i="11"/>
  <c r="BT44" i="5"/>
  <c r="BV69" i="5"/>
  <c r="U81" i="10"/>
  <c r="S81" i="10"/>
  <c r="S12" i="10" s="1"/>
  <c r="X81" i="10"/>
  <c r="Z109" i="10"/>
  <c r="T81" i="10"/>
  <c r="V81" i="10"/>
  <c r="Y81" i="10"/>
  <c r="O109" i="10"/>
  <c r="AH6" i="11"/>
  <c r="P160" i="9"/>
  <c r="P138" i="9" s="1"/>
  <c r="P170" i="9"/>
  <c r="P149" i="9"/>
  <c r="Q63" i="3"/>
  <c r="Q66" i="3" s="1"/>
  <c r="L51" i="3"/>
  <c r="L50" i="3"/>
  <c r="N66" i="7"/>
  <c r="M59" i="3"/>
  <c r="M49" i="3"/>
  <c r="M70" i="7"/>
  <c r="Q65" i="3"/>
  <c r="BD69" i="5"/>
  <c r="BF77" i="5"/>
  <c r="R51" i="3"/>
  <c r="R50" i="3"/>
  <c r="O170" i="9"/>
  <c r="O160" i="9"/>
  <c r="O138" i="9" s="1"/>
  <c r="O149" i="9"/>
  <c r="AN7" i="11"/>
  <c r="W192" i="9"/>
  <c r="W274" i="9"/>
  <c r="W282" i="9" s="1"/>
  <c r="W283" i="9" s="1"/>
  <c r="AL9" i="11"/>
  <c r="U193" i="9"/>
  <c r="AN9" i="11"/>
  <c r="W193" i="9"/>
  <c r="J50" i="3"/>
  <c r="J51" i="3"/>
  <c r="AJ44" i="11"/>
  <c r="I34" i="10"/>
  <c r="I35" i="10" s="1"/>
  <c r="W176" i="9"/>
  <c r="W178" i="9" s="1"/>
  <c r="W124" i="9" s="1"/>
  <c r="I44" i="3"/>
  <c r="I43" i="3"/>
  <c r="I40" i="3"/>
  <c r="I42" i="3"/>
  <c r="S147" i="9"/>
  <c r="S148" i="9" s="1"/>
  <c r="S152" i="9" s="1"/>
  <c r="S185" i="9"/>
  <c r="U129" i="9"/>
  <c r="AL41" i="11"/>
  <c r="AL42" i="11" s="1"/>
  <c r="J7" i="3"/>
  <c r="J10" i="3" s="1"/>
  <c r="J60" i="3"/>
  <c r="J61" i="3" s="1"/>
  <c r="J65" i="3" s="1"/>
  <c r="U133" i="9"/>
  <c r="U134" i="9" s="1"/>
  <c r="W149" i="9"/>
  <c r="W160" i="9"/>
  <c r="V144" i="9"/>
  <c r="V145" i="9" s="1"/>
  <c r="V184" i="9"/>
  <c r="H66" i="3"/>
  <c r="I63" i="3"/>
  <c r="I66" i="3" s="1"/>
  <c r="AW102" i="11"/>
  <c r="I65" i="3"/>
  <c r="Q136" i="9"/>
  <c r="Q137" i="9" s="1"/>
  <c r="Q141" i="9" s="1"/>
  <c r="Q188" i="9"/>
  <c r="CH197" i="12"/>
  <c r="CH163" i="12"/>
  <c r="BR247" i="12"/>
  <c r="BJ246" i="12"/>
  <c r="BB93" i="12"/>
  <c r="BB96" i="12" s="1"/>
  <c r="BJ237" i="12"/>
  <c r="BR238" i="12"/>
  <c r="BB249" i="12"/>
  <c r="BB252" i="12" s="1"/>
  <c r="BZ75" i="12"/>
  <c r="AS170" i="11"/>
  <c r="AS11" i="11" s="1"/>
  <c r="AB194" i="9" s="1"/>
  <c r="AU11" i="11"/>
  <c r="AD194" i="9" s="1"/>
  <c r="CK173" i="11"/>
  <c r="CC177" i="11"/>
  <c r="AW76" i="11"/>
  <c r="AW150" i="11"/>
  <c r="AW151" i="11" s="1"/>
  <c r="BM170" i="11"/>
  <c r="BU171" i="11"/>
  <c r="AO152" i="11"/>
  <c r="AO149" i="11" s="1"/>
  <c r="AW135" i="11"/>
  <c r="AW144" i="11" s="1"/>
  <c r="AW9" i="11" s="1"/>
  <c r="AO133" i="11"/>
  <c r="AO144" i="11"/>
  <c r="AO145" i="11"/>
  <c r="AW12" i="11"/>
  <c r="N81" i="11"/>
  <c r="M82" i="11"/>
  <c r="M84" i="11" s="1"/>
  <c r="M85" i="11" s="1"/>
  <c r="CC156" i="11"/>
  <c r="AN194" i="9"/>
  <c r="BU66" i="11"/>
  <c r="BU80" i="11" s="1"/>
  <c r="AQ170" i="11"/>
  <c r="AT11" i="11"/>
  <c r="AO85" i="11"/>
  <c r="AO77" i="11"/>
  <c r="BU148" i="11"/>
  <c r="CC155" i="11"/>
  <c r="BR15" i="10"/>
  <c r="BU203" i="10"/>
  <c r="BU205" i="10" s="1"/>
  <c r="Y266" i="9"/>
  <c r="Y116" i="9"/>
  <c r="Y188" i="9"/>
  <c r="Y133" i="9"/>
  <c r="Y136" i="9"/>
  <c r="AA133" i="9"/>
  <c r="BW76" i="9"/>
  <c r="BX76" i="9" s="1"/>
  <c r="U283" i="9"/>
  <c r="BD259" i="9"/>
  <c r="BL258" i="9"/>
  <c r="BB258" i="9"/>
  <c r="BB259" i="9" s="1"/>
  <c r="BA258" i="9"/>
  <c r="BO76" i="9"/>
  <c r="BP76" i="9" s="1"/>
  <c r="AA266" i="9"/>
  <c r="AA116" i="9"/>
  <c r="CI224" i="9"/>
  <c r="CG76" i="9"/>
  <c r="CH76" i="9" s="1"/>
  <c r="Y96" i="9"/>
  <c r="Y139" i="9"/>
  <c r="AA132" i="9"/>
  <c r="X273" i="9"/>
  <c r="X271" i="9"/>
  <c r="BU76" i="9"/>
  <c r="BV76" i="9" s="1"/>
  <c r="Y132" i="9"/>
  <c r="Y191" i="8"/>
  <c r="Y197" i="8" s="1"/>
  <c r="X189" i="8"/>
  <c r="M97" i="6"/>
  <c r="N63" i="6"/>
  <c r="AF18" i="10" l="1"/>
  <c r="AH20" i="10"/>
  <c r="BJ170" i="11"/>
  <c r="BM11" i="11"/>
  <c r="AD81" i="10"/>
  <c r="AD109" i="10" s="1"/>
  <c r="AF81" i="10"/>
  <c r="AF109" i="10" s="1"/>
  <c r="AO132" i="9"/>
  <c r="AW84" i="11"/>
  <c r="AW85" i="11" s="1"/>
  <c r="AA20" i="10"/>
  <c r="AO169" i="9" s="1"/>
  <c r="AO161" i="9" s="1"/>
  <c r="AO118" i="9"/>
  <c r="AO266" i="9" s="1"/>
  <c r="AO269" i="9" s="1"/>
  <c r="AO271" i="9" s="1"/>
  <c r="X41" i="13"/>
  <c r="AB18" i="10"/>
  <c r="AB20" i="10" s="1"/>
  <c r="AE20" i="10"/>
  <c r="S201" i="9"/>
  <c r="N170" i="9"/>
  <c r="O171" i="9" s="1"/>
  <c r="AL183" i="11"/>
  <c r="AL184" i="11" s="1"/>
  <c r="AL16" i="11"/>
  <c r="AK17" i="11"/>
  <c r="AN8" i="11"/>
  <c r="AN16" i="11"/>
  <c r="AZ11" i="11"/>
  <c r="AZ12" i="11" s="1"/>
  <c r="AI266" i="9"/>
  <c r="AI122" i="9"/>
  <c r="V162" i="9"/>
  <c r="V163" i="9" s="1"/>
  <c r="W31" i="10"/>
  <c r="AK167" i="9"/>
  <c r="W13" i="10"/>
  <c r="AN183" i="11"/>
  <c r="AN184" i="11" s="1"/>
  <c r="V128" i="9"/>
  <c r="AG167" i="9"/>
  <c r="S13" i="10"/>
  <c r="B34" i="10"/>
  <c r="B35" i="10" s="1"/>
  <c r="BG11" i="10"/>
  <c r="BU166" i="9" s="1"/>
  <c r="BU143" i="9" s="1"/>
  <c r="AN134" i="11"/>
  <c r="AN158" i="11" s="1"/>
  <c r="AN188" i="11" s="1"/>
  <c r="AN190" i="11" s="1"/>
  <c r="Y109" i="10"/>
  <c r="V109" i="10"/>
  <c r="X109" i="10"/>
  <c r="AM158" i="11"/>
  <c r="AM188" i="11" s="1"/>
  <c r="AM190" i="11" s="1"/>
  <c r="T109" i="10"/>
  <c r="W171" i="9"/>
  <c r="AL10" i="11"/>
  <c r="AC130" i="9"/>
  <c r="AK185" i="11"/>
  <c r="Z118" i="9"/>
  <c r="Z266" i="9" s="1"/>
  <c r="AC132" i="9"/>
  <c r="AA188" i="9"/>
  <c r="T111" i="8"/>
  <c r="U111" i="8"/>
  <c r="Z158" i="9"/>
  <c r="AE158" i="9" s="1"/>
  <c r="AE132" i="9" s="1"/>
  <c r="AN13" i="11"/>
  <c r="W195" i="9" s="1"/>
  <c r="W187" i="9" s="1"/>
  <c r="W139" i="9" s="1"/>
  <c r="R115" i="8"/>
  <c r="AM50" i="11"/>
  <c r="V203" i="9" s="1"/>
  <c r="V187" i="9"/>
  <c r="V139" i="9" s="1"/>
  <c r="V140" i="9" s="1"/>
  <c r="AM14" i="11"/>
  <c r="AL46" i="11"/>
  <c r="AL44" i="11" s="1"/>
  <c r="BP60" i="10"/>
  <c r="EZ198" i="5"/>
  <c r="BM60" i="10"/>
  <c r="EW198" i="5"/>
  <c r="BU58" i="10"/>
  <c r="BU59" i="10" s="1"/>
  <c r="BU19" i="10"/>
  <c r="BR60" i="10"/>
  <c r="FB198" i="5"/>
  <c r="BO60" i="10"/>
  <c r="EY198" i="5"/>
  <c r="FA198" i="5"/>
  <c r="BQ60" i="10"/>
  <c r="AC136" i="9"/>
  <c r="P151" i="9"/>
  <c r="P152" i="9" s="1"/>
  <c r="Y134" i="9"/>
  <c r="AC113" i="10"/>
  <c r="AC169" i="9"/>
  <c r="AC161" i="9" s="1"/>
  <c r="Z161" i="9" s="1"/>
  <c r="AE161" i="9" s="1"/>
  <c r="O33" i="10"/>
  <c r="AC177" i="9" s="1"/>
  <c r="BM166" i="9"/>
  <c r="BM143" i="9" s="1"/>
  <c r="BV108" i="10"/>
  <c r="BP80" i="10"/>
  <c r="BU80" i="10"/>
  <c r="BU108" i="10" s="1"/>
  <c r="BS80" i="10"/>
  <c r="BQ80" i="10"/>
  <c r="BQ108" i="10" s="1"/>
  <c r="BO80" i="10"/>
  <c r="BO11" i="10" s="1"/>
  <c r="BT80" i="10"/>
  <c r="BR80" i="10"/>
  <c r="BR108" i="10" s="1"/>
  <c r="BK108" i="10"/>
  <c r="AH169" i="9"/>
  <c r="AF177" i="9"/>
  <c r="AA134" i="9"/>
  <c r="AO85" i="10"/>
  <c r="AO113" i="10" s="1"/>
  <c r="AM85" i="10"/>
  <c r="AM18" i="10" s="1"/>
  <c r="AP18" i="10"/>
  <c r="AK85" i="10"/>
  <c r="AI85" i="10"/>
  <c r="AP113" i="10"/>
  <c r="AL85" i="10"/>
  <c r="AL113" i="10" s="1"/>
  <c r="AN85" i="10"/>
  <c r="AN113" i="10" s="1"/>
  <c r="AX85" i="10"/>
  <c r="AJ85" i="10"/>
  <c r="AJ113" i="10" s="1"/>
  <c r="AA113" i="10"/>
  <c r="AE113" i="10"/>
  <c r="Q18" i="10"/>
  <c r="Q20" i="10" s="1"/>
  <c r="AE169" i="9" s="1"/>
  <c r="L20" i="10"/>
  <c r="Z169" i="9" s="1"/>
  <c r="U109" i="10"/>
  <c r="CD332" i="5"/>
  <c r="CD334" i="5" s="1"/>
  <c r="CL333" i="5" s="1"/>
  <c r="CL334" i="5" s="1"/>
  <c r="M60" i="3"/>
  <c r="M61" i="3" s="1"/>
  <c r="M7" i="3"/>
  <c r="M10" i="3" s="1"/>
  <c r="P171" i="9"/>
  <c r="Q171" i="9"/>
  <c r="AC167" i="9"/>
  <c r="AC175" i="9"/>
  <c r="O13" i="10"/>
  <c r="AC81" i="10"/>
  <c r="AC12" i="10" s="1"/>
  <c r="AA81" i="10"/>
  <c r="AA12" i="10" s="1"/>
  <c r="AP81" i="10"/>
  <c r="AH109" i="10"/>
  <c r="AB81" i="10"/>
  <c r="AG81" i="10"/>
  <c r="AE81" i="10"/>
  <c r="T74" i="6"/>
  <c r="T81" i="6"/>
  <c r="T67" i="6"/>
  <c r="T105" i="8" s="1"/>
  <c r="P125" i="9"/>
  <c r="P128" i="9"/>
  <c r="CZ297" i="5"/>
  <c r="CY301" i="5"/>
  <c r="T49" i="3"/>
  <c r="T59" i="3"/>
  <c r="T70" i="7"/>
  <c r="O150" i="9"/>
  <c r="O151" i="9" s="1"/>
  <c r="O152" i="9" s="1"/>
  <c r="O187" i="9"/>
  <c r="M51" i="3"/>
  <c r="M50" i="3"/>
  <c r="BS76" i="9"/>
  <c r="AN46" i="11"/>
  <c r="W201" i="9" s="1"/>
  <c r="CI225" i="9"/>
  <c r="FE199" i="5"/>
  <c r="AT48" i="11"/>
  <c r="AC202" i="9" s="1"/>
  <c r="AC194" i="9"/>
  <c r="L43" i="3"/>
  <c r="L42" i="3"/>
  <c r="L40" i="3"/>
  <c r="L44" i="3"/>
  <c r="BF332" i="5"/>
  <c r="BN325" i="5"/>
  <c r="BD325" i="5"/>
  <c r="BL325" i="5" s="1"/>
  <c r="O91" i="9"/>
  <c r="AA167" i="9"/>
  <c r="M13" i="10"/>
  <c r="S50" i="3"/>
  <c r="S51" i="3"/>
  <c r="S105" i="8"/>
  <c r="S115" i="8" s="1"/>
  <c r="CL44" i="5"/>
  <c r="Y167" i="9"/>
  <c r="K13" i="10"/>
  <c r="CW174" i="5"/>
  <c r="CW176" i="5"/>
  <c r="O128" i="9"/>
  <c r="O125" i="9"/>
  <c r="AP115" i="5"/>
  <c r="AN92" i="5"/>
  <c r="BD77" i="5"/>
  <c r="BL77" i="5" s="1"/>
  <c r="BF92" i="5"/>
  <c r="BN77" i="5"/>
  <c r="W109" i="10"/>
  <c r="R63" i="3"/>
  <c r="R66" i="3" s="1"/>
  <c r="S109" i="10"/>
  <c r="BV77" i="5"/>
  <c r="BV92" i="5" s="1"/>
  <c r="BV115" i="5" s="1"/>
  <c r="BV119" i="5" s="1"/>
  <c r="BT119" i="5" s="1"/>
  <c r="BT69" i="5"/>
  <c r="BT77" i="5" s="1"/>
  <c r="BT92" i="5" s="1"/>
  <c r="BT115" i="5" s="1"/>
  <c r="L63" i="3"/>
  <c r="L66" i="3" s="1"/>
  <c r="L65" i="3"/>
  <c r="P139" i="9"/>
  <c r="P140" i="9" s="1"/>
  <c r="P188" i="9"/>
  <c r="CB44" i="5"/>
  <c r="CD69" i="5"/>
  <c r="FF102" i="5"/>
  <c r="FC102" i="5" s="1"/>
  <c r="FD102" i="5" s="1"/>
  <c r="BV332" i="5"/>
  <c r="BT331" i="5"/>
  <c r="BT332" i="5" s="1"/>
  <c r="S7" i="3"/>
  <c r="S10" i="3" s="1"/>
  <c r="S60" i="3"/>
  <c r="S61" i="3" s="1"/>
  <c r="S63" i="3" s="1"/>
  <c r="R44" i="3"/>
  <c r="R43" i="3"/>
  <c r="R42" i="3"/>
  <c r="R40" i="3"/>
  <c r="AG50" i="11"/>
  <c r="N203" i="9" s="1"/>
  <c r="N195" i="9"/>
  <c r="N187" i="9" s="1"/>
  <c r="AE185" i="9"/>
  <c r="AE136" i="9" s="1"/>
  <c r="K4" i="10"/>
  <c r="AO7" i="11"/>
  <c r="X192" i="9"/>
  <c r="AK45" i="11"/>
  <c r="S200" i="9"/>
  <c r="J42" i="3"/>
  <c r="J43" i="3"/>
  <c r="J44" i="3"/>
  <c r="J40" i="3"/>
  <c r="V129" i="9"/>
  <c r="AM41" i="11"/>
  <c r="AM42" i="11" s="1"/>
  <c r="W144" i="9"/>
  <c r="W145" i="9" s="1"/>
  <c r="W184" i="9"/>
  <c r="AM9" i="11"/>
  <c r="V193" i="9"/>
  <c r="S136" i="9"/>
  <c r="S137" i="9" s="1"/>
  <c r="S141" i="9" s="1"/>
  <c r="S188" i="9"/>
  <c r="S189" i="9" s="1"/>
  <c r="W125" i="9"/>
  <c r="W128" i="9"/>
  <c r="AJ45" i="11"/>
  <c r="Q200" i="9"/>
  <c r="Q204" i="9" s="1"/>
  <c r="Q205" i="9" s="1"/>
  <c r="U147" i="9"/>
  <c r="U148" i="9" s="1"/>
  <c r="U152" i="9" s="1"/>
  <c r="U185" i="9"/>
  <c r="N125" i="9"/>
  <c r="N128" i="9"/>
  <c r="N106" i="9" s="1"/>
  <c r="W162" i="9"/>
  <c r="W138" i="9"/>
  <c r="BE68" i="11"/>
  <c r="M4" i="10"/>
  <c r="AO9" i="11"/>
  <c r="AO10" i="11" s="1"/>
  <c r="X193" i="9"/>
  <c r="V133" i="9"/>
  <c r="V134" i="9" s="1"/>
  <c r="J63" i="3"/>
  <c r="K66" i="3" s="1"/>
  <c r="K65" i="3"/>
  <c r="W147" i="9"/>
  <c r="W148" i="9" s="1"/>
  <c r="W185" i="9"/>
  <c r="W136" i="9" s="1"/>
  <c r="W137" i="9" s="1"/>
  <c r="BZ238" i="12"/>
  <c r="BR237" i="12"/>
  <c r="BJ249" i="12"/>
  <c r="BJ252" i="12" s="1"/>
  <c r="BZ247" i="12"/>
  <c r="BR246" i="12"/>
  <c r="CH75" i="12"/>
  <c r="BR83" i="12"/>
  <c r="BR77" i="12"/>
  <c r="BR80" i="12" s="1"/>
  <c r="BR90" i="12"/>
  <c r="CC66" i="11"/>
  <c r="CC80" i="11" s="1"/>
  <c r="CK155" i="11"/>
  <c r="CC148" i="11"/>
  <c r="AX11" i="11"/>
  <c r="AG194" i="9" s="1"/>
  <c r="BH170" i="11"/>
  <c r="BF170" i="11"/>
  <c r="AV170" i="11"/>
  <c r="AV11" i="11" s="1"/>
  <c r="AE194" i="9" s="1"/>
  <c r="AE150" i="9" s="1"/>
  <c r="AQ11" i="11"/>
  <c r="Z194" i="9" s="1"/>
  <c r="Z150" i="9" s="1"/>
  <c r="BA170" i="11"/>
  <c r="BA11" i="11" s="1"/>
  <c r="BC11" i="11"/>
  <c r="AW152" i="11"/>
  <c r="AF193" i="9"/>
  <c r="AW145" i="11"/>
  <c r="BE135" i="11"/>
  <c r="BE144" i="11" s="1"/>
  <c r="BE9" i="11" s="1"/>
  <c r="AW133" i="11"/>
  <c r="AF192" i="9" s="1"/>
  <c r="BE48" i="11"/>
  <c r="BE12" i="11"/>
  <c r="N82" i="11"/>
  <c r="N84" i="11" s="1"/>
  <c r="N85" i="11" s="1"/>
  <c r="O81" i="11"/>
  <c r="AY170" i="11"/>
  <c r="AY11" i="11" s="1"/>
  <c r="AH194" i="9" s="1"/>
  <c r="BB11" i="11"/>
  <c r="AK194" i="9" s="1"/>
  <c r="CK156" i="11"/>
  <c r="CC171" i="11"/>
  <c r="BU170" i="11"/>
  <c r="CK177" i="11"/>
  <c r="CS173" i="11"/>
  <c r="AA269" i="9"/>
  <c r="AA271" i="9" s="1"/>
  <c r="BA259" i="9"/>
  <c r="BA264" i="9" s="1"/>
  <c r="X272" i="9"/>
  <c r="X274" i="9" s="1"/>
  <c r="AC269" i="9"/>
  <c r="CC76" i="9"/>
  <c r="Y269" i="9"/>
  <c r="Y277" i="9" s="1"/>
  <c r="CA76" i="9"/>
  <c r="CE76" i="9"/>
  <c r="BI258" i="9"/>
  <c r="BL259" i="9"/>
  <c r="BT258" i="9"/>
  <c r="BJ258" i="9"/>
  <c r="BJ259" i="9" s="1"/>
  <c r="X188" i="8"/>
  <c r="X23" i="8"/>
  <c r="Z191" i="8"/>
  <c r="Z197" i="8" s="1"/>
  <c r="Y189" i="8"/>
  <c r="N97" i="6"/>
  <c r="O63" i="6"/>
  <c r="AM20" i="10" l="1"/>
  <c r="BM12" i="11"/>
  <c r="AV194" i="9"/>
  <c r="AV186" i="9" s="1"/>
  <c r="AH33" i="10"/>
  <c r="AV177" i="9" s="1"/>
  <c r="AV169" i="9"/>
  <c r="AV161" i="9" s="1"/>
  <c r="AD18" i="10"/>
  <c r="AD20" i="10" s="1"/>
  <c r="AR169" i="9" s="1"/>
  <c r="AF20" i="10"/>
  <c r="AT169" i="9" s="1"/>
  <c r="AG18" i="10"/>
  <c r="AG20" i="10" s="1"/>
  <c r="BH11" i="11"/>
  <c r="BH12" i="11" s="1"/>
  <c r="AQ167" i="9"/>
  <c r="AC13" i="10"/>
  <c r="AW77" i="11"/>
  <c r="S204" i="9"/>
  <c r="S205" i="9" s="1"/>
  <c r="AE33" i="10"/>
  <c r="AS169" i="9"/>
  <c r="BK170" i="11"/>
  <c r="BI170" i="11" s="1"/>
  <c r="BI11" i="11" s="1"/>
  <c r="BG170" i="11"/>
  <c r="BG11" i="11" s="1"/>
  <c r="AO277" i="9"/>
  <c r="AO278" i="9" s="1"/>
  <c r="AO255" i="9" s="1"/>
  <c r="AO293" i="9" s="1"/>
  <c r="AO167" i="9"/>
  <c r="AA13" i="10"/>
  <c r="AL185" i="11"/>
  <c r="AN202" i="9"/>
  <c r="AZ144" i="11"/>
  <c r="AI193" i="9" s="1"/>
  <c r="AI147" i="9" s="1"/>
  <c r="AN193" i="9"/>
  <c r="AN17" i="11"/>
  <c r="AN18" i="11"/>
  <c r="AO13" i="11"/>
  <c r="X195" i="9" s="1"/>
  <c r="X150" i="9" s="1"/>
  <c r="AO16" i="11"/>
  <c r="AN10" i="11"/>
  <c r="AM16" i="11"/>
  <c r="AL18" i="11"/>
  <c r="AL17" i="11"/>
  <c r="AN185" i="11"/>
  <c r="W163" i="9"/>
  <c r="AI194" i="9"/>
  <c r="AI186" i="9" s="1"/>
  <c r="AI269" i="9"/>
  <c r="AI271" i="9" s="1"/>
  <c r="AI267" i="9"/>
  <c r="CW177" i="5"/>
  <c r="BE133" i="11"/>
  <c r="BE7" i="11" s="1"/>
  <c r="AK146" i="9"/>
  <c r="AG186" i="9"/>
  <c r="AG150" i="9"/>
  <c r="AG146" i="9"/>
  <c r="AG159" i="9"/>
  <c r="BP108" i="10"/>
  <c r="AG109" i="10"/>
  <c r="AB109" i="10"/>
  <c r="U201" i="9"/>
  <c r="BT108" i="10"/>
  <c r="W150" i="9"/>
  <c r="W151" i="9" s="1"/>
  <c r="W152" i="9" s="1"/>
  <c r="AN50" i="11"/>
  <c r="W203" i="9" s="1"/>
  <c r="AN14" i="11"/>
  <c r="W140" i="9"/>
  <c r="S66" i="3"/>
  <c r="Z132" i="9"/>
  <c r="U115" i="8"/>
  <c r="U107" i="8"/>
  <c r="AF144" i="9"/>
  <c r="AF147" i="9"/>
  <c r="FE198" i="5"/>
  <c r="BU60" i="10"/>
  <c r="P33" i="10"/>
  <c r="AD177" i="9" s="1"/>
  <c r="AO46" i="11"/>
  <c r="X201" i="9" s="1"/>
  <c r="AO8" i="11"/>
  <c r="AO134" i="11"/>
  <c r="AO158" i="11" s="1"/>
  <c r="AO188" i="11" s="1"/>
  <c r="AO190" i="11" s="1"/>
  <c r="AM46" i="11"/>
  <c r="AM44" i="11" s="1"/>
  <c r="AO183" i="11"/>
  <c r="AO184" i="11" s="1"/>
  <c r="AP169" i="9"/>
  <c r="AM113" i="10"/>
  <c r="AV85" i="10"/>
  <c r="AV113" i="10" s="1"/>
  <c r="BF85" i="10"/>
  <c r="AX113" i="10"/>
  <c r="AR85" i="10"/>
  <c r="AR113" i="10" s="1"/>
  <c r="AT85" i="10"/>
  <c r="AT113" i="10" s="1"/>
  <c r="AW85" i="10"/>
  <c r="AW113" i="10" s="1"/>
  <c r="AU85" i="10"/>
  <c r="AX18" i="10"/>
  <c r="AS85" i="10"/>
  <c r="AQ85" i="10"/>
  <c r="AI18" i="10"/>
  <c r="AJ18" i="10" s="1"/>
  <c r="AJ20" i="10" s="1"/>
  <c r="AI113" i="10"/>
  <c r="BS108" i="10"/>
  <c r="AK113" i="10"/>
  <c r="AK18" i="10"/>
  <c r="AK20" i="10" s="1"/>
  <c r="AY169" i="9" s="1"/>
  <c r="AP20" i="10"/>
  <c r="AK177" i="9"/>
  <c r="BO108" i="10"/>
  <c r="CC166" i="9"/>
  <c r="CC143" i="9" s="1"/>
  <c r="CJ44" i="5"/>
  <c r="CL69" i="5"/>
  <c r="AE109" i="10"/>
  <c r="AC146" i="9"/>
  <c r="AC148" i="9" s="1"/>
  <c r="AC159" i="9"/>
  <c r="N188" i="9"/>
  <c r="N139" i="9"/>
  <c r="CD77" i="5"/>
  <c r="CD92" i="5" s="1"/>
  <c r="CD115" i="5" s="1"/>
  <c r="CB69" i="5"/>
  <c r="CB77" i="5" s="1"/>
  <c r="CB92" i="5" s="1"/>
  <c r="S65" i="3"/>
  <c r="T107" i="8"/>
  <c r="T115" i="8"/>
  <c r="T60" i="3"/>
  <c r="T61" i="3" s="1"/>
  <c r="T7" i="3"/>
  <c r="T10" i="3" s="1"/>
  <c r="AI41" i="11"/>
  <c r="P129" i="9"/>
  <c r="AN81" i="10"/>
  <c r="AX81" i="10"/>
  <c r="AP109" i="10"/>
  <c r="AJ81" i="10"/>
  <c r="AL81" i="10"/>
  <c r="AO81" i="10"/>
  <c r="AM81" i="10"/>
  <c r="AK81" i="10"/>
  <c r="AI81" i="10"/>
  <c r="AI12" i="10" s="1"/>
  <c r="BC12" i="11"/>
  <c r="AL194" i="9"/>
  <c r="M63" i="3"/>
  <c r="N65" i="3"/>
  <c r="M65" i="3"/>
  <c r="BA12" i="11"/>
  <c r="AJ194" i="9"/>
  <c r="AM183" i="11"/>
  <c r="AM185" i="11" s="1"/>
  <c r="BD92" i="5"/>
  <c r="BL92" i="5" s="1"/>
  <c r="BF115" i="5"/>
  <c r="BN92" i="5"/>
  <c r="O129" i="9"/>
  <c r="AH41" i="11"/>
  <c r="AA146" i="9"/>
  <c r="AA148" i="9" s="1"/>
  <c r="AA159" i="9"/>
  <c r="AA135" i="9" s="1"/>
  <c r="AA137" i="9" s="1"/>
  <c r="BF334" i="5"/>
  <c r="BN332" i="5"/>
  <c r="T51" i="3"/>
  <c r="T50" i="3"/>
  <c r="AD167" i="9"/>
  <c r="AD146" i="9" s="1"/>
  <c r="P13" i="10"/>
  <c r="Z167" i="9"/>
  <c r="Z146" i="9" s="1"/>
  <c r="Z148" i="9" s="1"/>
  <c r="L13" i="10"/>
  <c r="CT333" i="5"/>
  <c r="CT334" i="5" s="1"/>
  <c r="DB333" i="5" s="1"/>
  <c r="CQ333" i="5"/>
  <c r="CQ334" i="5" s="1"/>
  <c r="CR333" i="5" s="1"/>
  <c r="CR334" i="5" s="1"/>
  <c r="P91" i="9"/>
  <c r="AC109" i="10"/>
  <c r="AY12" i="11"/>
  <c r="AM10" i="11"/>
  <c r="AU48" i="11"/>
  <c r="AX12" i="11"/>
  <c r="S44" i="3"/>
  <c r="S43" i="3"/>
  <c r="S40" i="3"/>
  <c r="S42" i="3"/>
  <c r="AK175" i="9"/>
  <c r="AP119" i="5"/>
  <c r="AN119" i="5" s="1"/>
  <c r="AN115" i="5"/>
  <c r="AN256" i="5" s="1"/>
  <c r="AN268" i="5" s="1"/>
  <c r="AN273" i="5" s="1"/>
  <c r="Y146" i="9"/>
  <c r="Y148" i="9" s="1"/>
  <c r="Y159" i="9"/>
  <c r="O90" i="9"/>
  <c r="S107" i="8"/>
  <c r="AC150" i="9"/>
  <c r="AC186" i="9"/>
  <c r="O139" i="9"/>
  <c r="O140" i="9" s="1"/>
  <c r="O188" i="9"/>
  <c r="P189" i="9" s="1"/>
  <c r="AA109" i="10"/>
  <c r="M43" i="3"/>
  <c r="M44" i="3"/>
  <c r="M42" i="3"/>
  <c r="M40" i="3"/>
  <c r="Q189" i="9"/>
  <c r="AG41" i="11"/>
  <c r="N129" i="9"/>
  <c r="U136" i="9"/>
  <c r="U137" i="9" s="1"/>
  <c r="U141" i="9" s="1"/>
  <c r="U188" i="9"/>
  <c r="U189" i="9" s="1"/>
  <c r="W133" i="9"/>
  <c r="W134" i="9" s="1"/>
  <c r="W188" i="9"/>
  <c r="X144" i="9"/>
  <c r="X184" i="9"/>
  <c r="K6" i="10"/>
  <c r="K25" i="10"/>
  <c r="K9" i="10"/>
  <c r="K26" i="10"/>
  <c r="BE70" i="11"/>
  <c r="W129" i="9"/>
  <c r="AN41" i="11"/>
  <c r="V147" i="9"/>
  <c r="V148" i="9" s="1"/>
  <c r="V152" i="9" s="1"/>
  <c r="V185" i="9"/>
  <c r="AL45" i="11"/>
  <c r="U200" i="9"/>
  <c r="M6" i="10"/>
  <c r="M25" i="10"/>
  <c r="M9" i="10"/>
  <c r="M26" i="10"/>
  <c r="J66" i="3"/>
  <c r="X147" i="9"/>
  <c r="X185" i="9"/>
  <c r="X136" i="9" s="1"/>
  <c r="N110" i="9"/>
  <c r="N107" i="9"/>
  <c r="N111" i="9" s="1"/>
  <c r="BR93" i="12"/>
  <c r="BR96" i="12" s="1"/>
  <c r="BR249" i="12"/>
  <c r="BR252" i="12" s="1"/>
  <c r="CH238" i="12"/>
  <c r="CH237" i="12" s="1"/>
  <c r="BZ237" i="12"/>
  <c r="CH247" i="12"/>
  <c r="CH246" i="12" s="1"/>
  <c r="BZ246" i="12"/>
  <c r="BZ77" i="12"/>
  <c r="BZ80" i="12" s="1"/>
  <c r="BZ90" i="12"/>
  <c r="BZ83" i="12"/>
  <c r="CK171" i="11"/>
  <c r="CC170" i="11"/>
  <c r="O82" i="11"/>
  <c r="O84" i="11" s="1"/>
  <c r="O85" i="11" s="1"/>
  <c r="P81" i="11"/>
  <c r="BE145" i="11"/>
  <c r="BE152" i="11"/>
  <c r="BM135" i="11"/>
  <c r="BM144" i="11" s="1"/>
  <c r="BM48" i="11"/>
  <c r="BB12" i="11"/>
  <c r="BB48" i="11"/>
  <c r="AK202" i="9" s="1"/>
  <c r="BJ11" i="11"/>
  <c r="CS155" i="11"/>
  <c r="CK148" i="11"/>
  <c r="AU144" i="11"/>
  <c r="AD193" i="9" s="1"/>
  <c r="AD147" i="9" s="1"/>
  <c r="AW46" i="11"/>
  <c r="BF11" i="11"/>
  <c r="AO194" i="9" s="1"/>
  <c r="BD170" i="11"/>
  <c r="BD11" i="11" s="1"/>
  <c r="AM194" i="9" s="1"/>
  <c r="CK66" i="11"/>
  <c r="CK80" i="11" s="1"/>
  <c r="CS177" i="11"/>
  <c r="DA173" i="11"/>
  <c r="DA177" i="11" s="1"/>
  <c r="BP170" i="11"/>
  <c r="BP11" i="11" s="1"/>
  <c r="BN170" i="11"/>
  <c r="BR170" i="11"/>
  <c r="BR11" i="11" s="1"/>
  <c r="BU11" i="11"/>
  <c r="BD194" i="9" s="1"/>
  <c r="CS156" i="11"/>
  <c r="AT133" i="11"/>
  <c r="AC192" i="9" s="1"/>
  <c r="AW7" i="11"/>
  <c r="Y271" i="9"/>
  <c r="Z269" i="9"/>
  <c r="Z271" i="9" s="1"/>
  <c r="BI259" i="9"/>
  <c r="Y278" i="9"/>
  <c r="AA277" i="9"/>
  <c r="AA278" i="9" s="1"/>
  <c r="AA255" i="9" s="1"/>
  <c r="AC271" i="9"/>
  <c r="X282" i="9"/>
  <c r="BQ258" i="9"/>
  <c r="BT259" i="9"/>
  <c r="CB258" i="9"/>
  <c r="BR258" i="9"/>
  <c r="BR259" i="9" s="1"/>
  <c r="CF76" i="9"/>
  <c r="CD76" i="9"/>
  <c r="AC277" i="9"/>
  <c r="AC278" i="9" s="1"/>
  <c r="Z189" i="8"/>
  <c r="AA191" i="8"/>
  <c r="AA197" i="8" s="1"/>
  <c r="Y188" i="8"/>
  <c r="Y23" i="8"/>
  <c r="O97" i="6"/>
  <c r="P63" i="6"/>
  <c r="Z15" i="4"/>
  <c r="AV202" i="9" l="1"/>
  <c r="AM33" i="10"/>
  <c r="BR12" i="11"/>
  <c r="BM9" i="11"/>
  <c r="AV193" i="9"/>
  <c r="AF33" i="10"/>
  <c r="AF131" i="10" s="1"/>
  <c r="AR194" i="9"/>
  <c r="BI12" i="11"/>
  <c r="BJ144" i="11"/>
  <c r="AQ146" i="9"/>
  <c r="AQ159" i="9"/>
  <c r="AQ194" i="9"/>
  <c r="AQ186" i="9" s="1"/>
  <c r="BK11" i="11"/>
  <c r="BJ48" i="11"/>
  <c r="AS202" i="9" s="1"/>
  <c r="AS194" i="9"/>
  <c r="BG12" i="11"/>
  <c r="AP194" i="9"/>
  <c r="AO146" i="9"/>
  <c r="AO159" i="9"/>
  <c r="AO135" i="9" s="1"/>
  <c r="AO186" i="9"/>
  <c r="AZ9" i="11"/>
  <c r="AZ10" i="11" s="1"/>
  <c r="AO14" i="11"/>
  <c r="BC48" i="11"/>
  <c r="BC49" i="11" s="1"/>
  <c r="AZ133" i="11"/>
  <c r="AZ7" i="11" s="1"/>
  <c r="AZ8" i="11" s="1"/>
  <c r="AN192" i="9"/>
  <c r="AN147" i="9"/>
  <c r="AO50" i="11"/>
  <c r="X203" i="9" s="1"/>
  <c r="X187" i="9"/>
  <c r="X139" i="9" s="1"/>
  <c r="AM17" i="11"/>
  <c r="AM18" i="11"/>
  <c r="AO19" i="11"/>
  <c r="AO17" i="11"/>
  <c r="AO18" i="11"/>
  <c r="AW16" i="11"/>
  <c r="AI185" i="9"/>
  <c r="AI136" i="9" s="1"/>
  <c r="AI277" i="9"/>
  <c r="AG139" i="9"/>
  <c r="U204" i="9"/>
  <c r="U205" i="9" s="1"/>
  <c r="AX144" i="11"/>
  <c r="AG193" i="9" s="1"/>
  <c r="BB144" i="11"/>
  <c r="AK193" i="9" s="1"/>
  <c r="AK147" i="9" s="1"/>
  <c r="AK148" i="9" s="1"/>
  <c r="BB133" i="11"/>
  <c r="AX133" i="11"/>
  <c r="AG135" i="9"/>
  <c r="AL109" i="10"/>
  <c r="AN109" i="10"/>
  <c r="AJ109" i="10"/>
  <c r="AO109" i="10"/>
  <c r="W141" i="9"/>
  <c r="AM184" i="11"/>
  <c r="AO185" i="11"/>
  <c r="V201" i="9"/>
  <c r="P131" i="10"/>
  <c r="AU169" i="9"/>
  <c r="BL170" i="11"/>
  <c r="AD148" i="9"/>
  <c r="AI20" i="10"/>
  <c r="AW169" i="9" s="1"/>
  <c r="AU113" i="10"/>
  <c r="AU18" i="10"/>
  <c r="AQ18" i="10"/>
  <c r="AQ20" i="10" s="1"/>
  <c r="BE169" i="9" s="1"/>
  <c r="BE149" i="9" s="1"/>
  <c r="AQ113" i="10"/>
  <c r="BA85" i="10"/>
  <c r="AY85" i="10"/>
  <c r="BD85" i="10"/>
  <c r="BD113" i="10" s="1"/>
  <c r="BN85" i="10"/>
  <c r="BF113" i="10"/>
  <c r="AZ85" i="10"/>
  <c r="AZ113" i="10" s="1"/>
  <c r="BB85" i="10"/>
  <c r="BB113" i="10" s="1"/>
  <c r="BE85" i="10"/>
  <c r="BE113" i="10" s="1"/>
  <c r="BC85" i="10"/>
  <c r="BF18" i="10"/>
  <c r="AX169" i="9"/>
  <c r="O189" i="9"/>
  <c r="AN18" i="10"/>
  <c r="AS113" i="10"/>
  <c r="AS18" i="10"/>
  <c r="AS20" i="10" s="1"/>
  <c r="BG169" i="9" s="1"/>
  <c r="BG149" i="9" s="1"/>
  <c r="AS177" i="9"/>
  <c r="BD169" i="9"/>
  <c r="BD149" i="9" s="1"/>
  <c r="AP33" i="10"/>
  <c r="AX20" i="10"/>
  <c r="AH44" i="11"/>
  <c r="AH42" i="11"/>
  <c r="N66" i="3"/>
  <c r="M66" i="3"/>
  <c r="AX109" i="10"/>
  <c r="AR81" i="10"/>
  <c r="AT81" i="10"/>
  <c r="AW81" i="10"/>
  <c r="AU81" i="10"/>
  <c r="AS81" i="10"/>
  <c r="AQ81" i="10"/>
  <c r="AV81" i="10"/>
  <c r="BF81" i="10"/>
  <c r="CB115" i="5"/>
  <c r="CD119" i="5"/>
  <c r="CB119" i="5" s="1"/>
  <c r="CJ69" i="5"/>
  <c r="CJ77" i="5" s="1"/>
  <c r="CJ92" i="5" s="1"/>
  <c r="CL77" i="5"/>
  <c r="CL92" i="5" s="1"/>
  <c r="CL115" i="5" s="1"/>
  <c r="BP12" i="11"/>
  <c r="AY194" i="9"/>
  <c r="AI109" i="10"/>
  <c r="T63" i="3"/>
  <c r="T66" i="3" s="1"/>
  <c r="T65" i="3"/>
  <c r="BD12" i="11"/>
  <c r="Y135" i="9"/>
  <c r="Y137" i="9" s="1"/>
  <c r="AU49" i="11"/>
  <c r="AD202" i="9"/>
  <c r="P90" i="9"/>
  <c r="CY333" i="5"/>
  <c r="CY334" i="5" s="1"/>
  <c r="AK109" i="10"/>
  <c r="AB167" i="9"/>
  <c r="AB146" i="9" s="1"/>
  <c r="N13" i="10"/>
  <c r="BV333" i="5"/>
  <c r="BV334" i="5" s="1"/>
  <c r="CA333" i="5" s="1"/>
  <c r="CA332" i="5" s="1"/>
  <c r="CA331" i="5" s="1"/>
  <c r="BN334" i="5"/>
  <c r="BS333" i="5"/>
  <c r="BS334" i="5" s="1"/>
  <c r="T44" i="3"/>
  <c r="T40" i="3"/>
  <c r="T43" i="3"/>
  <c r="T42" i="3"/>
  <c r="AU133" i="11"/>
  <c r="AD192" i="9" s="1"/>
  <c r="AD144" i="9" s="1"/>
  <c r="BF12" i="11"/>
  <c r="AC139" i="9"/>
  <c r="Z186" i="9"/>
  <c r="Q91" i="9"/>
  <c r="BN115" i="5"/>
  <c r="BD115" i="5"/>
  <c r="BL115" i="5" s="1"/>
  <c r="BF119" i="5"/>
  <c r="AM109" i="10"/>
  <c r="AI42" i="11"/>
  <c r="AI44" i="11"/>
  <c r="N150" i="9"/>
  <c r="N138" i="9"/>
  <c r="Z159" i="9"/>
  <c r="Z135" i="9" s="1"/>
  <c r="Z137" i="9" s="1"/>
  <c r="AC135" i="9"/>
  <c r="AC137" i="9" s="1"/>
  <c r="AC144" i="9"/>
  <c r="AC184" i="9"/>
  <c r="AN42" i="11"/>
  <c r="AN44" i="11"/>
  <c r="AM45" i="11"/>
  <c r="V200" i="9"/>
  <c r="X133" i="9"/>
  <c r="AG42" i="11"/>
  <c r="AG44" i="11"/>
  <c r="M24" i="10"/>
  <c r="AA168" i="9"/>
  <c r="V136" i="9"/>
  <c r="V137" i="9" s="1"/>
  <c r="V141" i="9" s="1"/>
  <c r="V188" i="9"/>
  <c r="V189" i="9" s="1"/>
  <c r="Y168" i="9"/>
  <c r="K24" i="10"/>
  <c r="BZ93" i="12"/>
  <c r="BZ96" i="12" s="1"/>
  <c r="CH249" i="12"/>
  <c r="CH252" i="12" s="1"/>
  <c r="CH90" i="12"/>
  <c r="CH77" i="12"/>
  <c r="CH80" i="12" s="1"/>
  <c r="CH83" i="12"/>
  <c r="BZ249" i="12"/>
  <c r="BZ252" i="12" s="1"/>
  <c r="BO170" i="11"/>
  <c r="BO11" i="11" s="1"/>
  <c r="AX194" i="9" s="1"/>
  <c r="BA194" i="9"/>
  <c r="AW10" i="11"/>
  <c r="BM145" i="11"/>
  <c r="BM152" i="11"/>
  <c r="BM133" i="11"/>
  <c r="BU135" i="11"/>
  <c r="Q81" i="11"/>
  <c r="P82" i="11"/>
  <c r="P84" i="11" s="1"/>
  <c r="P85" i="11" s="1"/>
  <c r="AW183" i="11"/>
  <c r="AW134" i="11"/>
  <c r="AW158" i="11" s="1"/>
  <c r="AW8" i="11"/>
  <c r="DA156" i="11"/>
  <c r="BN11" i="11"/>
  <c r="AS144" i="11"/>
  <c r="AU9" i="11"/>
  <c r="BS170" i="11"/>
  <c r="CS66" i="11"/>
  <c r="CS80" i="11" s="1"/>
  <c r="DA155" i="11"/>
  <c r="DA148" i="11" s="1"/>
  <c r="CS148" i="11"/>
  <c r="BJ12" i="11"/>
  <c r="BX170" i="11"/>
  <c r="BX11" i="11" s="1"/>
  <c r="BV170" i="11"/>
  <c r="BZ170" i="11"/>
  <c r="CA170" i="11" s="1"/>
  <c r="CC11" i="11"/>
  <c r="BL194" i="9" s="1"/>
  <c r="AQ133" i="11"/>
  <c r="Z192" i="9" s="1"/>
  <c r="AT7" i="11"/>
  <c r="BU12" i="11"/>
  <c r="BU48" i="11"/>
  <c r="BD202" i="9" s="1"/>
  <c r="CS171" i="11"/>
  <c r="CK170" i="11"/>
  <c r="AA293" i="9"/>
  <c r="AC255" i="9"/>
  <c r="AE271" i="9"/>
  <c r="Y255" i="9"/>
  <c r="BQ259" i="9"/>
  <c r="CB259" i="9"/>
  <c r="CJ258" i="9"/>
  <c r="BZ258" i="9"/>
  <c r="BZ259" i="9" s="1"/>
  <c r="BY258" i="9"/>
  <c r="X283" i="9"/>
  <c r="Z277" i="9"/>
  <c r="CI76" i="9"/>
  <c r="AE269" i="9"/>
  <c r="AB191" i="8"/>
  <c r="AB197" i="8" s="1"/>
  <c r="AB189" i="8" s="1"/>
  <c r="AA189" i="8"/>
  <c r="Z188" i="8"/>
  <c r="Z23" i="8"/>
  <c r="P97" i="6"/>
  <c r="Q63" i="6"/>
  <c r="AA15" i="4"/>
  <c r="BU144" i="11" l="1"/>
  <c r="BR144" i="11" s="1"/>
  <c r="BU133" i="11"/>
  <c r="BJ133" i="11"/>
  <c r="BM7" i="11"/>
  <c r="AV192" i="9"/>
  <c r="AT177" i="9"/>
  <c r="AV147" i="9"/>
  <c r="AV185" i="9"/>
  <c r="AV136" i="9" s="1"/>
  <c r="BM10" i="11"/>
  <c r="BK12" i="11"/>
  <c r="AT194" i="9"/>
  <c r="BL11" i="11"/>
  <c r="BL12" i="11" s="1"/>
  <c r="BF133" i="11"/>
  <c r="AO192" i="9" s="1"/>
  <c r="BH133" i="11"/>
  <c r="AL202" i="9"/>
  <c r="X188" i="9"/>
  <c r="X189" i="9" s="1"/>
  <c r="AI192" i="9"/>
  <c r="AI144" i="9" s="1"/>
  <c r="AN144" i="9"/>
  <c r="BE16" i="11"/>
  <c r="BE23" i="11" s="1"/>
  <c r="AI278" i="9"/>
  <c r="BB9" i="11"/>
  <c r="AK192" i="9"/>
  <c r="AK144" i="9" s="1"/>
  <c r="AK145" i="9" s="1"/>
  <c r="BB7" i="11"/>
  <c r="CZ333" i="5"/>
  <c r="AG147" i="9"/>
  <c r="AG148" i="9" s="1"/>
  <c r="AG185" i="9"/>
  <c r="AX7" i="11"/>
  <c r="AX8" i="11" s="1"/>
  <c r="AG192" i="9"/>
  <c r="AR109" i="10"/>
  <c r="AV109" i="10"/>
  <c r="AW109" i="10"/>
  <c r="AT109" i="10"/>
  <c r="V204" i="9"/>
  <c r="V205" i="9" s="1"/>
  <c r="BC113" i="10"/>
  <c r="BC18" i="10"/>
  <c r="BD18" i="10" s="1"/>
  <c r="BA113" i="10"/>
  <c r="BA18" i="10"/>
  <c r="BA20" i="10" s="1"/>
  <c r="BO169" i="9" s="1"/>
  <c r="BO149" i="9" s="1"/>
  <c r="AL18" i="10"/>
  <c r="AL20" i="10" s="1"/>
  <c r="AZ169" i="9" s="1"/>
  <c r="AN20" i="10"/>
  <c r="BB169" i="9" s="1"/>
  <c r="BA169" i="9"/>
  <c r="BA177" i="9"/>
  <c r="BM85" i="10"/>
  <c r="BM113" i="10" s="1"/>
  <c r="BK85" i="10"/>
  <c r="BN18" i="10"/>
  <c r="BI85" i="10"/>
  <c r="BG85" i="10"/>
  <c r="BL85" i="10"/>
  <c r="BL113" i="10" s="1"/>
  <c r="BV85" i="10"/>
  <c r="BN113" i="10"/>
  <c r="BH85" i="10"/>
  <c r="BH113" i="10" s="1"/>
  <c r="BJ85" i="10"/>
  <c r="BJ113" i="10" s="1"/>
  <c r="AU20" i="10"/>
  <c r="AR18" i="10"/>
  <c r="AV18" i="10"/>
  <c r="BD177" i="9"/>
  <c r="BL169" i="9"/>
  <c r="BL149" i="9" s="1"/>
  <c r="AX33" i="10"/>
  <c r="BF20" i="10"/>
  <c r="AY113" i="10"/>
  <c r="AY18" i="10"/>
  <c r="AY20" i="10" s="1"/>
  <c r="BM169" i="9" s="1"/>
  <c r="BM149" i="9" s="1"/>
  <c r="AO18" i="10"/>
  <c r="AO20" i="10" s="1"/>
  <c r="BC169" i="9" s="1"/>
  <c r="BO12" i="11"/>
  <c r="BD119" i="5"/>
  <c r="BL119" i="5" s="1"/>
  <c r="BN119" i="5"/>
  <c r="AQ109" i="10"/>
  <c r="BC133" i="11"/>
  <c r="AL192" i="9" s="1"/>
  <c r="AL144" i="9" s="1"/>
  <c r="BX12" i="11"/>
  <c r="BG194" i="9"/>
  <c r="W189" i="9"/>
  <c r="Q90" i="9"/>
  <c r="Z139" i="9"/>
  <c r="AE186" i="9"/>
  <c r="AE139" i="9" s="1"/>
  <c r="AE159" i="9"/>
  <c r="AE135" i="9" s="1"/>
  <c r="AE137" i="9" s="1"/>
  <c r="AS109" i="10"/>
  <c r="N140" i="9"/>
  <c r="N149" i="9"/>
  <c r="N151" i="9" s="1"/>
  <c r="N152" i="9" s="1"/>
  <c r="BT333" i="5"/>
  <c r="BT334" i="5" s="1"/>
  <c r="BS301" i="5"/>
  <c r="AU7" i="11"/>
  <c r="BN12" i="11"/>
  <c r="AW194" i="9"/>
  <c r="R91" i="9"/>
  <c r="R90" i="9"/>
  <c r="CA330" i="5"/>
  <c r="CB331" i="5"/>
  <c r="CB332" i="5" s="1"/>
  <c r="CB334" i="5" s="1"/>
  <c r="CJ115" i="5"/>
  <c r="CL119" i="5"/>
  <c r="CJ119" i="5" s="1"/>
  <c r="BF109" i="10"/>
  <c r="AZ81" i="10"/>
  <c r="BB81" i="10"/>
  <c r="BN81" i="10"/>
  <c r="BE81" i="10"/>
  <c r="BC81" i="10"/>
  <c r="BA81" i="10"/>
  <c r="AY81" i="10"/>
  <c r="BD81" i="10"/>
  <c r="AU109" i="10"/>
  <c r="O200" i="9"/>
  <c r="O204" i="9" s="1"/>
  <c r="O205" i="9" s="1"/>
  <c r="AH45" i="11"/>
  <c r="BK48" i="11"/>
  <c r="AT202" i="9" s="1"/>
  <c r="AS133" i="11"/>
  <c r="AB192" i="9" s="1"/>
  <c r="BT170" i="11"/>
  <c r="BT11" i="11" s="1"/>
  <c r="AI45" i="11"/>
  <c r="P200" i="9"/>
  <c r="P204" i="9" s="1"/>
  <c r="P205" i="9" s="1"/>
  <c r="Z144" i="9"/>
  <c r="Z196" i="9"/>
  <c r="AC117" i="9"/>
  <c r="AC145" i="9"/>
  <c r="AN45" i="11"/>
  <c r="W200" i="9"/>
  <c r="W204" i="9" s="1"/>
  <c r="W205" i="9" s="1"/>
  <c r="Y170" i="9"/>
  <c r="Y149" i="9"/>
  <c r="Y151" i="9" s="1"/>
  <c r="Y152" i="9" s="1"/>
  <c r="Y160" i="9"/>
  <c r="AS9" i="11"/>
  <c r="AB193" i="9"/>
  <c r="AU46" i="11"/>
  <c r="AD201" i="9" s="1"/>
  <c r="AF201" i="9"/>
  <c r="AA170" i="9"/>
  <c r="AA149" i="9"/>
  <c r="AA151" i="9" s="1"/>
  <c r="AA152" i="9" s="1"/>
  <c r="AA160" i="9"/>
  <c r="AG45" i="11"/>
  <c r="N200" i="9"/>
  <c r="N204" i="9" s="1"/>
  <c r="N205" i="9" s="1"/>
  <c r="AC188" i="9"/>
  <c r="Z184" i="9"/>
  <c r="AC133" i="9"/>
  <c r="AC134" i="9" s="1"/>
  <c r="AD145" i="9"/>
  <c r="CH93" i="12"/>
  <c r="CH96" i="12" s="1"/>
  <c r="CF170" i="11"/>
  <c r="CF11" i="11" s="1"/>
  <c r="CD170" i="11"/>
  <c r="CH170" i="11"/>
  <c r="CK11" i="11"/>
  <c r="BT194" i="9" s="1"/>
  <c r="AY144" i="11"/>
  <c r="AH193" i="9" s="1"/>
  <c r="AH147" i="9" s="1"/>
  <c r="AV133" i="11"/>
  <c r="AQ7" i="11"/>
  <c r="BV11" i="11"/>
  <c r="DA66" i="11"/>
  <c r="DA80" i="11" s="1"/>
  <c r="BU152" i="11"/>
  <c r="BD193" i="9"/>
  <c r="BD147" i="9" s="1"/>
  <c r="BU145" i="11"/>
  <c r="CC135" i="11"/>
  <c r="CC144" i="11" s="1"/>
  <c r="DA171" i="11"/>
  <c r="DA170" i="11" s="1"/>
  <c r="CS170" i="11"/>
  <c r="BC144" i="11"/>
  <c r="AL193" i="9" s="1"/>
  <c r="AL147" i="9" s="1"/>
  <c r="BY170" i="11"/>
  <c r="BY11" i="11" s="1"/>
  <c r="BH194" i="9" s="1"/>
  <c r="CA11" i="11"/>
  <c r="BJ194" i="9" s="1"/>
  <c r="AW185" i="11"/>
  <c r="AW184" i="11"/>
  <c r="BR48" i="11"/>
  <c r="BE10" i="11"/>
  <c r="BE46" i="11"/>
  <c r="CC12" i="11"/>
  <c r="CC48" i="11"/>
  <c r="BL202" i="9" s="1"/>
  <c r="BQ170" i="11"/>
  <c r="BQ11" i="11" s="1"/>
  <c r="BS11" i="11"/>
  <c r="AX9" i="11"/>
  <c r="AX10" i="11" s="1"/>
  <c r="BE183" i="11"/>
  <c r="BE134" i="11"/>
  <c r="BE158" i="11" s="1"/>
  <c r="BE8" i="11"/>
  <c r="AY133" i="11"/>
  <c r="AH192" i="9" s="1"/>
  <c r="BW170" i="11"/>
  <c r="BW11" i="11" s="1"/>
  <c r="BZ11" i="11"/>
  <c r="BI194" i="9" s="1"/>
  <c r="R81" i="11"/>
  <c r="Q82" i="11"/>
  <c r="Q84" i="11" s="1"/>
  <c r="Q85" i="11" s="1"/>
  <c r="BH144" i="11"/>
  <c r="BF144" i="11"/>
  <c r="AO193" i="9" s="1"/>
  <c r="Y293" i="9"/>
  <c r="BY259" i="9"/>
  <c r="Z278" i="9"/>
  <c r="Z255" i="9" s="1"/>
  <c r="AE277" i="9"/>
  <c r="CJ259" i="9"/>
  <c r="CH258" i="9"/>
  <c r="CH259" i="9" s="1"/>
  <c r="CG258" i="9"/>
  <c r="AC293" i="9"/>
  <c r="AA188" i="8"/>
  <c r="AA23" i="8"/>
  <c r="AB188" i="8"/>
  <c r="AB23" i="8"/>
  <c r="Q97" i="6"/>
  <c r="R63" i="6"/>
  <c r="AB15" i="4"/>
  <c r="BD192" i="9" l="1"/>
  <c r="BP133" i="11"/>
  <c r="BR133" i="11"/>
  <c r="BN133" i="11"/>
  <c r="AW192" i="9" s="1"/>
  <c r="AV144" i="9"/>
  <c r="AV184" i="9"/>
  <c r="AV133" i="9" s="1"/>
  <c r="BM8" i="11"/>
  <c r="BM16" i="11"/>
  <c r="AQ193" i="9"/>
  <c r="AQ147" i="9" s="1"/>
  <c r="AQ148" i="9" s="1"/>
  <c r="BH9" i="11"/>
  <c r="BH10" i="11" s="1"/>
  <c r="AQ192" i="9"/>
  <c r="AQ184" i="9" s="1"/>
  <c r="BH7" i="11"/>
  <c r="BH8" i="11" s="1"/>
  <c r="AU194" i="9"/>
  <c r="BG144" i="11"/>
  <c r="AS193" i="9"/>
  <c r="BG133" i="11"/>
  <c r="AS192" i="9"/>
  <c r="AO185" i="9"/>
  <c r="AO136" i="9" s="1"/>
  <c r="AO137" i="9" s="1"/>
  <c r="AO147" i="9"/>
  <c r="AO148" i="9" s="1"/>
  <c r="AO184" i="9"/>
  <c r="AO144" i="9"/>
  <c r="AI184" i="9"/>
  <c r="AI133" i="9" s="1"/>
  <c r="AN201" i="9"/>
  <c r="BE22" i="11"/>
  <c r="AI255" i="9"/>
  <c r="AG136" i="9"/>
  <c r="AG137" i="9" s="1"/>
  <c r="AH144" i="9"/>
  <c r="AG144" i="9"/>
  <c r="AG184" i="9"/>
  <c r="BD109" i="10"/>
  <c r="BE109" i="10"/>
  <c r="BB109" i="10"/>
  <c r="AZ109" i="10"/>
  <c r="BA133" i="11"/>
  <c r="BA7" i="11" s="1"/>
  <c r="BC7" i="11"/>
  <c r="BC8" i="11" s="1"/>
  <c r="AS7" i="11"/>
  <c r="BK113" i="10"/>
  <c r="BK18" i="10"/>
  <c r="BL18" i="10" s="1"/>
  <c r="BB18" i="10"/>
  <c r="BB20" i="10" s="1"/>
  <c r="BP169" i="9" s="1"/>
  <c r="BP149" i="9" s="1"/>
  <c r="BD20" i="10"/>
  <c r="BR169" i="9" s="1"/>
  <c r="BR149" i="9" s="1"/>
  <c r="BG113" i="10"/>
  <c r="BG18" i="10"/>
  <c r="BG20" i="10" s="1"/>
  <c r="BU169" i="9" s="1"/>
  <c r="BU149" i="9" s="1"/>
  <c r="AZ18" i="10"/>
  <c r="BC20" i="10"/>
  <c r="BT169" i="9"/>
  <c r="BT149" i="9" s="1"/>
  <c r="BF33" i="10"/>
  <c r="AW18" i="10"/>
  <c r="AW20" i="10" s="1"/>
  <c r="BK169" i="9" s="1"/>
  <c r="BK149" i="9" s="1"/>
  <c r="AR20" i="10"/>
  <c r="BF169" i="9" s="1"/>
  <c r="BF149" i="9" s="1"/>
  <c r="BI113" i="10"/>
  <c r="BI18" i="10"/>
  <c r="BI20" i="10" s="1"/>
  <c r="BW169" i="9" s="1"/>
  <c r="BW149" i="9" s="1"/>
  <c r="BL177" i="9"/>
  <c r="AN33" i="10"/>
  <c r="AT18" i="10"/>
  <c r="AT20" i="10" s="1"/>
  <c r="BH169" i="9" s="1"/>
  <c r="BH149" i="9" s="1"/>
  <c r="AV20" i="10"/>
  <c r="BJ169" i="9" s="1"/>
  <c r="BJ149" i="9" s="1"/>
  <c r="BI169" i="9"/>
  <c r="BI149" i="9" s="1"/>
  <c r="AU33" i="10"/>
  <c r="BI177" i="9" s="1"/>
  <c r="BQ85" i="10"/>
  <c r="BO85" i="10"/>
  <c r="BT85" i="10"/>
  <c r="BT113" i="10" s="1"/>
  <c r="BR85" i="10"/>
  <c r="BR113" i="10" s="1"/>
  <c r="BV113" i="10"/>
  <c r="BP85" i="10"/>
  <c r="BP113" i="10" s="1"/>
  <c r="BV18" i="10"/>
  <c r="BU85" i="10"/>
  <c r="BU113" i="10" s="1"/>
  <c r="BS85" i="10"/>
  <c r="BN20" i="10"/>
  <c r="BW12" i="11"/>
  <c r="BF194" i="9"/>
  <c r="BK49" i="11"/>
  <c r="BC109" i="10"/>
  <c r="S91" i="9"/>
  <c r="BT12" i="11"/>
  <c r="BC194" i="9"/>
  <c r="AY109" i="10"/>
  <c r="BN109" i="10"/>
  <c r="BH81" i="10"/>
  <c r="BJ81" i="10"/>
  <c r="BM81" i="10"/>
  <c r="BK81" i="10"/>
  <c r="BL81" i="10"/>
  <c r="BI81" i="10"/>
  <c r="BG81" i="10"/>
  <c r="BV81" i="10"/>
  <c r="CF12" i="11"/>
  <c r="BO194" i="9"/>
  <c r="BS12" i="11"/>
  <c r="BB194" i="9"/>
  <c r="AU47" i="11"/>
  <c r="BQ12" i="11"/>
  <c r="AZ194" i="9"/>
  <c r="BS48" i="11"/>
  <c r="BA202" i="9"/>
  <c r="BV12" i="11"/>
  <c r="BE194" i="9"/>
  <c r="BA109" i="10"/>
  <c r="AA138" i="9"/>
  <c r="AA140" i="9" s="1"/>
  <c r="AA141" i="9" s="1"/>
  <c r="AA162" i="9"/>
  <c r="BK133" i="11"/>
  <c r="AV7" i="11"/>
  <c r="AV5" i="11" s="1"/>
  <c r="AE192" i="9"/>
  <c r="AY9" i="11"/>
  <c r="AY10" i="11" s="1"/>
  <c r="AB144" i="9"/>
  <c r="Y138" i="9"/>
  <c r="Y140" i="9" s="1"/>
  <c r="Y141" i="9" s="1"/>
  <c r="Y162" i="9"/>
  <c r="AY7" i="11"/>
  <c r="AY8" i="11" s="1"/>
  <c r="BD144" i="9"/>
  <c r="DB271" i="5"/>
  <c r="CZ271" i="5" s="1"/>
  <c r="AQ5" i="11"/>
  <c r="CV173" i="5"/>
  <c r="BK144" i="11"/>
  <c r="BD133" i="11"/>
  <c r="AM192" i="9" s="1"/>
  <c r="Z133" i="9"/>
  <c r="Z134" i="9" s="1"/>
  <c r="AE184" i="9"/>
  <c r="Z188" i="9"/>
  <c r="AB147" i="9"/>
  <c r="AB148" i="9" s="1"/>
  <c r="AC196" i="9"/>
  <c r="AC97" i="9"/>
  <c r="AC116" i="9"/>
  <c r="Z117" i="9"/>
  <c r="Z116" i="9" s="1"/>
  <c r="Z145" i="9"/>
  <c r="BF9" i="11"/>
  <c r="BF10" i="11" s="1"/>
  <c r="BZ12" i="11"/>
  <c r="BZ48" i="11"/>
  <c r="BI202" i="9" s="1"/>
  <c r="BB8" i="11"/>
  <c r="BA144" i="11"/>
  <c r="BC9" i="11"/>
  <c r="BC10" i="11" s="1"/>
  <c r="BU7" i="11"/>
  <c r="CE170" i="11"/>
  <c r="CE11" i="11" s="1"/>
  <c r="CH11" i="11"/>
  <c r="BQ194" i="9" s="1"/>
  <c r="BJ9" i="11"/>
  <c r="BJ46" i="11" s="1"/>
  <c r="R82" i="11"/>
  <c r="R84" i="11" s="1"/>
  <c r="R85" i="11" s="1"/>
  <c r="S81" i="11"/>
  <c r="BE184" i="11"/>
  <c r="BE185" i="11"/>
  <c r="CN170" i="11"/>
  <c r="CN11" i="11" s="1"/>
  <c r="CL170" i="11"/>
  <c r="CP170" i="11"/>
  <c r="CS11" i="11"/>
  <c r="CB194" i="9" s="1"/>
  <c r="BB46" i="11"/>
  <c r="AK201" i="9" s="1"/>
  <c r="BB10" i="11"/>
  <c r="CD11" i="11"/>
  <c r="BF7" i="11"/>
  <c r="BF8" i="11" s="1"/>
  <c r="CA12" i="11"/>
  <c r="CV170" i="11"/>
  <c r="CV11" i="11" s="1"/>
  <c r="CE194" i="9" s="1"/>
  <c r="CT170" i="11"/>
  <c r="CX170" i="11"/>
  <c r="DA11" i="11"/>
  <c r="CJ194" i="9" s="1"/>
  <c r="BP144" i="11"/>
  <c r="BN144" i="11"/>
  <c r="AW193" i="9" s="1"/>
  <c r="AW147" i="9" s="1"/>
  <c r="BU9" i="11"/>
  <c r="CI170" i="11"/>
  <c r="BM46" i="11"/>
  <c r="AV201" i="9" s="1"/>
  <c r="BD144" i="11"/>
  <c r="AM193" i="9" s="1"/>
  <c r="AM147" i="9" s="1"/>
  <c r="BM183" i="11"/>
  <c r="BM134" i="11"/>
  <c r="BM158" i="11" s="1"/>
  <c r="BJ7" i="11"/>
  <c r="BY12" i="11"/>
  <c r="CC152" i="11"/>
  <c r="BL193" i="9"/>
  <c r="BL147" i="9" s="1"/>
  <c r="CC145" i="11"/>
  <c r="CK135" i="11"/>
  <c r="CK144" i="11" s="1"/>
  <c r="CC133" i="11"/>
  <c r="CC7" i="11" s="1"/>
  <c r="CB170" i="11"/>
  <c r="CB11" i="11" s="1"/>
  <c r="CK12" i="11"/>
  <c r="CK48" i="11"/>
  <c r="BT202" i="9" s="1"/>
  <c r="Z293" i="9"/>
  <c r="AE278" i="9"/>
  <c r="AE255" i="9" s="1"/>
  <c r="CG259" i="9"/>
  <c r="R97" i="6"/>
  <c r="S63" i="6"/>
  <c r="AC15" i="4"/>
  <c r="BA192" i="9" l="1"/>
  <c r="BR7" i="11"/>
  <c r="BR8" i="11" s="1"/>
  <c r="BA193" i="9"/>
  <c r="BA147" i="9" s="1"/>
  <c r="BR9" i="11"/>
  <c r="BR10" i="11" s="1"/>
  <c r="BM19" i="11"/>
  <c r="BM18" i="11"/>
  <c r="BM23" i="11"/>
  <c r="BM22" i="11"/>
  <c r="BI144" i="11"/>
  <c r="AT193" i="9"/>
  <c r="AT147" i="9" s="1"/>
  <c r="BI133" i="11"/>
  <c r="AT192" i="9"/>
  <c r="AT144" i="9" s="1"/>
  <c r="AQ144" i="9"/>
  <c r="AQ145" i="9" s="1"/>
  <c r="AQ185" i="9"/>
  <c r="AO133" i="9"/>
  <c r="AO134" i="9" s="1"/>
  <c r="AO145" i="9"/>
  <c r="AS144" i="9"/>
  <c r="BG7" i="11"/>
  <c r="BG8" i="11" s="1"/>
  <c r="AP192" i="9"/>
  <c r="AP144" i="9" s="1"/>
  <c r="AS147" i="9"/>
  <c r="BG9" i="11"/>
  <c r="BG10" i="11" s="1"/>
  <c r="AP193" i="9"/>
  <c r="AP147" i="9" s="1"/>
  <c r="BC46" i="11"/>
  <c r="BC47" i="11" s="1"/>
  <c r="BU16" i="11"/>
  <c r="BU23" i="11" s="1"/>
  <c r="AI293" i="9"/>
  <c r="AI256" i="9"/>
  <c r="AM144" i="9"/>
  <c r="BL192" i="9"/>
  <c r="BL144" i="9" s="1"/>
  <c r="AG145" i="9"/>
  <c r="AG117" i="9"/>
  <c r="AG133" i="9"/>
  <c r="AG134" i="9" s="1"/>
  <c r="AG188" i="9"/>
  <c r="BL109" i="10"/>
  <c r="BH109" i="10"/>
  <c r="BM109" i="10"/>
  <c r="BJ109" i="10"/>
  <c r="BA8" i="11"/>
  <c r="AJ192" i="9"/>
  <c r="AJ144" i="9" s="1"/>
  <c r="BK7" i="11"/>
  <c r="BK8" i="11" s="1"/>
  <c r="CJ170" i="11"/>
  <c r="CJ11" i="11" s="1"/>
  <c r="BS194" i="9" s="1"/>
  <c r="BK9" i="11"/>
  <c r="BK10" i="11" s="1"/>
  <c r="CA48" i="11"/>
  <c r="CA49" i="11" s="1"/>
  <c r="BS113" i="10"/>
  <c r="BS18" i="10"/>
  <c r="BT18" i="10" s="1"/>
  <c r="BQ113" i="10"/>
  <c r="BQ18" i="10"/>
  <c r="BQ20" i="10" s="1"/>
  <c r="CE169" i="9" s="1"/>
  <c r="CE149" i="9" s="1"/>
  <c r="BT177" i="9"/>
  <c r="AN131" i="10"/>
  <c r="BB177" i="9"/>
  <c r="BJ18" i="10"/>
  <c r="BJ20" i="10" s="1"/>
  <c r="BX169" i="9" s="1"/>
  <c r="BX149" i="9" s="1"/>
  <c r="BL20" i="10"/>
  <c r="BZ169" i="9" s="1"/>
  <c r="BZ149" i="9" s="1"/>
  <c r="BV20" i="10"/>
  <c r="AV33" i="10"/>
  <c r="BQ169" i="9"/>
  <c r="BQ149" i="9" s="1"/>
  <c r="BC33" i="10"/>
  <c r="BQ177" i="9" s="1"/>
  <c r="BK20" i="10"/>
  <c r="BH18" i="10"/>
  <c r="CB169" i="9"/>
  <c r="CB149" i="9" s="1"/>
  <c r="BN33" i="10"/>
  <c r="BO113" i="10"/>
  <c r="BO18" i="10"/>
  <c r="BO20" i="10" s="1"/>
  <c r="CC169" i="9" s="1"/>
  <c r="CC149" i="9" s="1"/>
  <c r="BE18" i="10"/>
  <c r="BE20" i="10" s="1"/>
  <c r="BS169" i="9" s="1"/>
  <c r="BS149" i="9" s="1"/>
  <c r="AZ20" i="10"/>
  <c r="BN169" i="9" s="1"/>
  <c r="BN149" i="9" s="1"/>
  <c r="CD12" i="11"/>
  <c r="BM194" i="9"/>
  <c r="CN12" i="11"/>
  <c r="BW194" i="9"/>
  <c r="BI109" i="10"/>
  <c r="CE12" i="11"/>
  <c r="BN194" i="9"/>
  <c r="BV109" i="10"/>
  <c r="BP81" i="10"/>
  <c r="BU81" i="10"/>
  <c r="BS81" i="10"/>
  <c r="BO81" i="10"/>
  <c r="BT81" i="10"/>
  <c r="BR81" i="10"/>
  <c r="BQ81" i="10"/>
  <c r="BK109" i="10"/>
  <c r="S90" i="9"/>
  <c r="CB12" i="11"/>
  <c r="BK194" i="9"/>
  <c r="BS49" i="11"/>
  <c r="BB202" i="9"/>
  <c r="BG109" i="10"/>
  <c r="U91" i="9"/>
  <c r="BA144" i="9"/>
  <c r="L4" i="10"/>
  <c r="CV176" i="5"/>
  <c r="CV174" i="5"/>
  <c r="DB144" i="5"/>
  <c r="AE196" i="9"/>
  <c r="DA173" i="5" s="1"/>
  <c r="AE144" i="9"/>
  <c r="BD9" i="11"/>
  <c r="BD10" i="11" s="1"/>
  <c r="BS133" i="11"/>
  <c r="BB192" i="9" s="1"/>
  <c r="O4" i="10"/>
  <c r="AE133" i="9"/>
  <c r="AE188" i="9"/>
  <c r="BP7" i="11"/>
  <c r="BP8" i="11" s="1"/>
  <c r="AY192" i="9"/>
  <c r="BA9" i="11"/>
  <c r="BA10" i="11" s="1"/>
  <c r="AJ193" i="9"/>
  <c r="AJ147" i="9" s="1"/>
  <c r="AC96" i="9"/>
  <c r="BD7" i="11"/>
  <c r="BD8" i="11" s="1"/>
  <c r="CX144" i="5"/>
  <c r="AB145" i="9"/>
  <c r="BP9" i="11"/>
  <c r="BP10" i="11" s="1"/>
  <c r="AY193" i="9"/>
  <c r="AY147" i="9" s="1"/>
  <c r="AW144" i="9"/>
  <c r="AT5" i="11"/>
  <c r="CY173" i="5"/>
  <c r="BX144" i="11"/>
  <c r="BZ144" i="11"/>
  <c r="BI193" i="9" s="1"/>
  <c r="BI147" i="9" s="1"/>
  <c r="BV144" i="11"/>
  <c r="BE193" i="9" s="1"/>
  <c r="BE147" i="9" s="1"/>
  <c r="CC9" i="11"/>
  <c r="BJ8" i="11"/>
  <c r="BO144" i="11"/>
  <c r="CU170" i="11"/>
  <c r="CU11" i="11" s="1"/>
  <c r="CD194" i="9" s="1"/>
  <c r="CX11" i="11"/>
  <c r="CG194" i="9" s="1"/>
  <c r="CS48" i="11"/>
  <c r="CB202" i="9" s="1"/>
  <c r="CS12" i="11"/>
  <c r="S82" i="11"/>
  <c r="S84" i="11" s="1"/>
  <c r="S85" i="11" s="1"/>
  <c r="T81" i="11"/>
  <c r="CH12" i="11"/>
  <c r="CH48" i="11"/>
  <c r="BQ202" i="9" s="1"/>
  <c r="BZ133" i="11"/>
  <c r="BI192" i="9" s="1"/>
  <c r="BV133" i="11"/>
  <c r="BE192" i="9" s="1"/>
  <c r="BX133" i="11"/>
  <c r="BS144" i="11"/>
  <c r="BB193" i="9" s="1"/>
  <c r="CT11" i="11"/>
  <c r="CC194" i="9" s="1"/>
  <c r="CM170" i="11"/>
  <c r="CM11" i="11" s="1"/>
  <c r="CP11" i="11"/>
  <c r="BY194" i="9" s="1"/>
  <c r="CK152" i="11"/>
  <c r="BT193" i="9"/>
  <c r="BT147" i="9" s="1"/>
  <c r="CK145" i="11"/>
  <c r="CS135" i="11"/>
  <c r="CS144" i="11" s="1"/>
  <c r="CK133" i="11"/>
  <c r="BM184" i="11"/>
  <c r="BM185" i="11"/>
  <c r="BU10" i="11"/>
  <c r="BU46" i="11"/>
  <c r="CY170" i="11"/>
  <c r="BL133" i="11"/>
  <c r="CL11" i="11"/>
  <c r="AS201" i="9"/>
  <c r="BJ10" i="11"/>
  <c r="BN7" i="11"/>
  <c r="BN8" i="11" s="1"/>
  <c r="CG170" i="11"/>
  <c r="CG11" i="11" s="1"/>
  <c r="CI11" i="11"/>
  <c r="BN9" i="11"/>
  <c r="BN10" i="11" s="1"/>
  <c r="DA12" i="11"/>
  <c r="DA48" i="11"/>
  <c r="CJ202" i="9" s="1"/>
  <c r="CV12" i="11"/>
  <c r="CQ170" i="11"/>
  <c r="BU183" i="11"/>
  <c r="BU134" i="11"/>
  <c r="BU158" i="11" s="1"/>
  <c r="BU44" i="11"/>
  <c r="BU8" i="11"/>
  <c r="BO133" i="11"/>
  <c r="AX192" i="9" s="1"/>
  <c r="BL144" i="11"/>
  <c r="Z264" i="9"/>
  <c r="Z114" i="9" s="1"/>
  <c r="S97" i="6"/>
  <c r="T63" i="6"/>
  <c r="U63" i="6" s="1"/>
  <c r="AD15" i="4"/>
  <c r="AX144" i="9" l="1"/>
  <c r="BT144" i="11"/>
  <c r="BT9" i="11" s="1"/>
  <c r="AX193" i="9"/>
  <c r="AX147" i="9" s="1"/>
  <c r="AR192" i="9"/>
  <c r="AR144" i="9" s="1"/>
  <c r="BI7" i="11"/>
  <c r="BI8" i="11" s="1"/>
  <c r="BI9" i="11"/>
  <c r="BI10" i="11" s="1"/>
  <c r="AR193" i="9"/>
  <c r="AR147" i="9" s="1"/>
  <c r="BT192" i="9"/>
  <c r="BT144" i="9" s="1"/>
  <c r="CK7" i="11"/>
  <c r="AU192" i="9"/>
  <c r="AU144" i="9" s="1"/>
  <c r="BL7" i="11"/>
  <c r="BL8" i="11" s="1"/>
  <c r="AU193" i="9"/>
  <c r="AU147" i="9" s="1"/>
  <c r="BL9" i="11"/>
  <c r="BL10" i="11" s="1"/>
  <c r="AL201" i="9"/>
  <c r="BD200" i="9"/>
  <c r="BU54" i="11"/>
  <c r="BD201" i="9"/>
  <c r="BU55" i="11"/>
  <c r="CC16" i="11"/>
  <c r="BU22" i="11"/>
  <c r="AG97" i="9"/>
  <c r="AG196" i="9"/>
  <c r="AX5" i="11" s="1"/>
  <c r="BR109" i="10"/>
  <c r="BU109" i="10"/>
  <c r="BT109" i="10"/>
  <c r="BP109" i="10"/>
  <c r="CJ12" i="11"/>
  <c r="BJ202" i="9"/>
  <c r="BS7" i="11"/>
  <c r="BS8" i="11" s="1"/>
  <c r="CB177" i="9"/>
  <c r="BM18" i="10"/>
  <c r="BM20" i="10" s="1"/>
  <c r="CA169" i="9" s="1"/>
  <c r="CA149" i="9" s="1"/>
  <c r="BH20" i="10"/>
  <c r="BV169" i="9" s="1"/>
  <c r="BV149" i="9" s="1"/>
  <c r="AV131" i="10"/>
  <c r="BJ177" i="9"/>
  <c r="BY169" i="9"/>
  <c r="BY149" i="9" s="1"/>
  <c r="BK33" i="10"/>
  <c r="BY177" i="9" s="1"/>
  <c r="CJ169" i="9"/>
  <c r="CJ149" i="9" s="1"/>
  <c r="BV33" i="10"/>
  <c r="BR18" i="10"/>
  <c r="BR20" i="10" s="1"/>
  <c r="CF169" i="9" s="1"/>
  <c r="CF149" i="9" s="1"/>
  <c r="BT20" i="10"/>
  <c r="CH169" i="9" s="1"/>
  <c r="CH149" i="9" s="1"/>
  <c r="BD33" i="10"/>
  <c r="BS20" i="10"/>
  <c r="BP18" i="10"/>
  <c r="CI12" i="11"/>
  <c r="BR194" i="9"/>
  <c r="BO109" i="10"/>
  <c r="Z97" i="9"/>
  <c r="I41" i="13"/>
  <c r="V91" i="9"/>
  <c r="CG12" i="11"/>
  <c r="BP194" i="9"/>
  <c r="BQ133" i="11"/>
  <c r="AZ192" i="9" s="1"/>
  <c r="CI48" i="11"/>
  <c r="BR202" i="9" s="1"/>
  <c r="BQ109" i="10"/>
  <c r="BS109" i="10"/>
  <c r="CM12" i="11"/>
  <c r="BV194" i="9"/>
  <c r="CL12" i="11"/>
  <c r="BU194" i="9"/>
  <c r="U90" i="9"/>
  <c r="BI144" i="9"/>
  <c r="AW145" i="9"/>
  <c r="AY144" i="9"/>
  <c r="BB144" i="9"/>
  <c r="BO7" i="11"/>
  <c r="BO8" i="11" s="1"/>
  <c r="AE134" i="9"/>
  <c r="AE117" i="9"/>
  <c r="AE97" i="9" s="1"/>
  <c r="CV177" i="5"/>
  <c r="L6" i="10"/>
  <c r="L25" i="10"/>
  <c r="L26" i="10"/>
  <c r="L9" i="10"/>
  <c r="BK46" i="11"/>
  <c r="AT201" i="9" s="1"/>
  <c r="BX7" i="11"/>
  <c r="BX8" i="11" s="1"/>
  <c r="BG192" i="9"/>
  <c r="CA144" i="11"/>
  <c r="BJ193" i="9" s="1"/>
  <c r="CY176" i="5"/>
  <c r="CY174" i="5"/>
  <c r="O6" i="10"/>
  <c r="O26" i="10"/>
  <c r="O25" i="10"/>
  <c r="O9" i="10"/>
  <c r="DA176" i="5"/>
  <c r="DA177" i="5" s="1"/>
  <c r="DA174" i="5"/>
  <c r="BB147" i="9"/>
  <c r="BE144" i="9"/>
  <c r="BO9" i="11"/>
  <c r="BO10" i="11" s="1"/>
  <c r="BX9" i="11"/>
  <c r="BX10" i="11" s="1"/>
  <c r="BG193" i="9"/>
  <c r="BG147" i="9" s="1"/>
  <c r="BU184" i="11"/>
  <c r="BU185" i="11"/>
  <c r="BT133" i="11"/>
  <c r="CH133" i="11"/>
  <c r="BQ192" i="9" s="1"/>
  <c r="CD133" i="11"/>
  <c r="BM192" i="9" s="1"/>
  <c r="CF133" i="11"/>
  <c r="CT12" i="11"/>
  <c r="CC183" i="11"/>
  <c r="CC134" i="11"/>
  <c r="CC158" i="11" s="1"/>
  <c r="CC44" i="11"/>
  <c r="CC8" i="11"/>
  <c r="BW133" i="11"/>
  <c r="CB133" i="11" s="1"/>
  <c r="BZ7" i="11"/>
  <c r="CO170" i="11"/>
  <c r="CO11" i="11" s="1"/>
  <c r="CQ11" i="11"/>
  <c r="CW170" i="11"/>
  <c r="CW11" i="11" s="1"/>
  <c r="CF194" i="9" s="1"/>
  <c r="CY11" i="11"/>
  <c r="CS145" i="11"/>
  <c r="CB193" i="9"/>
  <c r="CB147" i="9" s="1"/>
  <c r="CS152" i="11"/>
  <c r="CS133" i="11"/>
  <c r="CB192" i="9" s="1"/>
  <c r="DA135" i="11"/>
  <c r="CP48" i="11"/>
  <c r="BY202" i="9" s="1"/>
  <c r="CP12" i="11"/>
  <c r="CZ170" i="11"/>
  <c r="CZ11" i="11" s="1"/>
  <c r="CI194" i="9" s="1"/>
  <c r="CA133" i="11"/>
  <c r="BJ192" i="9" s="1"/>
  <c r="U81" i="11"/>
  <c r="T82" i="11"/>
  <c r="T84" i="11" s="1"/>
  <c r="T85" i="11" s="1"/>
  <c r="CX48" i="11"/>
  <c r="CG202" i="9" s="1"/>
  <c r="CX12" i="11"/>
  <c r="CC10" i="11"/>
  <c r="CC46" i="11"/>
  <c r="BQ144" i="11"/>
  <c r="BS9" i="11"/>
  <c r="BS10" i="11" s="1"/>
  <c r="CU12" i="11"/>
  <c r="BV9" i="11"/>
  <c r="BV10" i="11" s="1"/>
  <c r="CR170" i="11"/>
  <c r="CR11" i="11" s="1"/>
  <c r="CF144" i="11"/>
  <c r="CH144" i="11"/>
  <c r="BQ193" i="9" s="1"/>
  <c r="CD144" i="11"/>
  <c r="BM193" i="9" s="1"/>
  <c r="BM147" i="9" s="1"/>
  <c r="CK9" i="11"/>
  <c r="BV7" i="11"/>
  <c r="BV8" i="11" s="1"/>
  <c r="BR46" i="11"/>
  <c r="BW144" i="11"/>
  <c r="BZ9" i="11"/>
  <c r="T97" i="6"/>
  <c r="DA133" i="11" l="1"/>
  <c r="DA144" i="11"/>
  <c r="BC193" i="9"/>
  <c r="BC147" i="9" s="1"/>
  <c r="CC22" i="11"/>
  <c r="DB16" i="11"/>
  <c r="BF28" i="11"/>
  <c r="BN28" i="11" s="1"/>
  <c r="BF27" i="11"/>
  <c r="BN27" i="11" s="1"/>
  <c r="CC23" i="11"/>
  <c r="BL200" i="9"/>
  <c r="CC54" i="11"/>
  <c r="BL201" i="9"/>
  <c r="CC55" i="11"/>
  <c r="CK16" i="11"/>
  <c r="DC16" i="11" s="1"/>
  <c r="CY177" i="5"/>
  <c r="Z96" i="9"/>
  <c r="CI49" i="11"/>
  <c r="BQ7" i="11"/>
  <c r="BQ8" i="11" s="1"/>
  <c r="CA9" i="11"/>
  <c r="CA10" i="11" s="1"/>
  <c r="CY48" i="11"/>
  <c r="CH202" i="9" s="1"/>
  <c r="BT10" i="11"/>
  <c r="BD131" i="10"/>
  <c r="BR177" i="9"/>
  <c r="CJ177" i="9"/>
  <c r="BL33" i="10"/>
  <c r="BU18" i="10"/>
  <c r="BU20" i="10" s="1"/>
  <c r="CI169" i="9" s="1"/>
  <c r="CI149" i="9" s="1"/>
  <c r="BP20" i="10"/>
  <c r="CD169" i="9" s="1"/>
  <c r="CD149" i="9" s="1"/>
  <c r="CG169" i="9"/>
  <c r="CG149" i="9" s="1"/>
  <c r="BS33" i="10"/>
  <c r="CG177" i="9" s="1"/>
  <c r="BY144" i="11"/>
  <c r="BH193" i="9" s="1"/>
  <c r="BH147" i="9" s="1"/>
  <c r="CQ48" i="11"/>
  <c r="V90" i="9"/>
  <c r="CQ12" i="11"/>
  <c r="BZ194" i="9"/>
  <c r="W91" i="9"/>
  <c r="CR12" i="11"/>
  <c r="CA194" i="9"/>
  <c r="CY12" i="11"/>
  <c r="CH194" i="9"/>
  <c r="CO12" i="11"/>
  <c r="BX194" i="9"/>
  <c r="BW9" i="11"/>
  <c r="BW10" i="11" s="1"/>
  <c r="BF193" i="9"/>
  <c r="BF147" i="9" s="1"/>
  <c r="BJ144" i="9"/>
  <c r="CF7" i="11"/>
  <c r="CF8" i="11" s="1"/>
  <c r="BO192" i="9"/>
  <c r="AZ144" i="9"/>
  <c r="CB7" i="11"/>
  <c r="BK192" i="9"/>
  <c r="BW7" i="11"/>
  <c r="BW8" i="11" s="1"/>
  <c r="BF192" i="9"/>
  <c r="BM144" i="9"/>
  <c r="BT7" i="11"/>
  <c r="BT8" i="11" s="1"/>
  <c r="BC192" i="9"/>
  <c r="L24" i="10"/>
  <c r="Z168" i="9"/>
  <c r="Q9" i="10"/>
  <c r="BQ147" i="9"/>
  <c r="BQ9" i="11"/>
  <c r="BQ10" i="11" s="1"/>
  <c r="AZ193" i="9"/>
  <c r="AZ147" i="9" s="1"/>
  <c r="CB144" i="9"/>
  <c r="BQ144" i="9"/>
  <c r="AC168" i="9"/>
  <c r="O32" i="10"/>
  <c r="O24" i="10"/>
  <c r="BK47" i="11"/>
  <c r="BS46" i="11"/>
  <c r="BA201" i="9"/>
  <c r="CF9" i="11"/>
  <c r="CF10" i="11" s="1"/>
  <c r="BO193" i="9"/>
  <c r="BO147" i="9" s="1"/>
  <c r="BE145" i="9"/>
  <c r="BJ147" i="9"/>
  <c r="BG144" i="9"/>
  <c r="CE144" i="11"/>
  <c r="CJ144" i="11" s="1"/>
  <c r="CH9" i="11"/>
  <c r="DA152" i="11"/>
  <c r="CJ193" i="9"/>
  <c r="CJ147" i="9" s="1"/>
  <c r="DA145" i="11"/>
  <c r="CK183" i="11"/>
  <c r="CK134" i="11"/>
  <c r="CK158" i="11" s="1"/>
  <c r="CK44" i="11"/>
  <c r="CK8" i="11"/>
  <c r="CE133" i="11"/>
  <c r="CJ133" i="11" s="1"/>
  <c r="CH7" i="11"/>
  <c r="BZ46" i="11"/>
  <c r="BI201" i="9" s="1"/>
  <c r="BZ10" i="11"/>
  <c r="CI144" i="11"/>
  <c r="BR193" i="9" s="1"/>
  <c r="V81" i="11"/>
  <c r="U82" i="11"/>
  <c r="U84" i="11" s="1"/>
  <c r="U85" i="11" s="1"/>
  <c r="CZ12" i="11"/>
  <c r="CP133" i="11"/>
  <c r="BY192" i="9" s="1"/>
  <c r="CL133" i="11"/>
  <c r="BU192" i="9" s="1"/>
  <c r="CN133" i="11"/>
  <c r="CS7" i="11"/>
  <c r="CW12" i="11"/>
  <c r="BZ44" i="11"/>
  <c r="BI200" i="9" s="1"/>
  <c r="BZ8" i="11"/>
  <c r="CI133" i="11"/>
  <c r="BR192" i="9" s="1"/>
  <c r="CK10" i="11"/>
  <c r="CK46" i="11"/>
  <c r="BY133" i="11"/>
  <c r="CA7" i="11"/>
  <c r="CA8" i="11" s="1"/>
  <c r="CC185" i="11"/>
  <c r="CC184" i="11"/>
  <c r="CD9" i="11"/>
  <c r="CD10" i="11" s="1"/>
  <c r="CB144" i="11"/>
  <c r="CN144" i="11"/>
  <c r="CP144" i="11"/>
  <c r="BY193" i="9" s="1"/>
  <c r="CL144" i="11"/>
  <c r="BU193" i="9" s="1"/>
  <c r="BU147" i="9" s="1"/>
  <c r="CS9" i="11"/>
  <c r="CD7" i="11"/>
  <c r="CD8" i="11" s="1"/>
  <c r="U97" i="6"/>
  <c r="V63" i="6"/>
  <c r="W63" i="6" s="1"/>
  <c r="W97" i="6" s="1"/>
  <c r="BF26" i="11" l="1"/>
  <c r="CK23" i="11"/>
  <c r="BT200" i="9"/>
  <c r="CK54" i="11"/>
  <c r="BT201" i="9"/>
  <c r="CK55" i="11"/>
  <c r="CK22" i="11"/>
  <c r="CS16" i="11"/>
  <c r="CS23" i="11" s="1"/>
  <c r="CJ192" i="9"/>
  <c r="CJ144" i="9" s="1"/>
  <c r="DA7" i="11"/>
  <c r="BY9" i="11"/>
  <c r="BY10" i="11" s="1"/>
  <c r="CY49" i="11"/>
  <c r="BT33" i="10"/>
  <c r="CH177" i="9" s="1"/>
  <c r="BL131" i="10"/>
  <c r="BZ177" i="9"/>
  <c r="X91" i="9"/>
  <c r="CQ144" i="11"/>
  <c r="BZ193" i="9" s="1"/>
  <c r="BZ147" i="9" s="1"/>
  <c r="W90" i="9"/>
  <c r="CQ49" i="11"/>
  <c r="BZ202" i="9"/>
  <c r="CB9" i="11"/>
  <c r="CB10" i="11" s="1"/>
  <c r="BK193" i="9"/>
  <c r="BY7" i="11"/>
  <c r="BY8" i="11" s="1"/>
  <c r="BH192" i="9"/>
  <c r="BY144" i="9"/>
  <c r="BR147" i="9"/>
  <c r="CE7" i="11"/>
  <c r="CE8" i="11" s="1"/>
  <c r="BN192" i="9"/>
  <c r="Z149" i="9"/>
  <c r="Z151" i="9" s="1"/>
  <c r="Z152" i="9" s="1"/>
  <c r="Z170" i="9"/>
  <c r="BO144" i="9"/>
  <c r="CN9" i="11"/>
  <c r="CN10" i="11" s="1"/>
  <c r="BW193" i="9"/>
  <c r="BW147" i="9" s="1"/>
  <c r="CA46" i="11"/>
  <c r="CQ133" i="11"/>
  <c r="BZ192" i="9" s="1"/>
  <c r="CA44" i="11"/>
  <c r="BJ200" i="9" s="1"/>
  <c r="CE9" i="11"/>
  <c r="CE10" i="11" s="1"/>
  <c r="BN193" i="9"/>
  <c r="AC176" i="9"/>
  <c r="AC178" i="9" s="1"/>
  <c r="AC124" i="9" s="1"/>
  <c r="O34" i="10"/>
  <c r="O35" i="10" s="1"/>
  <c r="BM145" i="9"/>
  <c r="BR144" i="9"/>
  <c r="CN7" i="11"/>
  <c r="CN8" i="11" s="1"/>
  <c r="BW192" i="9"/>
  <c r="BS47" i="11"/>
  <c r="BB201" i="9"/>
  <c r="AC170" i="9"/>
  <c r="AC149" i="9"/>
  <c r="AC151" i="9" s="1"/>
  <c r="AC152" i="9" s="1"/>
  <c r="AC160" i="9"/>
  <c r="BC144" i="9"/>
  <c r="BF144" i="9"/>
  <c r="BK144" i="9"/>
  <c r="CJ7" i="11"/>
  <c r="CJ8" i="11" s="1"/>
  <c r="BS192" i="9"/>
  <c r="BY147" i="9"/>
  <c r="CJ9" i="11"/>
  <c r="BS193" i="9"/>
  <c r="BU144" i="9"/>
  <c r="AE168" i="9"/>
  <c r="CB8" i="11"/>
  <c r="CL9" i="11"/>
  <c r="CL10" i="11" s="1"/>
  <c r="CG144" i="11"/>
  <c r="CI9" i="11"/>
  <c r="CI10" i="11" s="1"/>
  <c r="CK184" i="11"/>
  <c r="CK185" i="11"/>
  <c r="CM144" i="11"/>
  <c r="CP9" i="11"/>
  <c r="CG133" i="11"/>
  <c r="CI7" i="11"/>
  <c r="CI8" i="11" s="1"/>
  <c r="CV144" i="11"/>
  <c r="CX144" i="11"/>
  <c r="CG193" i="9" s="1"/>
  <c r="CG147" i="9" s="1"/>
  <c r="CT144" i="11"/>
  <c r="CC193" i="9" s="1"/>
  <c r="CC147" i="9" s="1"/>
  <c r="DA9" i="11"/>
  <c r="CL7" i="11"/>
  <c r="CL8" i="11" s="1"/>
  <c r="V82" i="11"/>
  <c r="V84" i="11" s="1"/>
  <c r="V85" i="11" s="1"/>
  <c r="W81" i="11"/>
  <c r="CH46" i="11"/>
  <c r="BQ201" i="9" s="1"/>
  <c r="CH10" i="11"/>
  <c r="CS46" i="11"/>
  <c r="CS10" i="11"/>
  <c r="CS183" i="11"/>
  <c r="CS134" i="11"/>
  <c r="CS158" i="11" s="1"/>
  <c r="CS44" i="11"/>
  <c r="CS8" i="11"/>
  <c r="CM133" i="11"/>
  <c r="CP7" i="11"/>
  <c r="CH44" i="11"/>
  <c r="CH8" i="11"/>
  <c r="CX133" i="11"/>
  <c r="CG192" i="9" s="1"/>
  <c r="CT133" i="11"/>
  <c r="CC192" i="9" s="1"/>
  <c r="CV133" i="11"/>
  <c r="V97" i="6"/>
  <c r="CB200" i="9" l="1"/>
  <c r="CS54" i="11"/>
  <c r="CB201" i="9"/>
  <c r="CS55" i="11"/>
  <c r="CS22" i="11"/>
  <c r="DA16" i="11"/>
  <c r="DA23" i="11" s="1"/>
  <c r="CQ9" i="11"/>
  <c r="CQ10" i="11" s="1"/>
  <c r="CO144" i="11"/>
  <c r="BX193" i="9" s="1"/>
  <c r="BX147" i="9" s="1"/>
  <c r="CA45" i="11"/>
  <c r="CJ10" i="11"/>
  <c r="BT131" i="10"/>
  <c r="CQ7" i="11"/>
  <c r="CI46" i="11"/>
  <c r="BR201" i="9" s="1"/>
  <c r="X240" i="9"/>
  <c r="X90" i="9"/>
  <c r="CO133" i="11"/>
  <c r="BX192" i="9" s="1"/>
  <c r="AD233" i="9"/>
  <c r="AB233" i="9" s="1"/>
  <c r="AE149" i="9"/>
  <c r="BS144" i="9"/>
  <c r="BW144" i="9"/>
  <c r="AC125" i="9"/>
  <c r="AC128" i="9"/>
  <c r="CV7" i="11"/>
  <c r="CV8" i="11" s="1"/>
  <c r="CE192" i="9"/>
  <c r="BQ200" i="9"/>
  <c r="CM9" i="11"/>
  <c r="CM10" i="11" s="1"/>
  <c r="BV193" i="9"/>
  <c r="Z160" i="9"/>
  <c r="AC138" i="9"/>
  <c r="AC140" i="9" s="1"/>
  <c r="AC141" i="9" s="1"/>
  <c r="AC162" i="9"/>
  <c r="BZ144" i="9"/>
  <c r="BH144" i="9"/>
  <c r="CC144" i="9"/>
  <c r="CV9" i="11"/>
  <c r="CV10" i="11" s="1"/>
  <c r="CE193" i="9"/>
  <c r="CE147" i="9" s="1"/>
  <c r="CG7" i="11"/>
  <c r="CG8" i="11" s="1"/>
  <c r="BP192" i="9"/>
  <c r="BS147" i="9"/>
  <c r="BN147" i="9"/>
  <c r="CA47" i="11"/>
  <c r="BJ201" i="9"/>
  <c r="CG144" i="9"/>
  <c r="CM7" i="11"/>
  <c r="CM8" i="11" s="1"/>
  <c r="BV192" i="9"/>
  <c r="CG9" i="11"/>
  <c r="CG10" i="11" s="1"/>
  <c r="BP193" i="9"/>
  <c r="BP147" i="9" s="1"/>
  <c r="BU145" i="9"/>
  <c r="BN144" i="9"/>
  <c r="BK147" i="9"/>
  <c r="DA183" i="11"/>
  <c r="DA134" i="11"/>
  <c r="DA158" i="11" s="1"/>
  <c r="DA44" i="11"/>
  <c r="DA8" i="11"/>
  <c r="CU133" i="11"/>
  <c r="CZ133" i="11" s="1"/>
  <c r="CX7" i="11"/>
  <c r="CS184" i="11"/>
  <c r="CS185" i="11"/>
  <c r="CT9" i="11"/>
  <c r="CT10" i="11" s="1"/>
  <c r="CY133" i="11"/>
  <c r="CH192" i="9" s="1"/>
  <c r="CU144" i="11"/>
  <c r="CX9" i="11"/>
  <c r="CI44" i="11"/>
  <c r="BR200" i="9" s="1"/>
  <c r="CR133" i="11"/>
  <c r="CY144" i="11"/>
  <c r="CH193" i="9" s="1"/>
  <c r="CT7" i="11"/>
  <c r="CT8" i="11" s="1"/>
  <c r="CP44" i="11"/>
  <c r="CP8" i="11"/>
  <c r="W82" i="11"/>
  <c r="W84" i="11" s="1"/>
  <c r="W85" i="11" s="1"/>
  <c r="X81" i="11"/>
  <c r="DA10" i="11"/>
  <c r="DA46" i="11"/>
  <c r="CP46" i="11"/>
  <c r="CP10" i="11"/>
  <c r="CR144" i="11"/>
  <c r="X63" i="6"/>
  <c r="CJ201" i="9" l="1"/>
  <c r="DA55" i="11"/>
  <c r="DA54" i="11"/>
  <c r="DA22" i="11"/>
  <c r="CO9" i="11"/>
  <c r="CO10" i="11" s="1"/>
  <c r="CJ200" i="9"/>
  <c r="CI47" i="11"/>
  <c r="CQ8" i="11"/>
  <c r="CO7" i="11"/>
  <c r="CO8" i="11" s="1"/>
  <c r="BY200" i="9"/>
  <c r="CU9" i="11"/>
  <c r="CU10" i="11" s="1"/>
  <c r="CD193" i="9"/>
  <c r="CD147" i="9" s="1"/>
  <c r="CU7" i="11"/>
  <c r="CU8" i="11" s="1"/>
  <c r="CD192" i="9"/>
  <c r="BX144" i="9"/>
  <c r="BV147" i="9"/>
  <c r="AC129" i="9"/>
  <c r="AT41" i="11"/>
  <c r="AE151" i="9"/>
  <c r="CQ46" i="11"/>
  <c r="BY201" i="9"/>
  <c r="BP144" i="9"/>
  <c r="Z162" i="9"/>
  <c r="Z138" i="9"/>
  <c r="Z140" i="9" s="1"/>
  <c r="Z141" i="9" s="1"/>
  <c r="AE160" i="9"/>
  <c r="CR9" i="11"/>
  <c r="CR10" i="11" s="1"/>
  <c r="CA193" i="9"/>
  <c r="CZ7" i="11"/>
  <c r="CI192" i="9"/>
  <c r="CH147" i="9"/>
  <c r="BV144" i="9"/>
  <c r="CC145" i="9"/>
  <c r="CE144" i="9"/>
  <c r="CR7" i="11"/>
  <c r="CR8" i="11" s="1"/>
  <c r="CA192" i="9"/>
  <c r="CH144" i="9"/>
  <c r="CI45" i="11"/>
  <c r="Y81" i="11"/>
  <c r="X82" i="11"/>
  <c r="X84" i="11" s="1"/>
  <c r="X85" i="11" s="1"/>
  <c r="CX10" i="11"/>
  <c r="CX46" i="11"/>
  <c r="CG201" i="9" s="1"/>
  <c r="CX44" i="11"/>
  <c r="CX8" i="11"/>
  <c r="CW144" i="11"/>
  <c r="CY9" i="11"/>
  <c r="CY10" i="11" s="1"/>
  <c r="CW133" i="11"/>
  <c r="CY7" i="11"/>
  <c r="CY8" i="11" s="1"/>
  <c r="CQ44" i="11"/>
  <c r="BZ200" i="9" s="1"/>
  <c r="CZ144" i="11"/>
  <c r="DA184" i="11"/>
  <c r="DA185" i="11"/>
  <c r="X97" i="6"/>
  <c r="Y63" i="6"/>
  <c r="CY46" i="11" l="1"/>
  <c r="CH201" i="9" s="1"/>
  <c r="CW9" i="11"/>
  <c r="CW10" i="11" s="1"/>
  <c r="CF193" i="9"/>
  <c r="CF147" i="9" s="1"/>
  <c r="CQ47" i="11"/>
  <c r="BZ201" i="9"/>
  <c r="CZ9" i="11"/>
  <c r="CZ10" i="11" s="1"/>
  <c r="CI193" i="9"/>
  <c r="CI144" i="9"/>
  <c r="AT42" i="11"/>
  <c r="AT44" i="11"/>
  <c r="CW7" i="11"/>
  <c r="CW8" i="11" s="1"/>
  <c r="CF192" i="9"/>
  <c r="CG200" i="9"/>
  <c r="CA144" i="9"/>
  <c r="CZ8" i="11"/>
  <c r="AE138" i="9"/>
  <c r="AE162" i="9"/>
  <c r="CD144" i="9"/>
  <c r="CA147" i="9"/>
  <c r="CQ45" i="11"/>
  <c r="Z81" i="11"/>
  <c r="Y82" i="11"/>
  <c r="Y84" i="11" s="1"/>
  <c r="Y85" i="11" s="1"/>
  <c r="CY44" i="11"/>
  <c r="CH200" i="9" s="1"/>
  <c r="Y97" i="6"/>
  <c r="Z63" i="6"/>
  <c r="CY47" i="11" l="1"/>
  <c r="CF144" i="9"/>
  <c r="AC200" i="9"/>
  <c r="AC204" i="9" s="1"/>
  <c r="AC205" i="9" s="1"/>
  <c r="AT45" i="11"/>
  <c r="CI147" i="9"/>
  <c r="AE140" i="9"/>
  <c r="AE141" i="9" s="1"/>
  <c r="CY45" i="11"/>
  <c r="Z82" i="11"/>
  <c r="Z84" i="11" s="1"/>
  <c r="Z85" i="11" s="1"/>
  <c r="AA81" i="11"/>
  <c r="Z97" i="6"/>
  <c r="AA63" i="6"/>
  <c r="AA82" i="11" l="1"/>
  <c r="AA84" i="11" s="1"/>
  <c r="AA85" i="11" s="1"/>
  <c r="AB81" i="11"/>
  <c r="AA97" i="6"/>
  <c r="AB63" i="6"/>
  <c r="AB97" i="6" s="1"/>
  <c r="DB157" i="5" l="1"/>
  <c r="DJ160" i="5" s="1"/>
  <c r="AF87" i="9"/>
  <c r="AC81" i="11"/>
  <c r="AB82" i="11"/>
  <c r="AB84" i="11" s="1"/>
  <c r="AB85" i="11" s="1"/>
  <c r="DB166" i="5" l="1"/>
  <c r="DB160" i="5"/>
  <c r="AD81" i="11"/>
  <c r="AC82" i="11"/>
  <c r="AC84" i="11" s="1"/>
  <c r="AC85" i="11" s="1"/>
  <c r="AB114" i="9" l="1"/>
  <c r="AD82" i="11"/>
  <c r="AD84" i="11" s="1"/>
  <c r="AD85" i="11" s="1"/>
  <c r="AE81" i="11"/>
  <c r="AF10" i="9" l="1"/>
  <c r="AF13" i="9" s="1"/>
  <c r="AD13" i="9" s="1"/>
  <c r="AF71" i="9"/>
  <c r="K41" i="13"/>
  <c r="AE82" i="11"/>
  <c r="AE84" i="11" s="1"/>
  <c r="AF74" i="11"/>
  <c r="AD28" i="9" l="1"/>
  <c r="CZ157" i="5"/>
  <c r="DH160" i="5" s="1"/>
  <c r="AD46" i="9"/>
  <c r="DB27" i="5"/>
  <c r="DB34" i="5" s="1"/>
  <c r="DB3" i="5"/>
  <c r="U79" i="3"/>
  <c r="AE85" i="11"/>
  <c r="AF85" i="11"/>
  <c r="DB156" i="5" l="1"/>
  <c r="DJ159" i="5" s="1"/>
  <c r="AF86" i="9"/>
  <c r="DB11" i="5"/>
  <c r="DB17" i="5"/>
  <c r="AD49" i="9"/>
  <c r="CZ160" i="5"/>
  <c r="CZ166" i="5"/>
  <c r="CY14" i="5" l="1"/>
  <c r="DB24" i="5"/>
  <c r="DB37" i="5" s="1"/>
  <c r="CV14" i="5"/>
  <c r="CU14" i="5"/>
  <c r="CW14" i="5"/>
  <c r="DB13" i="5"/>
  <c r="DB170" i="5"/>
  <c r="DB165" i="5"/>
  <c r="DB158" i="5"/>
  <c r="DJ161" i="5" s="1"/>
  <c r="DB159" i="5"/>
  <c r="U13" i="3"/>
  <c r="U24" i="3" s="1"/>
  <c r="DB171" i="5" l="1"/>
  <c r="DJ171" i="5"/>
  <c r="DB270" i="5"/>
  <c r="CZ270" i="5" s="1"/>
  <c r="DB167" i="5"/>
  <c r="DB161" i="5"/>
  <c r="U85" i="3"/>
  <c r="U91" i="3" s="1"/>
  <c r="DB51" i="5"/>
  <c r="DB60" i="5" s="1"/>
  <c r="AD31" i="9"/>
  <c r="DB275" i="5"/>
  <c r="CZ275" i="5" s="1"/>
  <c r="CX157" i="5"/>
  <c r="DF160" i="5" s="1"/>
  <c r="DB168" i="5" l="1"/>
  <c r="DJ168" i="5"/>
  <c r="U27" i="7"/>
  <c r="DB257" i="5"/>
  <c r="CX166" i="5"/>
  <c r="CX160" i="5"/>
  <c r="U15" i="3" l="1"/>
  <c r="CZ156" i="5"/>
  <c r="DH159" i="5" s="1"/>
  <c r="DB260" i="5"/>
  <c r="CZ257" i="5"/>
  <c r="CZ260" i="5" s="1"/>
  <c r="DB277" i="5"/>
  <c r="DB324" i="5" s="1"/>
  <c r="DB269" i="5"/>
  <c r="U16" i="3" l="1"/>
  <c r="U30" i="3"/>
  <c r="DB272" i="5"/>
  <c r="DB322" i="5" s="1"/>
  <c r="CZ269" i="5"/>
  <c r="CZ272" i="5" s="1"/>
  <c r="CZ322" i="5" s="1"/>
  <c r="CZ277" i="5"/>
  <c r="DB276" i="5"/>
  <c r="CZ165" i="5"/>
  <c r="CZ158" i="5"/>
  <c r="DH161" i="5" s="1"/>
  <c r="CZ159" i="5"/>
  <c r="CZ170" i="5"/>
  <c r="DH171" i="5" s="1"/>
  <c r="DB39" i="5"/>
  <c r="DB44" i="5" s="1"/>
  <c r="U14" i="3"/>
  <c r="CZ171" i="5" l="1"/>
  <c r="U31" i="3"/>
  <c r="DB94" i="5"/>
  <c r="CZ39" i="5"/>
  <c r="DB50" i="5"/>
  <c r="DB76" i="5" s="1"/>
  <c r="DB91" i="5" s="1"/>
  <c r="CZ324" i="5"/>
  <c r="CZ276" i="5"/>
  <c r="CX156" i="5"/>
  <c r="DF159" i="5" s="1"/>
  <c r="CZ161" i="5"/>
  <c r="CZ167" i="5"/>
  <c r="DH168" i="5" s="1"/>
  <c r="U29" i="3"/>
  <c r="U25" i="3"/>
  <c r="DB114" i="5" l="1"/>
  <c r="DB309" i="5" s="1"/>
  <c r="DB320" i="5" s="1"/>
  <c r="CZ320" i="5" s="1"/>
  <c r="DB100" i="5"/>
  <c r="CZ94" i="5"/>
  <c r="DB98" i="5"/>
  <c r="CZ98" i="5" s="1"/>
  <c r="U17" i="3"/>
  <c r="CZ168" i="5"/>
  <c r="CX170" i="5"/>
  <c r="DF171" i="5" s="1"/>
  <c r="CX158" i="5"/>
  <c r="DF161" i="5" s="1"/>
  <c r="CX159" i="5"/>
  <c r="CX165" i="5"/>
  <c r="DB67" i="5"/>
  <c r="DB118" i="5" l="1"/>
  <c r="U32" i="3"/>
  <c r="CZ44" i="5"/>
  <c r="DB69" i="5"/>
  <c r="CX161" i="5"/>
  <c r="CX167" i="5"/>
  <c r="DF168" i="5" s="1"/>
  <c r="DB256" i="5"/>
  <c r="U19" i="3"/>
  <c r="U41" i="3" s="1"/>
  <c r="CX171" i="5"/>
  <c r="U54" i="3"/>
  <c r="U39" i="3" s="1"/>
  <c r="U18" i="3"/>
  <c r="DB77" i="5" l="1"/>
  <c r="DB92" i="5" s="1"/>
  <c r="DB115" i="5" s="1"/>
  <c r="DB119" i="5" s="1"/>
  <c r="U67" i="3"/>
  <c r="CX168" i="5"/>
  <c r="U26" i="3"/>
  <c r="U20" i="3"/>
  <c r="U103" i="6"/>
  <c r="U104" i="6"/>
  <c r="U34" i="3" l="1"/>
  <c r="U46" i="3"/>
  <c r="U33" i="3"/>
  <c r="U70" i="3" l="1"/>
  <c r="U72" i="3" s="1"/>
  <c r="DB278" i="5"/>
  <c r="DB323" i="5" s="1"/>
  <c r="DB325" i="5" s="1"/>
  <c r="DB332" i="5" s="1"/>
  <c r="W103" i="4"/>
  <c r="W104" i="4" l="1"/>
  <c r="W102" i="4"/>
  <c r="U71" i="3"/>
  <c r="DB282" i="5"/>
  <c r="CZ278" i="5"/>
  <c r="CZ282" i="5" l="1"/>
  <c r="CZ323" i="5"/>
  <c r="AF67" i="9" l="1"/>
  <c r="AD5" i="9"/>
  <c r="AF6" i="9"/>
  <c r="AF211" i="9" s="1"/>
  <c r="AF209" i="9" l="1"/>
  <c r="AF219" i="9"/>
  <c r="AF221" i="9"/>
  <c r="AF244" i="9"/>
  <c r="AF242" i="9"/>
  <c r="AB5" i="9"/>
  <c r="AD98" i="9"/>
  <c r="AF69" i="9"/>
  <c r="AD7" i="9"/>
  <c r="AF104" i="9"/>
  <c r="AF68" i="9"/>
  <c r="AD6" i="9"/>
  <c r="AF8" i="9"/>
  <c r="AD8" i="9" s="1"/>
  <c r="AF54" i="9"/>
  <c r="AF21" i="9" s="1"/>
  <c r="AD51" i="9"/>
  <c r="AD52" i="9" s="1"/>
  <c r="AF52" i="9"/>
  <c r="AF210" i="9" l="1"/>
  <c r="AF228" i="9"/>
  <c r="AF226" i="9" s="1"/>
  <c r="AF55" i="9"/>
  <c r="AD232" i="9"/>
  <c r="AF17" i="9"/>
  <c r="AD17" i="9" s="1"/>
  <c r="AD221" i="9"/>
  <c r="AF18" i="9"/>
  <c r="AD18" i="9" s="1"/>
  <c r="AD244" i="9"/>
  <c r="AB8" i="9"/>
  <c r="AD9" i="9"/>
  <c r="AD21" i="9"/>
  <c r="AB6" i="9"/>
  <c r="AB7" i="9"/>
  <c r="AB98" i="9"/>
  <c r="AD54" i="9"/>
  <c r="AD61" i="9" l="1"/>
  <c r="AL12" i="9"/>
  <c r="AL13" i="9"/>
  <c r="AD62" i="9"/>
  <c r="AF16" i="9"/>
  <c r="AD16" i="9" s="1"/>
  <c r="AD22" i="9" s="1"/>
  <c r="AD38" i="9" s="1"/>
  <c r="AN237" i="9"/>
  <c r="AB232" i="9"/>
  <c r="AD234" i="9"/>
  <c r="AD60" i="9"/>
  <c r="AD77" i="9"/>
  <c r="AD47" i="9"/>
  <c r="AD10" i="9"/>
  <c r="AD11" i="9" s="1"/>
  <c r="CZ27" i="5" s="1"/>
  <c r="CZ3" i="5"/>
  <c r="AD29" i="9"/>
  <c r="AD32" i="9"/>
  <c r="AB9" i="9"/>
  <c r="AB61" i="9" s="1"/>
  <c r="AD55" i="9"/>
  <c r="AD245" i="9" l="1"/>
  <c r="AB234" i="9"/>
  <c r="AF108" i="9"/>
  <c r="AF112" i="9" s="1"/>
  <c r="AD64" i="9"/>
  <c r="AK240" i="9"/>
  <c r="AB62" i="9"/>
  <c r="AB60" i="9"/>
  <c r="AB10" i="9"/>
  <c r="AB77" i="9"/>
  <c r="CX3" i="5"/>
  <c r="CZ17" i="5"/>
  <c r="AD82" i="9"/>
  <c r="AD81" i="9"/>
  <c r="AD80" i="9"/>
  <c r="CZ51" i="5"/>
  <c r="AD26" i="9"/>
  <c r="AD23" i="9"/>
  <c r="BL52" i="9"/>
  <c r="AI240" i="9" l="1"/>
  <c r="AI233" i="9"/>
  <c r="AI241" i="9" s="1"/>
  <c r="AH232" i="9"/>
  <c r="AM232" i="9" s="1"/>
  <c r="AG240" i="9"/>
  <c r="AD83" i="9"/>
  <c r="AB64" i="9"/>
  <c r="CX27" i="5"/>
  <c r="AB13" i="9"/>
  <c r="CX17" i="5"/>
  <c r="AB81" i="9"/>
  <c r="AB82" i="9"/>
  <c r="AB80" i="9"/>
  <c r="BI52" i="9"/>
  <c r="BT52" i="9"/>
  <c r="CZ60" i="5"/>
  <c r="AH240" i="9" l="1"/>
  <c r="AM240" i="9"/>
  <c r="AB83" i="9"/>
  <c r="CB52" i="9"/>
  <c r="BQ52" i="9"/>
  <c r="BY52" i="9" l="1"/>
  <c r="CJ52" i="9"/>
  <c r="CG52" i="9" l="1"/>
  <c r="AE98" i="9" l="1"/>
  <c r="AE96" i="9" s="1"/>
  <c r="AE9" i="9"/>
  <c r="DA3" i="5" s="1"/>
  <c r="DA17" i="5" s="1"/>
  <c r="AE10" i="9" l="1"/>
  <c r="AE13" i="9" s="1"/>
  <c r="DA11" i="5"/>
  <c r="DA14" i="5" s="1"/>
  <c r="AE61" i="9"/>
  <c r="AE60" i="9"/>
  <c r="AE77" i="9"/>
  <c r="AE62" i="9"/>
  <c r="DA13" i="5" l="1"/>
  <c r="DI35" i="5"/>
  <c r="DA24" i="5"/>
  <c r="DA37" i="5" s="1"/>
  <c r="DA36" i="5" s="1"/>
  <c r="AE80" i="9"/>
  <c r="AE81" i="9"/>
  <c r="AE76" i="9"/>
  <c r="AE64" i="9"/>
  <c r="AE82" i="9" l="1"/>
  <c r="AE83" i="9" s="1"/>
  <c r="DA156" i="5"/>
  <c r="DA159" i="5" l="1"/>
  <c r="DA158" i="5"/>
  <c r="DA161" i="5" l="1"/>
  <c r="AD42" i="12"/>
  <c r="AD43" i="12" s="1"/>
  <c r="AF114" i="9"/>
  <c r="AF118" i="9" l="1"/>
  <c r="AF116" i="9" s="1"/>
  <c r="AW18" i="11"/>
  <c r="AW19" i="11"/>
  <c r="AF186" i="9"/>
  <c r="AD186" i="9" s="1"/>
  <c r="AB186" i="9" s="1"/>
  <c r="AF161" i="9"/>
  <c r="AD161" i="9" s="1"/>
  <c r="AB161" i="9" s="1"/>
  <c r="AF185" i="9"/>
  <c r="AF184" i="9"/>
  <c r="AF126" i="9"/>
  <c r="O41" i="13"/>
  <c r="AF97" i="9"/>
  <c r="AD118" i="9" l="1"/>
  <c r="AD266" i="9" s="1"/>
  <c r="AF266" i="9"/>
  <c r="AF269" i="9" s="1"/>
  <c r="AF130" i="9"/>
  <c r="R4" i="10"/>
  <c r="R6" i="10" s="1"/>
  <c r="AF122" i="9"/>
  <c r="AF133" i="9"/>
  <c r="AD184" i="9"/>
  <c r="AB184" i="9" s="1"/>
  <c r="AB133" i="9" s="1"/>
  <c r="AF136" i="9"/>
  <c r="AD185" i="9"/>
  <c r="AB185" i="9" s="1"/>
  <c r="AB136" i="9" s="1"/>
  <c r="AF96" i="9"/>
  <c r="AF103" i="9"/>
  <c r="O42" i="13"/>
  <c r="AB118" i="9" l="1"/>
  <c r="AB266" i="9" s="1"/>
  <c r="AB269" i="9" s="1"/>
  <c r="AB271" i="9" s="1"/>
  <c r="AF267" i="9"/>
  <c r="AF281" i="9" s="1"/>
  <c r="R26" i="10"/>
  <c r="R5" i="10"/>
  <c r="AF120" i="9"/>
  <c r="AF271" i="9"/>
  <c r="AF273" i="9"/>
  <c r="AF277" i="9"/>
  <c r="AF278" i="9" s="1"/>
  <c r="AD278" i="9" s="1"/>
  <c r="AF102" i="9"/>
  <c r="AD269" i="9"/>
  <c r="AD277" i="9" s="1"/>
  <c r="AB277" i="9" l="1"/>
  <c r="AB278" i="9" s="1"/>
  <c r="AB255" i="9" s="1"/>
  <c r="AF272" i="9"/>
  <c r="AF274" i="9" s="1"/>
  <c r="AF255" i="9"/>
  <c r="AD271" i="9"/>
  <c r="AD255" i="9" s="1"/>
  <c r="AF256" i="9" l="1"/>
  <c r="AF280" i="9"/>
  <c r="AF293" i="9"/>
  <c r="AD293" i="9" s="1"/>
  <c r="AB293" i="9" s="1"/>
  <c r="AF282" i="9"/>
  <c r="AB42" i="12" l="1"/>
  <c r="AD114" i="9"/>
  <c r="AF283" i="9"/>
  <c r="AD136" i="9" l="1"/>
  <c r="M41" i="13"/>
  <c r="AD133" i="9" l="1"/>
  <c r="AF197" i="9" l="1"/>
  <c r="DB173" i="5"/>
  <c r="DB176" i="5" s="1"/>
  <c r="DB177" i="5" s="1"/>
  <c r="AW5" i="11"/>
  <c r="AW17" i="11" s="1"/>
  <c r="DB174" i="5" l="1"/>
  <c r="AW13" i="11"/>
  <c r="AU13" i="11" s="1"/>
  <c r="AW6" i="11"/>
  <c r="AW32" i="11" s="1"/>
  <c r="AW50" i="11" l="1"/>
  <c r="AW14" i="11"/>
  <c r="AF195" i="9"/>
  <c r="AD195" i="9"/>
  <c r="AS13" i="11"/>
  <c r="AB195" i="9" s="1"/>
  <c r="AI195" i="9" l="1"/>
  <c r="AU50" i="11"/>
  <c r="AD203" i="9" s="1"/>
  <c r="AK195" i="9"/>
  <c r="AK150" i="9" s="1"/>
  <c r="AF203" i="9"/>
  <c r="AF150" i="9"/>
  <c r="AF187" i="9"/>
  <c r="AD196" i="9"/>
  <c r="AD150" i="9"/>
  <c r="AB196" i="9"/>
  <c r="AB150" i="9"/>
  <c r="AI187" i="9" l="1"/>
  <c r="AI150" i="9"/>
  <c r="AI117" i="9" s="1"/>
  <c r="AI97" i="9" s="1"/>
  <c r="AI96" i="9" s="1"/>
  <c r="AI90" i="9" s="1"/>
  <c r="AU51" i="11"/>
  <c r="BB50" i="11"/>
  <c r="BB14" i="11"/>
  <c r="AF139" i="9"/>
  <c r="AD187" i="9"/>
  <c r="AF188" i="9"/>
  <c r="AF189" i="9" s="1"/>
  <c r="AB117" i="9"/>
  <c r="AD117" i="9"/>
  <c r="AS5" i="11"/>
  <c r="CX173" i="5"/>
  <c r="AU5" i="11"/>
  <c r="CZ173" i="5"/>
  <c r="AI196" i="9" l="1"/>
  <c r="AI116" i="9"/>
  <c r="AI121" i="9"/>
  <c r="DE144" i="5" s="1"/>
  <c r="AI139" i="9"/>
  <c r="AI188" i="9"/>
  <c r="AK203" i="9"/>
  <c r="AB187" i="9"/>
  <c r="AD188" i="9"/>
  <c r="AD139" i="9"/>
  <c r="AX6" i="11"/>
  <c r="AX32" i="11" s="1"/>
  <c r="AX14" i="11"/>
  <c r="AY13" i="11"/>
  <c r="AH195" i="9" s="1"/>
  <c r="AK117" i="9"/>
  <c r="CX176" i="5"/>
  <c r="CX177" i="5" s="1"/>
  <c r="CX174" i="5"/>
  <c r="AD121" i="9"/>
  <c r="CZ144" i="5" s="1"/>
  <c r="AD116" i="9"/>
  <c r="AD97" i="9"/>
  <c r="CZ176" i="5"/>
  <c r="CZ177" i="5" s="1"/>
  <c r="CZ174" i="5"/>
  <c r="AB97" i="9"/>
  <c r="AB116" i="9"/>
  <c r="AZ5" i="11" l="1"/>
  <c r="DE173" i="5"/>
  <c r="DE176" i="5" s="1"/>
  <c r="DE177" i="5" s="1"/>
  <c r="AI103" i="9"/>
  <c r="AI102" i="9"/>
  <c r="AI120" i="9"/>
  <c r="U4" i="10"/>
  <c r="AK196" i="9"/>
  <c r="BB5" i="11" s="1"/>
  <c r="AH150" i="9"/>
  <c r="AH196" i="9"/>
  <c r="DC173" i="5"/>
  <c r="DC174" i="5" s="1"/>
  <c r="AB139" i="9"/>
  <c r="AB188" i="9"/>
  <c r="BD13" i="11"/>
  <c r="AM195" i="9" s="1"/>
  <c r="AY5" i="11"/>
  <c r="AY6" i="11" s="1"/>
  <c r="AY32" i="11" s="1"/>
  <c r="AY14" i="11"/>
  <c r="AD96" i="9"/>
  <c r="N4" i="10"/>
  <c r="AB96" i="9"/>
  <c r="P4" i="10"/>
  <c r="BB6" i="11" l="1"/>
  <c r="BB32" i="11" s="1"/>
  <c r="BJ28" i="11"/>
  <c r="BJ27" i="11"/>
  <c r="BR27" i="11" s="1"/>
  <c r="AZ6" i="11"/>
  <c r="AZ32" i="11" s="1"/>
  <c r="BH27" i="11"/>
  <c r="BP27" i="11" s="1"/>
  <c r="BH28" i="11"/>
  <c r="BP28" i="11" s="1"/>
  <c r="DG173" i="5"/>
  <c r="U6" i="10"/>
  <c r="U5" i="10"/>
  <c r="AM150" i="9"/>
  <c r="AM117" i="9" s="1"/>
  <c r="AM196" i="9"/>
  <c r="DD173" i="5"/>
  <c r="AH117" i="9"/>
  <c r="BD5" i="11"/>
  <c r="BD6" i="11" s="1"/>
  <c r="BD32" i="11" s="1"/>
  <c r="BD14" i="11"/>
  <c r="AK121" i="9"/>
  <c r="DG144" i="5" s="1"/>
  <c r="DE174" i="5"/>
  <c r="P25" i="10"/>
  <c r="P26" i="10"/>
  <c r="P6" i="10"/>
  <c r="N26" i="10"/>
  <c r="N6" i="10"/>
  <c r="N25" i="10"/>
  <c r="BO27" i="11" l="1"/>
  <c r="BG28" i="11"/>
  <c r="BR28" i="11"/>
  <c r="BR26" i="11" s="1"/>
  <c r="BH26" i="11"/>
  <c r="BJ26" i="11"/>
  <c r="BG26" i="11" s="1"/>
  <c r="BG27" i="11"/>
  <c r="DG176" i="5"/>
  <c r="DG177" i="5" s="1"/>
  <c r="DG174" i="5"/>
  <c r="DD174" i="5"/>
  <c r="DD176" i="5"/>
  <c r="DD177" i="5" s="1"/>
  <c r="DI173" i="5"/>
  <c r="DI174" i="5" s="1"/>
  <c r="AG121" i="9"/>
  <c r="DC144" i="5" s="1"/>
  <c r="BO28" i="11" l="1"/>
  <c r="AH121" i="9"/>
  <c r="DD144" i="5" s="1"/>
  <c r="AM121" i="9" l="1"/>
  <c r="P41" i="13" l="1"/>
  <c r="AG103" i="9" l="1"/>
  <c r="BJ261" i="9" l="1"/>
  <c r="EH125" i="5"/>
  <c r="BI261" i="9"/>
  <c r="BK261" i="9"/>
  <c r="EG163" i="5" s="1"/>
  <c r="BE261" i="9"/>
  <c r="EH163" i="5"/>
  <c r="BJ187" i="12" l="1"/>
  <c r="EE125" i="5"/>
  <c r="EE163" i="5"/>
  <c r="EF163" i="5"/>
  <c r="EF125" i="5"/>
  <c r="EH128" i="5"/>
  <c r="EH127" i="5"/>
  <c r="BF261" i="9"/>
  <c r="EA163" i="5"/>
  <c r="EH129" i="5" l="1"/>
  <c r="EP129" i="5"/>
  <c r="EB163" i="5"/>
  <c r="BG261" i="9"/>
  <c r="BJ188" i="12"/>
  <c r="BR188" i="12"/>
  <c r="BJ160" i="12"/>
  <c r="BC18" i="13" l="1"/>
  <c r="BR19" i="12"/>
  <c r="BR8" i="12" s="1"/>
  <c r="BJ19" i="12"/>
  <c r="BJ8" i="12" s="1"/>
  <c r="AU18" i="13"/>
  <c r="EH36" i="5"/>
  <c r="EP36" i="5"/>
  <c r="BJ163" i="12"/>
  <c r="BJ197" i="12"/>
  <c r="BR163" i="12"/>
  <c r="EC163" i="5"/>
  <c r="BH261" i="9"/>
  <c r="ED163" i="5" s="1"/>
  <c r="BJ6" i="12" l="1"/>
  <c r="BC8" i="12"/>
  <c r="BG8" i="12"/>
  <c r="BE8" i="12"/>
  <c r="BE6" i="12" s="1"/>
  <c r="BK8" i="12"/>
  <c r="BM8" i="12"/>
  <c r="BM6" i="12" s="1"/>
  <c r="BR6" i="12"/>
  <c r="BO8" i="12"/>
  <c r="BE19" i="12"/>
  <c r="BG19" i="12"/>
  <c r="BC19" i="12"/>
  <c r="AR18" i="13"/>
  <c r="AP18" i="13"/>
  <c r="AN18" i="13"/>
  <c r="BK19" i="12"/>
  <c r="BO19" i="12"/>
  <c r="BM19" i="12"/>
  <c r="AV18" i="13"/>
  <c r="AZ18" i="13"/>
  <c r="AX18" i="13"/>
  <c r="BJ75" i="12"/>
  <c r="BG6" i="12" l="1"/>
  <c r="BK6" i="12"/>
  <c r="BC6" i="12"/>
  <c r="BO6" i="12"/>
  <c r="BJ83" i="12" l="1"/>
  <c r="BJ90" i="12"/>
  <c r="BJ77" i="12"/>
  <c r="BJ80" i="12" s="1"/>
  <c r="BJ93" i="12" l="1"/>
  <c r="BJ96" i="12" s="1"/>
  <c r="AB16" i="12" l="1"/>
  <c r="AJ17" i="12"/>
  <c r="DH28" i="5" s="1"/>
  <c r="AB37" i="12"/>
  <c r="AB38" i="12" s="1"/>
  <c r="Z16" i="12"/>
  <c r="Z19" i="12" s="1"/>
  <c r="AD16" i="12"/>
  <c r="AD19" i="12" s="1"/>
  <c r="AB19" i="12" s="1"/>
  <c r="CZ4" i="5"/>
  <c r="AJ19" i="12"/>
  <c r="DF28" i="5"/>
  <c r="CX4" i="5"/>
  <c r="CZ18" i="5" l="1"/>
  <c r="CX18" i="5"/>
  <c r="DJ28" i="5"/>
  <c r="AJ18" i="12"/>
  <c r="AB21" i="12"/>
  <c r="AB34" i="12" s="1"/>
  <c r="AB22" i="12" l="1"/>
  <c r="AB25" i="12"/>
  <c r="CZ52" i="5"/>
  <c r="AF13" i="12"/>
  <c r="AK13" i="12" s="1"/>
  <c r="AE15" i="12" l="1"/>
  <c r="AF10" i="12"/>
  <c r="CZ61" i="5"/>
  <c r="AM16" i="12" l="1"/>
  <c r="AM19" i="12" s="1"/>
  <c r="AN12" i="12"/>
  <c r="AN11" i="12"/>
  <c r="AN13" i="12"/>
  <c r="AF15" i="12"/>
  <c r="AN16" i="12" s="1"/>
  <c r="AN19" i="12" s="1"/>
  <c r="DK28" i="5"/>
  <c r="AK10" i="12"/>
  <c r="DD180" i="5"/>
  <c r="DL184" i="5" s="1"/>
  <c r="AI30" i="12"/>
  <c r="DG4" i="5"/>
  <c r="AE16" i="12"/>
  <c r="AE19" i="12" s="1"/>
  <c r="AF19" i="12" s="1"/>
  <c r="AK19" i="12" s="1"/>
  <c r="DC4" i="5"/>
  <c r="AF11" i="12"/>
  <c r="AS11" i="12" l="1"/>
  <c r="AS13" i="12"/>
  <c r="AS12" i="12"/>
  <c r="DO18" i="5"/>
  <c r="AK11" i="12"/>
  <c r="DI180" i="5"/>
  <c r="AK15" i="12"/>
  <c r="AS19" i="12" s="1"/>
  <c r="DG61" i="5"/>
  <c r="DD184" i="5"/>
  <c r="DD181" i="5"/>
  <c r="AJ21" i="12"/>
  <c r="AJ34" i="12" s="1"/>
  <c r="AJ15" i="12"/>
  <c r="DG18" i="5"/>
  <c r="DC18" i="5"/>
  <c r="AF16" i="12"/>
  <c r="DD4" i="5"/>
  <c r="DL18" i="5" s="1"/>
  <c r="AJ16" i="12" l="1"/>
  <c r="AR16" i="12"/>
  <c r="AR18" i="12"/>
  <c r="AR19" i="12"/>
  <c r="AS17" i="12"/>
  <c r="DQ28" i="5" s="1"/>
  <c r="AS18" i="12"/>
  <c r="DI4" i="5"/>
  <c r="AS16" i="12"/>
  <c r="DI181" i="5"/>
  <c r="DQ184" i="5"/>
  <c r="DD185" i="5"/>
  <c r="DL185" i="5"/>
  <c r="AK16" i="12"/>
  <c r="DI184" i="5"/>
  <c r="AJ22" i="12"/>
  <c r="DH52" i="5"/>
  <c r="AJ25" i="12"/>
  <c r="AJ30" i="12"/>
  <c r="AJ31" i="12" s="1"/>
  <c r="DH4" i="5"/>
  <c r="DP18" i="5" s="1"/>
  <c r="V80" i="3"/>
  <c r="DJ4" i="5"/>
  <c r="AJ37" i="12"/>
  <c r="AJ38" i="12" s="1"/>
  <c r="AH15" i="12"/>
  <c r="AP16" i="12" s="1"/>
  <c r="AP19" i="12" s="1"/>
  <c r="DD18" i="5"/>
  <c r="DJ18" i="5" l="1"/>
  <c r="DR18" i="5"/>
  <c r="DI185" i="5"/>
  <c r="DQ185" i="5"/>
  <c r="DI18" i="5"/>
  <c r="DQ18" i="5"/>
  <c r="DH61" i="5"/>
  <c r="AH16" i="12"/>
  <c r="AH19" i="12" s="1"/>
  <c r="DH18" i="5"/>
  <c r="DF4" i="5"/>
  <c r="DN18" i="5" s="1"/>
  <c r="DJ52" i="5"/>
  <c r="DJ61" i="5" s="1"/>
  <c r="V86" i="3"/>
  <c r="V92" i="3" s="1"/>
  <c r="BA7" i="12" l="1"/>
  <c r="DF18" i="5"/>
  <c r="AB17" i="12" l="1"/>
  <c r="CX28" i="5" l="1"/>
  <c r="CZ28" i="5"/>
  <c r="AB27" i="12" l="1"/>
  <c r="AB28" i="12" s="1"/>
  <c r="AD28" i="12"/>
  <c r="AI27" i="12" s="1"/>
  <c r="AJ27" i="12" l="1"/>
  <c r="AJ28" i="12" s="1"/>
  <c r="BG28" i="12" l="1"/>
  <c r="AB39" i="12" l="1"/>
  <c r="AB40" i="12" s="1"/>
  <c r="AD40" i="12"/>
  <c r="AJ39" i="12" l="1"/>
  <c r="AJ40" i="12" s="1"/>
  <c r="BG40" i="12" l="1"/>
  <c r="BR40" i="12"/>
  <c r="BO40" i="12" l="1"/>
  <c r="BZ40" i="12"/>
  <c r="BW40" i="12" l="1"/>
  <c r="CH40" i="12"/>
  <c r="CE40" i="12" l="1"/>
  <c r="M20" i="13" l="1"/>
  <c r="M33" i="13" s="1"/>
  <c r="M36" i="13"/>
  <c r="DJ35" i="5" l="1"/>
  <c r="M29" i="13"/>
  <c r="M24" i="13"/>
  <c r="CZ53" i="5"/>
  <c r="CZ50" i="5" s="1"/>
  <c r="U7" i="13" l="1"/>
  <c r="S7" i="13" s="1"/>
  <c r="AF35" i="9"/>
  <c r="AD34" i="9"/>
  <c r="AD35" i="9" s="1"/>
  <c r="U4" i="13" l="1"/>
  <c r="M16" i="13"/>
  <c r="CZ29" i="5" s="1"/>
  <c r="CZ34" i="5" s="1"/>
  <c r="O18" i="13"/>
  <c r="DH187" i="5" l="1"/>
  <c r="DP191" i="5" s="1"/>
  <c r="AC5" i="13"/>
  <c r="AC6" i="13"/>
  <c r="AC7" i="13"/>
  <c r="DH191" i="5"/>
  <c r="U5" i="13"/>
  <c r="S4" i="13"/>
  <c r="M18" i="13"/>
  <c r="CX29" i="5"/>
  <c r="CX34" i="5" s="1"/>
  <c r="AA7" i="13" l="1"/>
  <c r="DF187" i="5"/>
  <c r="DF191" i="5" s="1"/>
  <c r="AA5" i="13"/>
  <c r="AA6" i="13"/>
  <c r="S5" i="13"/>
  <c r="M12" i="13"/>
  <c r="K12" i="13" s="1"/>
  <c r="DB188" i="5" l="1"/>
  <c r="DJ192" i="5" s="1"/>
  <c r="M9" i="13"/>
  <c r="U18" i="13" l="1"/>
  <c r="M21" i="13"/>
  <c r="M15" i="13"/>
  <c r="CZ5" i="5"/>
  <c r="U17" i="13"/>
  <c r="S17" i="13" s="1"/>
  <c r="M37" i="13"/>
  <c r="M30" i="13"/>
  <c r="M10" i="13"/>
  <c r="K9" i="13"/>
  <c r="CZ188" i="5"/>
  <c r="U11" i="13"/>
  <c r="DJ29" i="5"/>
  <c r="DB189" i="5"/>
  <c r="DB192" i="5"/>
  <c r="DB193" i="5" l="1"/>
  <c r="DJ193" i="5"/>
  <c r="CZ62" i="5"/>
  <c r="CZ19" i="5"/>
  <c r="CZ11" i="5"/>
  <c r="S11" i="13"/>
  <c r="DF29" i="5" s="1"/>
  <c r="CX5" i="5"/>
  <c r="K15" i="13"/>
  <c r="K18" i="13" s="1"/>
  <c r="K10" i="13"/>
  <c r="CX188" i="5"/>
  <c r="Q12" i="13"/>
  <c r="V12" i="13" s="1"/>
  <c r="U9" i="13"/>
  <c r="CZ192" i="5"/>
  <c r="CZ189" i="5"/>
  <c r="CZ193" i="5" s="1"/>
  <c r="U12" i="13"/>
  <c r="S12" i="13" s="1"/>
  <c r="U16" i="13"/>
  <c r="DH29" i="5" s="1"/>
  <c r="DH188" i="5" l="1"/>
  <c r="DP192" i="5" s="1"/>
  <c r="AC11" i="13"/>
  <c r="AC10" i="13"/>
  <c r="AC12" i="13"/>
  <c r="DH192" i="5"/>
  <c r="DH189" i="5"/>
  <c r="CZ24" i="5"/>
  <c r="CZ37" i="5" s="1"/>
  <c r="CZ36" i="5" s="1"/>
  <c r="CZ14" i="5"/>
  <c r="CZ13" i="5"/>
  <c r="CZ69" i="5" s="1"/>
  <c r="CZ77" i="5" s="1"/>
  <c r="CZ92" i="5" s="1"/>
  <c r="CZ115" i="5" s="1"/>
  <c r="CZ76" i="5"/>
  <c r="CZ91" i="5" s="1"/>
  <c r="DH35" i="5"/>
  <c r="CX19" i="5"/>
  <c r="CX11" i="5"/>
  <c r="CX189" i="5"/>
  <c r="CX193" i="5" s="1"/>
  <c r="CX192" i="5"/>
  <c r="P14" i="13"/>
  <c r="U10" i="13"/>
  <c r="S9" i="13"/>
  <c r="Q9" i="13"/>
  <c r="U14" i="13"/>
  <c r="AA12" i="13" l="1"/>
  <c r="AC15" i="13"/>
  <c r="AC17" i="13"/>
  <c r="AC18" i="13"/>
  <c r="DH193" i="5"/>
  <c r="DP193" i="5"/>
  <c r="AC16" i="13"/>
  <c r="DP29" i="5" s="1"/>
  <c r="AA11" i="13"/>
  <c r="DF188" i="5"/>
  <c r="DF189" i="5" s="1"/>
  <c r="DF193" i="5" s="1"/>
  <c r="AA10" i="13"/>
  <c r="X15" i="13"/>
  <c r="X18" i="13" s="1"/>
  <c r="Y11" i="13"/>
  <c r="Y10" i="13"/>
  <c r="Y12" i="13"/>
  <c r="Q14" i="13"/>
  <c r="DK29" i="5"/>
  <c r="DF192" i="5"/>
  <c r="AL34" i="9"/>
  <c r="AN35" i="9"/>
  <c r="V9" i="13"/>
  <c r="DD188" i="5"/>
  <c r="DL192" i="5" s="1"/>
  <c r="CZ114" i="5"/>
  <c r="CZ100" i="5"/>
  <c r="CX14" i="5"/>
  <c r="CX24" i="5"/>
  <c r="CX37" i="5" s="1"/>
  <c r="CX36" i="5" s="1"/>
  <c r="CX13" i="5"/>
  <c r="CZ67" i="5"/>
  <c r="CZ256" i="5"/>
  <c r="CZ119" i="5"/>
  <c r="P15" i="13"/>
  <c r="P18" i="13" s="1"/>
  <c r="DC5" i="5"/>
  <c r="U36" i="13"/>
  <c r="U37" i="13" s="1"/>
  <c r="T29" i="13"/>
  <c r="U29" i="13" s="1"/>
  <c r="U30" i="13" s="1"/>
  <c r="DG5" i="5"/>
  <c r="S10" i="13"/>
  <c r="DJ5" i="5"/>
  <c r="V81" i="3"/>
  <c r="Q10" i="13"/>
  <c r="U15" i="13"/>
  <c r="S14" i="13"/>
  <c r="AA15" i="13" s="1"/>
  <c r="DH5" i="5"/>
  <c r="DP19" i="5" s="1"/>
  <c r="AA17" i="13" l="1"/>
  <c r="AA18" i="13" s="1"/>
  <c r="DJ19" i="5"/>
  <c r="DR19" i="5"/>
  <c r="AD12" i="13"/>
  <c r="DI188" i="5"/>
  <c r="DQ192" i="5" s="1"/>
  <c r="AD10" i="13"/>
  <c r="AD11" i="13"/>
  <c r="DO19" i="5"/>
  <c r="Y17" i="13"/>
  <c r="Y15" i="13"/>
  <c r="V14" i="13"/>
  <c r="V10" i="13"/>
  <c r="DG62" i="5"/>
  <c r="DD192" i="5"/>
  <c r="DD189" i="5"/>
  <c r="AK6" i="13"/>
  <c r="DH19" i="5"/>
  <c r="Q15" i="13"/>
  <c r="Q18" i="13" s="1"/>
  <c r="V18" i="13" s="1"/>
  <c r="DD5" i="5"/>
  <c r="DL19" i="5" s="1"/>
  <c r="S15" i="13"/>
  <c r="S18" i="13" s="1"/>
  <c r="DF5" i="5"/>
  <c r="DN19" i="5" s="1"/>
  <c r="V87" i="3"/>
  <c r="V93" i="3" s="1"/>
  <c r="DJ53" i="5"/>
  <c r="DJ62" i="5" s="1"/>
  <c r="DG19" i="5"/>
  <c r="DC19" i="5"/>
  <c r="U20" i="13"/>
  <c r="U33" i="13" s="1"/>
  <c r="DI189" i="5" l="1"/>
  <c r="DI192" i="5"/>
  <c r="AD17" i="13"/>
  <c r="AD16" i="13"/>
  <c r="DQ29" i="5" s="1"/>
  <c r="V15" i="13"/>
  <c r="AD15" i="13"/>
  <c r="DI193" i="5"/>
  <c r="DQ193" i="5"/>
  <c r="Y18" i="13"/>
  <c r="AD18" i="13" s="1"/>
  <c r="DD193" i="5"/>
  <c r="DL193" i="5"/>
  <c r="DI5" i="5"/>
  <c r="CZ309" i="5"/>
  <c r="CZ118" i="5"/>
  <c r="DF19" i="5"/>
  <c r="U21" i="13"/>
  <c r="DH53" i="5"/>
  <c r="U24" i="13"/>
  <c r="BT9" i="13"/>
  <c r="AM16" i="13"/>
  <c r="Z28" i="4" s="1"/>
  <c r="DZ29" i="5" s="1"/>
  <c r="DD19" i="5"/>
  <c r="DI19" i="5" l="1"/>
  <c r="DQ19" i="5"/>
  <c r="AL6" i="13"/>
  <c r="DN187" i="5"/>
  <c r="DN191" i="5" s="1"/>
  <c r="AI6" i="13"/>
  <c r="DH62" i="5"/>
  <c r="C8" i="16"/>
  <c r="AM7" i="13"/>
  <c r="AH16" i="13"/>
  <c r="DU29" i="5" s="1"/>
  <c r="F8" i="16" l="1"/>
  <c r="F19" i="16" s="1"/>
  <c r="D8" i="16"/>
  <c r="D19" i="16" s="1"/>
  <c r="DS29" i="5"/>
  <c r="AK7" i="13"/>
  <c r="AH7" i="13"/>
  <c r="AH5" i="13" s="1"/>
  <c r="AH4" i="13" s="1"/>
  <c r="DU187" i="5" s="1"/>
  <c r="DU191" i="5" s="1"/>
  <c r="AM5" i="13"/>
  <c r="AM4" i="13" s="1"/>
  <c r="AL11" i="13"/>
  <c r="W81" i="3"/>
  <c r="DK5" i="5"/>
  <c r="DK19" i="5" s="1"/>
  <c r="C19" i="16"/>
  <c r="C20" i="16" s="1"/>
  <c r="AK18" i="13"/>
  <c r="AK17" i="13"/>
  <c r="AM12" i="13"/>
  <c r="AK11" i="13"/>
  <c r="DZ187" i="5" l="1"/>
  <c r="DZ191" i="5" s="1"/>
  <c r="AI7" i="13"/>
  <c r="AL7" i="13"/>
  <c r="AI18" i="13"/>
  <c r="AI11" i="13"/>
  <c r="AI16" i="13" s="1"/>
  <c r="DV29" i="5" s="1"/>
  <c r="AI17" i="13"/>
  <c r="AL16" i="13"/>
  <c r="DY29" i="5" s="1"/>
  <c r="W87" i="3"/>
  <c r="W93" i="3" s="1"/>
  <c r="DN188" i="5"/>
  <c r="AK12" i="13"/>
  <c r="AM10" i="13"/>
  <c r="AM9" i="13" s="1"/>
  <c r="AH12" i="13"/>
  <c r="AH10" i="13" s="1"/>
  <c r="AH9" i="13" s="1"/>
  <c r="AK16" i="13"/>
  <c r="DX29" i="5" s="1"/>
  <c r="DW187" i="5" l="1"/>
  <c r="DW191" i="5" s="1"/>
  <c r="AO6" i="13"/>
  <c r="DS187" i="5"/>
  <c r="DS191" i="5" s="1"/>
  <c r="AK4" i="13"/>
  <c r="AS6" i="13" s="1"/>
  <c r="AL17" i="13"/>
  <c r="AL18" i="13"/>
  <c r="AH14" i="13"/>
  <c r="DU188" i="5"/>
  <c r="AI12" i="13"/>
  <c r="DN189" i="5"/>
  <c r="DN193" i="5" s="1"/>
  <c r="DN192" i="5"/>
  <c r="DZ188" i="5"/>
  <c r="AM14" i="13"/>
  <c r="AK9" i="13"/>
  <c r="AL12" i="13"/>
  <c r="AI4" i="13" l="1"/>
  <c r="DX187" i="5"/>
  <c r="DX191" i="5" s="1"/>
  <c r="AK5" i="13"/>
  <c r="DT187" i="5"/>
  <c r="DT191" i="5" s="1"/>
  <c r="AL4" i="13"/>
  <c r="AI9" i="13"/>
  <c r="DX188" i="5"/>
  <c r="AK10" i="13"/>
  <c r="AH15" i="13"/>
  <c r="DU5" i="5"/>
  <c r="AM29" i="13"/>
  <c r="AM15" i="13"/>
  <c r="AM36" i="13"/>
  <c r="Z6" i="4"/>
  <c r="AM20" i="13"/>
  <c r="AU17" i="13"/>
  <c r="AU7" i="13" s="1"/>
  <c r="DZ192" i="5"/>
  <c r="DZ189" i="5"/>
  <c r="DZ193" i="5" s="1"/>
  <c r="AP16" i="13"/>
  <c r="EC29" i="5" s="1"/>
  <c r="AL9" i="13"/>
  <c r="AR16" i="13"/>
  <c r="EE29" i="5" s="1"/>
  <c r="DW188" i="5"/>
  <c r="AU16" i="13"/>
  <c r="AA28" i="4" s="1"/>
  <c r="EH29" i="5" s="1"/>
  <c r="DS188" i="5"/>
  <c r="AS11" i="13"/>
  <c r="DU189" i="5"/>
  <c r="DU193" i="5" s="1"/>
  <c r="DU192" i="5"/>
  <c r="DY187" i="5" l="1"/>
  <c r="DY191" i="5" s="1"/>
  <c r="AL5" i="13"/>
  <c r="AI5" i="13"/>
  <c r="DV187" i="5"/>
  <c r="DV191" i="5" s="1"/>
  <c r="AP7" i="13"/>
  <c r="AP5" i="13" s="1"/>
  <c r="AP4" i="13" s="1"/>
  <c r="EC187" i="5" s="1"/>
  <c r="EC191" i="5" s="1"/>
  <c r="AU5" i="13"/>
  <c r="AU4" i="13" s="1"/>
  <c r="AN7" i="13"/>
  <c r="AR7" i="13"/>
  <c r="AQ6" i="13"/>
  <c r="AT6" i="13"/>
  <c r="AQ11" i="13"/>
  <c r="AO11" i="13"/>
  <c r="AT11" i="13" s="1"/>
  <c r="DS5" i="5"/>
  <c r="AL14" i="13"/>
  <c r="DY188" i="5"/>
  <c r="AL10" i="13"/>
  <c r="AN16" i="13"/>
  <c r="EA29" i="5" s="1"/>
  <c r="Z98" i="4"/>
  <c r="AK36" i="13"/>
  <c r="AK20" i="13"/>
  <c r="AO18" i="13"/>
  <c r="DS192" i="5"/>
  <c r="DS189" i="5"/>
  <c r="DS193" i="5" s="1"/>
  <c r="DW192" i="5"/>
  <c r="DW189" i="5"/>
  <c r="DW193" i="5" s="1"/>
  <c r="DT188" i="5"/>
  <c r="AN17" i="13"/>
  <c r="AR17" i="13"/>
  <c r="AP17" i="13"/>
  <c r="AU12" i="13"/>
  <c r="Z67" i="4"/>
  <c r="DX189" i="5"/>
  <c r="DX193" i="5" s="1"/>
  <c r="DX192" i="5"/>
  <c r="Z40" i="4"/>
  <c r="AM24" i="13"/>
  <c r="AI10" i="13"/>
  <c r="DV188" i="5"/>
  <c r="Z22" i="4"/>
  <c r="DZ5" i="5"/>
  <c r="X81" i="3"/>
  <c r="AK14" i="13"/>
  <c r="DU19" i="5"/>
  <c r="AN5" i="13" l="1"/>
  <c r="AN4" i="13" s="1"/>
  <c r="EA187" i="5" s="1"/>
  <c r="EA191" i="5" s="1"/>
  <c r="AR5" i="13"/>
  <c r="AR4" i="13" s="1"/>
  <c r="AS4" i="13" s="1"/>
  <c r="AO7" i="13"/>
  <c r="AT7" i="13" s="1"/>
  <c r="EH187" i="5"/>
  <c r="EH191" i="5" s="1"/>
  <c r="AS7" i="13"/>
  <c r="AQ7" i="13" s="1"/>
  <c r="AT18" i="13"/>
  <c r="AL15" i="13"/>
  <c r="DY5" i="5"/>
  <c r="AK37" i="13"/>
  <c r="DT192" i="5"/>
  <c r="DT189" i="5"/>
  <c r="DT193" i="5" s="1"/>
  <c r="DY192" i="5"/>
  <c r="DY189" i="5"/>
  <c r="DY193" i="5" s="1"/>
  <c r="AK15" i="13"/>
  <c r="DX5" i="5"/>
  <c r="AI14" i="13"/>
  <c r="DZ19" i="5"/>
  <c r="AK21" i="13"/>
  <c r="DX53" i="5"/>
  <c r="AK24" i="13"/>
  <c r="AS16" i="13"/>
  <c r="EF29" i="5" s="1"/>
  <c r="AS18" i="13"/>
  <c r="DZ53" i="5"/>
  <c r="DZ62" i="5" s="1"/>
  <c r="Z56" i="4"/>
  <c r="X87" i="3"/>
  <c r="X93" i="3" s="1"/>
  <c r="AS17" i="13"/>
  <c r="AK29" i="13"/>
  <c r="AK30" i="13" s="1"/>
  <c r="DV189" i="5"/>
  <c r="DV193" i="5" s="1"/>
  <c r="DV192" i="5"/>
  <c r="AN12" i="13"/>
  <c r="AR12" i="13"/>
  <c r="AP12" i="13"/>
  <c r="AP10" i="13" s="1"/>
  <c r="AP9" i="13" s="1"/>
  <c r="AU10" i="13"/>
  <c r="AU9" i="13" s="1"/>
  <c r="AO17" i="13"/>
  <c r="AT17" i="13" s="1"/>
  <c r="AO16" i="13"/>
  <c r="EB29" i="5" s="1"/>
  <c r="AT16" i="13"/>
  <c r="EG29" i="5" s="1"/>
  <c r="DS19" i="5"/>
  <c r="AS5" i="13" l="1"/>
  <c r="EF187" i="5"/>
  <c r="EF191" i="5" s="1"/>
  <c r="AQ4" i="13"/>
  <c r="BA6" i="13"/>
  <c r="AO4" i="13"/>
  <c r="AW6" i="13" s="1"/>
  <c r="EE187" i="5"/>
  <c r="EE191" i="5" s="1"/>
  <c r="DX62" i="5"/>
  <c r="DY19" i="5"/>
  <c r="AO12" i="13"/>
  <c r="AT12" i="13" s="1"/>
  <c r="AR10" i="13"/>
  <c r="AR9" i="13" s="1"/>
  <c r="AS9" i="13" s="1"/>
  <c r="BA11" i="13" s="1"/>
  <c r="EH188" i="5"/>
  <c r="AU14" i="13"/>
  <c r="AN10" i="13"/>
  <c r="AN9" i="13" s="1"/>
  <c r="AQ18" i="13"/>
  <c r="DX19" i="5"/>
  <c r="AS12" i="13"/>
  <c r="AQ12" i="13" s="1"/>
  <c r="AI15" i="13"/>
  <c r="DV5" i="5"/>
  <c r="AQ16" i="13"/>
  <c r="ED29" i="5" s="1"/>
  <c r="EC188" i="5"/>
  <c r="AP14" i="13"/>
  <c r="AQ17" i="13"/>
  <c r="BC16" i="13" l="1"/>
  <c r="AB28" i="4" s="1"/>
  <c r="EP29" i="5" s="1"/>
  <c r="AY6" i="13"/>
  <c r="ED187" i="5"/>
  <c r="ED191" i="5" s="1"/>
  <c r="AQ5" i="13"/>
  <c r="AT4" i="13"/>
  <c r="EB187" i="5"/>
  <c r="EB191" i="5" s="1"/>
  <c r="AO5" i="13"/>
  <c r="AP15" i="13"/>
  <c r="EC5" i="5"/>
  <c r="EH189" i="5"/>
  <c r="EH193" i="5" s="1"/>
  <c r="EH192" i="5"/>
  <c r="EE188" i="5"/>
  <c r="AO9" i="13"/>
  <c r="AW11" i="13" s="1"/>
  <c r="AR14" i="13"/>
  <c r="EC189" i="5"/>
  <c r="EC193" i="5" s="1"/>
  <c r="EC192" i="5"/>
  <c r="AS10" i="13"/>
  <c r="AQ9" i="13"/>
  <c r="AY11" i="13" s="1"/>
  <c r="EF188" i="5"/>
  <c r="AX16" i="13"/>
  <c r="EK29" i="5" s="1"/>
  <c r="DV19" i="5"/>
  <c r="AN14" i="13"/>
  <c r="AV16" i="13" s="1"/>
  <c r="EI29" i="5" s="1"/>
  <c r="EA188" i="5"/>
  <c r="AU29" i="13"/>
  <c r="AU15" i="13"/>
  <c r="AA6" i="4"/>
  <c r="AU36" i="13"/>
  <c r="AU20" i="13"/>
  <c r="BC17" i="13"/>
  <c r="BC7" i="13" s="1"/>
  <c r="EG187" i="5" l="1"/>
  <c r="EG191" i="5" s="1"/>
  <c r="AT5" i="13"/>
  <c r="BB6" i="13"/>
  <c r="AV7" i="13"/>
  <c r="AX7" i="13"/>
  <c r="AX5" i="13" s="1"/>
  <c r="AX4" i="13" s="1"/>
  <c r="BC5" i="13"/>
  <c r="BC4" i="13" s="1"/>
  <c r="AZ7" i="13"/>
  <c r="AT9" i="13"/>
  <c r="BB11" i="13" s="1"/>
  <c r="AU24" i="13"/>
  <c r="AA40" i="4"/>
  <c r="EF192" i="5"/>
  <c r="EF189" i="5"/>
  <c r="EF193" i="5" s="1"/>
  <c r="AR36" i="13"/>
  <c r="AR29" i="13"/>
  <c r="AR20" i="13"/>
  <c r="EE5" i="5"/>
  <c r="AR15" i="13"/>
  <c r="AO14" i="13"/>
  <c r="AW16" i="13" s="1"/>
  <c r="EJ29" i="5" s="1"/>
  <c r="EE189" i="5"/>
  <c r="EE193" i="5" s="1"/>
  <c r="EE192" i="5"/>
  <c r="AA98" i="4"/>
  <c r="AZ16" i="13"/>
  <c r="EM29" i="5" s="1"/>
  <c r="EA192" i="5"/>
  <c r="EA189" i="5"/>
  <c r="EA193" i="5" s="1"/>
  <c r="AA67" i="4"/>
  <c r="EA5" i="5"/>
  <c r="AN15" i="13"/>
  <c r="AZ17" i="13"/>
  <c r="BC12" i="13"/>
  <c r="AV17" i="13"/>
  <c r="AX17" i="13"/>
  <c r="Y81" i="3"/>
  <c r="EH5" i="5"/>
  <c r="AA22" i="4"/>
  <c r="AS14" i="13"/>
  <c r="ED188" i="5"/>
  <c r="AQ10" i="13"/>
  <c r="EB188" i="5"/>
  <c r="AO10" i="13"/>
  <c r="EC19" i="5"/>
  <c r="AZ5" i="13" l="1"/>
  <c r="AZ4" i="13" s="1"/>
  <c r="BA4" i="13" s="1"/>
  <c r="BI6" i="13" s="1"/>
  <c r="AW7" i="13"/>
  <c r="BB7" i="13" s="1"/>
  <c r="EP187" i="5"/>
  <c r="EP191" i="5" s="1"/>
  <c r="EK187" i="5"/>
  <c r="EK191" i="5" s="1"/>
  <c r="BA7" i="13"/>
  <c r="AY7" i="13" s="1"/>
  <c r="AV5" i="13"/>
  <c r="AV4" i="13" s="1"/>
  <c r="AT10" i="13"/>
  <c r="EG188" i="5"/>
  <c r="EG189" i="5" s="1"/>
  <c r="EG193" i="5" s="1"/>
  <c r="AT14" i="13"/>
  <c r="AT15" i="13" s="1"/>
  <c r="AW18" i="13"/>
  <c r="AW17" i="13"/>
  <c r="AS36" i="13"/>
  <c r="AS37" i="13" s="1"/>
  <c r="AZ12" i="13"/>
  <c r="BA12" i="13" s="1"/>
  <c r="AX12" i="13"/>
  <c r="AX10" i="13" s="1"/>
  <c r="AX9" i="13" s="1"/>
  <c r="AV12" i="13"/>
  <c r="BC10" i="13"/>
  <c r="BC9" i="13" s="1"/>
  <c r="ED192" i="5"/>
  <c r="ED189" i="5"/>
  <c r="ED193" i="5" s="1"/>
  <c r="EB189" i="5"/>
  <c r="EB193" i="5" s="1"/>
  <c r="EB192" i="5"/>
  <c r="EH19" i="5"/>
  <c r="BA17" i="13"/>
  <c r="EA19" i="5"/>
  <c r="AS29" i="13"/>
  <c r="AS30" i="13" s="1"/>
  <c r="EH53" i="5"/>
  <c r="EH62" i="5" s="1"/>
  <c r="AA56" i="4"/>
  <c r="Y87" i="3"/>
  <c r="Y93" i="3" s="1"/>
  <c r="AS15" i="13"/>
  <c r="AQ14" i="13"/>
  <c r="EF5" i="5"/>
  <c r="BA16" i="13"/>
  <c r="EN29" i="5" s="1"/>
  <c r="BA18" i="13"/>
  <c r="EE19" i="5"/>
  <c r="EB5" i="5"/>
  <c r="AO15" i="13"/>
  <c r="AR24" i="13"/>
  <c r="EE53" i="5"/>
  <c r="EE62" i="5" s="1"/>
  <c r="AS20" i="13"/>
  <c r="EI187" i="5" l="1"/>
  <c r="EI191" i="5" s="1"/>
  <c r="EN187" i="5"/>
  <c r="EN191" i="5" s="1"/>
  <c r="AY4" i="13"/>
  <c r="BA5" i="13"/>
  <c r="EM187" i="5"/>
  <c r="EM191" i="5" s="1"/>
  <c r="AW4" i="13"/>
  <c r="BB4" i="13" s="1"/>
  <c r="BB16" i="13"/>
  <c r="EO29" i="5" s="1"/>
  <c r="EG192" i="5"/>
  <c r="EG5" i="5"/>
  <c r="BB17" i="13"/>
  <c r="BB18" i="13"/>
  <c r="AY12" i="13"/>
  <c r="AY17" i="13"/>
  <c r="EF19" i="5"/>
  <c r="AV10" i="13"/>
  <c r="AV9" i="13" s="1"/>
  <c r="AQ15" i="13"/>
  <c r="ED5" i="5"/>
  <c r="AY16" i="13"/>
  <c r="EL29" i="5" s="1"/>
  <c r="EK188" i="5"/>
  <c r="AX14" i="13"/>
  <c r="BF16" i="13" s="1"/>
  <c r="ES29" i="5" s="1"/>
  <c r="EF53" i="5"/>
  <c r="EF62" i="5" s="1"/>
  <c r="AS24" i="13"/>
  <c r="AS21" i="13"/>
  <c r="EB19" i="5"/>
  <c r="AY18" i="13"/>
  <c r="EP188" i="5"/>
  <c r="BC14" i="13"/>
  <c r="AW12" i="13"/>
  <c r="BB12" i="13" s="1"/>
  <c r="AZ10" i="13"/>
  <c r="AZ9" i="13" s="1"/>
  <c r="BA9" i="13" s="1"/>
  <c r="BK16" i="13" l="1"/>
  <c r="AC28" i="4" s="1"/>
  <c r="EX29" i="5" s="1"/>
  <c r="BT14" i="13"/>
  <c r="AY5" i="13"/>
  <c r="EL187" i="5"/>
  <c r="EL191" i="5" s="1"/>
  <c r="EO187" i="5"/>
  <c r="EO191" i="5" s="1"/>
  <c r="BB5" i="13"/>
  <c r="BE6" i="13"/>
  <c r="BJ6" i="13" s="1"/>
  <c r="AW5" i="13"/>
  <c r="EJ187" i="5"/>
  <c r="EJ191" i="5" s="1"/>
  <c r="BG6" i="13"/>
  <c r="EG19" i="5"/>
  <c r="EK192" i="5"/>
  <c r="EK189" i="5"/>
  <c r="EK193" i="5" s="1"/>
  <c r="BA10" i="13"/>
  <c r="AY9" i="13"/>
  <c r="EN188" i="5"/>
  <c r="ED19" i="5"/>
  <c r="EI188" i="5"/>
  <c r="AV14" i="13"/>
  <c r="BD16" i="13" s="1"/>
  <c r="EQ29" i="5" s="1"/>
  <c r="EP189" i="5"/>
  <c r="EP193" i="5" s="1"/>
  <c r="EP192" i="5"/>
  <c r="BI11" i="13"/>
  <c r="BC29" i="13"/>
  <c r="BC36" i="13"/>
  <c r="BC20" i="13"/>
  <c r="BK17" i="13"/>
  <c r="BK7" i="13" s="1"/>
  <c r="BC15" i="13"/>
  <c r="AB6" i="4"/>
  <c r="AW9" i="13"/>
  <c r="BB9" i="13" s="1"/>
  <c r="EM188" i="5"/>
  <c r="AZ14" i="13"/>
  <c r="BA14" i="13" s="1"/>
  <c r="EK5" i="5"/>
  <c r="AX15" i="13"/>
  <c r="E8" i="16" l="1"/>
  <c r="E9" i="16" s="1"/>
  <c r="BF7" i="13"/>
  <c r="BF5" i="13" s="1"/>
  <c r="BF4" i="13" s="1"/>
  <c r="BH7" i="13"/>
  <c r="BD7" i="13"/>
  <c r="BK5" i="13"/>
  <c r="BK4" i="13" s="1"/>
  <c r="BG11" i="13"/>
  <c r="BE11" i="13"/>
  <c r="BJ11" i="13" s="1"/>
  <c r="AZ36" i="13"/>
  <c r="EM5" i="5"/>
  <c r="AZ15" i="13"/>
  <c r="AZ29" i="13"/>
  <c r="AW14" i="13"/>
  <c r="BE18" i="13" s="1"/>
  <c r="AZ20" i="13"/>
  <c r="BA20" i="13" s="1"/>
  <c r="BD17" i="13"/>
  <c r="BF17" i="13"/>
  <c r="BH17" i="13"/>
  <c r="BK12" i="13"/>
  <c r="AB67" i="4"/>
  <c r="EI189" i="5"/>
  <c r="EI193" i="5" s="1"/>
  <c r="EI192" i="5"/>
  <c r="BI16" i="13"/>
  <c r="EV29" i="5" s="1"/>
  <c r="BB10" i="13"/>
  <c r="EO188" i="5"/>
  <c r="BB14" i="13"/>
  <c r="EN192" i="5"/>
  <c r="EN189" i="5"/>
  <c r="EN193" i="5" s="1"/>
  <c r="EM189" i="5"/>
  <c r="EM193" i="5" s="1"/>
  <c r="EM192" i="5"/>
  <c r="Z81" i="3"/>
  <c r="EP5" i="5"/>
  <c r="AB22" i="4"/>
  <c r="AB98" i="4"/>
  <c r="BI18" i="13"/>
  <c r="EL188" i="5"/>
  <c r="AY10" i="13"/>
  <c r="EK19" i="5"/>
  <c r="EN5" i="5"/>
  <c r="BA15" i="13"/>
  <c r="AY14" i="13"/>
  <c r="BH16" i="13"/>
  <c r="EU29" i="5" s="1"/>
  <c r="BC24" i="13"/>
  <c r="AB40" i="4"/>
  <c r="AW10" i="13"/>
  <c r="EJ188" i="5"/>
  <c r="EI5" i="5"/>
  <c r="AV15" i="13"/>
  <c r="E19" i="16" l="1"/>
  <c r="E20" i="16" s="1"/>
  <c r="EX187" i="5"/>
  <c r="EX191" i="5" s="1"/>
  <c r="BH5" i="13"/>
  <c r="BH4" i="13" s="1"/>
  <c r="BI4" i="13" s="1"/>
  <c r="BQ6" i="13" s="1"/>
  <c r="BE7" i="13"/>
  <c r="BJ7" i="13" s="1"/>
  <c r="BD5" i="13"/>
  <c r="BD4" i="13" s="1"/>
  <c r="BI7" i="13"/>
  <c r="BG7" i="13" s="1"/>
  <c r="ES187" i="5"/>
  <c r="ES191" i="5" s="1"/>
  <c r="BE16" i="13"/>
  <c r="ER29" i="5" s="1"/>
  <c r="BJ18" i="13"/>
  <c r="BJ16" i="13"/>
  <c r="EW29" i="5" s="1"/>
  <c r="BE17" i="13"/>
  <c r="BJ17" i="13" s="1"/>
  <c r="EI19" i="5"/>
  <c r="AY15" i="13"/>
  <c r="EL5" i="5"/>
  <c r="EP19" i="5"/>
  <c r="EO192" i="5"/>
  <c r="EO189" i="5"/>
  <c r="EO193" i="5" s="1"/>
  <c r="BA29" i="13"/>
  <c r="BA30" i="13" s="1"/>
  <c r="BA36" i="13"/>
  <c r="BA37" i="13" s="1"/>
  <c r="BH12" i="13"/>
  <c r="BF12" i="13"/>
  <c r="BF10" i="13" s="1"/>
  <c r="BF9" i="13" s="1"/>
  <c r="BK10" i="13"/>
  <c r="BK9" i="13" s="1"/>
  <c r="BD12" i="13"/>
  <c r="EJ192" i="5"/>
  <c r="EJ189" i="5"/>
  <c r="EJ193" i="5" s="1"/>
  <c r="BG16" i="13"/>
  <c r="ET29" i="5" s="1"/>
  <c r="EM53" i="5"/>
  <c r="EM62" i="5" s="1"/>
  <c r="AZ24" i="13"/>
  <c r="Z87" i="3"/>
  <c r="Z93" i="3" s="1"/>
  <c r="EP53" i="5"/>
  <c r="EP62" i="5" s="1"/>
  <c r="AB56" i="4"/>
  <c r="BG18" i="13"/>
  <c r="EN19" i="5"/>
  <c r="EN53" i="5"/>
  <c r="EN62" i="5" s="1"/>
  <c r="BA24" i="13"/>
  <c r="BA21" i="13"/>
  <c r="EL192" i="5"/>
  <c r="EL189" i="5"/>
  <c r="EL193" i="5" s="1"/>
  <c r="BB15" i="13"/>
  <c r="EO5" i="5"/>
  <c r="BI17" i="13"/>
  <c r="BG17" i="13" s="1"/>
  <c r="EJ5" i="5"/>
  <c r="AW15" i="13"/>
  <c r="EM19" i="5"/>
  <c r="EQ187" i="5" l="1"/>
  <c r="EQ191" i="5" s="1"/>
  <c r="EV187" i="5"/>
  <c r="EV191" i="5" s="1"/>
  <c r="BG4" i="13"/>
  <c r="BI5" i="13"/>
  <c r="EU187" i="5"/>
  <c r="EU191" i="5" s="1"/>
  <c r="BE4" i="13"/>
  <c r="BJ4" i="13" s="1"/>
  <c r="BH10" i="13"/>
  <c r="BH9" i="13" s="1"/>
  <c r="BI9" i="13" s="1"/>
  <c r="BQ11" i="13" s="1"/>
  <c r="BE12" i="13"/>
  <c r="BJ12" i="13" s="1"/>
  <c r="BD10" i="13"/>
  <c r="BD9" i="13" s="1"/>
  <c r="BI12" i="13"/>
  <c r="BG12" i="13" s="1"/>
  <c r="EL19" i="5"/>
  <c r="EJ19" i="5"/>
  <c r="EO19" i="5"/>
  <c r="EX188" i="5"/>
  <c r="BK14" i="13"/>
  <c r="ES188" i="5"/>
  <c r="BF14" i="13"/>
  <c r="BN16" i="13" s="1"/>
  <c r="FA29" i="5" s="1"/>
  <c r="BM6" i="13" l="1"/>
  <c r="BR6" i="13" s="1"/>
  <c r="EW187" i="5"/>
  <c r="EW191" i="5" s="1"/>
  <c r="BJ5" i="13"/>
  <c r="BE5" i="13"/>
  <c r="ER187" i="5"/>
  <c r="ER191" i="5" s="1"/>
  <c r="ET187" i="5"/>
  <c r="ET191" i="5" s="1"/>
  <c r="BG5" i="13"/>
  <c r="BO6" i="13"/>
  <c r="ES189" i="5"/>
  <c r="ES193" i="5" s="1"/>
  <c r="ES192" i="5"/>
  <c r="BK20" i="13"/>
  <c r="BK15" i="13"/>
  <c r="BK29" i="13"/>
  <c r="AC6" i="4"/>
  <c r="BK36" i="13"/>
  <c r="BS17" i="13"/>
  <c r="BS7" i="13" s="1"/>
  <c r="BS16" i="13"/>
  <c r="AD28" i="4" s="1"/>
  <c r="FF29" i="5" s="1"/>
  <c r="BF15" i="13"/>
  <c r="ES5" i="5"/>
  <c r="EV188" i="5"/>
  <c r="BG9" i="13"/>
  <c r="BO11" i="13" s="1"/>
  <c r="BI10" i="13"/>
  <c r="BE9" i="13"/>
  <c r="BM11" i="13" s="1"/>
  <c r="BH14" i="13"/>
  <c r="EU188" i="5"/>
  <c r="EX192" i="5"/>
  <c r="EX189" i="5"/>
  <c r="EX193" i="5" s="1"/>
  <c r="BD14" i="13"/>
  <c r="BL16" i="13" s="1"/>
  <c r="EY29" i="5" s="1"/>
  <c r="EQ188" i="5"/>
  <c r="BP7" i="13" l="1"/>
  <c r="BQ7" i="13" s="1"/>
  <c r="BN7" i="13"/>
  <c r="BN5" i="13" s="1"/>
  <c r="BN4" i="13" s="1"/>
  <c r="FA187" i="5" s="1"/>
  <c r="FA191" i="5" s="1"/>
  <c r="BS5" i="13"/>
  <c r="BS4" i="13" s="1"/>
  <c r="BL7" i="13"/>
  <c r="EQ189" i="5"/>
  <c r="EQ193" i="5" s="1"/>
  <c r="EQ192" i="5"/>
  <c r="ER188" i="5"/>
  <c r="BE10" i="13"/>
  <c r="EV189" i="5"/>
  <c r="EV193" i="5" s="1"/>
  <c r="EV192" i="5"/>
  <c r="ES19" i="5"/>
  <c r="AC67" i="4"/>
  <c r="EU192" i="5"/>
  <c r="EU189" i="5"/>
  <c r="EU193" i="5" s="1"/>
  <c r="BD15" i="13"/>
  <c r="EQ5" i="5"/>
  <c r="ET188" i="5"/>
  <c r="BG10" i="13"/>
  <c r="BN17" i="13"/>
  <c r="BP17" i="13"/>
  <c r="BL17" i="13"/>
  <c r="BS12" i="13"/>
  <c r="AA81" i="3"/>
  <c r="EX5" i="5"/>
  <c r="AC22" i="4"/>
  <c r="BK24" i="13"/>
  <c r="AC40" i="4"/>
  <c r="BH29" i="13"/>
  <c r="BH36" i="13"/>
  <c r="EU5" i="5"/>
  <c r="BH15" i="13"/>
  <c r="BE14" i="13"/>
  <c r="BM16" i="13" s="1"/>
  <c r="EZ29" i="5" s="1"/>
  <c r="BH20" i="13"/>
  <c r="BJ9" i="13"/>
  <c r="BP16" i="13"/>
  <c r="FC29" i="5" s="1"/>
  <c r="BI14" i="13"/>
  <c r="AC98" i="4"/>
  <c r="BL5" i="13" l="1"/>
  <c r="BL4" i="13" s="1"/>
  <c r="EY187" i="5" s="1"/>
  <c r="EY191" i="5" s="1"/>
  <c r="FF187" i="5"/>
  <c r="FF191" i="5" s="1"/>
  <c r="BO7" i="13"/>
  <c r="BP5" i="13"/>
  <c r="BP4" i="13" s="1"/>
  <c r="BQ4" i="13" s="1"/>
  <c r="BM7" i="13"/>
  <c r="BR7" i="13" s="1"/>
  <c r="BI29" i="13"/>
  <c r="BI30" i="13" s="1"/>
  <c r="BM18" i="13"/>
  <c r="EU19" i="5"/>
  <c r="AA87" i="3"/>
  <c r="AA93" i="3" s="1"/>
  <c r="EX53" i="5"/>
  <c r="EX62" i="5" s="1"/>
  <c r="AC56" i="4"/>
  <c r="BP12" i="13"/>
  <c r="BQ12" i="13" s="1"/>
  <c r="BL12" i="13"/>
  <c r="BN12" i="13"/>
  <c r="BN10" i="13" s="1"/>
  <c r="BN9" i="13" s="1"/>
  <c r="BS10" i="13"/>
  <c r="BS9" i="13" s="1"/>
  <c r="BI36" i="13"/>
  <c r="BI37" i="13" s="1"/>
  <c r="BJ14" i="13"/>
  <c r="BJ10" i="13"/>
  <c r="EW188" i="5"/>
  <c r="BR11" i="13"/>
  <c r="EQ19" i="5"/>
  <c r="BM17" i="13"/>
  <c r="ET189" i="5"/>
  <c r="ET193" i="5" s="1"/>
  <c r="ET192" i="5"/>
  <c r="ER189" i="5"/>
  <c r="ER193" i="5" s="1"/>
  <c r="ER192" i="5"/>
  <c r="BH24" i="13"/>
  <c r="EU53" i="5"/>
  <c r="EU62" i="5" s="1"/>
  <c r="EX19" i="5"/>
  <c r="BI15" i="13"/>
  <c r="BG14" i="13"/>
  <c r="EV5" i="5"/>
  <c r="BQ16" i="13"/>
  <c r="FD29" i="5" s="1"/>
  <c r="ER5" i="5"/>
  <c r="BE15" i="13"/>
  <c r="BI20" i="13"/>
  <c r="BQ17" i="13"/>
  <c r="BQ18" i="13"/>
  <c r="FD187" i="5" l="1"/>
  <c r="FD191" i="5" s="1"/>
  <c r="BO4" i="13"/>
  <c r="BQ5" i="13"/>
  <c r="FC187" i="5"/>
  <c r="FC191" i="5" s="1"/>
  <c r="BM4" i="13"/>
  <c r="BO18" i="13"/>
  <c r="BO17" i="13"/>
  <c r="BR17" i="13"/>
  <c r="BO12" i="13"/>
  <c r="BR16" i="13"/>
  <c r="FE29" i="5" s="1"/>
  <c r="EV53" i="5"/>
  <c r="EV62" i="5" s="1"/>
  <c r="BI24" i="13"/>
  <c r="BI21" i="13"/>
  <c r="BJ15" i="13"/>
  <c r="EW5" i="5"/>
  <c r="BL10" i="13"/>
  <c r="BL9" i="13" s="1"/>
  <c r="BP10" i="13"/>
  <c r="BP9" i="13" s="1"/>
  <c r="BM12" i="13"/>
  <c r="BR12" i="13" s="1"/>
  <c r="EV19" i="5"/>
  <c r="BG15" i="13"/>
  <c r="ET5" i="5"/>
  <c r="BO16" i="13"/>
  <c r="FB29" i="5" s="1"/>
  <c r="EW192" i="5"/>
  <c r="EW189" i="5"/>
  <c r="EW193" i="5" s="1"/>
  <c r="FF188" i="5"/>
  <c r="BS14" i="13"/>
  <c r="ER19" i="5"/>
  <c r="BN14" i="13"/>
  <c r="FA188" i="5"/>
  <c r="BR18" i="13"/>
  <c r="BO5" i="13" l="1"/>
  <c r="FB187" i="5"/>
  <c r="FB191" i="5" s="1"/>
  <c r="BR4" i="13"/>
  <c r="EZ187" i="5"/>
  <c r="EZ191" i="5" s="1"/>
  <c r="BM5" i="13"/>
  <c r="EY188" i="5"/>
  <c r="BL14" i="13"/>
  <c r="BM9" i="13"/>
  <c r="FC188" i="5"/>
  <c r="BP14" i="13"/>
  <c r="BQ14" i="13" s="1"/>
  <c r="BN15" i="13"/>
  <c r="FA5" i="5"/>
  <c r="FF189" i="5"/>
  <c r="FF193" i="5" s="1"/>
  <c r="FF192" i="5"/>
  <c r="BQ9" i="13"/>
  <c r="EW19" i="5"/>
  <c r="ET19" i="5"/>
  <c r="FA192" i="5"/>
  <c r="FA189" i="5"/>
  <c r="FA193" i="5" s="1"/>
  <c r="BS36" i="13"/>
  <c r="BS20" i="13"/>
  <c r="AD6" i="4"/>
  <c r="BS15" i="13"/>
  <c r="BS29" i="13"/>
  <c r="FE187" i="5" l="1"/>
  <c r="FE191" i="5" s="1"/>
  <c r="BR5" i="13"/>
  <c r="BQ15" i="13"/>
  <c r="FD5" i="5"/>
  <c r="BO14" i="13"/>
  <c r="BS24" i="13"/>
  <c r="AD40" i="4"/>
  <c r="AD98" i="4"/>
  <c r="AD67" i="4"/>
  <c r="FC192" i="5"/>
  <c r="FC189" i="5"/>
  <c r="FC193" i="5" s="1"/>
  <c r="EY5" i="5"/>
  <c r="BL15" i="13"/>
  <c r="BM10" i="13"/>
  <c r="EZ188" i="5"/>
  <c r="EY192" i="5"/>
  <c r="EY189" i="5"/>
  <c r="EY193" i="5" s="1"/>
  <c r="FF5" i="5"/>
  <c r="AB81" i="3"/>
  <c r="AD22" i="4"/>
  <c r="BO9" i="13"/>
  <c r="BQ10" i="13"/>
  <c r="FD188" i="5"/>
  <c r="FA19" i="5"/>
  <c r="BP36" i="13"/>
  <c r="FC5" i="5"/>
  <c r="BM14" i="13"/>
  <c r="BP20" i="13"/>
  <c r="BQ20" i="13" s="1"/>
  <c r="BP29" i="13"/>
  <c r="BP15" i="13"/>
  <c r="BR9" i="13"/>
  <c r="FB188" i="5" l="1"/>
  <c r="BO10" i="13"/>
  <c r="FF19" i="5"/>
  <c r="EY19" i="5"/>
  <c r="BQ29" i="13"/>
  <c r="BQ30" i="13" s="1"/>
  <c r="BQ24" i="13"/>
  <c r="BQ21" i="13"/>
  <c r="FD53" i="5"/>
  <c r="FD62" i="5" s="1"/>
  <c r="FD192" i="5"/>
  <c r="FD189" i="5"/>
  <c r="FD193" i="5" s="1"/>
  <c r="BO15" i="13"/>
  <c r="FB5" i="5"/>
  <c r="BM15" i="13"/>
  <c r="EZ5" i="5"/>
  <c r="FC19" i="5"/>
  <c r="FE188" i="5"/>
  <c r="BR10" i="13"/>
  <c r="BR14" i="13"/>
  <c r="FC53" i="5"/>
  <c r="FC62" i="5" s="1"/>
  <c r="BP24" i="13"/>
  <c r="EZ192" i="5"/>
  <c r="EZ189" i="5"/>
  <c r="EZ193" i="5" s="1"/>
  <c r="BQ36" i="13"/>
  <c r="BQ37" i="13" s="1"/>
  <c r="FF53" i="5"/>
  <c r="FF62" i="5" s="1"/>
  <c r="AB87" i="3"/>
  <c r="AB93" i="3" s="1"/>
  <c r="AD56" i="4"/>
  <c r="FD19" i="5"/>
  <c r="FB192" i="5" l="1"/>
  <c r="FB189" i="5"/>
  <c r="FB193" i="5" s="1"/>
  <c r="EZ19" i="5"/>
  <c r="BR15" i="13"/>
  <c r="FE5" i="5"/>
  <c r="FE192" i="5"/>
  <c r="FE189" i="5"/>
  <c r="FE193" i="5" s="1"/>
  <c r="FB19" i="5"/>
  <c r="FE19" i="5" l="1"/>
  <c r="M26" i="13" l="1"/>
  <c r="M27" i="13" s="1"/>
  <c r="O27" i="13"/>
  <c r="T26" i="13" l="1"/>
  <c r="AK28" i="9" s="1"/>
  <c r="AL28" i="9" s="1"/>
  <c r="AK29" i="9" l="1"/>
  <c r="AK31" i="9"/>
  <c r="AJ26" i="13"/>
  <c r="U26" i="13"/>
  <c r="U27" i="13" s="1"/>
  <c r="AK32" i="9" l="1"/>
  <c r="AL31" i="9"/>
  <c r="AM26" i="13"/>
  <c r="AU26" i="13" l="1"/>
  <c r="AR27" i="13"/>
  <c r="AR26" i="13" s="1"/>
  <c r="AK26" i="13"/>
  <c r="AK27" i="13" s="1"/>
  <c r="Z109" i="4"/>
  <c r="AS26" i="13" l="1"/>
  <c r="AS27" i="13" s="1"/>
  <c r="AA109" i="4"/>
  <c r="AZ27" i="13"/>
  <c r="AZ26" i="13" s="1"/>
  <c r="BC26" i="13"/>
  <c r="BA26" i="13" l="1"/>
  <c r="BA27" i="13" s="1"/>
  <c r="AB109" i="4"/>
  <c r="BH27" i="13"/>
  <c r="BH26" i="13" s="1"/>
  <c r="BK26" i="13"/>
  <c r="BP27" i="13" l="1"/>
  <c r="BP26" i="13" s="1"/>
  <c r="BS26" i="13"/>
  <c r="BI26" i="13"/>
  <c r="BI27" i="13" s="1"/>
  <c r="AC109" i="4"/>
  <c r="AD109" i="4" l="1"/>
  <c r="BQ26" i="13"/>
  <c r="BQ27" i="13" s="1"/>
  <c r="M38" i="13" l="1"/>
  <c r="M39" i="13" s="1"/>
  <c r="O39" i="13"/>
  <c r="U38" i="13" l="1"/>
  <c r="U39" i="13" s="1"/>
  <c r="AM38" i="13" l="1"/>
  <c r="AR39" i="13" l="1"/>
  <c r="AR38" i="13" s="1"/>
  <c r="AU38" i="13"/>
  <c r="BC39" i="13"/>
  <c r="AK38" i="13"/>
  <c r="AK39" i="13" s="1"/>
  <c r="Z78" i="4"/>
  <c r="AS38" i="13" l="1"/>
  <c r="AS39" i="13" s="1"/>
  <c r="AA78" i="4"/>
  <c r="Z88" i="4"/>
  <c r="AZ39" i="13"/>
  <c r="AZ38" i="13" s="1"/>
  <c r="BC38" i="13"/>
  <c r="BK39" i="13"/>
  <c r="AA88" i="4" l="1"/>
  <c r="BH39" i="13"/>
  <c r="BH38" i="13" s="1"/>
  <c r="BK38" i="13"/>
  <c r="BS39" i="13"/>
  <c r="BA38" i="13"/>
  <c r="BA39" i="13" s="1"/>
  <c r="AB78" i="4"/>
  <c r="AB88" i="4" l="1"/>
  <c r="BI38" i="13"/>
  <c r="BI39" i="13" s="1"/>
  <c r="AC78" i="4"/>
  <c r="BP39" i="13"/>
  <c r="BP38" i="13" s="1"/>
  <c r="BS38" i="13"/>
  <c r="AC88" i="4" l="1"/>
  <c r="BQ38" i="13"/>
  <c r="BQ39" i="13" s="1"/>
  <c r="AD78" i="4"/>
  <c r="AD88" i="4" l="1"/>
  <c r="DB266" i="5" l="1"/>
  <c r="CZ266" i="5" s="1"/>
  <c r="CZ267" i="5" s="1"/>
  <c r="CZ268" i="5" s="1"/>
  <c r="CZ273" i="5" s="1"/>
  <c r="CZ296" i="5" s="1"/>
  <c r="CZ298" i="5" s="1"/>
  <c r="CZ301" i="5" s="1"/>
  <c r="U110" i="6"/>
  <c r="U112" i="6" s="1"/>
  <c r="U28" i="7" s="1"/>
  <c r="U72" i="7" l="1"/>
  <c r="U35" i="7"/>
  <c r="U64" i="7" s="1"/>
  <c r="U67" i="7" s="1"/>
  <c r="U111" i="6"/>
  <c r="U36" i="3"/>
  <c r="DB303" i="5"/>
  <c r="U115" i="6"/>
  <c r="DB267" i="5"/>
  <c r="DB268" i="5" s="1"/>
  <c r="DB273" i="5" s="1"/>
  <c r="DB296" i="5" s="1"/>
  <c r="DB298" i="5" s="1"/>
  <c r="DG297" i="5" l="1"/>
  <c r="DJ297" i="5"/>
  <c r="U70" i="7"/>
  <c r="V66" i="7"/>
  <c r="CZ303" i="5"/>
  <c r="DB315" i="5"/>
  <c r="U74" i="7"/>
  <c r="U73" i="7"/>
  <c r="DB301" i="5"/>
  <c r="U21" i="3"/>
  <c r="U57" i="3"/>
  <c r="U122" i="6"/>
  <c r="DB319" i="5" l="1"/>
  <c r="CZ319" i="5" s="1"/>
  <c r="CZ315" i="5"/>
  <c r="U49" i="3"/>
  <c r="U59" i="3"/>
  <c r="U7" i="3" s="1"/>
  <c r="U10" i="3" s="1"/>
  <c r="CZ321" i="5"/>
  <c r="CZ325" i="5" s="1"/>
  <c r="CZ332" i="5" s="1"/>
  <c r="U58" i="8"/>
  <c r="U76" i="3"/>
  <c r="U132" i="6" s="1"/>
  <c r="U45" i="3"/>
  <c r="U75" i="3"/>
  <c r="U60" i="3" l="1"/>
  <c r="U61" i="3" s="1"/>
  <c r="U40" i="3" s="1"/>
  <c r="U3" i="6"/>
  <c r="U4" i="6" s="1"/>
  <c r="U3" i="8"/>
  <c r="U4" i="8" s="1"/>
  <c r="U3" i="7"/>
  <c r="U4" i="7" s="1"/>
  <c r="U44" i="3"/>
  <c r="U43" i="3"/>
  <c r="U42" i="3"/>
  <c r="U51" i="3"/>
  <c r="U50" i="3"/>
  <c r="U65" i="3" l="1"/>
  <c r="U63" i="3"/>
  <c r="U66" i="3" s="1"/>
  <c r="DJ79" i="5" l="1"/>
  <c r="V179" i="8"/>
  <c r="V29" i="6"/>
  <c r="DJ88" i="5" l="1"/>
  <c r="DJ314" i="5" s="1"/>
  <c r="DH314" i="5" s="1"/>
  <c r="DJ89" i="5"/>
  <c r="DH79" i="5" l="1"/>
  <c r="DH88" i="5" l="1"/>
  <c r="DH89" i="5"/>
  <c r="CZ334" i="5"/>
  <c r="DB330" i="5"/>
  <c r="CZ330" i="5" s="1"/>
  <c r="DB334" i="5"/>
  <c r="DJ333" i="5" s="1"/>
  <c r="DJ334" i="5" s="1"/>
  <c r="DO333" i="5" l="1"/>
  <c r="DO334" i="5" s="1"/>
  <c r="DP333" i="5" s="1"/>
  <c r="DR333" i="5"/>
  <c r="DR334" i="5" s="1"/>
  <c r="DW333" i="5" s="1"/>
  <c r="DW334" i="5" s="1"/>
  <c r="DG333" i="5"/>
  <c r="DG334" i="5" s="1"/>
  <c r="AF237" i="9"/>
  <c r="AF90" i="9"/>
  <c r="AC209" i="9"/>
  <c r="AC90" i="9" s="1"/>
  <c r="AF217" i="9"/>
  <c r="AF218" i="9"/>
  <c r="DH333" i="5" l="1"/>
  <c r="AC228" i="9"/>
  <c r="AC226" i="9" s="1"/>
  <c r="AC210" i="9"/>
  <c r="AD209" i="9"/>
  <c r="AF91" i="9"/>
  <c r="Y209" i="9"/>
  <c r="AD228" i="9" l="1"/>
  <c r="AD226" i="9" s="1"/>
  <c r="AC91" i="9"/>
  <c r="AD210" i="9"/>
  <c r="AD91" i="9" s="1"/>
  <c r="AD90" i="9"/>
  <c r="AA209" i="9"/>
  <c r="AB209" i="9" s="1"/>
  <c r="AB90" i="9" s="1"/>
  <c r="Y90" i="9"/>
  <c r="Z209" i="9"/>
  <c r="Y210" i="9"/>
  <c r="AK228" i="9" l="1"/>
  <c r="AG209" i="9"/>
  <c r="AK217" i="9"/>
  <c r="AE209" i="9"/>
  <c r="AE90" i="9" s="1"/>
  <c r="AD211" i="9"/>
  <c r="AD222" i="9" s="1"/>
  <c r="AA210" i="9"/>
  <c r="AA90" i="9"/>
  <c r="Y91" i="9"/>
  <c r="Z210" i="9"/>
  <c r="Z91" i="9" s="1"/>
  <c r="AK87" i="9"/>
  <c r="Z90" i="9"/>
  <c r="AH209" i="9" l="1"/>
  <c r="AH217" i="9" s="1"/>
  <c r="AG217" i="9"/>
  <c r="Z211" i="9"/>
  <c r="AA91" i="9"/>
  <c r="AB210" i="9"/>
  <c r="AE210" i="9"/>
  <c r="AB91" i="9" l="1"/>
  <c r="AB211" i="9"/>
  <c r="DC176" i="5"/>
  <c r="DC177" i="5" s="1"/>
  <c r="DG27" i="5"/>
  <c r="AK71" i="9"/>
  <c r="DG3" i="5"/>
  <c r="AE91" i="9"/>
  <c r="AE211" i="9"/>
  <c r="DO17" i="5" l="1"/>
  <c r="DG34" i="5"/>
  <c r="DG60" i="5"/>
  <c r="AG10" i="9"/>
  <c r="AG71" i="9"/>
  <c r="DC3" i="5"/>
  <c r="DG17" i="5"/>
  <c r="DG11" i="5"/>
  <c r="DO24" i="5" l="1"/>
  <c r="DO37" i="5" s="1"/>
  <c r="DO34" i="5"/>
  <c r="DC27" i="5"/>
  <c r="AG13" i="9"/>
  <c r="AH13" i="9" s="1"/>
  <c r="DC11" i="5"/>
  <c r="DC17" i="5"/>
  <c r="DG13" i="5"/>
  <c r="DG24" i="5"/>
  <c r="DG37" i="5" s="1"/>
  <c r="DG36" i="5" s="1"/>
  <c r="AK86" i="9"/>
  <c r="DO36" i="5" l="1"/>
  <c r="DC34" i="5"/>
  <c r="DG69" i="5"/>
  <c r="DG77" i="5" s="1"/>
  <c r="DG92" i="5" s="1"/>
  <c r="DG115" i="5" s="1"/>
  <c r="DG67" i="5"/>
  <c r="DC24" i="5"/>
  <c r="DC37" i="5" s="1"/>
  <c r="DC13" i="5"/>
  <c r="DC36" i="5" l="1"/>
  <c r="DG119" i="5"/>
  <c r="DG256" i="5"/>
  <c r="DG268" i="5" s="1"/>
  <c r="DG273" i="5" s="1"/>
  <c r="DG296" i="5" s="1"/>
  <c r="DG298" i="5" s="1"/>
  <c r="DC170" i="5"/>
  <c r="DK171" i="5" s="1"/>
  <c r="DG301" i="5" l="1"/>
  <c r="DH297" i="5"/>
  <c r="DC171" i="5"/>
  <c r="DD170" i="5"/>
  <c r="DD171" i="5" l="1"/>
  <c r="DL171" i="5"/>
  <c r="DI170" i="5"/>
  <c r="DQ171" i="5" s="1"/>
  <c r="AG64" i="9" l="1"/>
  <c r="AG8" i="9"/>
  <c r="AG6" i="9"/>
  <c r="AO68" i="9" s="1"/>
  <c r="AG234" i="9" l="1"/>
  <c r="AO242" i="9" s="1"/>
  <c r="AG67" i="9"/>
  <c r="AG98" i="9"/>
  <c r="AG211" i="9"/>
  <c r="AO219" i="9" s="1"/>
  <c r="AG69" i="9"/>
  <c r="AG68" i="9"/>
  <c r="AG96" i="9" l="1"/>
  <c r="AO104" i="9"/>
  <c r="AG118" i="9"/>
  <c r="AO122" i="9" s="1"/>
  <c r="AG104" i="9"/>
  <c r="AG210" i="9"/>
  <c r="AG219" i="9"/>
  <c r="AG242" i="9"/>
  <c r="AG233" i="9"/>
  <c r="AG241" i="9" l="1"/>
  <c r="AG102" i="9"/>
  <c r="AG90" i="9"/>
  <c r="AG218" i="9"/>
  <c r="AG91" i="9"/>
  <c r="AG266" i="9"/>
  <c r="AG116" i="9"/>
  <c r="AG122" i="9"/>
  <c r="AG267" i="9" l="1"/>
  <c r="AO267" i="9"/>
  <c r="AG269" i="9"/>
  <c r="S4" i="10"/>
  <c r="AG120" i="9"/>
  <c r="AG271" i="9" l="1"/>
  <c r="AG277" i="9"/>
  <c r="S9" i="10"/>
  <c r="S26" i="10"/>
  <c r="S25" i="10"/>
  <c r="S5" i="10"/>
  <c r="S6" i="10"/>
  <c r="AH87" i="9"/>
  <c r="AG278" i="9" l="1"/>
  <c r="S24" i="10"/>
  <c r="AG168" i="9"/>
  <c r="AG255" i="9" l="1"/>
  <c r="AO256" i="9" s="1"/>
  <c r="AG160" i="9"/>
  <c r="AG149" i="9"/>
  <c r="AG151" i="9" s="1"/>
  <c r="AG152" i="9" s="1"/>
  <c r="AG170" i="9"/>
  <c r="AG256" i="9" l="1"/>
  <c r="AG293" i="9"/>
  <c r="AG138" i="9"/>
  <c r="AG140" i="9" s="1"/>
  <c r="AG141" i="9" s="1"/>
  <c r="AG162" i="9"/>
  <c r="T208" i="10" l="1"/>
  <c r="DD196" i="5" l="1"/>
  <c r="T67" i="10" l="1"/>
  <c r="T12" i="10" l="1"/>
  <c r="T11" i="10"/>
  <c r="T75" i="10"/>
  <c r="T63" i="10"/>
  <c r="AH167" i="9" l="1"/>
  <c r="AH146" i="9" s="1"/>
  <c r="AH148" i="9" s="1"/>
  <c r="T13" i="10"/>
  <c r="AH166" i="9"/>
  <c r="AH143" i="9" l="1"/>
  <c r="AH145" i="9" s="1"/>
  <c r="AH86" i="9" l="1"/>
  <c r="V195" i="10"/>
  <c r="X194" i="10"/>
  <c r="V194" i="10" l="1"/>
  <c r="AK5" i="9" l="1"/>
  <c r="AS67" i="9" s="1"/>
  <c r="AK6" i="9"/>
  <c r="AK211" i="9" l="1"/>
  <c r="AS219" i="9" s="1"/>
  <c r="AS68" i="9"/>
  <c r="AH6" i="9"/>
  <c r="AM6" i="9" s="1"/>
  <c r="AK98" i="9"/>
  <c r="AS104" i="9" s="1"/>
  <c r="AH5" i="9"/>
  <c r="AM5" i="9" s="1"/>
  <c r="AK67" i="9"/>
  <c r="AK68" i="9"/>
  <c r="AK7" i="9"/>
  <c r="AK210" i="9" l="1"/>
  <c r="AK219" i="9"/>
  <c r="AK221" i="9"/>
  <c r="AK17" i="9" s="1"/>
  <c r="AK234" i="9"/>
  <c r="AS242" i="9" s="1"/>
  <c r="AS69" i="9"/>
  <c r="AM98" i="9"/>
  <c r="AM67" i="9"/>
  <c r="AM68" i="9"/>
  <c r="AH210" i="9"/>
  <c r="AK218" i="9"/>
  <c r="AK69" i="9"/>
  <c r="AH7" i="9"/>
  <c r="AM7" i="9" s="1"/>
  <c r="AK104" i="9"/>
  <c r="AH68" i="9"/>
  <c r="AH98" i="9"/>
  <c r="AH67" i="9"/>
  <c r="AK8" i="9"/>
  <c r="AH8" i="9" s="1"/>
  <c r="AM8" i="9" s="1"/>
  <c r="AK64" i="9"/>
  <c r="AK114" i="9"/>
  <c r="AK97" i="9" s="1"/>
  <c r="AH97" i="9" s="1"/>
  <c r="AM97" i="9" s="1"/>
  <c r="AM103" i="9" s="1"/>
  <c r="AK244" i="9" l="1"/>
  <c r="AK242" i="9"/>
  <c r="AH234" i="9"/>
  <c r="AP242" i="9" s="1"/>
  <c r="AK233" i="9"/>
  <c r="AK241" i="9" s="1"/>
  <c r="AM104" i="9"/>
  <c r="AM96" i="9"/>
  <c r="AM102" i="9" s="1"/>
  <c r="AM9" i="9"/>
  <c r="AM62" i="9" s="1"/>
  <c r="AM69" i="9"/>
  <c r="AK118" i="9"/>
  <c r="AK266" i="9" s="1"/>
  <c r="T41" i="13"/>
  <c r="AK18" i="9"/>
  <c r="AK16" i="9" s="1"/>
  <c r="AH211" i="9"/>
  <c r="AH218" i="9"/>
  <c r="AK186" i="9"/>
  <c r="AK158" i="9"/>
  <c r="AK185" i="9"/>
  <c r="AK187" i="9"/>
  <c r="AK159" i="9"/>
  <c r="AK161" i="9"/>
  <c r="AH161" i="9" s="1"/>
  <c r="AK184" i="9"/>
  <c r="AH104" i="9"/>
  <c r="AH69" i="9"/>
  <c r="AH9" i="9"/>
  <c r="AI43" i="12"/>
  <c r="AH242" i="9" l="1"/>
  <c r="AH233" i="9"/>
  <c r="AM233" i="9" s="1"/>
  <c r="AM234" i="9" s="1"/>
  <c r="AM242" i="9" s="1"/>
  <c r="AK108" i="9"/>
  <c r="AK126" i="9" s="1"/>
  <c r="AK130" i="9" s="1"/>
  <c r="AK116" i="9"/>
  <c r="W4" i="10" s="1"/>
  <c r="W9" i="10" s="1"/>
  <c r="AK122" i="9"/>
  <c r="AH118" i="9"/>
  <c r="AH266" i="9" s="1"/>
  <c r="AH267" i="9" s="1"/>
  <c r="AM77" i="9"/>
  <c r="AM10" i="9"/>
  <c r="AM13" i="9" s="1"/>
  <c r="AM71" i="9"/>
  <c r="AM60" i="9"/>
  <c r="AM61" i="9"/>
  <c r="AM241" i="9"/>
  <c r="AH187" i="9"/>
  <c r="AM187" i="9" s="1"/>
  <c r="AK269" i="9"/>
  <c r="AK271" i="9" s="1"/>
  <c r="AH219" i="9"/>
  <c r="AK136" i="9"/>
  <c r="AH185" i="9"/>
  <c r="AK135" i="9"/>
  <c r="AH159" i="9"/>
  <c r="AH135" i="9" s="1"/>
  <c r="AK132" i="9"/>
  <c r="AH158" i="9"/>
  <c r="AK139" i="9"/>
  <c r="AH186" i="9"/>
  <c r="AM186" i="9" s="1"/>
  <c r="AH184" i="9"/>
  <c r="AM184" i="9" s="1"/>
  <c r="AM133" i="9" s="1"/>
  <c r="AK188" i="9"/>
  <c r="AK133" i="9"/>
  <c r="AH10" i="9"/>
  <c r="AH11" i="9" s="1"/>
  <c r="DD27" i="5" s="1"/>
  <c r="DD34" i="5" s="1"/>
  <c r="AH77" i="9"/>
  <c r="DD3" i="5"/>
  <c r="AH71" i="9"/>
  <c r="AH60" i="9"/>
  <c r="AH61" i="9"/>
  <c r="AH62" i="9"/>
  <c r="AK91" i="9"/>
  <c r="AK103" i="9"/>
  <c r="AK96" i="9"/>
  <c r="AK90" i="9" s="1"/>
  <c r="T42" i="13"/>
  <c r="AK267" i="9"/>
  <c r="AH241" i="9" l="1"/>
  <c r="AK112" i="9"/>
  <c r="AK120" i="9"/>
  <c r="AH269" i="9"/>
  <c r="AM269" i="9" s="1"/>
  <c r="AH122" i="9"/>
  <c r="AH116" i="9"/>
  <c r="AM64" i="9"/>
  <c r="AM76" i="9"/>
  <c r="AM80" i="9"/>
  <c r="AM81" i="9"/>
  <c r="AH136" i="9"/>
  <c r="AH137" i="9" s="1"/>
  <c r="AM185" i="9"/>
  <c r="AM136" i="9" s="1"/>
  <c r="AM139" i="9"/>
  <c r="AH139" i="9"/>
  <c r="AK277" i="9"/>
  <c r="AK278" i="9" s="1"/>
  <c r="W26" i="10"/>
  <c r="W25" i="10"/>
  <c r="W5" i="10"/>
  <c r="W6" i="10"/>
  <c r="AK137" i="9"/>
  <c r="AH188" i="9"/>
  <c r="AH133" i="9"/>
  <c r="AH132" i="9"/>
  <c r="AK134" i="9"/>
  <c r="AH64" i="9"/>
  <c r="DD11" i="5"/>
  <c r="DD17" i="5"/>
  <c r="AH81" i="9"/>
  <c r="AH80" i="9"/>
  <c r="AH82" i="9"/>
  <c r="AK102" i="9"/>
  <c r="DL35" i="5" l="1"/>
  <c r="DL34" i="5"/>
  <c r="AH271" i="9"/>
  <c r="AM271" i="9" s="1"/>
  <c r="AH277" i="9"/>
  <c r="AH278" i="9" s="1"/>
  <c r="T4" i="10"/>
  <c r="AH120" i="9"/>
  <c r="AM82" i="9"/>
  <c r="AM83" i="9" s="1"/>
  <c r="DI156" i="5"/>
  <c r="AM188" i="9"/>
  <c r="AK255" i="9"/>
  <c r="DI176" i="5"/>
  <c r="W32" i="10"/>
  <c r="AK168" i="9"/>
  <c r="W24" i="10"/>
  <c r="AH83" i="9"/>
  <c r="AH134" i="9"/>
  <c r="DD13" i="5"/>
  <c r="DD24" i="5"/>
  <c r="DD37" i="5" s="1"/>
  <c r="DD36" i="5" s="1"/>
  <c r="AM277" i="9" l="1"/>
  <c r="T25" i="10"/>
  <c r="T9" i="10"/>
  <c r="T5" i="10"/>
  <c r="T6" i="10"/>
  <c r="T26" i="10"/>
  <c r="AH255" i="9"/>
  <c r="AM278" i="9"/>
  <c r="AM255" i="9" s="1"/>
  <c r="AM256" i="9" s="1"/>
  <c r="DI159" i="5"/>
  <c r="DI158" i="5"/>
  <c r="DI161" i="5" s="1"/>
  <c r="AK293" i="9"/>
  <c r="AH293" i="9" s="1"/>
  <c r="AM293" i="9" s="1"/>
  <c r="AK149" i="9"/>
  <c r="AK151" i="9" s="1"/>
  <c r="AK152" i="9" s="1"/>
  <c r="AK170" i="9"/>
  <c r="AK160" i="9"/>
  <c r="DI177" i="5"/>
  <c r="W34" i="10"/>
  <c r="W35" i="10" s="1"/>
  <c r="AK176" i="9"/>
  <c r="AK178" i="9" s="1"/>
  <c r="AK124" i="9" s="1"/>
  <c r="AK256" i="9"/>
  <c r="AH168" i="9" l="1"/>
  <c r="T24" i="10"/>
  <c r="AH264" i="9"/>
  <c r="AH114" i="9" s="1"/>
  <c r="AH256" i="9"/>
  <c r="AK125" i="9"/>
  <c r="AK128" i="9"/>
  <c r="AK138" i="9"/>
  <c r="AK140" i="9" s="1"/>
  <c r="AK141" i="9" s="1"/>
  <c r="AK162" i="9"/>
  <c r="AH160" i="9"/>
  <c r="AH149" i="9" l="1"/>
  <c r="AH151" i="9" s="1"/>
  <c r="AH152" i="9" s="1"/>
  <c r="AH170" i="9"/>
  <c r="Q41" i="13"/>
  <c r="S41" i="13"/>
  <c r="AK129" i="9"/>
  <c r="BB41" i="11"/>
  <c r="AH138" i="9"/>
  <c r="AH140" i="9" s="1"/>
  <c r="AH141" i="9" s="1"/>
  <c r="AH162" i="9"/>
  <c r="BB44" i="11" l="1"/>
  <c r="BB45" i="11" s="1"/>
  <c r="BB42" i="11"/>
  <c r="AH96" i="9"/>
  <c r="AH103" i="9"/>
  <c r="AH91" i="9"/>
  <c r="AK200" i="9" l="1"/>
  <c r="AK204" i="9" s="1"/>
  <c r="AK205" i="9" s="1"/>
  <c r="AH102" i="9"/>
  <c r="AH90" i="9"/>
  <c r="AK226" i="9" l="1"/>
  <c r="AI217" i="9" l="1"/>
  <c r="AI210" i="9"/>
  <c r="AM209" i="9"/>
  <c r="AM217" i="9" s="1"/>
  <c r="AI218" i="9" l="1"/>
  <c r="AM210" i="9"/>
  <c r="AI91" i="9"/>
  <c r="AM211" i="9" l="1"/>
  <c r="AM218" i="9"/>
  <c r="AM91" i="9"/>
  <c r="AM219" i="9" l="1"/>
  <c r="AJ87" i="9"/>
  <c r="AI64" i="9"/>
  <c r="DI27" i="5"/>
  <c r="DI34" i="5" s="1"/>
  <c r="DI3" i="5"/>
  <c r="DI17" i="5" s="1"/>
  <c r="DI11" i="5" l="1"/>
  <c r="DQ34" i="5" l="1"/>
  <c r="DQ35" i="5"/>
  <c r="DI24" i="5"/>
  <c r="DI37" i="5" s="1"/>
  <c r="DI36" i="5" s="1"/>
  <c r="DI13" i="5"/>
  <c r="AM90" i="9"/>
  <c r="DI171" i="5" l="1"/>
  <c r="DI168" i="5" l="1"/>
  <c r="U18" i="10" l="1"/>
  <c r="Y18" i="10" s="1"/>
  <c r="U19" i="10"/>
  <c r="U71" i="10"/>
  <c r="U15" i="10"/>
  <c r="Y15" i="10" s="1"/>
  <c r="U17" i="10"/>
  <c r="Y17" i="10" s="1"/>
  <c r="U73" i="10"/>
  <c r="U16" i="10"/>
  <c r="V16" i="10" s="1"/>
  <c r="U11" i="10"/>
  <c r="U12" i="10"/>
  <c r="U72" i="10"/>
  <c r="AI166" i="9" l="1"/>
  <c r="AI158" i="9" s="1"/>
  <c r="AM158" i="9" s="1"/>
  <c r="Y11" i="10"/>
  <c r="AM166" i="9" s="1"/>
  <c r="AM143" i="9" s="1"/>
  <c r="AM145" i="9" s="1"/>
  <c r="AI167" i="9"/>
  <c r="AI159" i="9" s="1"/>
  <c r="Y12" i="10"/>
  <c r="Y16" i="10"/>
  <c r="V17" i="10"/>
  <c r="U13" i="10"/>
  <c r="U25" i="10" s="1"/>
  <c r="V71" i="10"/>
  <c r="V66" i="10" s="1"/>
  <c r="U74" i="10"/>
  <c r="U20" i="10"/>
  <c r="Y19" i="10"/>
  <c r="V15" i="10"/>
  <c r="Y20" i="10" l="1"/>
  <c r="AM169" i="9" s="1"/>
  <c r="AI146" i="9"/>
  <c r="AI148" i="9" s="1"/>
  <c r="AI143" i="9"/>
  <c r="AI145" i="9" s="1"/>
  <c r="AI132" i="9"/>
  <c r="AI134" i="9" s="1"/>
  <c r="U9" i="10"/>
  <c r="AI168" i="9" s="1"/>
  <c r="AI169" i="9"/>
  <c r="AI161" i="9" s="1"/>
  <c r="AM161" i="9" s="1"/>
  <c r="U26" i="10"/>
  <c r="AM132" i="9"/>
  <c r="AM134" i="9" s="1"/>
  <c r="AI135" i="9"/>
  <c r="AI137" i="9" s="1"/>
  <c r="AM159" i="9"/>
  <c r="AM135" i="9" s="1"/>
  <c r="AM137" i="9" s="1"/>
  <c r="U75" i="10"/>
  <c r="Y9" i="10" l="1"/>
  <c r="AM168" i="9" s="1"/>
  <c r="U24" i="10"/>
  <c r="AI160" i="9"/>
  <c r="AI149" i="9"/>
  <c r="AI151" i="9" s="1"/>
  <c r="AI152" i="9" s="1"/>
  <c r="AI170" i="9"/>
  <c r="AI138" i="9" l="1"/>
  <c r="AI140" i="9" s="1"/>
  <c r="AI141" i="9" s="1"/>
  <c r="AM160" i="9"/>
  <c r="AI162" i="9"/>
  <c r="AM149" i="9"/>
  <c r="AM138" i="9" l="1"/>
  <c r="AM140" i="9" s="1"/>
  <c r="AM141" i="9" s="1"/>
  <c r="AM162" i="9"/>
  <c r="AM151" i="9"/>
  <c r="Y51" i="10" l="1"/>
  <c r="Y62" i="10" s="1"/>
  <c r="DI196" i="5"/>
  <c r="Y13" i="10" l="1"/>
  <c r="Y4" i="10" s="1"/>
  <c r="AM167" i="9" l="1"/>
  <c r="AM146" i="9" s="1"/>
  <c r="AM116" i="9" s="1"/>
  <c r="AM118" i="9" s="1"/>
  <c r="Y26" i="10"/>
  <c r="Y24" i="10"/>
  <c r="Y25" i="10"/>
  <c r="AM170" i="9" l="1"/>
  <c r="AM148" i="9"/>
  <c r="AM152" i="9" s="1"/>
  <c r="AM266" i="9" l="1"/>
  <c r="Y6" i="10"/>
  <c r="Z177" i="10" l="1"/>
  <c r="Z179" i="10" s="1"/>
  <c r="U177" i="10" l="1"/>
  <c r="U139" i="10"/>
  <c r="U184" i="10" l="1"/>
  <c r="U179" i="10"/>
  <c r="W177" i="10" l="1"/>
  <c r="Y138" i="10"/>
  <c r="W139" i="10"/>
  <c r="X139" i="10" l="1"/>
  <c r="X177" i="10"/>
  <c r="Y177" i="10"/>
  <c r="Y139" i="10"/>
  <c r="W184" i="10"/>
  <c r="W179" i="10"/>
  <c r="X179" i="10" s="1"/>
  <c r="W180" i="10" l="1"/>
  <c r="V179" i="10"/>
  <c r="V180" i="10" l="1"/>
  <c r="U180" i="10"/>
  <c r="W182" i="10"/>
  <c r="W183" i="10" s="1"/>
  <c r="W185" i="10" s="1"/>
  <c r="W209" i="10" s="1"/>
  <c r="U182" i="10" l="1"/>
  <c r="U183" i="10" s="1"/>
  <c r="U185" i="10" s="1"/>
  <c r="U209" i="10" s="1"/>
  <c r="S177" i="10" l="1"/>
  <c r="S139" i="10"/>
  <c r="T177" i="10"/>
  <c r="T139" i="10"/>
  <c r="S179" i="10" l="1"/>
  <c r="S184" i="10"/>
  <c r="T179" i="10" l="1"/>
  <c r="T180" i="10" s="1"/>
  <c r="Y179" i="10" l="1"/>
  <c r="S180" i="10"/>
  <c r="Y180" i="10" s="1"/>
  <c r="S182" i="10" l="1"/>
  <c r="S183" i="10" s="1"/>
  <c r="T183" i="10" s="1"/>
  <c r="Y183" i="10" s="1"/>
  <c r="T182" i="10" l="1"/>
  <c r="T181" i="10" s="1"/>
  <c r="S185" i="10"/>
  <c r="S209" i="10" s="1"/>
  <c r="Y182" i="10" l="1"/>
  <c r="Y181" i="10" s="1"/>
  <c r="T185" i="10"/>
  <c r="Y185" i="10" s="1"/>
  <c r="Y209" i="10" s="1"/>
  <c r="T209" i="10" l="1"/>
  <c r="T184" i="10"/>
  <c r="Y184" i="10"/>
  <c r="BV151" i="10"/>
  <c r="BV153" i="10" s="1"/>
  <c r="BN151" i="10"/>
  <c r="BN153" i="10" s="1"/>
  <c r="BF151" i="10"/>
  <c r="BF153" i="10" s="1"/>
  <c r="AX151" i="10"/>
  <c r="AX153" i="10" s="1"/>
  <c r="AV153" i="10" s="1"/>
  <c r="AP151" i="10"/>
  <c r="AP153" i="10" s="1"/>
  <c r="AN153" i="10" l="1"/>
  <c r="AP154" i="10"/>
  <c r="AP157" i="10" s="1"/>
  <c r="AT153" i="10"/>
  <c r="AV154" i="10"/>
  <c r="AU154" i="10"/>
  <c r="AU157" i="10" s="1"/>
  <c r="AX154" i="10"/>
  <c r="AX157" i="10" s="1"/>
  <c r="BD153" i="10"/>
  <c r="AL177" i="10"/>
  <c r="AL139" i="10"/>
  <c r="BF154" i="10"/>
  <c r="BF157" i="10" s="1"/>
  <c r="BL153" i="10"/>
  <c r="BN154" i="10"/>
  <c r="BN157" i="10" s="1"/>
  <c r="BT153" i="10"/>
  <c r="BV154" i="10"/>
  <c r="BV157" i="10" s="1"/>
  <c r="BV159" i="10" s="1"/>
  <c r="BV171" i="10" s="1"/>
  <c r="K177" i="10"/>
  <c r="K139" i="10"/>
  <c r="AS177" i="10"/>
  <c r="AS179" i="10" s="1"/>
  <c r="AS139" i="10"/>
  <c r="Z151" i="10"/>
  <c r="Z153" i="10" s="1"/>
  <c r="X153" i="10" s="1"/>
  <c r="Z139" i="10"/>
  <c r="Z140" i="10" s="1"/>
  <c r="AH151" i="10"/>
  <c r="AH153" i="10" s="1"/>
  <c r="AF153" i="10" s="1"/>
  <c r="O139" i="10"/>
  <c r="O177" i="10"/>
  <c r="R151" i="10"/>
  <c r="R153" i="10" s="1"/>
  <c r="AF154" i="10" l="1"/>
  <c r="AD153" i="10"/>
  <c r="AD154" i="10" s="1"/>
  <c r="L139" i="10"/>
  <c r="L177" i="10"/>
  <c r="O184" i="10"/>
  <c r="O179" i="10"/>
  <c r="AJ177" i="10"/>
  <c r="AJ139" i="10"/>
  <c r="AQ177" i="10"/>
  <c r="AQ179" i="10" s="1"/>
  <c r="AQ139" i="10"/>
  <c r="BJ177" i="10"/>
  <c r="BJ139" i="10"/>
  <c r="K179" i="10"/>
  <c r="K184" i="10"/>
  <c r="BB153" i="10"/>
  <c r="BD154" i="10"/>
  <c r="BC154" i="10"/>
  <c r="BC157" i="10" s="1"/>
  <c r="AT177" i="10"/>
  <c r="AT139" i="10"/>
  <c r="BR177" i="10"/>
  <c r="BR139" i="10"/>
  <c r="Z154" i="10"/>
  <c r="Z157" i="10" s="1"/>
  <c r="AH154" i="10"/>
  <c r="AH157" i="10" s="1"/>
  <c r="AH159" i="10" s="1"/>
  <c r="BV173" i="10"/>
  <c r="BV49" i="10"/>
  <c r="AX159" i="10"/>
  <c r="AV157" i="10"/>
  <c r="AK177" i="10"/>
  <c r="AK179" i="10" s="1"/>
  <c r="AK139" i="10"/>
  <c r="BR153" i="10"/>
  <c r="BT154" i="10"/>
  <c r="BS154" i="10"/>
  <c r="BS157" i="10" s="1"/>
  <c r="AR157" i="10"/>
  <c r="AU159" i="10"/>
  <c r="AU171" i="10" s="1"/>
  <c r="AY177" i="10"/>
  <c r="AY179" i="10" s="1"/>
  <c r="AY139" i="10"/>
  <c r="AZ177" i="10"/>
  <c r="AZ139" i="10"/>
  <c r="BN159" i="10"/>
  <c r="BN171" i="10" s="1"/>
  <c r="BA177" i="10"/>
  <c r="BA179" i="10" s="1"/>
  <c r="BA139" i="10"/>
  <c r="W154" i="10"/>
  <c r="W157" i="10" s="1"/>
  <c r="V153" i="10"/>
  <c r="X154" i="10"/>
  <c r="BK154" i="10"/>
  <c r="BK157" i="10" s="1"/>
  <c r="BL157" i="10" s="1"/>
  <c r="BJ153" i="10"/>
  <c r="BL154" i="10"/>
  <c r="AW154" i="10"/>
  <c r="AS154" i="10"/>
  <c r="AS157" i="10" s="1"/>
  <c r="AS159" i="10" s="1"/>
  <c r="AS171" i="10" s="1"/>
  <c r="AT154" i="10"/>
  <c r="R154" i="10"/>
  <c r="R157" i="10" s="1"/>
  <c r="J154" i="10"/>
  <c r="J157" i="10" s="1"/>
  <c r="J159" i="10" s="1"/>
  <c r="J173" i="10" s="1"/>
  <c r="P153" i="10"/>
  <c r="AR177" i="10"/>
  <c r="AR139" i="10"/>
  <c r="BP177" i="10"/>
  <c r="BP139" i="10"/>
  <c r="BG177" i="10"/>
  <c r="BG179" i="10" s="1"/>
  <c r="BG139" i="10"/>
  <c r="BQ177" i="10"/>
  <c r="BQ179" i="10" s="1"/>
  <c r="BQ139" i="10"/>
  <c r="BF159" i="10"/>
  <c r="BF171" i="10" s="1"/>
  <c r="AP159" i="10"/>
  <c r="AP171" i="10" s="1"/>
  <c r="AI177" i="10"/>
  <c r="AI139" i="10"/>
  <c r="BI177" i="10"/>
  <c r="BI179" i="10" s="1"/>
  <c r="BI139" i="10"/>
  <c r="BB177" i="10"/>
  <c r="BB139" i="10"/>
  <c r="AM154" i="10"/>
  <c r="AM157" i="10" s="1"/>
  <c r="AL153" i="10"/>
  <c r="AN154" i="10"/>
  <c r="AI179" i="10" l="1"/>
  <c r="AI184" i="10"/>
  <c r="BL159" i="10"/>
  <c r="BL171" i="10" s="1"/>
  <c r="BT177" i="10"/>
  <c r="BT139" i="10"/>
  <c r="BN173" i="10"/>
  <c r="BN172" i="10"/>
  <c r="BN49" i="10"/>
  <c r="BT157" i="10"/>
  <c r="BP157" i="10"/>
  <c r="BS159" i="10"/>
  <c r="BS171" i="10" s="1"/>
  <c r="BV172" i="10"/>
  <c r="AU177" i="10"/>
  <c r="AU179" i="10" s="1"/>
  <c r="AU139" i="10"/>
  <c r="AW138" i="10"/>
  <c r="BH177" i="10"/>
  <c r="BH139" i="10"/>
  <c r="BL177" i="10"/>
  <c r="BL139" i="10"/>
  <c r="BJ154" i="10"/>
  <c r="BI154" i="10"/>
  <c r="BI157" i="10" s="1"/>
  <c r="BI159" i="10" s="1"/>
  <c r="BI171" i="10" s="1"/>
  <c r="BM154" i="10"/>
  <c r="AZ157" i="10"/>
  <c r="BC159" i="10"/>
  <c r="BC171" i="10" s="1"/>
  <c r="O154" i="10"/>
  <c r="O157" i="10" s="1"/>
  <c r="N153" i="10"/>
  <c r="P154" i="10"/>
  <c r="BK159" i="10"/>
  <c r="BK171" i="10" s="1"/>
  <c r="BH157" i="10"/>
  <c r="BU154" i="10"/>
  <c r="BQ154" i="10"/>
  <c r="BQ157" i="10" s="1"/>
  <c r="BQ159" i="10" s="1"/>
  <c r="BQ171" i="10" s="1"/>
  <c r="BR154" i="10"/>
  <c r="AE154" i="10"/>
  <c r="AE157" i="10" s="1"/>
  <c r="AF157" i="10" s="1"/>
  <c r="AF159" i="10" s="1"/>
  <c r="AL154" i="10"/>
  <c r="AK154" i="10"/>
  <c r="AK157" i="10" s="1"/>
  <c r="AK159" i="10" s="1"/>
  <c r="AK171" i="10" s="1"/>
  <c r="AO154" i="10"/>
  <c r="AH171" i="10"/>
  <c r="AH173" i="10" s="1"/>
  <c r="BB154" i="10"/>
  <c r="BA154" i="10"/>
  <c r="BA157" i="10" s="1"/>
  <c r="BA159" i="10" s="1"/>
  <c r="BA171" i="10" s="1"/>
  <c r="BE154" i="10"/>
  <c r="AM177" i="10"/>
  <c r="AO138" i="10"/>
  <c r="AM139" i="10"/>
  <c r="AM159" i="10"/>
  <c r="AJ157" i="10"/>
  <c r="AP173" i="10"/>
  <c r="AP49" i="10"/>
  <c r="R159" i="10"/>
  <c r="R171" i="10" s="1"/>
  <c r="V154" i="10"/>
  <c r="U154" i="10"/>
  <c r="U157" i="10" s="1"/>
  <c r="U159" i="10" s="1"/>
  <c r="U171" i="10" s="1"/>
  <c r="Y154" i="10"/>
  <c r="X157" i="10"/>
  <c r="Z159" i="10"/>
  <c r="Z171" i="10" s="1"/>
  <c r="L179" i="10"/>
  <c r="K180" i="10" s="1"/>
  <c r="BC177" i="10"/>
  <c r="BC179" i="10" s="1"/>
  <c r="AZ179" i="10" s="1"/>
  <c r="AZ180" i="10" s="1"/>
  <c r="BC139" i="10"/>
  <c r="BE138" i="10"/>
  <c r="AN157" i="10"/>
  <c r="W159" i="10"/>
  <c r="T157" i="10"/>
  <c r="AV159" i="10"/>
  <c r="AV171" i="10" s="1"/>
  <c r="AT157" i="10"/>
  <c r="AT159" i="10" s="1"/>
  <c r="AT171" i="10" s="1"/>
  <c r="AN177" i="10"/>
  <c r="AN139" i="10"/>
  <c r="BD157" i="10"/>
  <c r="AS49" i="10"/>
  <c r="AU49" i="10"/>
  <c r="AX171" i="10"/>
  <c r="BF172" i="10" s="1"/>
  <c r="AV177" i="10"/>
  <c r="AV139" i="10"/>
  <c r="BD177" i="10"/>
  <c r="BD139" i="10"/>
  <c r="BF173" i="10"/>
  <c r="BF49" i="10"/>
  <c r="AR159" i="10"/>
  <c r="AR171" i="10" s="1"/>
  <c r="AW157" i="10"/>
  <c r="AW159" i="10" s="1"/>
  <c r="AW171" i="10" s="1"/>
  <c r="DA60" i="11"/>
  <c r="DA61" i="11" s="1"/>
  <c r="FF197" i="5"/>
  <c r="AM179" i="10" l="1"/>
  <c r="AM184" i="10"/>
  <c r="AM171" i="10"/>
  <c r="AM173" i="10" s="1"/>
  <c r="AF171" i="10"/>
  <c r="AF173" i="10" s="1"/>
  <c r="AP172" i="10"/>
  <c r="AX177" i="10"/>
  <c r="AX179" i="10" s="1"/>
  <c r="AV179" i="10" s="1"/>
  <c r="AX139" i="10"/>
  <c r="AX140" i="10" s="1"/>
  <c r="AX172" i="10"/>
  <c r="AX49" i="10"/>
  <c r="K182" i="10"/>
  <c r="AN159" i="10"/>
  <c r="AN171" i="10" s="1"/>
  <c r="AL157" i="10"/>
  <c r="AL159" i="10" s="1"/>
  <c r="AL171" i="10" s="1"/>
  <c r="X159" i="10"/>
  <c r="X171" i="10" s="1"/>
  <c r="V157" i="10"/>
  <c r="V159" i="10" s="1"/>
  <c r="BA49" i="10"/>
  <c r="BA172" i="10"/>
  <c r="AK49" i="10"/>
  <c r="BH159" i="10"/>
  <c r="BH171" i="10" s="1"/>
  <c r="BM157" i="10"/>
  <c r="BM159" i="10" s="1"/>
  <c r="BM171" i="10" s="1"/>
  <c r="AZ159" i="10"/>
  <c r="AZ171" i="10" s="1"/>
  <c r="BE157" i="10"/>
  <c r="BE159" i="10" s="1"/>
  <c r="BE171" i="10" s="1"/>
  <c r="BT159" i="10"/>
  <c r="BT171" i="10" s="1"/>
  <c r="BR157" i="10"/>
  <c r="BR159" i="10" s="1"/>
  <c r="BR171" i="10" s="1"/>
  <c r="CK60" i="11"/>
  <c r="CK61" i="11" s="1"/>
  <c r="EP197" i="5"/>
  <c r="BE177" i="10"/>
  <c r="BE139" i="10"/>
  <c r="BK49" i="10"/>
  <c r="BK172" i="10"/>
  <c r="CS60" i="11"/>
  <c r="CS61" i="11" s="1"/>
  <c r="EX197" i="5"/>
  <c r="EE197" i="5"/>
  <c r="AU11" i="10"/>
  <c r="AR11" i="10" s="1"/>
  <c r="AT49" i="10"/>
  <c r="AJ159" i="10"/>
  <c r="AO157" i="10"/>
  <c r="AO159" i="10" s="1"/>
  <c r="AO171" i="10" s="1"/>
  <c r="AE159" i="10"/>
  <c r="AB157" i="10"/>
  <c r="BI172" i="10"/>
  <c r="BI49" i="10"/>
  <c r="AW177" i="10"/>
  <c r="AW139" i="10"/>
  <c r="EC197" i="5"/>
  <c r="AS11" i="10"/>
  <c r="AV49" i="10"/>
  <c r="U173" i="10"/>
  <c r="AM11" i="10"/>
  <c r="AH172" i="10"/>
  <c r="AC154" i="10"/>
  <c r="AC157" i="10" s="1"/>
  <c r="AD157" i="10" s="1"/>
  <c r="AD159" i="10" s="1"/>
  <c r="AG154" i="10"/>
  <c r="N154" i="10"/>
  <c r="M154" i="10"/>
  <c r="M157" i="10" s="1"/>
  <c r="M159" i="10" s="1"/>
  <c r="M171" i="10" s="1"/>
  <c r="M173" i="10" s="1"/>
  <c r="Q154" i="10"/>
  <c r="BK177" i="10"/>
  <c r="BK179" i="10" s="1"/>
  <c r="BK139" i="10"/>
  <c r="BM138" i="10"/>
  <c r="AS172" i="10"/>
  <c r="AY180" i="10"/>
  <c r="O159" i="10"/>
  <c r="L157" i="10"/>
  <c r="AR179" i="10"/>
  <c r="BO177" i="10"/>
  <c r="BO179" i="10" s="1"/>
  <c r="BO139" i="10"/>
  <c r="BD159" i="10"/>
  <c r="BD171" i="10" s="1"/>
  <c r="BL172" i="10" s="1"/>
  <c r="BB157" i="10"/>
  <c r="BB159" i="10" s="1"/>
  <c r="BB171" i="10" s="1"/>
  <c r="BE179" i="10"/>
  <c r="P157" i="10"/>
  <c r="AO177" i="10"/>
  <c r="AO139" i="10"/>
  <c r="AP177" i="10"/>
  <c r="AP179" i="10" s="1"/>
  <c r="AP139" i="10"/>
  <c r="AP140" i="10" s="1"/>
  <c r="AW49" i="10"/>
  <c r="T159" i="10"/>
  <c r="Y157" i="10"/>
  <c r="Y159" i="10" s="1"/>
  <c r="R173" i="10"/>
  <c r="R172" i="10"/>
  <c r="AJ179" i="10"/>
  <c r="BQ172" i="10"/>
  <c r="BQ49" i="10"/>
  <c r="BS172" i="10"/>
  <c r="BS49" i="10"/>
  <c r="BJ157" i="10"/>
  <c r="BJ159" i="10" s="1"/>
  <c r="BJ171" i="10" s="1"/>
  <c r="BF179" i="10"/>
  <c r="BF139" i="10"/>
  <c r="BF140" i="10" s="1"/>
  <c r="AR49" i="10"/>
  <c r="AX173" i="10"/>
  <c r="W171" i="10"/>
  <c r="W173" i="10" s="1"/>
  <c r="Z173" i="10"/>
  <c r="Z172" i="10"/>
  <c r="BU60" i="11"/>
  <c r="BU61" i="11" s="1"/>
  <c r="DZ197" i="5"/>
  <c r="BC172" i="10"/>
  <c r="BC49" i="10"/>
  <c r="BP159" i="10"/>
  <c r="BP171" i="10" s="1"/>
  <c r="BU157" i="10"/>
  <c r="BU159" i="10" s="1"/>
  <c r="BU171" i="10" s="1"/>
  <c r="BL49" i="10"/>
  <c r="AU172" i="10" l="1"/>
  <c r="AJ171" i="10"/>
  <c r="AJ173" i="10" s="1"/>
  <c r="AM30" i="10"/>
  <c r="AJ11" i="10"/>
  <c r="AP180" i="10"/>
  <c r="AP182" i="10" s="1"/>
  <c r="AD171" i="10"/>
  <c r="AD173" i="10" s="1"/>
  <c r="AF172" i="10"/>
  <c r="AC159" i="10"/>
  <c r="AC171" i="10" s="1"/>
  <c r="AK172" i="10" s="1"/>
  <c r="AE171" i="10"/>
  <c r="AM172" i="10" s="1"/>
  <c r="AW11" i="10"/>
  <c r="AN179" i="10"/>
  <c r="AN180" i="10" s="1"/>
  <c r="EM197" i="5"/>
  <c r="BC11" i="10"/>
  <c r="AZ11" i="10" s="1"/>
  <c r="BJ49" i="10"/>
  <c r="BJ172" i="10"/>
  <c r="AR180" i="10"/>
  <c r="AW179" i="10"/>
  <c r="AQ180" i="10"/>
  <c r="BH179" i="10"/>
  <c r="BM60" i="11"/>
  <c r="BM61" i="11" s="1"/>
  <c r="BM172" i="10"/>
  <c r="BM49" i="10"/>
  <c r="AL49" i="10"/>
  <c r="FC197" i="5"/>
  <c r="BS11" i="10"/>
  <c r="BP11" i="10" s="1"/>
  <c r="Y171" i="10"/>
  <c r="Y173" i="10" s="1"/>
  <c r="N157" i="10"/>
  <c r="N159" i="10" s="1"/>
  <c r="P159" i="10"/>
  <c r="P171" i="10" s="1"/>
  <c r="P173" i="10" s="1"/>
  <c r="AU180" i="10"/>
  <c r="AT179" i="10"/>
  <c r="AV180" i="10"/>
  <c r="AO49" i="10"/>
  <c r="BH49" i="10"/>
  <c r="BH172" i="10"/>
  <c r="AN49" i="10"/>
  <c r="T171" i="10"/>
  <c r="T173" i="10" s="1"/>
  <c r="L159" i="10"/>
  <c r="Q157" i="10"/>
  <c r="Q159" i="10" s="1"/>
  <c r="DW197" i="5"/>
  <c r="DU197" i="5"/>
  <c r="AK11" i="10"/>
  <c r="BS177" i="10"/>
  <c r="BS179" i="10" s="1"/>
  <c r="BU138" i="10"/>
  <c r="BS139" i="10"/>
  <c r="FA197" i="5"/>
  <c r="BQ11" i="10"/>
  <c r="AW172" i="10"/>
  <c r="O171" i="10"/>
  <c r="O173" i="10" s="1"/>
  <c r="U172" i="10"/>
  <c r="ED197" i="5"/>
  <c r="K183" i="10"/>
  <c r="AR172" i="10"/>
  <c r="EG197" i="5"/>
  <c r="BB49" i="10"/>
  <c r="BB172" i="10"/>
  <c r="ES197" i="5"/>
  <c r="BI11" i="10"/>
  <c r="AT172" i="10"/>
  <c r="BR49" i="10"/>
  <c r="BR172" i="10"/>
  <c r="EH197" i="5"/>
  <c r="CC60" i="11"/>
  <c r="CC61" i="11" s="1"/>
  <c r="BN177" i="10"/>
  <c r="BN179" i="10" s="1"/>
  <c r="BF180" i="10" s="1"/>
  <c r="BN139" i="10"/>
  <c r="BN140" i="10" s="1"/>
  <c r="EV197" i="5"/>
  <c r="EB197" i="5"/>
  <c r="AI180" i="10"/>
  <c r="AI182" i="10" s="1"/>
  <c r="AJ180" i="10"/>
  <c r="AO179" i="10"/>
  <c r="BD172" i="10"/>
  <c r="BD49" i="10"/>
  <c r="EF197" i="5"/>
  <c r="BI166" i="9"/>
  <c r="AU30" i="10"/>
  <c r="EU197" i="5"/>
  <c r="BK11" i="10"/>
  <c r="BH11" i="10" s="1"/>
  <c r="BT49" i="10"/>
  <c r="BT172" i="10"/>
  <c r="EK197" i="5"/>
  <c r="BA11" i="10"/>
  <c r="BU172" i="10"/>
  <c r="BU49" i="10"/>
  <c r="BE60" i="11"/>
  <c r="DJ197" i="5"/>
  <c r="AM180" i="10"/>
  <c r="AM182" i="10" s="1"/>
  <c r="BM177" i="10"/>
  <c r="BM139" i="10"/>
  <c r="AV172" i="10"/>
  <c r="AB159" i="10"/>
  <c r="AG157" i="10"/>
  <c r="AG159" i="10" s="1"/>
  <c r="BE172" i="10"/>
  <c r="BE49" i="10"/>
  <c r="V171" i="10"/>
  <c r="V173" i="10" s="1"/>
  <c r="BP172" i="10"/>
  <c r="BP49" i="10"/>
  <c r="BD179" i="10"/>
  <c r="BG166" i="9"/>
  <c r="AE11" i="10"/>
  <c r="AZ172" i="10"/>
  <c r="AZ49" i="10"/>
  <c r="X173" i="10"/>
  <c r="AX180" i="10"/>
  <c r="AX182" i="10" s="1"/>
  <c r="AP183" i="10" l="1"/>
  <c r="AX166" i="9"/>
  <c r="AX143" i="9" s="1"/>
  <c r="AX145" i="9" s="1"/>
  <c r="AD172" i="10"/>
  <c r="AD51" i="10"/>
  <c r="DP197" i="5"/>
  <c r="AF51" i="10"/>
  <c r="AC172" i="10"/>
  <c r="AL179" i="10"/>
  <c r="AL180" i="10" s="1"/>
  <c r="AC173" i="10"/>
  <c r="AG171" i="10"/>
  <c r="AO172" i="10" s="1"/>
  <c r="AN172" i="10"/>
  <c r="AE172" i="10"/>
  <c r="AE173" i="10"/>
  <c r="AB171" i="10"/>
  <c r="AB173" i="10" s="1"/>
  <c r="AS166" i="9"/>
  <c r="AE30" i="10"/>
  <c r="AB11" i="10"/>
  <c r="AG11" i="10" s="1"/>
  <c r="BM11" i="10"/>
  <c r="AO11" i="10"/>
  <c r="BU11" i="10"/>
  <c r="BE11" i="10"/>
  <c r="W172" i="10"/>
  <c r="X172" i="10"/>
  <c r="AM183" i="10"/>
  <c r="AM185" i="10" s="1"/>
  <c r="BO166" i="9"/>
  <c r="EN197" i="5"/>
  <c r="K185" i="10"/>
  <c r="CE166" i="9"/>
  <c r="CG166" i="9"/>
  <c r="BS30" i="10"/>
  <c r="EJ197" i="5"/>
  <c r="BC180" i="10"/>
  <c r="BD180" i="10"/>
  <c r="BB179" i="10"/>
  <c r="BI174" i="9"/>
  <c r="DT197" i="5"/>
  <c r="BF182" i="10"/>
  <c r="BC182" i="10" s="1"/>
  <c r="BI143" i="9"/>
  <c r="BI145" i="9" s="1"/>
  <c r="FB197" i="5"/>
  <c r="EL197" i="5"/>
  <c r="AT180" i="10"/>
  <c r="AS180" i="10"/>
  <c r="EZ197" i="5"/>
  <c r="BK166" i="9"/>
  <c r="BA166" i="9"/>
  <c r="DX197" i="5"/>
  <c r="DV197" i="5"/>
  <c r="BV177" i="10"/>
  <c r="BV179" i="10" s="1"/>
  <c r="BV180" i="10" s="1"/>
  <c r="BV139" i="10"/>
  <c r="BV140" i="10" s="1"/>
  <c r="DO197" i="5"/>
  <c r="FD197" i="5"/>
  <c r="BW166" i="9"/>
  <c r="BU139" i="10"/>
  <c r="BU177" i="10"/>
  <c r="ET197" i="5"/>
  <c r="AX183" i="10"/>
  <c r="AU182" i="10"/>
  <c r="AU183" i="10" s="1"/>
  <c r="BE61" i="11"/>
  <c r="BE81" i="11"/>
  <c r="BM74" i="11" s="1"/>
  <c r="BY166" i="9"/>
  <c r="BK30" i="10"/>
  <c r="BF166" i="9"/>
  <c r="BP179" i="10"/>
  <c r="N171" i="10"/>
  <c r="N173" i="10" s="1"/>
  <c r="EW197" i="5"/>
  <c r="BH180" i="10"/>
  <c r="BM179" i="10"/>
  <c r="BG180" i="10"/>
  <c r="BQ166" i="9"/>
  <c r="BC30" i="10"/>
  <c r="BG143" i="9"/>
  <c r="BG145" i="9" s="1"/>
  <c r="AN182" i="10"/>
  <c r="FE197" i="5"/>
  <c r="Q171" i="10"/>
  <c r="Q49" i="10" s="1"/>
  <c r="ER197" i="5"/>
  <c r="DH197" i="5"/>
  <c r="EO197" i="5"/>
  <c r="AP185" i="10"/>
  <c r="AP207" i="10" s="1"/>
  <c r="BU62" i="11" s="1"/>
  <c r="AY166" i="9"/>
  <c r="L171" i="10"/>
  <c r="T172" i="10" s="1"/>
  <c r="DY197" i="5"/>
  <c r="BL179" i="10"/>
  <c r="AN181" i="10" l="1"/>
  <c r="AK180" i="10"/>
  <c r="AK182" i="10" s="1"/>
  <c r="AL182" i="10" s="1"/>
  <c r="AL181" i="10" s="1"/>
  <c r="AD62" i="10"/>
  <c r="DN197" i="5"/>
  <c r="AF62" i="10"/>
  <c r="AG172" i="10"/>
  <c r="AG173" i="10"/>
  <c r="AL172" i="10"/>
  <c r="AJ172" i="10"/>
  <c r="AG49" i="10"/>
  <c r="AB172" i="10"/>
  <c r="AS143" i="9"/>
  <c r="AS145" i="9" s="1"/>
  <c r="AP166" i="9"/>
  <c r="AP143" i="9" s="1"/>
  <c r="AP145" i="9" s="1"/>
  <c r="AN183" i="10"/>
  <c r="BF183" i="10"/>
  <c r="BF185" i="10" s="1"/>
  <c r="BF207" i="10" s="1"/>
  <c r="CK62" i="11" s="1"/>
  <c r="AU166" i="9"/>
  <c r="BT179" i="10"/>
  <c r="BT180" i="10" s="1"/>
  <c r="L173" i="10"/>
  <c r="V172" i="10"/>
  <c r="AU185" i="10"/>
  <c r="BJ179" i="10"/>
  <c r="BL180" i="10"/>
  <c r="BK180" i="10"/>
  <c r="X129" i="6"/>
  <c r="AP209" i="10"/>
  <c r="AP50" i="10"/>
  <c r="AJ182" i="10"/>
  <c r="BY143" i="9"/>
  <c r="BY145" i="9" s="1"/>
  <c r="AN185" i="10"/>
  <c r="BV166" i="9"/>
  <c r="BQ174" i="9"/>
  <c r="BM68" i="11"/>
  <c r="BE102" i="11"/>
  <c r="BE82" i="11"/>
  <c r="BE103" i="11"/>
  <c r="BE101" i="11"/>
  <c r="BV182" i="10"/>
  <c r="BS182" i="10" s="1"/>
  <c r="BC183" i="10"/>
  <c r="DF197" i="5"/>
  <c r="BQ143" i="9"/>
  <c r="BQ145" i="9" s="1"/>
  <c r="BP180" i="10"/>
  <c r="BO180" i="10"/>
  <c r="BU179" i="10"/>
  <c r="BA174" i="9"/>
  <c r="BN166" i="9"/>
  <c r="CG174" i="9"/>
  <c r="Y172" i="10"/>
  <c r="Q173" i="10"/>
  <c r="AX185" i="10"/>
  <c r="AX207" i="10" s="1"/>
  <c r="CC62" i="11" s="1"/>
  <c r="AV183" i="10"/>
  <c r="BW143" i="9"/>
  <c r="BW145" i="9" s="1"/>
  <c r="BD182" i="10"/>
  <c r="AY182" i="10"/>
  <c r="AY143" i="9"/>
  <c r="AY145" i="9" s="1"/>
  <c r="DA197" i="5"/>
  <c r="Q11" i="10"/>
  <c r="BA143" i="9"/>
  <c r="BA145" i="9" s="1"/>
  <c r="CG143" i="9"/>
  <c r="CG145" i="9" s="1"/>
  <c r="CI166" i="9"/>
  <c r="BF143" i="9"/>
  <c r="BF145" i="9" s="1"/>
  <c r="BN180" i="10"/>
  <c r="AS174" i="9"/>
  <c r="BK143" i="9"/>
  <c r="BK145" i="9" s="1"/>
  <c r="CE143" i="9"/>
  <c r="CE145" i="9" s="1"/>
  <c r="BC166" i="9"/>
  <c r="CA166" i="9"/>
  <c r="AI183" i="10"/>
  <c r="CD166" i="9"/>
  <c r="AW180" i="10"/>
  <c r="BS166" i="9"/>
  <c r="AV182" i="10"/>
  <c r="AS182" i="10" s="1"/>
  <c r="AT182" i="10" s="1"/>
  <c r="AQ182" i="10"/>
  <c r="BY174" i="9"/>
  <c r="AO180" i="10"/>
  <c r="BA180" i="10"/>
  <c r="BE180" i="10" s="1"/>
  <c r="BB180" i="10"/>
  <c r="K209" i="10"/>
  <c r="BO143" i="9"/>
  <c r="BO145" i="9" s="1"/>
  <c r="AK183" i="10" l="1"/>
  <c r="AK185" i="10" s="1"/>
  <c r="AK207" i="10" s="1"/>
  <c r="AK50" i="10" s="1"/>
  <c r="AO182" i="10"/>
  <c r="AO181" i="10" s="1"/>
  <c r="AJ181" i="10"/>
  <c r="DL197" i="5"/>
  <c r="DQ197" i="5"/>
  <c r="AG51" i="10"/>
  <c r="AG62" i="10" s="1"/>
  <c r="AG63" i="10" s="1"/>
  <c r="AU143" i="9"/>
  <c r="BR179" i="10"/>
  <c r="BR180" i="10" s="1"/>
  <c r="BS180" i="10"/>
  <c r="BS183" i="10" s="1"/>
  <c r="AL183" i="10"/>
  <c r="AK209" i="10"/>
  <c r="BV183" i="10"/>
  <c r="BV185" i="10" s="1"/>
  <c r="BV207" i="10" s="1"/>
  <c r="BM81" i="11"/>
  <c r="BM102" i="11" s="1"/>
  <c r="AJ183" i="10"/>
  <c r="AI185" i="10"/>
  <c r="AJ185" i="10" s="1"/>
  <c r="Z129" i="6"/>
  <c r="BF50" i="10"/>
  <c r="BF209" i="10"/>
  <c r="BF208" i="10"/>
  <c r="AR182" i="10"/>
  <c r="AW182" i="10" s="1"/>
  <c r="AW181" i="10" s="1"/>
  <c r="AQ183" i="10"/>
  <c r="CI143" i="9"/>
  <c r="CI145" i="9" s="1"/>
  <c r="AE166" i="9"/>
  <c r="CA143" i="9"/>
  <c r="CA145" i="9" s="1"/>
  <c r="BN182" i="10"/>
  <c r="BN183" i="10" s="1"/>
  <c r="BN185" i="10" s="1"/>
  <c r="BN207" i="10" s="1"/>
  <c r="CS62" i="11" s="1"/>
  <c r="BV143" i="9"/>
  <c r="BV145" i="9" s="1"/>
  <c r="BC143" i="9"/>
  <c r="BC145" i="9" s="1"/>
  <c r="Y129" i="6"/>
  <c r="AX208" i="10"/>
  <c r="AX50" i="10"/>
  <c r="AX209" i="10"/>
  <c r="AS183" i="10"/>
  <c r="AS185" i="10" s="1"/>
  <c r="AS207" i="10" s="1"/>
  <c r="BE75" i="11"/>
  <c r="BJ180" i="10"/>
  <c r="BI180" i="10"/>
  <c r="BM180" i="10" s="1"/>
  <c r="DU196" i="5"/>
  <c r="AK12" i="10"/>
  <c r="AK51" i="10"/>
  <c r="BS143" i="9"/>
  <c r="BS145" i="9" s="1"/>
  <c r="AZ182" i="10"/>
  <c r="AY183" i="10"/>
  <c r="AZ183" i="10" s="1"/>
  <c r="AZ185" i="10" s="1"/>
  <c r="AZ207" i="10" s="1"/>
  <c r="BC185" i="10"/>
  <c r="BT182" i="10"/>
  <c r="BO182" i="10"/>
  <c r="CD143" i="9"/>
  <c r="CD145" i="9" s="1"/>
  <c r="BA182" i="10"/>
  <c r="BA183" i="10" s="1"/>
  <c r="BA185" i="10" s="1"/>
  <c r="BA207" i="10" s="1"/>
  <c r="BD183" i="10"/>
  <c r="BN143" i="9"/>
  <c r="BN145" i="9" s="1"/>
  <c r="BM70" i="11"/>
  <c r="AL185" i="10"/>
  <c r="AN184" i="10"/>
  <c r="AN207" i="10"/>
  <c r="DZ196" i="5"/>
  <c r="AP51" i="10"/>
  <c r="AV185" i="10"/>
  <c r="AU207" i="10"/>
  <c r="AK62" i="10" l="1"/>
  <c r="AK72" i="10"/>
  <c r="AK74" i="10" s="1"/>
  <c r="BQ180" i="10"/>
  <c r="BU180" i="10" s="1"/>
  <c r="AU145" i="9"/>
  <c r="AB129" i="6"/>
  <c r="DA62" i="11"/>
  <c r="BV209" i="10"/>
  <c r="BM82" i="11"/>
  <c r="BM75" i="11" s="1"/>
  <c r="BM101" i="11"/>
  <c r="BM103" i="11"/>
  <c r="BU67" i="11"/>
  <c r="BU68" i="11" s="1"/>
  <c r="BU70" i="11" s="1"/>
  <c r="BV50" i="10"/>
  <c r="FF196" i="5" s="1"/>
  <c r="BV208" i="10"/>
  <c r="AO183" i="10"/>
  <c r="AT183" i="10"/>
  <c r="AT185" i="10"/>
  <c r="AV184" i="10"/>
  <c r="AV207" i="10"/>
  <c r="AP67" i="10"/>
  <c r="AP72" i="10" s="1"/>
  <c r="AP74" i="10" s="1"/>
  <c r="AP62" i="10"/>
  <c r="BT183" i="10"/>
  <c r="BS185" i="10"/>
  <c r="AY167" i="9"/>
  <c r="AK13" i="10"/>
  <c r="AA129" i="6"/>
  <c r="BN209" i="10"/>
  <c r="BN50" i="10"/>
  <c r="BN208" i="10"/>
  <c r="AS209" i="10"/>
  <c r="AS50" i="10"/>
  <c r="AS208" i="10"/>
  <c r="BK182" i="10"/>
  <c r="BL182" i="10" s="1"/>
  <c r="BP182" i="10"/>
  <c r="BO183" i="10"/>
  <c r="BP183" i="10" s="1"/>
  <c r="BP185" i="10" s="1"/>
  <c r="BP207" i="10" s="1"/>
  <c r="BA208" i="10"/>
  <c r="BA209" i="10"/>
  <c r="BA50" i="10"/>
  <c r="BE182" i="10"/>
  <c r="BE181" i="10" s="1"/>
  <c r="AN50" i="10"/>
  <c r="AN209" i="10"/>
  <c r="BQ182" i="10"/>
  <c r="EH196" i="5"/>
  <c r="AX51" i="10"/>
  <c r="AE143" i="9"/>
  <c r="AZ50" i="10"/>
  <c r="AZ209" i="10"/>
  <c r="AQ185" i="10"/>
  <c r="AR183" i="10"/>
  <c r="AR185" i="10" s="1"/>
  <c r="AR207" i="10" s="1"/>
  <c r="AZ208" i="10" s="1"/>
  <c r="AL184" i="10"/>
  <c r="AL207" i="10"/>
  <c r="BB183" i="10"/>
  <c r="BD185" i="10"/>
  <c r="BC207" i="10"/>
  <c r="AU209" i="10"/>
  <c r="AU50" i="10"/>
  <c r="BB182" i="10"/>
  <c r="AY185" i="10"/>
  <c r="BE183" i="10"/>
  <c r="EP196" i="5"/>
  <c r="BF51" i="10"/>
  <c r="AK75" i="10" l="1"/>
  <c r="BQ183" i="10"/>
  <c r="BQ185" i="10" s="1"/>
  <c r="BQ207" i="10" s="1"/>
  <c r="BQ50" i="10" s="1"/>
  <c r="BV51" i="10"/>
  <c r="BV62" i="10" s="1"/>
  <c r="BU81" i="11"/>
  <c r="CC67" i="11" s="1"/>
  <c r="BR182" i="10"/>
  <c r="BR183" i="10"/>
  <c r="AP75" i="10"/>
  <c r="BU182" i="10"/>
  <c r="BU181" i="10" s="1"/>
  <c r="BP50" i="10"/>
  <c r="BP209" i="10"/>
  <c r="BE185" i="10"/>
  <c r="AY207" i="10"/>
  <c r="BC208" i="10"/>
  <c r="BC209" i="10"/>
  <c r="BC50" i="10"/>
  <c r="AQ207" i="10"/>
  <c r="AW185" i="10"/>
  <c r="EJ196" i="5"/>
  <c r="AZ51" i="10"/>
  <c r="AZ62" i="10" s="1"/>
  <c r="AY146" i="9"/>
  <c r="BF67" i="10"/>
  <c r="BF72" i="10" s="1"/>
  <c r="BF74" i="10" s="1"/>
  <c r="BF52" i="10"/>
  <c r="BF62" i="10"/>
  <c r="DX196" i="5"/>
  <c r="AN51" i="10"/>
  <c r="BD184" i="10"/>
  <c r="BB185" i="10"/>
  <c r="BD207" i="10"/>
  <c r="AX67" i="10"/>
  <c r="AX72" i="10" s="1"/>
  <c r="AX74" i="10" s="1"/>
  <c r="AX52" i="10"/>
  <c r="AX62" i="10"/>
  <c r="AX63" i="10" s="1"/>
  <c r="EK196" i="5"/>
  <c r="BA12" i="10"/>
  <c r="BA51" i="10"/>
  <c r="BA62" i="10" s="1"/>
  <c r="EX196" i="5"/>
  <c r="BN51" i="10"/>
  <c r="AR209" i="10"/>
  <c r="AR50" i="10"/>
  <c r="EE196" i="5"/>
  <c r="AU12" i="10"/>
  <c r="AU51" i="10"/>
  <c r="AU62" i="10" s="1"/>
  <c r="BT185" i="10"/>
  <c r="BS207" i="10"/>
  <c r="AV208" i="10"/>
  <c r="AV209" i="10"/>
  <c r="AV50" i="10"/>
  <c r="AW183" i="10"/>
  <c r="AE145" i="9"/>
  <c r="BI182" i="10"/>
  <c r="BI183" i="10" s="1"/>
  <c r="BI185" i="10" s="1"/>
  <c r="BI207" i="10" s="1"/>
  <c r="BO185" i="10"/>
  <c r="BU183" i="10"/>
  <c r="AP11" i="10"/>
  <c r="AN11" i="10" s="1"/>
  <c r="AP12" i="10"/>
  <c r="AL50" i="10"/>
  <c r="AL209" i="10"/>
  <c r="BG182" i="10"/>
  <c r="BH182" i="10" s="1"/>
  <c r="BK183" i="10"/>
  <c r="AT184" i="10"/>
  <c r="AT207" i="10"/>
  <c r="AT208" i="10" s="1"/>
  <c r="EC196" i="5"/>
  <c r="AS12" i="10"/>
  <c r="AS51" i="10"/>
  <c r="AS62" i="10" s="1"/>
  <c r="AS63" i="10" s="1"/>
  <c r="AI209" i="10"/>
  <c r="BQ209" i="10"/>
  <c r="BQ208" i="10" l="1"/>
  <c r="AN62" i="10"/>
  <c r="BV52" i="10"/>
  <c r="BV67" i="10"/>
  <c r="BV72" i="10" s="1"/>
  <c r="BV74" i="10" s="1"/>
  <c r="BV75" i="10" s="1"/>
  <c r="BU102" i="11"/>
  <c r="CC68" i="11"/>
  <c r="CC70" i="11" s="1"/>
  <c r="CC81" i="11"/>
  <c r="CC102" i="11" s="1"/>
  <c r="BU82" i="11"/>
  <c r="BU75" i="11" s="1"/>
  <c r="BU101" i="11"/>
  <c r="BU103" i="11"/>
  <c r="AL11" i="10"/>
  <c r="AZ166" i="9" s="1"/>
  <c r="AZ143" i="9" s="1"/>
  <c r="AZ145" i="9" s="1"/>
  <c r="BB166" i="9"/>
  <c r="BB143" i="9" s="1"/>
  <c r="BB145" i="9" s="1"/>
  <c r="EB196" i="5"/>
  <c r="AR51" i="10"/>
  <c r="AR62" i="10" s="1"/>
  <c r="AY148" i="9"/>
  <c r="BM182" i="10"/>
  <c r="BM181" i="10" s="1"/>
  <c r="BG183" i="10"/>
  <c r="BF63" i="10"/>
  <c r="BG167" i="9"/>
  <c r="AS13" i="10"/>
  <c r="AS4" i="10" s="1"/>
  <c r="BI167" i="9"/>
  <c r="AU31" i="10"/>
  <c r="AU13" i="10"/>
  <c r="AU4" i="10" s="1"/>
  <c r="BR185" i="10"/>
  <c r="BT184" i="10"/>
  <c r="BT207" i="10"/>
  <c r="BN67" i="10"/>
  <c r="BN72" i="10" s="1"/>
  <c r="BN74" i="10" s="1"/>
  <c r="BN52" i="10"/>
  <c r="BN62" i="10"/>
  <c r="BN63" i="10" s="1"/>
  <c r="AX75" i="10"/>
  <c r="BF75" i="10"/>
  <c r="AY50" i="10"/>
  <c r="AY208" i="10"/>
  <c r="AY209" i="10"/>
  <c r="AT209" i="10"/>
  <c r="AT50" i="10"/>
  <c r="BJ182" i="10"/>
  <c r="EF196" i="5"/>
  <c r="AV51" i="10"/>
  <c r="AV62" i="10" s="1"/>
  <c r="AV63" i="10" s="1"/>
  <c r="AX11" i="10"/>
  <c r="AV11" i="10" s="1"/>
  <c r="AX12" i="10"/>
  <c r="AV12" i="10" s="1"/>
  <c r="AT12" i="10" s="1"/>
  <c r="BF11" i="10"/>
  <c r="BD11" i="10" s="1"/>
  <c r="BF12" i="10"/>
  <c r="AW184" i="10"/>
  <c r="AW207" i="10"/>
  <c r="BE207" i="10"/>
  <c r="BE184" i="10"/>
  <c r="AP31" i="10"/>
  <c r="BD167" i="9"/>
  <c r="BI208" i="10"/>
  <c r="BI50" i="10"/>
  <c r="BI209" i="10"/>
  <c r="AQ50" i="10"/>
  <c r="AQ208" i="10"/>
  <c r="AQ209" i="10"/>
  <c r="BU185" i="10"/>
  <c r="BO207" i="10"/>
  <c r="FA196" i="5"/>
  <c r="BQ12" i="10"/>
  <c r="BQ51" i="10"/>
  <c r="BQ62" i="10" s="1"/>
  <c r="BD166" i="9"/>
  <c r="AP30" i="10"/>
  <c r="AP13" i="10"/>
  <c r="AP4" i="10" s="1"/>
  <c r="BA63" i="10"/>
  <c r="BD50" i="10"/>
  <c r="BD208" i="10"/>
  <c r="BD209" i="10"/>
  <c r="EM196" i="5"/>
  <c r="BC12" i="10"/>
  <c r="BC51" i="10"/>
  <c r="BC62" i="10" s="1"/>
  <c r="BC63" i="10" s="1"/>
  <c r="AI51" i="10"/>
  <c r="DS196" i="5"/>
  <c r="BL183" i="10"/>
  <c r="BJ183" i="10" s="1"/>
  <c r="BK185" i="10"/>
  <c r="DV196" i="5"/>
  <c r="AL51" i="10"/>
  <c r="BS209" i="10"/>
  <c r="BS50" i="10"/>
  <c r="BO167" i="9"/>
  <c r="BA13" i="10"/>
  <c r="BA4" i="10" s="1"/>
  <c r="BB184" i="10"/>
  <c r="BB207" i="10"/>
  <c r="EZ196" i="5"/>
  <c r="BP51" i="10"/>
  <c r="BP62" i="10" s="1"/>
  <c r="AI62" i="10" l="1"/>
  <c r="AI72" i="10"/>
  <c r="AI74" i="10" s="1"/>
  <c r="AL62" i="10"/>
  <c r="BV11" i="10"/>
  <c r="BT11" i="10" s="1"/>
  <c r="BR11" i="10" s="1"/>
  <c r="CF166" i="9" s="1"/>
  <c r="CF143" i="9" s="1"/>
  <c r="CF145" i="9" s="1"/>
  <c r="BV12" i="10"/>
  <c r="CJ167" i="9" s="1"/>
  <c r="CC82" i="11"/>
  <c r="CC75" i="11" s="1"/>
  <c r="CK67" i="11"/>
  <c r="CK68" i="11" s="1"/>
  <c r="CK70" i="11" s="1"/>
  <c r="CC103" i="11"/>
  <c r="CC101" i="11"/>
  <c r="BD12" i="10"/>
  <c r="BB12" i="10" s="1"/>
  <c r="BB11" i="10"/>
  <c r="BP166" i="9" s="1"/>
  <c r="BP143" i="9" s="1"/>
  <c r="BP145" i="9" s="1"/>
  <c r="BR166" i="9"/>
  <c r="BR143" i="9" s="1"/>
  <c r="BR145" i="9" s="1"/>
  <c r="AT11" i="10"/>
  <c r="BH166" i="9" s="1"/>
  <c r="BH143" i="9" s="1"/>
  <c r="BH145" i="9" s="1"/>
  <c r="BJ166" i="9"/>
  <c r="BJ143" i="9" s="1"/>
  <c r="BJ145" i="9" s="1"/>
  <c r="BV63" i="10"/>
  <c r="BN75" i="10"/>
  <c r="BD146" i="9"/>
  <c r="BT166" i="9"/>
  <c r="BF30" i="10"/>
  <c r="BF13" i="10"/>
  <c r="BF4" i="10" s="1"/>
  <c r="BB50" i="10"/>
  <c r="BB209" i="10"/>
  <c r="BB208" i="10"/>
  <c r="AX31" i="10"/>
  <c r="BL167" i="9"/>
  <c r="AS25" i="10"/>
  <c r="AS26" i="10"/>
  <c r="AS24" i="10"/>
  <c r="BT209" i="10"/>
  <c r="BT50" i="10"/>
  <c r="BQ167" i="9"/>
  <c r="BC31" i="10"/>
  <c r="BC13" i="10"/>
  <c r="BL166" i="9"/>
  <c r="AX30" i="10"/>
  <c r="AX13" i="10"/>
  <c r="AX4" i="10" s="1"/>
  <c r="BN11" i="10"/>
  <c r="BL11" i="10" s="1"/>
  <c r="BN12" i="10"/>
  <c r="BR184" i="10"/>
  <c r="BR207" i="10"/>
  <c r="BG146" i="9"/>
  <c r="BG170" i="9"/>
  <c r="BO209" i="10"/>
  <c r="BO50" i="10"/>
  <c r="BT167" i="9"/>
  <c r="BF31" i="10"/>
  <c r="BH183" i="10"/>
  <c r="BH185" i="10" s="1"/>
  <c r="BH207" i="10" s="1"/>
  <c r="BG185" i="10"/>
  <c r="BA25" i="10"/>
  <c r="BA24" i="10"/>
  <c r="BA26" i="10"/>
  <c r="BA5" i="10"/>
  <c r="AP25" i="10"/>
  <c r="AP24" i="10"/>
  <c r="AP26" i="10"/>
  <c r="AQ51" i="10"/>
  <c r="AQ62" i="10" s="1"/>
  <c r="AQ63" i="10" s="1"/>
  <c r="EA196" i="5"/>
  <c r="AQ12" i="10"/>
  <c r="AR12" i="10" s="1"/>
  <c r="AW12" i="10" s="1"/>
  <c r="BU184" i="10"/>
  <c r="BU207" i="10"/>
  <c r="BD175" i="9"/>
  <c r="ED196" i="5"/>
  <c r="AT51" i="10"/>
  <c r="AT62" i="10" s="1"/>
  <c r="AT63" i="10" s="1"/>
  <c r="BO146" i="9"/>
  <c r="BO170" i="9"/>
  <c r="BL185" i="10"/>
  <c r="BK207" i="10"/>
  <c r="BD174" i="9"/>
  <c r="AN30" i="10"/>
  <c r="AP34" i="10"/>
  <c r="AP35" i="10" s="1"/>
  <c r="BE208" i="10"/>
  <c r="BE209" i="10"/>
  <c r="BE50" i="10"/>
  <c r="BJ167" i="9"/>
  <c r="AV13" i="10"/>
  <c r="AV4" i="10" s="1"/>
  <c r="AY51" i="10"/>
  <c r="AY62" i="10" s="1"/>
  <c r="EI196" i="5"/>
  <c r="AY12" i="10"/>
  <c r="BI146" i="9"/>
  <c r="BI170" i="9"/>
  <c r="CE167" i="9"/>
  <c r="BQ13" i="10"/>
  <c r="BQ4" i="10" s="1"/>
  <c r="ES196" i="5"/>
  <c r="BI12" i="10"/>
  <c r="BI51" i="10"/>
  <c r="BI62" i="10" s="1"/>
  <c r="BI63" i="10" s="1"/>
  <c r="AW50" i="10"/>
  <c r="AW209" i="10"/>
  <c r="AU25" i="10"/>
  <c r="AU26" i="10"/>
  <c r="AU24" i="10"/>
  <c r="EN196" i="5"/>
  <c r="BD51" i="10"/>
  <c r="BD62" i="10" s="1"/>
  <c r="BD63" i="10" s="1"/>
  <c r="FC196" i="5"/>
  <c r="BS12" i="10"/>
  <c r="BS51" i="10"/>
  <c r="BS62" i="10" s="1"/>
  <c r="BD143" i="9"/>
  <c r="BD145" i="9" s="1"/>
  <c r="BD170" i="9"/>
  <c r="AW167" i="9"/>
  <c r="AI13" i="10"/>
  <c r="BI175" i="9"/>
  <c r="BI178" i="9" s="1"/>
  <c r="BI124" i="9" s="1"/>
  <c r="AU34" i="10"/>
  <c r="AU35" i="10" s="1"/>
  <c r="AZ63" i="10"/>
  <c r="AI75" i="10" l="1"/>
  <c r="BV30" i="10"/>
  <c r="CJ174" i="9" s="1"/>
  <c r="CH166" i="9"/>
  <c r="CH143" i="9" s="1"/>
  <c r="CH145" i="9" s="1"/>
  <c r="BV13" i="10"/>
  <c r="BV4" i="10" s="1"/>
  <c r="BV24" i="10" s="1"/>
  <c r="CJ166" i="9"/>
  <c r="CJ143" i="9" s="1"/>
  <c r="CJ145" i="9" s="1"/>
  <c r="BV31" i="10"/>
  <c r="CJ175" i="9" s="1"/>
  <c r="AY63" i="10"/>
  <c r="CK81" i="11"/>
  <c r="CK101" i="11" s="1"/>
  <c r="BF167" i="9"/>
  <c r="BF146" i="9" s="1"/>
  <c r="AR13" i="10"/>
  <c r="AR4" i="10" s="1"/>
  <c r="AR26" i="10" s="1"/>
  <c r="BT12" i="10"/>
  <c r="BR12" i="10" s="1"/>
  <c r="BQ63" i="10"/>
  <c r="BJ11" i="10"/>
  <c r="BX166" i="9" s="1"/>
  <c r="BX143" i="9" s="1"/>
  <c r="BX145" i="9" s="1"/>
  <c r="BZ166" i="9"/>
  <c r="BZ143" i="9" s="1"/>
  <c r="BZ145" i="9" s="1"/>
  <c r="AZ12" i="10"/>
  <c r="AY13" i="10"/>
  <c r="BM167" i="9"/>
  <c r="BO116" i="9"/>
  <c r="BO148" i="9"/>
  <c r="BT175" i="9"/>
  <c r="BD31" i="10"/>
  <c r="BL143" i="9"/>
  <c r="BL145" i="9" s="1"/>
  <c r="BL170" i="9"/>
  <c r="FD196" i="5"/>
  <c r="BT51" i="10"/>
  <c r="BT62" i="10" s="1"/>
  <c r="BL175" i="9"/>
  <c r="AV31" i="10"/>
  <c r="BF25" i="10"/>
  <c r="BF24" i="10"/>
  <c r="BF5" i="10"/>
  <c r="BF26" i="10"/>
  <c r="BU50" i="10"/>
  <c r="BU209" i="10"/>
  <c r="BT146" i="9"/>
  <c r="BG116" i="9"/>
  <c r="BG148" i="9"/>
  <c r="BT174" i="9"/>
  <c r="BD30" i="10"/>
  <c r="BF34" i="10"/>
  <c r="BF35" i="10" s="1"/>
  <c r="EG196" i="5"/>
  <c r="AW51" i="10"/>
  <c r="AW62" i="10" s="1"/>
  <c r="BI116" i="9"/>
  <c r="BI128" i="9" s="1"/>
  <c r="BI148" i="9"/>
  <c r="BB174" i="9"/>
  <c r="AN128" i="10"/>
  <c r="BO51" i="10"/>
  <c r="BO62" i="10" s="1"/>
  <c r="EY196" i="5"/>
  <c r="BO12" i="10"/>
  <c r="BR50" i="10"/>
  <c r="BR209" i="10"/>
  <c r="CJ146" i="9"/>
  <c r="BT143" i="9"/>
  <c r="BT145" i="9" s="1"/>
  <c r="BT170" i="9"/>
  <c r="BT171" i="9" s="1"/>
  <c r="CG167" i="9"/>
  <c r="BS31" i="10"/>
  <c r="BS13" i="10"/>
  <c r="BS4" i="10" s="1"/>
  <c r="BR167" i="9"/>
  <c r="BD13" i="10"/>
  <c r="BD4" i="10" s="1"/>
  <c r="AV25" i="10"/>
  <c r="AV26" i="10"/>
  <c r="AV24" i="10"/>
  <c r="BD178" i="9"/>
  <c r="BD124" i="9" s="1"/>
  <c r="BJ146" i="9"/>
  <c r="BJ170" i="9"/>
  <c r="BK50" i="10"/>
  <c r="BK209" i="10"/>
  <c r="BK208" i="10"/>
  <c r="BS208" i="10"/>
  <c r="BM183" i="10"/>
  <c r="CB167" i="9"/>
  <c r="BN31" i="10"/>
  <c r="CB175" i="9" s="1"/>
  <c r="BC4" i="10"/>
  <c r="BC25" i="10" s="1"/>
  <c r="BW167" i="9"/>
  <c r="BI13" i="10"/>
  <c r="BI4" i="10" s="1"/>
  <c r="BQ5" i="10" s="1"/>
  <c r="EO196" i="5"/>
  <c r="BE51" i="10"/>
  <c r="BE62" i="10" s="1"/>
  <c r="BL184" i="10"/>
  <c r="BJ185" i="10"/>
  <c r="BL207" i="10"/>
  <c r="BH167" i="9"/>
  <c r="AT13" i="10"/>
  <c r="AT4" i="10" s="1"/>
  <c r="BM185" i="10"/>
  <c r="BG207" i="10"/>
  <c r="CB166" i="9"/>
  <c r="BN30" i="10"/>
  <c r="BN13" i="10"/>
  <c r="BN4" i="10" s="1"/>
  <c r="BQ175" i="9"/>
  <c r="BQ178" i="9" s="1"/>
  <c r="BQ124" i="9" s="1"/>
  <c r="BC34" i="10"/>
  <c r="BH208" i="10"/>
  <c r="BH209" i="10"/>
  <c r="BH50" i="10"/>
  <c r="BP208" i="10"/>
  <c r="AX25" i="10"/>
  <c r="AX24" i="10"/>
  <c r="AX26" i="10"/>
  <c r="AX5" i="10"/>
  <c r="BQ146" i="9"/>
  <c r="BQ170" i="9"/>
  <c r="AW146" i="9"/>
  <c r="BQ25" i="10"/>
  <c r="BQ26" i="10"/>
  <c r="BQ24" i="10"/>
  <c r="CE146" i="9"/>
  <c r="CE170" i="9"/>
  <c r="BE167" i="9"/>
  <c r="AQ13" i="10"/>
  <c r="AQ4" i="10" s="1"/>
  <c r="BL174" i="9"/>
  <c r="AV30" i="10"/>
  <c r="AX34" i="10"/>
  <c r="AX35" i="10" s="1"/>
  <c r="BL146" i="9"/>
  <c r="EL196" i="5"/>
  <c r="BB51" i="10"/>
  <c r="BB62" i="10" s="1"/>
  <c r="BB63" i="10" s="1"/>
  <c r="BD116" i="9"/>
  <c r="BD148" i="9"/>
  <c r="BT30" i="10" l="1"/>
  <c r="BV26" i="10"/>
  <c r="CJ170" i="9"/>
  <c r="CJ171" i="9" s="1"/>
  <c r="BV25" i="10"/>
  <c r="BV34" i="10"/>
  <c r="BV35" i="10" s="1"/>
  <c r="CJ178" i="9"/>
  <c r="CJ124" i="9" s="1"/>
  <c r="CK82" i="11"/>
  <c r="CK75" i="11" s="1"/>
  <c r="CK103" i="11"/>
  <c r="CS67" i="11"/>
  <c r="CS68" i="11" s="1"/>
  <c r="CS70" i="11" s="1"/>
  <c r="CK102" i="11"/>
  <c r="AR24" i="10"/>
  <c r="BF170" i="9"/>
  <c r="AR25" i="10"/>
  <c r="BE63" i="10"/>
  <c r="BN167" i="9"/>
  <c r="AZ13" i="10"/>
  <c r="AZ4" i="10" s="1"/>
  <c r="BE12" i="10"/>
  <c r="BS167" i="9" s="1"/>
  <c r="BP12" i="10"/>
  <c r="BC35" i="10"/>
  <c r="BT178" i="9"/>
  <c r="BT124" i="9" s="1"/>
  <c r="BL178" i="9"/>
  <c r="BL124" i="9" s="1"/>
  <c r="CB146" i="9"/>
  <c r="FB196" i="5"/>
  <c r="BR51" i="10"/>
  <c r="BR62" i="10" s="1"/>
  <c r="FE196" i="5"/>
  <c r="BU51" i="10"/>
  <c r="BU62" i="10" s="1"/>
  <c r="BM184" i="10"/>
  <c r="BM207" i="10"/>
  <c r="BJ174" i="9"/>
  <c r="AV128" i="10"/>
  <c r="AV34" i="10"/>
  <c r="AV35" i="10" s="1"/>
  <c r="AT25" i="10"/>
  <c r="AT24" i="10"/>
  <c r="AT26" i="10"/>
  <c r="BD25" i="10"/>
  <c r="BD24" i="10"/>
  <c r="BD26" i="10"/>
  <c r="BD5" i="10"/>
  <c r="CC167" i="9"/>
  <c r="BO13" i="10"/>
  <c r="BO4" i="10" s="1"/>
  <c r="CH167" i="9"/>
  <c r="BT13" i="10"/>
  <c r="BT4" i="10" s="1"/>
  <c r="BO120" i="9"/>
  <c r="BH146" i="9"/>
  <c r="BH170" i="9"/>
  <c r="BD128" i="9"/>
  <c r="BR146" i="9"/>
  <c r="BR170" i="9"/>
  <c r="CJ116" i="9"/>
  <c r="CJ148" i="9"/>
  <c r="BM146" i="9"/>
  <c r="BM170" i="9"/>
  <c r="CE116" i="9"/>
  <c r="CE148" i="9"/>
  <c r="BL209" i="10"/>
  <c r="BL208" i="10"/>
  <c r="BL50" i="10"/>
  <c r="BT208" i="10"/>
  <c r="BI25" i="10"/>
  <c r="BI5" i="10"/>
  <c r="BI24" i="10"/>
  <c r="BI26" i="10"/>
  <c r="BS25" i="10"/>
  <c r="BS26" i="10"/>
  <c r="BS24" i="10"/>
  <c r="BR174" i="9"/>
  <c r="BD128" i="10"/>
  <c r="BD34" i="10"/>
  <c r="BD35" i="10" s="1"/>
  <c r="AY4" i="10"/>
  <c r="AY25" i="10" s="1"/>
  <c r="BP167" i="9"/>
  <c r="BB13" i="10"/>
  <c r="BB4" i="10" s="1"/>
  <c r="BE146" i="9"/>
  <c r="BE170" i="9"/>
  <c r="BN25" i="10"/>
  <c r="BN5" i="10"/>
  <c r="BN26" i="10"/>
  <c r="BN24" i="10"/>
  <c r="BJ184" i="10"/>
  <c r="BJ207" i="10"/>
  <c r="BW146" i="9"/>
  <c r="BW170" i="9"/>
  <c r="BT31" i="10"/>
  <c r="CG175" i="9"/>
  <c r="CG178" i="9" s="1"/>
  <c r="CG124" i="9" s="1"/>
  <c r="BS34" i="10"/>
  <c r="BS35" i="10" s="1"/>
  <c r="CH174" i="9"/>
  <c r="BT128" i="10"/>
  <c r="CB174" i="9"/>
  <c r="CB178" i="9" s="1"/>
  <c r="CB124" i="9" s="1"/>
  <c r="BL30" i="10"/>
  <c r="BN34" i="10"/>
  <c r="BN35" i="10" s="1"/>
  <c r="EU196" i="5"/>
  <c r="BK12" i="10"/>
  <c r="BK51" i="10"/>
  <c r="BK62" i="10" s="1"/>
  <c r="CG146" i="9"/>
  <c r="CG170" i="9"/>
  <c r="BT116" i="9"/>
  <c r="BT148" i="9"/>
  <c r="BJ116" i="9"/>
  <c r="BJ148" i="9"/>
  <c r="AW148" i="9"/>
  <c r="CB143" i="9"/>
  <c r="CB145" i="9" s="1"/>
  <c r="CB170" i="9"/>
  <c r="CB171" i="9" s="1"/>
  <c r="BC5" i="10"/>
  <c r="BC24" i="10"/>
  <c r="BC26" i="10"/>
  <c r="BV5" i="10"/>
  <c r="AV129" i="10"/>
  <c r="BJ175" i="9"/>
  <c r="BD129" i="10"/>
  <c r="BR175" i="9"/>
  <c r="BF116" i="9"/>
  <c r="BF148" i="9"/>
  <c r="AQ25" i="10"/>
  <c r="AQ24" i="10"/>
  <c r="AQ26" i="10"/>
  <c r="BL116" i="9"/>
  <c r="BL148" i="9"/>
  <c r="BQ116" i="9"/>
  <c r="BQ148" i="9"/>
  <c r="ER196" i="5"/>
  <c r="BH51" i="10"/>
  <c r="BH62" i="10" s="1"/>
  <c r="BG50" i="10"/>
  <c r="BG208" i="10"/>
  <c r="BG209" i="10"/>
  <c r="BO208" i="10"/>
  <c r="BK167" i="9"/>
  <c r="AW13" i="10"/>
  <c r="AW4" i="10" s="1"/>
  <c r="CJ128" i="9" l="1"/>
  <c r="CS81" i="11"/>
  <c r="CS103" i="11" s="1"/>
  <c r="BE13" i="10"/>
  <c r="BE4" i="10" s="1"/>
  <c r="BE25" i="10" s="1"/>
  <c r="BL12" i="10"/>
  <c r="BJ12" i="10" s="1"/>
  <c r="AZ25" i="10"/>
  <c r="AZ24" i="10"/>
  <c r="AZ26" i="10"/>
  <c r="AZ5" i="10"/>
  <c r="BN146" i="9"/>
  <c r="BN170" i="9"/>
  <c r="BP13" i="10"/>
  <c r="CD167" i="9"/>
  <c r="BU12" i="10"/>
  <c r="BU13" i="10" s="1"/>
  <c r="BR178" i="9"/>
  <c r="BR124" i="9" s="1"/>
  <c r="AW25" i="10"/>
  <c r="AW24" i="10"/>
  <c r="AW26" i="10"/>
  <c r="BH63" i="10"/>
  <c r="BP63" i="10"/>
  <c r="BT120" i="9"/>
  <c r="BK63" i="10"/>
  <c r="BS63" i="10"/>
  <c r="BY167" i="9"/>
  <c r="BK31" i="10"/>
  <c r="BK13" i="10"/>
  <c r="BK4" i="10" s="1"/>
  <c r="EV196" i="5"/>
  <c r="BL51" i="10"/>
  <c r="BL62" i="10" s="1"/>
  <c r="BM116" i="9"/>
  <c r="BM148" i="9"/>
  <c r="BE116" i="9"/>
  <c r="BE148" i="9"/>
  <c r="BB25" i="10"/>
  <c r="BB5" i="10"/>
  <c r="BB24" i="10"/>
  <c r="BB26" i="10"/>
  <c r="BH116" i="9"/>
  <c r="BH148" i="9"/>
  <c r="BT25" i="10"/>
  <c r="BT24" i="10"/>
  <c r="BT26" i="10"/>
  <c r="BS146" i="9"/>
  <c r="BS170" i="9"/>
  <c r="CH146" i="9"/>
  <c r="CH170" i="9"/>
  <c r="BJ178" i="9"/>
  <c r="BJ124" i="9" s="1"/>
  <c r="CF167" i="9"/>
  <c r="BR13" i="10"/>
  <c r="BT129" i="10"/>
  <c r="CH175" i="9"/>
  <c r="CH178" i="9" s="1"/>
  <c r="CH124" i="9" s="1"/>
  <c r="BQ120" i="9"/>
  <c r="BT128" i="9"/>
  <c r="BT34" i="10"/>
  <c r="BT35" i="10" s="1"/>
  <c r="BQ128" i="9"/>
  <c r="BO25" i="10"/>
  <c r="BO24" i="10"/>
  <c r="BO26" i="10"/>
  <c r="BK146" i="9"/>
  <c r="BK170" i="9"/>
  <c r="BL120" i="9"/>
  <c r="BW116" i="9"/>
  <c r="CE120" i="9" s="1"/>
  <c r="BW148" i="9"/>
  <c r="AY5" i="10"/>
  <c r="AY24" i="10"/>
  <c r="AY26" i="10"/>
  <c r="BR116" i="9"/>
  <c r="BR148" i="9"/>
  <c r="BL128" i="9"/>
  <c r="CC146" i="9"/>
  <c r="CC170" i="9"/>
  <c r="BM209" i="10"/>
  <c r="BM50" i="10"/>
  <c r="BM208" i="10"/>
  <c r="BU208" i="10"/>
  <c r="BZ174" i="9"/>
  <c r="BL128" i="10"/>
  <c r="BP146" i="9"/>
  <c r="BP170" i="9"/>
  <c r="EQ196" i="5"/>
  <c r="BG51" i="10"/>
  <c r="BG62" i="10" s="1"/>
  <c r="BG12" i="10"/>
  <c r="CG116" i="9"/>
  <c r="CG128" i="9" s="1"/>
  <c r="CG148" i="9"/>
  <c r="BJ50" i="10"/>
  <c r="BJ208" i="10"/>
  <c r="BJ209" i="10"/>
  <c r="BR208" i="10"/>
  <c r="CB116" i="9"/>
  <c r="CJ120" i="9" s="1"/>
  <c r="CB148" i="9"/>
  <c r="DA67" i="11" l="1"/>
  <c r="DA68" i="11" s="1"/>
  <c r="DA70" i="11" s="1"/>
  <c r="CS82" i="11"/>
  <c r="CS75" i="11" s="1"/>
  <c r="CS101" i="11"/>
  <c r="CS102" i="11"/>
  <c r="BR128" i="9"/>
  <c r="CI167" i="9"/>
  <c r="CI146" i="9" s="1"/>
  <c r="BN116" i="9"/>
  <c r="BN148" i="9"/>
  <c r="CD146" i="9"/>
  <c r="CD170" i="9"/>
  <c r="BH12" i="10"/>
  <c r="BP4" i="10"/>
  <c r="BR4" i="10"/>
  <c r="BR25" i="10" s="1"/>
  <c r="CF146" i="9"/>
  <c r="CF170" i="9"/>
  <c r="CC116" i="9"/>
  <c r="CC148" i="9"/>
  <c r="BU167" i="9"/>
  <c r="BG13" i="10"/>
  <c r="BG4" i="10" s="1"/>
  <c r="BJ128" i="9"/>
  <c r="BS116" i="9"/>
  <c r="BS148" i="9"/>
  <c r="BM120" i="9"/>
  <c r="BK25" i="10"/>
  <c r="BK26" i="10"/>
  <c r="BK24" i="10"/>
  <c r="BK5" i="10"/>
  <c r="BS5" i="10"/>
  <c r="CB120" i="9"/>
  <c r="BG63" i="10"/>
  <c r="BO63" i="10"/>
  <c r="BP116" i="9"/>
  <c r="BP148" i="9"/>
  <c r="BK116" i="9"/>
  <c r="BK148" i="9"/>
  <c r="BL63" i="10"/>
  <c r="BT63" i="10"/>
  <c r="BL31" i="10"/>
  <c r="BY175" i="9"/>
  <c r="BY178" i="9" s="1"/>
  <c r="BY124" i="9" s="1"/>
  <c r="BK34" i="10"/>
  <c r="BK35" i="10" s="1"/>
  <c r="BE24" i="10"/>
  <c r="BE26" i="10"/>
  <c r="BE5" i="10"/>
  <c r="CB128" i="9"/>
  <c r="BR120" i="9"/>
  <c r="BW120" i="9"/>
  <c r="BZ167" i="9"/>
  <c r="BL13" i="10"/>
  <c r="BL4" i="10" s="1"/>
  <c r="BY146" i="9"/>
  <c r="BY170" i="9"/>
  <c r="ET196" i="5"/>
  <c r="BJ51" i="10"/>
  <c r="BJ62" i="10" s="1"/>
  <c r="BM51" i="10"/>
  <c r="BM62" i="10" s="1"/>
  <c r="EW196" i="5"/>
  <c r="CH116" i="9"/>
  <c r="CH128" i="9" s="1"/>
  <c r="CH148" i="9"/>
  <c r="BU4" i="10"/>
  <c r="DA81" i="11" l="1"/>
  <c r="DA102" i="11" s="1"/>
  <c r="CI170" i="9"/>
  <c r="BP26" i="10"/>
  <c r="BP24" i="10"/>
  <c r="BV167" i="9"/>
  <c r="BH13" i="10"/>
  <c r="BN120" i="9"/>
  <c r="BP25" i="10"/>
  <c r="CD116" i="9"/>
  <c r="CD148" i="9"/>
  <c r="BM12" i="10"/>
  <c r="CA167" i="9" s="1"/>
  <c r="BU26" i="10"/>
  <c r="BU24" i="10"/>
  <c r="BY116" i="9"/>
  <c r="BY128" i="9" s="1"/>
  <c r="BY148" i="9"/>
  <c r="BS120" i="9"/>
  <c r="BL25" i="10"/>
  <c r="BL5" i="10"/>
  <c r="BL24" i="10"/>
  <c r="BL26" i="10"/>
  <c r="BT5" i="10"/>
  <c r="BP120" i="9"/>
  <c r="BJ63" i="10"/>
  <c r="BR63" i="10"/>
  <c r="BX167" i="9"/>
  <c r="BJ13" i="10"/>
  <c r="BZ146" i="9"/>
  <c r="BZ170" i="9"/>
  <c r="BZ175" i="9"/>
  <c r="BZ178" i="9" s="1"/>
  <c r="BZ124" i="9" s="1"/>
  <c r="BL129" i="10"/>
  <c r="BL34" i="10"/>
  <c r="BL35" i="10" s="1"/>
  <c r="BR24" i="10"/>
  <c r="BR26" i="10"/>
  <c r="BM63" i="10"/>
  <c r="BU63" i="10"/>
  <c r="BG25" i="10"/>
  <c r="BG24" i="10"/>
  <c r="BG5" i="10"/>
  <c r="BG26" i="10"/>
  <c r="BO5" i="10"/>
  <c r="BU25" i="10"/>
  <c r="BU170" i="9"/>
  <c r="BU146" i="9"/>
  <c r="CF116" i="9"/>
  <c r="CF148" i="9"/>
  <c r="CI116" i="9"/>
  <c r="CI148" i="9"/>
  <c r="DA82" i="11" l="1"/>
  <c r="DA75" i="11" s="1"/>
  <c r="DA101" i="11"/>
  <c r="DA103" i="11"/>
  <c r="BM13" i="10"/>
  <c r="BM4" i="10" s="1"/>
  <c r="BM25" i="10" s="1"/>
  <c r="BH4" i="10"/>
  <c r="BH25" i="10" s="1"/>
  <c r="BV170" i="9"/>
  <c r="BV146" i="9"/>
  <c r="BZ116" i="9"/>
  <c r="BZ128" i="9" s="1"/>
  <c r="BZ148" i="9"/>
  <c r="BJ4" i="10"/>
  <c r="BJ25" i="10" s="1"/>
  <c r="BX146" i="9"/>
  <c r="BX170" i="9"/>
  <c r="BY120" i="9"/>
  <c r="CG120" i="9"/>
  <c r="BU116" i="9"/>
  <c r="BU148" i="9"/>
  <c r="CA146" i="9"/>
  <c r="CA170" i="9"/>
  <c r="BV148" i="9" l="1"/>
  <c r="BV116" i="9"/>
  <c r="BH24" i="10"/>
  <c r="BH26" i="10"/>
  <c r="BP5" i="10"/>
  <c r="BH5" i="10"/>
  <c r="BM26" i="10"/>
  <c r="BM5" i="10"/>
  <c r="BM24" i="10"/>
  <c r="BU5" i="10"/>
  <c r="BX116" i="9"/>
  <c r="BX148" i="9"/>
  <c r="BJ5" i="10"/>
  <c r="BJ24" i="10"/>
  <c r="BJ26" i="10"/>
  <c r="BR5" i="10"/>
  <c r="BU120" i="9"/>
  <c r="CC120" i="9"/>
  <c r="BZ120" i="9"/>
  <c r="CH120" i="9"/>
  <c r="CA116" i="9"/>
  <c r="CA148" i="9"/>
  <c r="CD120" i="9" l="1"/>
  <c r="BV120" i="9"/>
  <c r="CA120" i="9"/>
  <c r="CI120" i="9"/>
  <c r="BX120" i="9"/>
  <c r="CF120" i="9"/>
  <c r="R177" i="10" l="1"/>
  <c r="R139" i="10"/>
  <c r="R140" i="10" s="1"/>
  <c r="P139" i="10" l="1"/>
  <c r="P177" i="10"/>
  <c r="R179" i="10"/>
  <c r="R184" i="10"/>
  <c r="AW153" i="11" s="1"/>
  <c r="AW149" i="11" s="1"/>
  <c r="AW188" i="11" s="1"/>
  <c r="AW190" i="11" s="1"/>
  <c r="J180" i="10" l="1"/>
  <c r="J182" i="10" s="1"/>
  <c r="R180" i="10"/>
  <c r="P179" i="10"/>
  <c r="R182" i="10" l="1"/>
  <c r="R183" i="10" s="1"/>
  <c r="P180" i="10"/>
  <c r="O180" i="10"/>
  <c r="O182" i="10" s="1"/>
  <c r="J183" i="10"/>
  <c r="J185" i="10" s="1"/>
  <c r="J209" i="10" s="1"/>
  <c r="J67" i="10"/>
  <c r="J11" i="10" l="1"/>
  <c r="J72" i="10"/>
  <c r="J74" i="10" s="1"/>
  <c r="J75" i="10" s="1"/>
  <c r="J12" i="10"/>
  <c r="O183" i="10"/>
  <c r="P183" i="10" s="1"/>
  <c r="L182" i="10"/>
  <c r="R185" i="10"/>
  <c r="R209" i="10" s="1"/>
  <c r="R67" i="10"/>
  <c r="P182" i="10"/>
  <c r="J31" i="10" l="1"/>
  <c r="X175" i="9" s="1"/>
  <c r="X167" i="9"/>
  <c r="R11" i="10"/>
  <c r="R72" i="10"/>
  <c r="R74" i="10" s="1"/>
  <c r="R75" i="10" s="1"/>
  <c r="R12" i="10"/>
  <c r="O185" i="10"/>
  <c r="L183" i="10"/>
  <c r="P181" i="10"/>
  <c r="X166" i="9"/>
  <c r="J30" i="10"/>
  <c r="X174" i="9" s="1"/>
  <c r="J13" i="10"/>
  <c r="AF167" i="9" l="1"/>
  <c r="R31" i="10"/>
  <c r="J25" i="10"/>
  <c r="J9" i="10"/>
  <c r="AF166" i="9"/>
  <c r="R30" i="10"/>
  <c r="R13" i="10"/>
  <c r="X143" i="9"/>
  <c r="X145" i="9" s="1"/>
  <c r="X158" i="9"/>
  <c r="X146" i="9"/>
  <c r="X148" i="9" s="1"/>
  <c r="X159" i="9"/>
  <c r="X135" i="9" s="1"/>
  <c r="X137" i="9" s="1"/>
  <c r="P185" i="10"/>
  <c r="O209" i="10"/>
  <c r="L185" i="10"/>
  <c r="R9" i="10" l="1"/>
  <c r="R25" i="10"/>
  <c r="P184" i="10"/>
  <c r="P209" i="10"/>
  <c r="L184" i="10"/>
  <c r="L209" i="10"/>
  <c r="AF143" i="9"/>
  <c r="AF145" i="9" s="1"/>
  <c r="AF158" i="9"/>
  <c r="X168" i="9"/>
  <c r="J24" i="10"/>
  <c r="J32" i="10"/>
  <c r="AF175" i="9"/>
  <c r="P31" i="10"/>
  <c r="AF174" i="9"/>
  <c r="P30" i="10"/>
  <c r="X132" i="9"/>
  <c r="X134" i="9" s="1"/>
  <c r="AF146" i="9"/>
  <c r="AF148" i="9" s="1"/>
  <c r="AF159" i="9"/>
  <c r="AD175" i="9" l="1"/>
  <c r="P129" i="10"/>
  <c r="J34" i="10"/>
  <c r="J35" i="10" s="1"/>
  <c r="X176" i="9"/>
  <c r="X178" i="9" s="1"/>
  <c r="X124" i="9" s="1"/>
  <c r="AF135" i="9"/>
  <c r="AF137" i="9" s="1"/>
  <c r="AD159" i="9"/>
  <c r="X149" i="9"/>
  <c r="X151" i="9" s="1"/>
  <c r="X152" i="9" s="1"/>
  <c r="X160" i="9"/>
  <c r="X170" i="9"/>
  <c r="X171" i="9" s="1"/>
  <c r="AF132" i="9"/>
  <c r="AF134" i="9" s="1"/>
  <c r="AD158" i="9"/>
  <c r="R32" i="10"/>
  <c r="R24" i="10"/>
  <c r="AF168" i="9"/>
  <c r="P9" i="10"/>
  <c r="AD174" i="9"/>
  <c r="P128" i="10"/>
  <c r="AF176" i="9" l="1"/>
  <c r="AF178" i="9" s="1"/>
  <c r="AF124" i="9" s="1"/>
  <c r="P32" i="10"/>
  <c r="R34" i="10"/>
  <c r="R35" i="10" s="1"/>
  <c r="AB158" i="9"/>
  <c r="AD132" i="9"/>
  <c r="AD134" i="9" s="1"/>
  <c r="AF160" i="9"/>
  <c r="AF149" i="9"/>
  <c r="AF151" i="9" s="1"/>
  <c r="AF152" i="9" s="1"/>
  <c r="AF170" i="9"/>
  <c r="AB159" i="9"/>
  <c r="AB135" i="9" s="1"/>
  <c r="AB137" i="9" s="1"/>
  <c r="AD135" i="9"/>
  <c r="AD137" i="9" s="1"/>
  <c r="X125" i="9"/>
  <c r="X128" i="9"/>
  <c r="N9" i="10"/>
  <c r="AD168" i="9"/>
  <c r="P24" i="10"/>
  <c r="X138" i="9"/>
  <c r="X140" i="9" s="1"/>
  <c r="X141" i="9" s="1"/>
  <c r="X162" i="9"/>
  <c r="X163" i="9" s="1"/>
  <c r="AD160" i="9" l="1"/>
  <c r="AF138" i="9"/>
  <c r="AF140" i="9" s="1"/>
  <c r="AF141" i="9" s="1"/>
  <c r="AF162" i="9"/>
  <c r="AF163" i="9" s="1"/>
  <c r="AB132" i="9"/>
  <c r="AB134" i="9" s="1"/>
  <c r="P130" i="10"/>
  <c r="AD176" i="9"/>
  <c r="AD178" i="9" s="1"/>
  <c r="P34" i="10"/>
  <c r="P35" i="10" s="1"/>
  <c r="AD149" i="9"/>
  <c r="AD151" i="9" s="1"/>
  <c r="AD152" i="9" s="1"/>
  <c r="AD170" i="9"/>
  <c r="AB168" i="9"/>
  <c r="N24" i="10"/>
  <c r="AO41" i="11"/>
  <c r="X129" i="9"/>
  <c r="AF171" i="9"/>
  <c r="AD124" i="9"/>
  <c r="AF125" i="9"/>
  <c r="AF128" i="9"/>
  <c r="AO42" i="11" l="1"/>
  <c r="AO44" i="11"/>
  <c r="AW41" i="11"/>
  <c r="AF129" i="9"/>
  <c r="AD125" i="9"/>
  <c r="AD128" i="9"/>
  <c r="AB170" i="9"/>
  <c r="AB149" i="9"/>
  <c r="AB151" i="9" s="1"/>
  <c r="AB152" i="9" s="1"/>
  <c r="AB160" i="9"/>
  <c r="AD138" i="9"/>
  <c r="AD140" i="9" s="1"/>
  <c r="AD141" i="9" s="1"/>
  <c r="AD162" i="9"/>
  <c r="AW42" i="11" l="1"/>
  <c r="AW44" i="11"/>
  <c r="AU41" i="11"/>
  <c r="AU42" i="11" s="1"/>
  <c r="AD129" i="9"/>
  <c r="AB138" i="9"/>
  <c r="AB140" i="9" s="1"/>
  <c r="AB141" i="9" s="1"/>
  <c r="AB162" i="9"/>
  <c r="AO45" i="11"/>
  <c r="X200" i="9"/>
  <c r="X204" i="9" s="1"/>
  <c r="X205" i="9" s="1"/>
  <c r="AD126" i="9"/>
  <c r="AD130" i="9" s="1"/>
  <c r="AW45" i="11" l="1"/>
  <c r="AF200" i="9"/>
  <c r="AF204" i="9" s="1"/>
  <c r="AF205" i="9" s="1"/>
  <c r="AU44" i="11"/>
  <c r="AD200" i="9" l="1"/>
  <c r="AD204" i="9" s="1"/>
  <c r="AD205" i="9" s="1"/>
  <c r="AU45" i="11"/>
  <c r="M139" i="10" l="1"/>
  <c r="M177" i="10"/>
  <c r="Q138" i="10"/>
  <c r="Q177" i="10" l="1"/>
  <c r="Q139" i="10"/>
  <c r="M184" i="10"/>
  <c r="M179" i="10"/>
  <c r="Q179" i="10" l="1"/>
  <c r="L180" i="10"/>
  <c r="N179" i="10"/>
  <c r="N180" i="10" s="1"/>
  <c r="N139" i="10"/>
  <c r="N177" i="10"/>
  <c r="L181" i="10" l="1"/>
  <c r="M180" i="10"/>
  <c r="M182" i="10" s="1"/>
  <c r="M183" i="10" l="1"/>
  <c r="Q182" i="10"/>
  <c r="N182" i="10"/>
  <c r="N181" i="10" s="1"/>
  <c r="Q180" i="10"/>
  <c r="Q181" i="10" l="1"/>
  <c r="M185" i="10"/>
  <c r="N183" i="10"/>
  <c r="Q183" i="10"/>
  <c r="N185" i="10" l="1"/>
  <c r="M209" i="10"/>
  <c r="Q185" i="10"/>
  <c r="Q184" i="10" l="1"/>
  <c r="Q207" i="10"/>
  <c r="N184" i="10"/>
  <c r="N209" i="10"/>
  <c r="Q209" i="10" l="1"/>
  <c r="Q50" i="10"/>
  <c r="Y208" i="10"/>
  <c r="DA196" i="5" l="1"/>
  <c r="Q51" i="10"/>
  <c r="Q62" i="10" s="1"/>
  <c r="Y63" i="10" s="1"/>
  <c r="AE167" i="9" l="1"/>
  <c r="Q13" i="10"/>
  <c r="Q4" i="10" l="1"/>
  <c r="Q25" i="10" s="1"/>
  <c r="AE146" i="9"/>
  <c r="AE170" i="9"/>
  <c r="AE148" i="9" l="1"/>
  <c r="AE152" i="9" s="1"/>
  <c r="AE116" i="9"/>
  <c r="Q24" i="10"/>
  <c r="Q26" i="10"/>
  <c r="Y5" i="10"/>
  <c r="AE118" i="9" l="1"/>
  <c r="AM120" i="9"/>
  <c r="AE266" i="9" l="1"/>
  <c r="AM267" i="9" s="1"/>
  <c r="AM122" i="9"/>
  <c r="Q6" i="10"/>
  <c r="V177" i="10" l="1"/>
  <c r="V139" i="10"/>
  <c r="AE139" i="10" l="1"/>
  <c r="AE177" i="10"/>
  <c r="AG138" i="10"/>
  <c r="AE179" i="10" l="1"/>
  <c r="AB179" i="10" s="1"/>
  <c r="AE184" i="10"/>
  <c r="AG177" i="10"/>
  <c r="AG139" i="10"/>
  <c r="AH179" i="10"/>
  <c r="AH139" i="10"/>
  <c r="AH140" i="10" s="1"/>
  <c r="AF179" i="10" l="1"/>
  <c r="AF180" i="10"/>
  <c r="AD179" i="10"/>
  <c r="AD180" i="10" s="1"/>
  <c r="X180" i="10"/>
  <c r="AH180" i="10"/>
  <c r="Z180" i="10"/>
  <c r="AB180" i="10"/>
  <c r="AA180" i="10"/>
  <c r="AA182" i="10" s="1"/>
  <c r="AG179" i="10"/>
  <c r="AE180" i="10" l="1"/>
  <c r="AE182" i="10" s="1"/>
  <c r="Z182" i="10"/>
  <c r="Z183" i="10" s="1"/>
  <c r="AH182" i="10"/>
  <c r="AH72" i="10" l="1"/>
  <c r="AH74" i="10" s="1"/>
  <c r="AH75" i="10" s="1"/>
  <c r="AH11" i="10"/>
  <c r="AF182" i="10"/>
  <c r="AF181" i="10" s="1"/>
  <c r="Z185" i="10"/>
  <c r="Z209" i="10" s="1"/>
  <c r="X183" i="10"/>
  <c r="V183" i="10" s="1"/>
  <c r="AE183" i="10"/>
  <c r="X182" i="10"/>
  <c r="AH183" i="10"/>
  <c r="AC180" i="10"/>
  <c r="AC182" i="10" s="1"/>
  <c r="AV167" i="9" l="1"/>
  <c r="AH31" i="10"/>
  <c r="AV175" i="9" s="1"/>
  <c r="AH30" i="10"/>
  <c r="AF30" i="10" s="1"/>
  <c r="AH13" i="10"/>
  <c r="AF11" i="10"/>
  <c r="AF183" i="10"/>
  <c r="AD182" i="10"/>
  <c r="AD181" i="10" s="1"/>
  <c r="AE185" i="10"/>
  <c r="AH185" i="10"/>
  <c r="X181" i="10"/>
  <c r="V182" i="10"/>
  <c r="V181" i="10" s="1"/>
  <c r="AG180" i="10"/>
  <c r="X185" i="10"/>
  <c r="AT166" i="9" l="1"/>
  <c r="AT143" i="9" s="1"/>
  <c r="AT145" i="9" s="1"/>
  <c r="AD11" i="10"/>
  <c r="AR166" i="9" s="1"/>
  <c r="AR143" i="9" s="1"/>
  <c r="AR145" i="9" s="1"/>
  <c r="AT174" i="9"/>
  <c r="AF128" i="10"/>
  <c r="AV146" i="9"/>
  <c r="AV148" i="9" s="1"/>
  <c r="AV159" i="9"/>
  <c r="AV135" i="9" s="1"/>
  <c r="AV137" i="9" s="1"/>
  <c r="AF185" i="10"/>
  <c r="AF184" i="10" s="1"/>
  <c r="V185" i="10"/>
  <c r="X184" i="10"/>
  <c r="AB182" i="10"/>
  <c r="AA183" i="10"/>
  <c r="BE62" i="11"/>
  <c r="V129" i="6"/>
  <c r="Z208" i="10"/>
  <c r="BE146" i="11"/>
  <c r="AC183" i="10"/>
  <c r="AD183" i="10" s="1"/>
  <c r="AF209" i="10" l="1"/>
  <c r="AC185" i="10"/>
  <c r="AD185" i="10" s="1"/>
  <c r="AG182" i="10"/>
  <c r="AG181" i="10" s="1"/>
  <c r="AB181" i="10"/>
  <c r="AA185" i="10"/>
  <c r="AB185" i="10" s="1"/>
  <c r="AB183" i="10"/>
  <c r="X208" i="10"/>
  <c r="X209" i="10"/>
  <c r="BE63" i="11"/>
  <c r="BE83" i="11"/>
  <c r="AC208" i="10"/>
  <c r="AK208" i="10"/>
  <c r="DJ196" i="5"/>
  <c r="V184" i="10"/>
  <c r="AC209" i="10" l="1"/>
  <c r="AD184" i="10"/>
  <c r="AD209" i="10"/>
  <c r="V208" i="10"/>
  <c r="V209" i="10"/>
  <c r="AG183" i="10"/>
  <c r="BE150" i="11"/>
  <c r="BE76" i="11"/>
  <c r="BE84" i="11"/>
  <c r="DH196" i="5"/>
  <c r="AK63" i="10" l="1"/>
  <c r="Z11" i="10"/>
  <c r="Z12" i="10"/>
  <c r="DF196" i="5"/>
  <c r="BE85" i="11"/>
  <c r="BE77" i="11"/>
  <c r="Z72" i="10"/>
  <c r="BU63" i="11"/>
  <c r="AA209" i="10"/>
  <c r="AA208" i="10"/>
  <c r="AI208" i="10"/>
  <c r="BE151" i="11"/>
  <c r="BE149" i="11" s="1"/>
  <c r="BE188" i="11" s="1"/>
  <c r="Z13" i="10" l="1"/>
  <c r="X12" i="10"/>
  <c r="V12" i="10" s="1"/>
  <c r="AN167" i="9"/>
  <c r="AN166" i="9"/>
  <c r="X11" i="10"/>
  <c r="X72" i="10"/>
  <c r="Z31" i="10"/>
  <c r="X31" i="10" s="1"/>
  <c r="DK196" i="5"/>
  <c r="Z30" i="10"/>
  <c r="X30" i="10" s="1"/>
  <c r="BE190" i="11"/>
  <c r="CC63" i="11"/>
  <c r="AV166" i="9" l="1"/>
  <c r="AA63" i="10"/>
  <c r="AA72" i="10"/>
  <c r="AN143" i="9"/>
  <c r="AN145" i="9" s="1"/>
  <c r="AN146" i="9"/>
  <c r="AN148" i="9" s="1"/>
  <c r="V11" i="10"/>
  <c r="X13" i="10"/>
  <c r="AN174" i="9"/>
  <c r="CK63" i="11"/>
  <c r="X67" i="10"/>
  <c r="V72" i="10"/>
  <c r="V67" i="10" s="1"/>
  <c r="AN175" i="9"/>
  <c r="AV174" i="9"/>
  <c r="AV158" i="9" l="1"/>
  <c r="AV143" i="9"/>
  <c r="AV145" i="9" s="1"/>
  <c r="AI63" i="10"/>
  <c r="AA74" i="10"/>
  <c r="AJ167" i="9"/>
  <c r="AJ146" i="9" s="1"/>
  <c r="AJ148" i="9" s="1"/>
  <c r="DA63" i="11"/>
  <c r="CS63" i="11"/>
  <c r="AL167" i="9"/>
  <c r="AL146" i="9" s="1"/>
  <c r="AL148" i="9" s="1"/>
  <c r="AL174" i="9"/>
  <c r="AL175" i="9"/>
  <c r="AV132" i="9" l="1"/>
  <c r="AV134" i="9" s="1"/>
  <c r="AA75" i="10"/>
  <c r="X129" i="10"/>
  <c r="AL166" i="9"/>
  <c r="AL143" i="9" s="1"/>
  <c r="AL145" i="9" s="1"/>
  <c r="X128" i="10"/>
  <c r="V13" i="10"/>
  <c r="AJ166" i="9"/>
  <c r="AJ143" i="9" s="1"/>
  <c r="AJ145" i="9" s="1"/>
  <c r="AJ86" i="9" l="1"/>
  <c r="DJ27" i="5" l="1"/>
  <c r="DJ34" i="5" s="1"/>
  <c r="X115" i="4"/>
  <c r="X121" i="4" s="1"/>
  <c r="X13" i="4"/>
  <c r="DJ3" i="5"/>
  <c r="V79" i="3"/>
  <c r="Y32" i="4" l="1"/>
  <c r="Y35" i="4"/>
  <c r="Y23" i="4"/>
  <c r="DJ17" i="5"/>
  <c r="DR17" i="5"/>
  <c r="V8" i="6"/>
  <c r="X35" i="4"/>
  <c r="X23" i="4"/>
  <c r="X73" i="4"/>
  <c r="X93" i="4"/>
  <c r="DJ11" i="5"/>
  <c r="X16" i="4"/>
  <c r="V64" i="6" s="1"/>
  <c r="V106" i="8" s="1"/>
  <c r="V16" i="6"/>
  <c r="X118" i="4"/>
  <c r="V71" i="6" s="1"/>
  <c r="X104" i="4"/>
  <c r="X82" i="4"/>
  <c r="DR34" i="5" l="1"/>
  <c r="DR24" i="5"/>
  <c r="DR37" i="5" s="1"/>
  <c r="V111" i="8"/>
  <c r="W111" i="8"/>
  <c r="DJ24" i="5"/>
  <c r="DJ37" i="5" s="1"/>
  <c r="V109" i="8"/>
  <c r="V88" i="8"/>
  <c r="V117" i="8"/>
  <c r="V113" i="8"/>
  <c r="V131" i="8"/>
  <c r="V133" i="8"/>
  <c r="V13" i="3"/>
  <c r="V24" i="3" s="1"/>
  <c r="V11" i="6"/>
  <c r="X83" i="4"/>
  <c r="V66" i="6"/>
  <c r="DG14" i="5"/>
  <c r="DC14" i="5"/>
  <c r="DJ13" i="5"/>
  <c r="DE14" i="5"/>
  <c r="DD14" i="5"/>
  <c r="DI14" i="5"/>
  <c r="X119" i="4"/>
  <c r="V130" i="6" l="1"/>
  <c r="X48" i="4"/>
  <c r="X62" i="4" s="1"/>
  <c r="DJ51" i="5"/>
  <c r="DJ60" i="5" s="1"/>
  <c r="V85" i="3"/>
  <c r="V91" i="3" s="1"/>
  <c r="V131" i="6" l="1"/>
  <c r="X51" i="4"/>
  <c r="V73" i="6" s="1"/>
  <c r="V20" i="6"/>
  <c r="V32" i="6" s="1"/>
  <c r="V70" i="3"/>
  <c r="V36" i="6" l="1"/>
  <c r="V39" i="6" s="1"/>
  <c r="V34" i="6"/>
  <c r="V74" i="6"/>
  <c r="V80" i="6"/>
  <c r="V87" i="6" s="1"/>
  <c r="V69" i="6"/>
  <c r="V72" i="3"/>
  <c r="V71" i="3"/>
  <c r="V12" i="6"/>
  <c r="V21" i="6"/>
  <c r="V24" i="6"/>
  <c r="V13" i="6"/>
  <c r="V15" i="3"/>
  <c r="V89" i="6" l="1"/>
  <c r="V81" i="6"/>
  <c r="V83" i="6"/>
  <c r="V35" i="3"/>
  <c r="V16" i="3" s="1"/>
  <c r="V70" i="6"/>
  <c r="V67" i="6"/>
  <c r="V105" i="8" s="1"/>
  <c r="V30" i="3"/>
  <c r="V14" i="6"/>
  <c r="V14" i="3"/>
  <c r="V55" i="6"/>
  <c r="V56" i="6" s="1"/>
  <c r="V57" i="6" s="1"/>
  <c r="DJ39" i="5"/>
  <c r="X90" i="8"/>
  <c r="V7" i="7" l="1"/>
  <c r="V90" i="6"/>
  <c r="V91" i="6"/>
  <c r="DH39" i="5"/>
  <c r="DJ44" i="5"/>
  <c r="DJ50" i="5"/>
  <c r="DJ76" i="5" s="1"/>
  <c r="DJ91" i="5" s="1"/>
  <c r="V115" i="8"/>
  <c r="V107" i="8"/>
  <c r="W35" i="3"/>
  <c r="V42" i="6"/>
  <c r="V46" i="6" s="1"/>
  <c r="V106" i="6" s="1"/>
  <c r="DJ94" i="5"/>
  <c r="V25" i="3"/>
  <c r="V29" i="3"/>
  <c r="V31" i="3"/>
  <c r="V58" i="6"/>
  <c r="V61" i="6" s="1"/>
  <c r="DJ100" i="5" l="1"/>
  <c r="DJ98" i="5"/>
  <c r="DH98" i="5" s="1"/>
  <c r="DH94" i="5"/>
  <c r="X35" i="3"/>
  <c r="X83" i="6"/>
  <c r="DH44" i="5"/>
  <c r="DJ69" i="5"/>
  <c r="DJ77" i="5" s="1"/>
  <c r="DJ92" i="5" s="1"/>
  <c r="DJ256" i="5"/>
  <c r="DJ268" i="5" s="1"/>
  <c r="DJ273" i="5" s="1"/>
  <c r="DJ296" i="5" s="1"/>
  <c r="DJ298" i="5" s="1"/>
  <c r="DR297" i="5" s="1"/>
  <c r="DR298" i="5" s="1"/>
  <c r="V9" i="7"/>
  <c r="V28" i="7"/>
  <c r="V35" i="7" s="1"/>
  <c r="V64" i="7" s="1"/>
  <c r="V67" i="7" s="1"/>
  <c r="W66" i="7" s="1"/>
  <c r="W67" i="7" s="1"/>
  <c r="W70" i="7" s="1"/>
  <c r="V62" i="6"/>
  <c r="V50" i="6"/>
  <c r="W51" i="6" s="1"/>
  <c r="V43" i="6"/>
  <c r="V47" i="6" s="1"/>
  <c r="V53" i="6"/>
  <c r="V17" i="3"/>
  <c r="DJ114" i="5"/>
  <c r="DJ309" i="5" s="1"/>
  <c r="DJ320" i="5" s="1"/>
  <c r="DH320" i="5" s="1"/>
  <c r="DJ67" i="5"/>
  <c r="DR301" i="5" l="1"/>
  <c r="DW297" i="5"/>
  <c r="DJ301" i="5"/>
  <c r="DO297" i="5"/>
  <c r="DO298" i="5" s="1"/>
  <c r="DJ115" i="5"/>
  <c r="DJ119" i="5" s="1"/>
  <c r="Y83" i="6"/>
  <c r="Z34" i="6"/>
  <c r="Y35" i="3"/>
  <c r="DJ118" i="5"/>
  <c r="V32" i="3"/>
  <c r="V51" i="6"/>
  <c r="V19" i="3"/>
  <c r="V41" i="3" s="1"/>
  <c r="V52" i="6"/>
  <c r="V54" i="3"/>
  <c r="V39" i="3" s="1"/>
  <c r="V44" i="6"/>
  <c r="V48" i="6" s="1"/>
  <c r="V18" i="3"/>
  <c r="DO301" i="5" l="1"/>
  <c r="DP297" i="5"/>
  <c r="Z35" i="3"/>
  <c r="Z83" i="6"/>
  <c r="AA34" i="6"/>
  <c r="V67" i="3"/>
  <c r="V26" i="3"/>
  <c r="V20" i="3"/>
  <c r="V103" i="6"/>
  <c r="AA83" i="6" l="1"/>
  <c r="AA35" i="3"/>
  <c r="AB34" i="6"/>
  <c r="V46" i="3"/>
  <c r="V34" i="3"/>
  <c r="V33" i="3"/>
  <c r="X134" i="4"/>
  <c r="AB35" i="3" l="1"/>
  <c r="AB83" i="6"/>
  <c r="AN71" i="9" l="1"/>
  <c r="AN8" i="9" l="1"/>
  <c r="AL8" i="9" s="1"/>
  <c r="AN5" i="9"/>
  <c r="AV67" i="9" s="1"/>
  <c r="AN64" i="9"/>
  <c r="AN7" i="9"/>
  <c r="AV69" i="9" s="1"/>
  <c r="AN6" i="9"/>
  <c r="AV68" i="9" s="1"/>
  <c r="AN69" i="9" l="1"/>
  <c r="AL7" i="9"/>
  <c r="AT69" i="9" s="1"/>
  <c r="AN234" i="9"/>
  <c r="AV242" i="9" s="1"/>
  <c r="AN67" i="9"/>
  <c r="AL5" i="9"/>
  <c r="AT67" i="9" s="1"/>
  <c r="AN98" i="9"/>
  <c r="AV104" i="9" s="1"/>
  <c r="AN211" i="9"/>
  <c r="AL6" i="9"/>
  <c r="AT68" i="9" s="1"/>
  <c r="AJ8" i="9"/>
  <c r="AN68" i="9"/>
  <c r="AL42" i="12"/>
  <c r="AT43" i="12" s="1"/>
  <c r="AN114" i="9"/>
  <c r="AN209" i="9" l="1"/>
  <c r="AV219" i="9"/>
  <c r="AN104" i="9"/>
  <c r="AN186" i="9"/>
  <c r="AN185" i="9"/>
  <c r="AN184" i="9"/>
  <c r="AN159" i="9"/>
  <c r="AN158" i="9"/>
  <c r="AJ6" i="9"/>
  <c r="AR68" i="9" s="1"/>
  <c r="AL68" i="9"/>
  <c r="AN219" i="9"/>
  <c r="AN221" i="9"/>
  <c r="AN232" i="9"/>
  <c r="AV240" i="9" s="1"/>
  <c r="AN244" i="9"/>
  <c r="AN242" i="9"/>
  <c r="AJ7" i="9"/>
  <c r="AR69" i="9" s="1"/>
  <c r="AL69" i="9"/>
  <c r="AL43" i="12"/>
  <c r="AL9" i="9"/>
  <c r="AL98" i="9"/>
  <c r="AJ5" i="9"/>
  <c r="AR67" i="9" s="1"/>
  <c r="AL67" i="9"/>
  <c r="BE19" i="11"/>
  <c r="W41" i="13"/>
  <c r="AE42" i="13" s="1"/>
  <c r="BE18" i="11"/>
  <c r="AN118" i="9"/>
  <c r="AV122" i="9" s="1"/>
  <c r="AL104" i="9" l="1"/>
  <c r="AT104" i="9"/>
  <c r="AL61" i="9"/>
  <c r="AT10" i="9"/>
  <c r="AT71" i="9"/>
  <c r="AT12" i="9"/>
  <c r="AT13" i="9"/>
  <c r="AN233" i="9"/>
  <c r="AJ68" i="9"/>
  <c r="AN133" i="9"/>
  <c r="AL184" i="9"/>
  <c r="AL133" i="9" s="1"/>
  <c r="AN17" i="9"/>
  <c r="AL221" i="9"/>
  <c r="AN136" i="9"/>
  <c r="AL185" i="9"/>
  <c r="AJ185" i="9" s="1"/>
  <c r="AJ136" i="9" s="1"/>
  <c r="AL118" i="9"/>
  <c r="AN122" i="9"/>
  <c r="AN266" i="9"/>
  <c r="AV267" i="9" s="1"/>
  <c r="AL244" i="9"/>
  <c r="AN18" i="9"/>
  <c r="AL18" i="9" s="1"/>
  <c r="AN132" i="9"/>
  <c r="AL158" i="9"/>
  <c r="AL186" i="9"/>
  <c r="AJ186" i="9" s="1"/>
  <c r="AJ69" i="9"/>
  <c r="AL77" i="9"/>
  <c r="AL10" i="9"/>
  <c r="AL11" i="9" s="1"/>
  <c r="DH27" i="5" s="1"/>
  <c r="DH34" i="5" s="1"/>
  <c r="AL47" i="9"/>
  <c r="AL55" i="9"/>
  <c r="AL29" i="9"/>
  <c r="AL32" i="9"/>
  <c r="DH3" i="5"/>
  <c r="DP17" i="5" s="1"/>
  <c r="AL71" i="9"/>
  <c r="AL62" i="9"/>
  <c r="AJ98" i="9"/>
  <c r="AJ67" i="9"/>
  <c r="AL60" i="9"/>
  <c r="AJ9" i="9"/>
  <c r="AN240" i="9"/>
  <c r="AL232" i="9"/>
  <c r="AT240" i="9" s="1"/>
  <c r="AL159" i="9"/>
  <c r="AN135" i="9"/>
  <c r="W42" i="13"/>
  <c r="AT11" i="9" l="1"/>
  <c r="DP27" i="5" s="1"/>
  <c r="AN241" i="9"/>
  <c r="AV241" i="9"/>
  <c r="AJ104" i="9"/>
  <c r="AR104" i="9"/>
  <c r="AJ61" i="9"/>
  <c r="AR71" i="9"/>
  <c r="AR10" i="9"/>
  <c r="AR13" i="9" s="1"/>
  <c r="BD233" i="9"/>
  <c r="AL233" i="9"/>
  <c r="AL234" i="9" s="1"/>
  <c r="AL245" i="9" s="1"/>
  <c r="AN137" i="9"/>
  <c r="AN134" i="9"/>
  <c r="AJ62" i="9"/>
  <c r="AL64" i="9"/>
  <c r="AL136" i="9"/>
  <c r="AJ232" i="9"/>
  <c r="AL240" i="9"/>
  <c r="AJ60" i="9"/>
  <c r="AL80" i="9"/>
  <c r="AL81" i="9"/>
  <c r="AL82" i="9"/>
  <c r="AL35" i="9"/>
  <c r="AJ184" i="9"/>
  <c r="AJ159" i="9"/>
  <c r="AJ135" i="9" s="1"/>
  <c r="AJ137" i="9" s="1"/>
  <c r="AL135" i="9"/>
  <c r="AJ77" i="9"/>
  <c r="AJ71" i="9"/>
  <c r="DF3" i="5"/>
  <c r="DN17" i="5" s="1"/>
  <c r="AJ10" i="9"/>
  <c r="AL132" i="9"/>
  <c r="AL134" i="9" s="1"/>
  <c r="AJ158" i="9"/>
  <c r="AN269" i="9"/>
  <c r="AL269" i="9" s="1"/>
  <c r="BD232" i="9"/>
  <c r="DH11" i="5"/>
  <c r="DH17" i="5"/>
  <c r="AJ118" i="9"/>
  <c r="AL266" i="9"/>
  <c r="AL122" i="9"/>
  <c r="AL17" i="9"/>
  <c r="AN16" i="9"/>
  <c r="AN267" i="9"/>
  <c r="AN281" i="9" s="1"/>
  <c r="DP24" i="5" l="1"/>
  <c r="DP37" i="5" s="1"/>
  <c r="DP35" i="5"/>
  <c r="AJ240" i="9"/>
  <c r="AR240" i="9"/>
  <c r="AS240" i="9"/>
  <c r="AS233" i="9"/>
  <c r="AT233" i="9" s="1"/>
  <c r="AL241" i="9"/>
  <c r="AJ233" i="9"/>
  <c r="AJ241" i="9" s="1"/>
  <c r="AL137" i="9"/>
  <c r="AN277" i="9"/>
  <c r="AN278" i="9" s="1"/>
  <c r="AL278" i="9" s="1"/>
  <c r="AJ266" i="9"/>
  <c r="AJ122" i="9"/>
  <c r="DH13" i="5"/>
  <c r="DH69" i="5" s="1"/>
  <c r="DH77" i="5" s="1"/>
  <c r="DH92" i="5" s="1"/>
  <c r="DH115" i="5" s="1"/>
  <c r="DH14" i="5"/>
  <c r="DH24" i="5"/>
  <c r="DH37" i="5" s="1"/>
  <c r="DH36" i="5" s="1"/>
  <c r="AJ81" i="9"/>
  <c r="AJ80" i="9"/>
  <c r="AJ82" i="9"/>
  <c r="AJ133" i="9"/>
  <c r="AJ64" i="9"/>
  <c r="BL232" i="9"/>
  <c r="BD234" i="9"/>
  <c r="DF27" i="5"/>
  <c r="DF34" i="5" s="1"/>
  <c r="AJ13" i="9"/>
  <c r="AN108" i="9"/>
  <c r="AL16" i="9"/>
  <c r="AL22" i="9" s="1"/>
  <c r="BL233" i="9"/>
  <c r="AJ132" i="9"/>
  <c r="DF11" i="5"/>
  <c r="DF17" i="5"/>
  <c r="AL83" i="9"/>
  <c r="AL277" i="9"/>
  <c r="AL267" i="9"/>
  <c r="AP232" i="9"/>
  <c r="AJ234" i="9"/>
  <c r="AJ242" i="9" s="1"/>
  <c r="AL242" i="9"/>
  <c r="AN273" i="9"/>
  <c r="AN271" i="9"/>
  <c r="AT241" i="9" l="1"/>
  <c r="AT234" i="9"/>
  <c r="DN34" i="5"/>
  <c r="DN24" i="5"/>
  <c r="DN37" i="5" s="1"/>
  <c r="AV273" i="9"/>
  <c r="AV272" i="9"/>
  <c r="AP240" i="9"/>
  <c r="AU232" i="9"/>
  <c r="AQ240" i="9"/>
  <c r="AQ233" i="9"/>
  <c r="AQ241" i="9" s="1"/>
  <c r="AS241" i="9"/>
  <c r="AO240" i="9"/>
  <c r="AO233" i="9"/>
  <c r="AJ83" i="9"/>
  <c r="AJ134" i="9"/>
  <c r="AN255" i="9"/>
  <c r="AL271" i="9"/>
  <c r="AL255" i="9" s="1"/>
  <c r="AN112" i="9"/>
  <c r="AN126" i="9"/>
  <c r="BD236" i="9"/>
  <c r="BD237" i="9" s="1"/>
  <c r="BD244" i="9"/>
  <c r="BD242" i="9"/>
  <c r="BD7" i="9"/>
  <c r="BD69" i="9" s="1"/>
  <c r="DH119" i="5"/>
  <c r="DH256" i="5"/>
  <c r="DH268" i="5" s="1"/>
  <c r="DH273" i="5" s="1"/>
  <c r="DH296" i="5" s="1"/>
  <c r="DH298" i="5" s="1"/>
  <c r="DH301" i="5" s="1"/>
  <c r="DF24" i="5"/>
  <c r="DF37" i="5" s="1"/>
  <c r="DF36" i="5" s="1"/>
  <c r="DF13" i="5"/>
  <c r="DF14" i="5"/>
  <c r="BT232" i="9"/>
  <c r="BI232" i="9"/>
  <c r="BL234" i="9"/>
  <c r="AJ267" i="9"/>
  <c r="AJ269" i="9"/>
  <c r="AJ271" i="9" s="1"/>
  <c r="AS18" i="9"/>
  <c r="AT18" i="9" s="1"/>
  <c r="BI233" i="9"/>
  <c r="BJ233" i="9" s="1"/>
  <c r="BT233" i="9"/>
  <c r="AL26" i="9"/>
  <c r="AL23" i="9"/>
  <c r="AL38" i="9"/>
  <c r="DH51" i="5"/>
  <c r="BB232" i="9"/>
  <c r="BA240" i="9"/>
  <c r="AX232" i="9"/>
  <c r="AN272" i="9"/>
  <c r="AN274" i="9" s="1"/>
  <c r="AV274" i="9" l="1"/>
  <c r="DN36" i="5"/>
  <c r="AV256" i="9"/>
  <c r="AV280" i="9"/>
  <c r="AV281" i="9"/>
  <c r="AV282" i="9"/>
  <c r="AT242" i="9"/>
  <c r="AR234" i="9"/>
  <c r="AR242" i="9" s="1"/>
  <c r="AT245" i="9"/>
  <c r="AR233" i="9"/>
  <c r="AR241" i="9" s="1"/>
  <c r="AP233" i="9"/>
  <c r="AP241" i="9" s="1"/>
  <c r="AU240" i="9"/>
  <c r="AO241" i="9"/>
  <c r="AJ277" i="9"/>
  <c r="AJ278" i="9" s="1"/>
  <c r="AJ255" i="9" s="1"/>
  <c r="AJ256" i="9" s="1"/>
  <c r="AX240" i="9"/>
  <c r="DH60" i="5"/>
  <c r="DH50" i="5"/>
  <c r="AY232" i="9"/>
  <c r="BC232" i="9" s="1"/>
  <c r="BB240" i="9"/>
  <c r="CB232" i="9"/>
  <c r="BT234" i="9"/>
  <c r="BQ232" i="9"/>
  <c r="AN256" i="9"/>
  <c r="AN293" i="9"/>
  <c r="AL293" i="9" s="1"/>
  <c r="AJ293" i="9" s="1"/>
  <c r="AN130" i="9"/>
  <c r="AW240" i="9"/>
  <c r="AW241" i="9"/>
  <c r="BL236" i="9"/>
  <c r="BL237" i="9" s="1"/>
  <c r="BL7" i="9"/>
  <c r="BL69" i="9" s="1"/>
  <c r="BL242" i="9"/>
  <c r="BL244" i="9"/>
  <c r="BD18" i="9"/>
  <c r="BG233" i="9"/>
  <c r="CB233" i="9"/>
  <c r="BQ233" i="9"/>
  <c r="BR233" i="9" s="1"/>
  <c r="BE233" i="9"/>
  <c r="BJ232" i="9"/>
  <c r="BI240" i="9"/>
  <c r="BI234" i="9"/>
  <c r="BE232" i="9"/>
  <c r="AL256" i="9"/>
  <c r="AN280" i="9"/>
  <c r="AN282" i="9"/>
  <c r="AV283" i="9" l="1"/>
  <c r="AU233" i="9"/>
  <c r="AU241" i="9" s="1"/>
  <c r="BI244" i="9"/>
  <c r="BI18" i="9" s="1"/>
  <c r="BI7" i="9"/>
  <c r="BE240" i="9"/>
  <c r="BE234" i="9"/>
  <c r="CJ233" i="9"/>
  <c r="CG233" i="9" s="1"/>
  <c r="BY233" i="9"/>
  <c r="BH233" i="9"/>
  <c r="BR232" i="9"/>
  <c r="BQ234" i="9"/>
  <c r="BQ240" i="9"/>
  <c r="BM232" i="9"/>
  <c r="BN232" i="9" s="1"/>
  <c r="BC240" i="9"/>
  <c r="BT236" i="9"/>
  <c r="BT237" i="9" s="1"/>
  <c r="BT244" i="9"/>
  <c r="BT242" i="9"/>
  <c r="BT7" i="9"/>
  <c r="BT69" i="9" s="1"/>
  <c r="DH76" i="5"/>
  <c r="DH91" i="5" s="1"/>
  <c r="DH67" i="5"/>
  <c r="BE241" i="9"/>
  <c r="BO233" i="9"/>
  <c r="BR241" i="9"/>
  <c r="BL18" i="9"/>
  <c r="AW242" i="9"/>
  <c r="AW69" i="9"/>
  <c r="CJ232" i="9"/>
  <c r="CB234" i="9"/>
  <c r="BY232" i="9"/>
  <c r="BZ232" i="9" s="1"/>
  <c r="AY240" i="9"/>
  <c r="BF232" i="9"/>
  <c r="BJ240" i="9"/>
  <c r="BJ234" i="9"/>
  <c r="BG232" i="9"/>
  <c r="BH232" i="9" s="1"/>
  <c r="BF233" i="9"/>
  <c r="BM233" i="9"/>
  <c r="BN233" i="9" s="1"/>
  <c r="BQ241" i="9"/>
  <c r="AZ232" i="9"/>
  <c r="AL114" i="9"/>
  <c r="AJ42" i="12"/>
  <c r="AR43" i="12" s="1"/>
  <c r="AN283" i="9"/>
  <c r="AU234" i="9" l="1"/>
  <c r="AU242" i="9" s="1"/>
  <c r="BJ244" i="9"/>
  <c r="BJ245" i="9" s="1"/>
  <c r="BN241" i="9"/>
  <c r="BZ240" i="9"/>
  <c r="BW232" i="9"/>
  <c r="AZ240" i="9"/>
  <c r="CJ234" i="9"/>
  <c r="CG232" i="9"/>
  <c r="CH232" i="9" s="1"/>
  <c r="DH100" i="5"/>
  <c r="DH114" i="5"/>
  <c r="BQ7" i="9"/>
  <c r="BQ69" i="9" s="1"/>
  <c r="BQ244" i="9"/>
  <c r="BQ18" i="9" s="1"/>
  <c r="BQ242" i="9"/>
  <c r="BU233" i="9"/>
  <c r="BY241" i="9"/>
  <c r="BT18" i="9"/>
  <c r="BN240" i="9"/>
  <c r="BN234" i="9"/>
  <c r="BR234" i="9"/>
  <c r="BR240" i="9"/>
  <c r="BO232" i="9"/>
  <c r="BS232" i="9" s="1"/>
  <c r="CH233" i="9"/>
  <c r="CC233" i="9"/>
  <c r="CG241" i="9"/>
  <c r="BF234" i="9"/>
  <c r="BF240" i="9"/>
  <c r="BG234" i="9"/>
  <c r="BG240" i="9"/>
  <c r="BU232" i="9"/>
  <c r="BY240" i="9"/>
  <c r="BY234" i="9"/>
  <c r="BP233" i="9"/>
  <c r="BP241" i="9" s="1"/>
  <c r="BO241" i="9"/>
  <c r="BM234" i="9"/>
  <c r="BM240" i="9"/>
  <c r="BK232" i="9"/>
  <c r="BH234" i="9"/>
  <c r="BH240" i="9"/>
  <c r="BM241" i="9"/>
  <c r="BS233" i="9"/>
  <c r="BJ7" i="9"/>
  <c r="CB236" i="9"/>
  <c r="CB237" i="9" s="1"/>
  <c r="CB7" i="9"/>
  <c r="CB69" i="9" s="1"/>
  <c r="CB242" i="9"/>
  <c r="CB244" i="9"/>
  <c r="BK233" i="9"/>
  <c r="BZ233" i="9"/>
  <c r="BE242" i="9"/>
  <c r="BE7" i="9"/>
  <c r="BE69" i="9" s="1"/>
  <c r="AJ43" i="12"/>
  <c r="U41" i="13"/>
  <c r="AC42" i="13" s="1"/>
  <c r="BJ18" i="9" l="1"/>
  <c r="BS241" i="9"/>
  <c r="BR244" i="9"/>
  <c r="BR18" i="9" s="1"/>
  <c r="CH234" i="9"/>
  <c r="CE232" i="9"/>
  <c r="CF232" i="9" s="1"/>
  <c r="CH240" i="9"/>
  <c r="BZ241" i="9"/>
  <c r="BW233" i="9"/>
  <c r="BX233" i="9" s="1"/>
  <c r="BX241" i="9" s="1"/>
  <c r="BM7" i="9"/>
  <c r="BM69" i="9" s="1"/>
  <c r="BM242" i="9"/>
  <c r="BY244" i="9"/>
  <c r="BY18" i="9" s="1"/>
  <c r="BY7" i="9"/>
  <c r="BY69" i="9" s="1"/>
  <c r="BY242" i="9"/>
  <c r="BF7" i="9"/>
  <c r="BP232" i="9"/>
  <c r="BO240" i="9"/>
  <c r="BO234" i="9"/>
  <c r="CG234" i="9"/>
  <c r="CG240" i="9"/>
  <c r="CC232" i="9"/>
  <c r="BX232" i="9"/>
  <c r="BW240" i="9"/>
  <c r="BH7" i="9"/>
  <c r="BK234" i="9"/>
  <c r="BK240" i="9"/>
  <c r="BV232" i="9"/>
  <c r="CA232" i="9" s="1"/>
  <c r="BU240" i="9"/>
  <c r="BU234" i="9"/>
  <c r="CD233" i="9"/>
  <c r="CC241" i="9"/>
  <c r="DH309" i="5"/>
  <c r="DH321" i="5" s="1"/>
  <c r="DH325" i="5" s="1"/>
  <c r="DH118" i="5"/>
  <c r="CJ236" i="9"/>
  <c r="CJ237" i="9" s="1"/>
  <c r="CJ7" i="9"/>
  <c r="CJ69" i="9" s="1"/>
  <c r="CJ244" i="9"/>
  <c r="CJ242" i="9"/>
  <c r="BZ234" i="9"/>
  <c r="BS234" i="9"/>
  <c r="BS240" i="9"/>
  <c r="BV233" i="9"/>
  <c r="BV241" i="9" s="1"/>
  <c r="BU241" i="9"/>
  <c r="CB18" i="9"/>
  <c r="BG7" i="9"/>
  <c r="BR242" i="9"/>
  <c r="BR7" i="9"/>
  <c r="BR69" i="9" s="1"/>
  <c r="CE233" i="9"/>
  <c r="CH241" i="9"/>
  <c r="BN7" i="9"/>
  <c r="BN242" i="9"/>
  <c r="U42" i="13"/>
  <c r="BZ244" i="9" l="1"/>
  <c r="BZ245" i="9" s="1"/>
  <c r="BN69" i="9"/>
  <c r="BR245" i="9"/>
  <c r="CE241" i="9"/>
  <c r="CF240" i="9"/>
  <c r="CF233" i="9"/>
  <c r="CF241" i="9" s="1"/>
  <c r="BZ7" i="9"/>
  <c r="BZ69" i="9" s="1"/>
  <c r="BZ242" i="9"/>
  <c r="CD241" i="9"/>
  <c r="BV234" i="9"/>
  <c r="BV240" i="9"/>
  <c r="CG7" i="9"/>
  <c r="CG69" i="9" s="1"/>
  <c r="CG244" i="9"/>
  <c r="CG18" i="9" s="1"/>
  <c r="CG242" i="9"/>
  <c r="CA240" i="9"/>
  <c r="BX234" i="9"/>
  <c r="BX240" i="9"/>
  <c r="BP234" i="9"/>
  <c r="BP240" i="9"/>
  <c r="CI233" i="9"/>
  <c r="BU7" i="9"/>
  <c r="BU69" i="9" s="1"/>
  <c r="BU242" i="9"/>
  <c r="BK7" i="9"/>
  <c r="CD232" i="9"/>
  <c r="CI232" i="9" s="1"/>
  <c r="CC234" i="9"/>
  <c r="CC240" i="9"/>
  <c r="CA233" i="9"/>
  <c r="CA241" i="9" s="1"/>
  <c r="BW241" i="9"/>
  <c r="CE240" i="9"/>
  <c r="CE234" i="9"/>
  <c r="BZ18" i="9"/>
  <c r="CJ18" i="9"/>
  <c r="BS7" i="9"/>
  <c r="BS242" i="9"/>
  <c r="DH332" i="5"/>
  <c r="DH334" i="5" s="1"/>
  <c r="BW234" i="9"/>
  <c r="BO242" i="9"/>
  <c r="BO7" i="9"/>
  <c r="BO69" i="9" s="1"/>
  <c r="CH242" i="9"/>
  <c r="CH7" i="9"/>
  <c r="BS69" i="9" l="1"/>
  <c r="CH69" i="9"/>
  <c r="CH244" i="9"/>
  <c r="CH18" i="9" s="1"/>
  <c r="CI234" i="9"/>
  <c r="CI240" i="9"/>
  <c r="CC242" i="9"/>
  <c r="CC7" i="9"/>
  <c r="CC69" i="9" s="1"/>
  <c r="BP242" i="9"/>
  <c r="BP7" i="9"/>
  <c r="BP69" i="9" s="1"/>
  <c r="CA234" i="9"/>
  <c r="BW7" i="9"/>
  <c r="BW69" i="9" s="1"/>
  <c r="BW242" i="9"/>
  <c r="CD240" i="9"/>
  <c r="CD234" i="9"/>
  <c r="BV7" i="9"/>
  <c r="BV69" i="9" s="1"/>
  <c r="BV242" i="9"/>
  <c r="CE242" i="9"/>
  <c r="CE7" i="9"/>
  <c r="CI241" i="9"/>
  <c r="BX7" i="9"/>
  <c r="BX242" i="9"/>
  <c r="CF234" i="9"/>
  <c r="CH245" i="9" l="1"/>
  <c r="BX69" i="9"/>
  <c r="CD7" i="9"/>
  <c r="CD69" i="9" s="1"/>
  <c r="CD242" i="9"/>
  <c r="CA7" i="9"/>
  <c r="CA69" i="9" s="1"/>
  <c r="CA242" i="9"/>
  <c r="CF7" i="9"/>
  <c r="CF69" i="9" s="1"/>
  <c r="CF242" i="9"/>
  <c r="CE69" i="9"/>
  <c r="CI7" i="9"/>
  <c r="CI242" i="9"/>
  <c r="CI69" i="9" l="1"/>
  <c r="V128" i="6" l="1"/>
  <c r="AN117" i="9"/>
  <c r="AN196" i="9" s="1"/>
  <c r="AN116" i="9" l="1"/>
  <c r="DJ173" i="5"/>
  <c r="BE5" i="11"/>
  <c r="AN197" i="9"/>
  <c r="AN97" i="9"/>
  <c r="AN96" i="9" s="1"/>
  <c r="AN90" i="9" s="1"/>
  <c r="BE6" i="11" l="1"/>
  <c r="BE27" i="11"/>
  <c r="Z4" i="10"/>
  <c r="Z25" i="10" s="1"/>
  <c r="AN120" i="9"/>
  <c r="BE13" i="11"/>
  <c r="BE26" i="11"/>
  <c r="BE29" i="11" s="1"/>
  <c r="BE32" i="11"/>
  <c r="BE17" i="11"/>
  <c r="DJ174" i="5"/>
  <c r="DJ176" i="5"/>
  <c r="DJ177" i="5" s="1"/>
  <c r="AL97" i="9"/>
  <c r="AN103" i="9"/>
  <c r="Z5" i="10" l="1"/>
  <c r="Z6" i="10"/>
  <c r="BE14" i="11"/>
  <c r="BC13" i="11"/>
  <c r="AN195" i="9"/>
  <c r="BE50" i="11"/>
  <c r="AJ97" i="9"/>
  <c r="AL103" i="9"/>
  <c r="AL96" i="9"/>
  <c r="AN102" i="9"/>
  <c r="BJ50" i="11" l="1"/>
  <c r="AS195" i="9"/>
  <c r="AN203" i="9"/>
  <c r="BC50" i="11"/>
  <c r="AL195" i="9"/>
  <c r="BC14" i="11"/>
  <c r="BA13" i="11"/>
  <c r="AN187" i="9"/>
  <c r="AN150" i="9"/>
  <c r="AJ103" i="9"/>
  <c r="AJ96" i="9"/>
  <c r="AL102" i="9"/>
  <c r="AS150" i="9" l="1"/>
  <c r="AS117" i="9" s="1"/>
  <c r="AL187" i="9"/>
  <c r="AN188" i="9"/>
  <c r="AN189" i="9" s="1"/>
  <c r="AN139" i="9"/>
  <c r="BJ14" i="11"/>
  <c r="BG13" i="11"/>
  <c r="AL150" i="9"/>
  <c r="AL117" i="9" s="1"/>
  <c r="AL196" i="9"/>
  <c r="BC51" i="11"/>
  <c r="AL203" i="9"/>
  <c r="AJ195" i="9"/>
  <c r="BA14" i="11"/>
  <c r="AJ102" i="9"/>
  <c r="BL13" i="11" l="1"/>
  <c r="BH14" i="11"/>
  <c r="BG14" i="11"/>
  <c r="AS121" i="9"/>
  <c r="DO144" i="5" s="1"/>
  <c r="AS196" i="9"/>
  <c r="AS203" i="9"/>
  <c r="AO195" i="9"/>
  <c r="BC5" i="11"/>
  <c r="DH173" i="5"/>
  <c r="AL116" i="9"/>
  <c r="AL121" i="9"/>
  <c r="DH144" i="5" s="1"/>
  <c r="AJ187" i="9"/>
  <c r="AL139" i="9"/>
  <c r="AL188" i="9"/>
  <c r="AJ150" i="9"/>
  <c r="AJ117" i="9" s="1"/>
  <c r="AJ116" i="9" s="1"/>
  <c r="AJ196" i="9"/>
  <c r="BF14" i="11"/>
  <c r="AQ195" i="9"/>
  <c r="AN214" i="9"/>
  <c r="BL14" i="11" l="1"/>
  <c r="AQ150" i="9"/>
  <c r="AQ117" i="9" s="1"/>
  <c r="AQ97" i="9" s="1"/>
  <c r="AQ187" i="9"/>
  <c r="BC6" i="11"/>
  <c r="BC32" i="11" s="1"/>
  <c r="BJ5" i="11"/>
  <c r="DO173" i="5"/>
  <c r="AP195" i="9"/>
  <c r="AO187" i="9"/>
  <c r="AO150" i="9"/>
  <c r="AO117" i="9" s="1"/>
  <c r="BA5" i="11"/>
  <c r="DF173" i="5"/>
  <c r="DH174" i="5"/>
  <c r="DH176" i="5"/>
  <c r="DH177" i="5" s="1"/>
  <c r="V4" i="10"/>
  <c r="AJ120" i="9"/>
  <c r="AL209" i="9"/>
  <c r="AN228" i="9"/>
  <c r="AN217" i="9"/>
  <c r="AJ139" i="9"/>
  <c r="AJ188" i="9"/>
  <c r="X4" i="10"/>
  <c r="AL120" i="9"/>
  <c r="AU195" i="9"/>
  <c r="AN210" i="9"/>
  <c r="AV218" i="9" s="1"/>
  <c r="AU150" i="9" l="1"/>
  <c r="AU117" i="9" s="1"/>
  <c r="AU121" i="9" s="1"/>
  <c r="AU196" i="9"/>
  <c r="AQ188" i="9"/>
  <c r="AQ121" i="9"/>
  <c r="DM144" i="5" s="1"/>
  <c r="AQ196" i="9"/>
  <c r="BA6" i="11"/>
  <c r="BA32" i="11" s="1"/>
  <c r="BJ6" i="11"/>
  <c r="BJ32" i="11" s="1"/>
  <c r="BJ29" i="11"/>
  <c r="AO97" i="9"/>
  <c r="DO174" i="5"/>
  <c r="DO176" i="5"/>
  <c r="DO177" i="5" s="1"/>
  <c r="AP150" i="9"/>
  <c r="AP117" i="9" s="1"/>
  <c r="AP196" i="9"/>
  <c r="AO139" i="9"/>
  <c r="AO188" i="9"/>
  <c r="X25" i="10"/>
  <c r="X5" i="10"/>
  <c r="X6" i="10"/>
  <c r="AL210" i="9"/>
  <c r="AJ210" i="9" s="1"/>
  <c r="AN218" i="9"/>
  <c r="V25" i="10"/>
  <c r="V5" i="10"/>
  <c r="V6" i="10"/>
  <c r="DF174" i="5"/>
  <c r="DF176" i="5"/>
  <c r="DF177" i="5" s="1"/>
  <c r="AJ209" i="9"/>
  <c r="AN91" i="9"/>
  <c r="DL173" i="5" l="1"/>
  <c r="BG5" i="11"/>
  <c r="DQ173" i="5"/>
  <c r="BL5" i="11"/>
  <c r="BL6" i="11" s="1"/>
  <c r="DM173" i="5"/>
  <c r="DM176" i="5" s="1"/>
  <c r="DM177" i="5" s="1"/>
  <c r="BH5" i="11"/>
  <c r="DQ174" i="5"/>
  <c r="DQ176" i="5"/>
  <c r="DQ177" i="5" s="1"/>
  <c r="AQ103" i="9"/>
  <c r="AO121" i="9"/>
  <c r="AO116" i="9"/>
  <c r="AO120" i="9" s="1"/>
  <c r="AO196" i="9"/>
  <c r="DK173" i="5" s="1"/>
  <c r="DK174" i="5" s="1"/>
  <c r="DL174" i="5"/>
  <c r="DL176" i="5"/>
  <c r="DL177" i="5" s="1"/>
  <c r="AP121" i="9"/>
  <c r="DL144" i="5" s="1"/>
  <c r="AO103" i="9"/>
  <c r="AO96" i="9"/>
  <c r="AO90" i="9" s="1"/>
  <c r="AJ211" i="9"/>
  <c r="AJ219" i="9" s="1"/>
  <c r="AL211" i="9"/>
  <c r="AL222" i="9" s="1"/>
  <c r="AL218" i="9"/>
  <c r="AL91" i="9"/>
  <c r="BD210" i="9"/>
  <c r="BG6" i="11" l="1"/>
  <c r="BG29" i="11"/>
  <c r="DM174" i="5"/>
  <c r="DK144" i="5"/>
  <c r="W128" i="6"/>
  <c r="BH6" i="11"/>
  <c r="BH32" i="11" s="1"/>
  <c r="BH29" i="11"/>
  <c r="AA4" i="10"/>
  <c r="AA9" i="10" s="1"/>
  <c r="DK176" i="5"/>
  <c r="DK177" i="5" s="1"/>
  <c r="BF5" i="11"/>
  <c r="BF29" i="11" s="1"/>
  <c r="AO102" i="9"/>
  <c r="AL219" i="9"/>
  <c r="BL210" i="9"/>
  <c r="AJ218" i="9"/>
  <c r="AJ91" i="9"/>
  <c r="BP26" i="11" l="1"/>
  <c r="BG32" i="11"/>
  <c r="AA6" i="10"/>
  <c r="AA26" i="10"/>
  <c r="AA25" i="10"/>
  <c r="AA5" i="10"/>
  <c r="BF6" i="11"/>
  <c r="BF32" i="11" s="1"/>
  <c r="AA24" i="10"/>
  <c r="AO168" i="9"/>
  <c r="BI210" i="9"/>
  <c r="BJ210" i="9" s="1"/>
  <c r="BT210" i="9"/>
  <c r="AO170" i="9" l="1"/>
  <c r="AO160" i="9"/>
  <c r="AO149" i="9"/>
  <c r="AO151" i="9" s="1"/>
  <c r="AO152" i="9" s="1"/>
  <c r="BG210" i="9"/>
  <c r="BH210" i="9" s="1"/>
  <c r="CB210" i="9"/>
  <c r="BQ210" i="9"/>
  <c r="BR210" i="9" s="1"/>
  <c r="BE210" i="9"/>
  <c r="AO138" i="9" l="1"/>
  <c r="AO140" i="9" s="1"/>
  <c r="AO141" i="9" s="1"/>
  <c r="AO162" i="9"/>
  <c r="BR218" i="9"/>
  <c r="BO210" i="9"/>
  <c r="BE218" i="9"/>
  <c r="BF210" i="9"/>
  <c r="BK210" i="9" s="1"/>
  <c r="BQ218" i="9"/>
  <c r="BM210" i="9"/>
  <c r="BN210" i="9" s="1"/>
  <c r="BY210" i="9"/>
  <c r="CJ210" i="9"/>
  <c r="BO218" i="9" l="1"/>
  <c r="CG210" i="9"/>
  <c r="CH210" i="9" s="1"/>
  <c r="BM218" i="9"/>
  <c r="BS210" i="9"/>
  <c r="BP210" i="9"/>
  <c r="BY218" i="9"/>
  <c r="BU210" i="9"/>
  <c r="BN218" i="9"/>
  <c r="BZ210" i="9"/>
  <c r="BU218" i="9" l="1"/>
  <c r="BS218" i="9"/>
  <c r="BV210" i="9"/>
  <c r="CG218" i="9"/>
  <c r="CC210" i="9"/>
  <c r="CD210" i="9" s="1"/>
  <c r="BZ218" i="9"/>
  <c r="BW210" i="9"/>
  <c r="BX210" i="9" s="1"/>
  <c r="BP218" i="9"/>
  <c r="CH218" i="9"/>
  <c r="CE210" i="9"/>
  <c r="CF210" i="9" s="1"/>
  <c r="CF218" i="9" l="1"/>
  <c r="BX218" i="9"/>
  <c r="BV218" i="9"/>
  <c r="CA210" i="9"/>
  <c r="CD218" i="9"/>
  <c r="CC218" i="9"/>
  <c r="CI210" i="9"/>
  <c r="CE218" i="9"/>
  <c r="BW218" i="9"/>
  <c r="CA218" i="9" l="1"/>
  <c r="CI218" i="9"/>
  <c r="AL228" i="9" l="1"/>
  <c r="AL226" i="9" s="1"/>
  <c r="AN226" i="9"/>
  <c r="AV227" i="9" s="1"/>
  <c r="AN227" i="9" l="1"/>
  <c r="AL217" i="9"/>
  <c r="AL90" i="9"/>
  <c r="BD226" i="9" l="1"/>
  <c r="AT228" i="9"/>
  <c r="AT226" i="9" s="1"/>
  <c r="BD228" i="9"/>
  <c r="BL226" i="9"/>
  <c r="AS17" i="9"/>
  <c r="AS16" i="9" s="1"/>
  <c r="AS108" i="9" s="1"/>
  <c r="AJ90" i="9"/>
  <c r="AJ217" i="9"/>
  <c r="AT209" i="9" l="1"/>
  <c r="AV217" i="9"/>
  <c r="AS112" i="9"/>
  <c r="BI226" i="9"/>
  <c r="BI228" i="9" s="1"/>
  <c r="BI209" i="9" s="1"/>
  <c r="BT226" i="9"/>
  <c r="BL228" i="9"/>
  <c r="BD209" i="9"/>
  <c r="AX209" i="9"/>
  <c r="AX226" i="9" s="1"/>
  <c r="AT217" i="9" l="1"/>
  <c r="AR209" i="9"/>
  <c r="AR226" i="9" s="1"/>
  <c r="AV214" i="9"/>
  <c r="AV221" i="9"/>
  <c r="BJ228" i="9"/>
  <c r="BL209" i="9"/>
  <c r="BQ226" i="9"/>
  <c r="BQ228" i="9" s="1"/>
  <c r="BQ209" i="9" s="1"/>
  <c r="CB226" i="9"/>
  <c r="BT228" i="9"/>
  <c r="BD217" i="9"/>
  <c r="BD211" i="9"/>
  <c r="BD213" i="9" s="1"/>
  <c r="BD214" i="9" s="1"/>
  <c r="BI211" i="9"/>
  <c r="BE209" i="9"/>
  <c r="BI217" i="9"/>
  <c r="AR217" i="9" l="1"/>
  <c r="AT221" i="9"/>
  <c r="AV17" i="9"/>
  <c r="BE217" i="9"/>
  <c r="BE211" i="9"/>
  <c r="BM209" i="9"/>
  <c r="BQ217" i="9"/>
  <c r="BQ211" i="9"/>
  <c r="BJ226" i="9"/>
  <c r="BJ209" i="9"/>
  <c r="BI6" i="9"/>
  <c r="BI221" i="9"/>
  <c r="BI17" i="9" s="1"/>
  <c r="AW219" i="9"/>
  <c r="BF209" i="9"/>
  <c r="BR228" i="9"/>
  <c r="BT209" i="9"/>
  <c r="BD6" i="9"/>
  <c r="BD221" i="9"/>
  <c r="BD219" i="9"/>
  <c r="BY226" i="9"/>
  <c r="BY228" i="9" s="1"/>
  <c r="BY209" i="9" s="1"/>
  <c r="CJ226" i="9"/>
  <c r="CB228" i="9"/>
  <c r="BL211" i="9"/>
  <c r="BL217" i="9"/>
  <c r="DK27" i="5"/>
  <c r="DK3" i="5"/>
  <c r="DK17" i="5" s="1"/>
  <c r="AV16" i="9" l="1"/>
  <c r="AT17" i="9"/>
  <c r="DK34" i="5"/>
  <c r="BL6" i="9"/>
  <c r="BL219" i="9"/>
  <c r="BL221" i="9"/>
  <c r="BJ211" i="9"/>
  <c r="BF217" i="9"/>
  <c r="BM211" i="9"/>
  <c r="BN211" i="9" s="1"/>
  <c r="BM217" i="9"/>
  <c r="CB209" i="9"/>
  <c r="BZ228" i="9"/>
  <c r="BT211" i="9"/>
  <c r="BT213" i="9" s="1"/>
  <c r="BT214" i="9" s="1"/>
  <c r="BT217" i="9"/>
  <c r="BQ219" i="9"/>
  <c r="BQ221" i="9"/>
  <c r="BQ17" i="9" s="1"/>
  <c r="BQ6" i="9"/>
  <c r="BF211" i="9"/>
  <c r="BE219" i="9"/>
  <c r="BE6" i="9"/>
  <c r="BL213" i="9"/>
  <c r="BL214" i="9" s="1"/>
  <c r="CG226" i="9"/>
  <c r="CG228" i="9" s="1"/>
  <c r="CG209" i="9" s="1"/>
  <c r="CJ228" i="9"/>
  <c r="BD17" i="9"/>
  <c r="BR226" i="9"/>
  <c r="BR209" i="9"/>
  <c r="AW68" i="9"/>
  <c r="BG209" i="9"/>
  <c r="BY211" i="9"/>
  <c r="BU209" i="9"/>
  <c r="BY217" i="9"/>
  <c r="BD68" i="9"/>
  <c r="BN209" i="9"/>
  <c r="BN217" i="9" s="1"/>
  <c r="AO64" i="9"/>
  <c r="AV108" i="9" l="1"/>
  <c r="AT16" i="9"/>
  <c r="AT22" i="9" s="1"/>
  <c r="BU211" i="9"/>
  <c r="BV211" i="9" s="1"/>
  <c r="BU217" i="9"/>
  <c r="BG211" i="9"/>
  <c r="CH228" i="9"/>
  <c r="CJ209" i="9"/>
  <c r="BE68" i="9"/>
  <c r="BQ68" i="9"/>
  <c r="BZ209" i="9"/>
  <c r="BZ226" i="9"/>
  <c r="BJ6" i="9"/>
  <c r="BV209" i="9"/>
  <c r="BV217" i="9" s="1"/>
  <c r="CG217" i="9"/>
  <c r="CG211" i="9"/>
  <c r="CC209" i="9"/>
  <c r="CD209" i="9" s="1"/>
  <c r="CB217" i="9"/>
  <c r="CB211" i="9"/>
  <c r="BK209" i="9"/>
  <c r="BJ221" i="9"/>
  <c r="BL17" i="9"/>
  <c r="BY219" i="9"/>
  <c r="BY221" i="9"/>
  <c r="BY17" i="9" s="1"/>
  <c r="BY6" i="9"/>
  <c r="BH209" i="9"/>
  <c r="BF6" i="9"/>
  <c r="BO209" i="9"/>
  <c r="BS209" i="9" s="1"/>
  <c r="BR217" i="9"/>
  <c r="BN6" i="9"/>
  <c r="BN219" i="9"/>
  <c r="BT221" i="9"/>
  <c r="BR211" i="9"/>
  <c r="BT6" i="9"/>
  <c r="BT219" i="9"/>
  <c r="BM6" i="9"/>
  <c r="BM219" i="9"/>
  <c r="BL68" i="9"/>
  <c r="AT23" i="9" l="1"/>
  <c r="AT26" i="9"/>
  <c r="AT38" i="9"/>
  <c r="AV126" i="9"/>
  <c r="AV130" i="9" s="1"/>
  <c r="AV112" i="9"/>
  <c r="BS217" i="9"/>
  <c r="CD217" i="9"/>
  <c r="BP209" i="9"/>
  <c r="BP217" i="9" s="1"/>
  <c r="CH226" i="9"/>
  <c r="CH209" i="9"/>
  <c r="BT68" i="9"/>
  <c r="BN68" i="9"/>
  <c r="CC211" i="9"/>
  <c r="CD211" i="9" s="1"/>
  <c r="CC217" i="9"/>
  <c r="BG6" i="9"/>
  <c r="BK211" i="9"/>
  <c r="BU6" i="9"/>
  <c r="BU219" i="9"/>
  <c r="BR6" i="9"/>
  <c r="BR219" i="9"/>
  <c r="BO217" i="9"/>
  <c r="BO211" i="9"/>
  <c r="BV219" i="9"/>
  <c r="BV6" i="9"/>
  <c r="CB6" i="9"/>
  <c r="CB219" i="9"/>
  <c r="BZ211" i="9"/>
  <c r="CB221" i="9"/>
  <c r="CG6" i="9"/>
  <c r="CG219" i="9"/>
  <c r="CG221" i="9"/>
  <c r="CG17" i="9" s="1"/>
  <c r="BZ217" i="9"/>
  <c r="BW209" i="9"/>
  <c r="CA209" i="9" s="1"/>
  <c r="CA217" i="9" s="1"/>
  <c r="BM68" i="9"/>
  <c r="BT17" i="9"/>
  <c r="BR221" i="9"/>
  <c r="BY68" i="9"/>
  <c r="BJ17" i="9"/>
  <c r="BJ222" i="9"/>
  <c r="CB213" i="9"/>
  <c r="CB214" i="9" s="1"/>
  <c r="BH211" i="9"/>
  <c r="CJ211" i="9"/>
  <c r="CJ217" i="9"/>
  <c r="BR17" i="9" l="1"/>
  <c r="BR222" i="9"/>
  <c r="CG68" i="9"/>
  <c r="CB68" i="9"/>
  <c r="BO6" i="9"/>
  <c r="BS211" i="9"/>
  <c r="BO219" i="9"/>
  <c r="BR68" i="9"/>
  <c r="CC219" i="9"/>
  <c r="CC6" i="9"/>
  <c r="CH211" i="9"/>
  <c r="CJ221" i="9"/>
  <c r="CJ6" i="9"/>
  <c r="CJ219" i="9"/>
  <c r="CD219" i="9"/>
  <c r="CD6" i="9"/>
  <c r="BZ221" i="9"/>
  <c r="CB17" i="9"/>
  <c r="CH217" i="9"/>
  <c r="CE209" i="9"/>
  <c r="CF209" i="9" s="1"/>
  <c r="CJ213" i="9"/>
  <c r="CJ214" i="9" s="1"/>
  <c r="BH6" i="9"/>
  <c r="BX209" i="9"/>
  <c r="BX217" i="9" s="1"/>
  <c r="BW211" i="9"/>
  <c r="BX211" i="9" s="1"/>
  <c r="BW217" i="9"/>
  <c r="BZ6" i="9"/>
  <c r="BZ219" i="9"/>
  <c r="BP211" i="9"/>
  <c r="BU68" i="9"/>
  <c r="BV68" i="9"/>
  <c r="BK6" i="9"/>
  <c r="BW219" i="9" l="1"/>
  <c r="BW6" i="9"/>
  <c r="CA211" i="9"/>
  <c r="CJ17" i="9"/>
  <c r="CH221" i="9"/>
  <c r="BX219" i="9"/>
  <c r="BX6" i="9"/>
  <c r="CF217" i="9"/>
  <c r="BZ17" i="9"/>
  <c r="BZ222" i="9"/>
  <c r="CH6" i="9"/>
  <c r="CH219" i="9"/>
  <c r="BZ68" i="9"/>
  <c r="CE217" i="9"/>
  <c r="CE211" i="9"/>
  <c r="CI209" i="9"/>
  <c r="CI217" i="9" s="1"/>
  <c r="CD68" i="9"/>
  <c r="CC68" i="9"/>
  <c r="BS219" i="9"/>
  <c r="BS6" i="9"/>
  <c r="BP219" i="9"/>
  <c r="BP6" i="9"/>
  <c r="CJ68" i="9"/>
  <c r="BO68" i="9"/>
  <c r="BS68" i="9" l="1"/>
  <c r="CH68" i="9"/>
  <c r="BX68" i="9"/>
  <c r="BW68" i="9"/>
  <c r="BP68" i="9"/>
  <c r="CH222" i="9"/>
  <c r="CH17" i="9"/>
  <c r="CF211" i="9"/>
  <c r="CE6" i="9"/>
  <c r="CI211" i="9"/>
  <c r="CE219" i="9"/>
  <c r="CA219" i="9"/>
  <c r="CA6" i="9"/>
  <c r="CF219" i="9" l="1"/>
  <c r="CF6" i="9"/>
  <c r="CE68" i="9"/>
  <c r="CA68" i="9"/>
  <c r="CI6" i="9"/>
  <c r="CI219" i="9"/>
  <c r="CF68" i="9" l="1"/>
  <c r="CI68" i="9"/>
  <c r="AJ13" i="12" l="1"/>
  <c r="AH13" i="12" s="1"/>
  <c r="AJ10" i="12"/>
  <c r="AL5" i="12"/>
  <c r="DJ179" i="5" l="1"/>
  <c r="DR183" i="5" s="1"/>
  <c r="AT6" i="12"/>
  <c r="AT8" i="12" s="1"/>
  <c r="DH180" i="5"/>
  <c r="AR12" i="12"/>
  <c r="AR11" i="12"/>
  <c r="AR13" i="12"/>
  <c r="AH10" i="12"/>
  <c r="AJ5" i="12"/>
  <c r="AL6" i="12"/>
  <c r="AL8" i="12" s="1"/>
  <c r="AJ8" i="12" s="1"/>
  <c r="AH8" i="12" s="1"/>
  <c r="AJ11" i="12"/>
  <c r="AP12" i="12" l="1"/>
  <c r="AP13" i="12"/>
  <c r="DH184" i="5"/>
  <c r="DP184" i="5"/>
  <c r="DH179" i="5"/>
  <c r="DP183" i="5" s="1"/>
  <c r="AR6" i="12"/>
  <c r="DJ181" i="5"/>
  <c r="AR8" i="12"/>
  <c r="DF180" i="5"/>
  <c r="DF184" i="5" s="1"/>
  <c r="AP11" i="12"/>
  <c r="DJ183" i="5"/>
  <c r="AR7" i="12"/>
  <c r="AH11" i="12"/>
  <c r="AH5" i="12"/>
  <c r="AJ6" i="12"/>
  <c r="AP7" i="12" l="1"/>
  <c r="DH181" i="5"/>
  <c r="AR17" i="12"/>
  <c r="DP28" i="5" s="1"/>
  <c r="DP34" i="5" s="1"/>
  <c r="DP36" i="5" s="1"/>
  <c r="DF179" i="5"/>
  <c r="DF183" i="5" s="1"/>
  <c r="AP6" i="12"/>
  <c r="AP8" i="12"/>
  <c r="DH183" i="5"/>
  <c r="DJ185" i="5"/>
  <c r="DR185" i="5"/>
  <c r="AH6" i="12"/>
  <c r="DF181" i="5" l="1"/>
  <c r="DF185" i="5" s="1"/>
  <c r="DH185" i="5"/>
  <c r="DP185" i="5"/>
  <c r="AW17" i="12"/>
  <c r="DU28" i="5" s="1"/>
  <c r="DK4" i="5" l="1"/>
  <c r="DK18" i="5" s="1"/>
  <c r="DS28" i="5"/>
  <c r="AS28" i="9" l="1"/>
  <c r="AT28" i="9" s="1"/>
  <c r="AT29" i="9" s="1"/>
  <c r="BA12" i="12"/>
  <c r="DK11" i="5"/>
  <c r="DK24" i="5" s="1"/>
  <c r="DK37" i="5" s="1"/>
  <c r="DK36" i="5" s="1"/>
  <c r="BA18" i="12" l="1"/>
  <c r="AS31" i="9"/>
  <c r="AT31" i="9" s="1"/>
  <c r="AT32" i="9" s="1"/>
  <c r="AS29" i="9"/>
  <c r="DK13" i="5"/>
  <c r="BA17" i="12"/>
  <c r="DY28" i="5" s="1"/>
  <c r="BA19" i="12"/>
  <c r="AS32" i="9" l="1"/>
  <c r="V115" i="6" l="1"/>
  <c r="V72" i="7" l="1"/>
  <c r="V111" i="6"/>
  <c r="DJ303" i="5"/>
  <c r="V112" i="6"/>
  <c r="V36" i="3"/>
  <c r="DH303" i="5" l="1"/>
  <c r="DJ315" i="5"/>
  <c r="V73" i="7"/>
  <c r="V74" i="7"/>
  <c r="V21" i="3"/>
  <c r="V122" i="6"/>
  <c r="DH315" i="5" l="1"/>
  <c r="DJ319" i="5"/>
  <c r="DH319" i="5" s="1"/>
  <c r="V57" i="3"/>
  <c r="V59" i="3"/>
  <c r="V7" i="3" s="1"/>
  <c r="V10" i="3" s="1"/>
  <c r="V49" i="3"/>
  <c r="V70" i="7"/>
  <c r="V76" i="3"/>
  <c r="V75" i="3"/>
  <c r="V45" i="3"/>
  <c r="V60" i="3" l="1"/>
  <c r="V61" i="3" s="1"/>
  <c r="V63" i="3" s="1"/>
  <c r="V132" i="6"/>
  <c r="V44" i="3"/>
  <c r="V43" i="3"/>
  <c r="V42" i="3"/>
  <c r="V51" i="3"/>
  <c r="V50" i="3"/>
  <c r="V58" i="8"/>
  <c r="V65" i="3" l="1"/>
  <c r="V40" i="3"/>
  <c r="V66" i="3"/>
  <c r="V3" i="8"/>
  <c r="V4" i="8" s="1"/>
  <c r="V3" i="7"/>
  <c r="V4" i="7" s="1"/>
  <c r="V3" i="6"/>
  <c r="V4" i="6" s="1"/>
  <c r="W179" i="8"/>
  <c r="AA30" i="12" l="1"/>
  <c r="AB30" i="12" s="1"/>
  <c r="AB31" i="12" s="1"/>
  <c r="AS64" i="9" l="1"/>
  <c r="AS114" i="9"/>
  <c r="AS97" i="9" s="1"/>
  <c r="AB41" i="13" l="1"/>
  <c r="AB42" i="13" s="1"/>
  <c r="AS186" i="9"/>
  <c r="AT186" i="9" s="1"/>
  <c r="AR186" i="9" s="1"/>
  <c r="AS161" i="9"/>
  <c r="AS185" i="9"/>
  <c r="AT185" i="9" s="1"/>
  <c r="AS184" i="9"/>
  <c r="AT184" i="9" s="1"/>
  <c r="AS158" i="9"/>
  <c r="AT158" i="9" s="1"/>
  <c r="AS187" i="9"/>
  <c r="AP187" i="9" s="1"/>
  <c r="AU187" i="9" s="1"/>
  <c r="AS126" i="9"/>
  <c r="AS118" i="9"/>
  <c r="AT118" i="9" s="1"/>
  <c r="AS103" i="9"/>
  <c r="AP97" i="9"/>
  <c r="AU97" i="9" s="1"/>
  <c r="AU103" i="9" s="1"/>
  <c r="AS96" i="9"/>
  <c r="AT122" i="9" l="1"/>
  <c r="AT266" i="9"/>
  <c r="AT136" i="9"/>
  <c r="AR185" i="9"/>
  <c r="AR136" i="9" s="1"/>
  <c r="AT133" i="9"/>
  <c r="AR184" i="9"/>
  <c r="AR133" i="9" s="1"/>
  <c r="AP161" i="9"/>
  <c r="AU161" i="9" s="1"/>
  <c r="AT161" i="9"/>
  <c r="AR161" i="9" s="1"/>
  <c r="AT132" i="9"/>
  <c r="AR158" i="9"/>
  <c r="AR132" i="9" s="1"/>
  <c r="AP158" i="9"/>
  <c r="AS132" i="9"/>
  <c r="AS266" i="9"/>
  <c r="AS122" i="9"/>
  <c r="AP118" i="9"/>
  <c r="AP266" i="9" s="1"/>
  <c r="AS116" i="9"/>
  <c r="AE4" i="10" s="1"/>
  <c r="AE6" i="10" s="1"/>
  <c r="AS130" i="9"/>
  <c r="AS136" i="9"/>
  <c r="AP185" i="9"/>
  <c r="AP186" i="9"/>
  <c r="AS139" i="9"/>
  <c r="AS133" i="9"/>
  <c r="AP184" i="9"/>
  <c r="AU184" i="9" s="1"/>
  <c r="AS188" i="9"/>
  <c r="AS102" i="9"/>
  <c r="AP103" i="9"/>
  <c r="AR134" i="9" l="1"/>
  <c r="AT267" i="9"/>
  <c r="AT134" i="9"/>
  <c r="AP132" i="9"/>
  <c r="AU158" i="9"/>
  <c r="AP139" i="9"/>
  <c r="AU186" i="9"/>
  <c r="AP136" i="9"/>
  <c r="AU185" i="9"/>
  <c r="AE26" i="10"/>
  <c r="AS120" i="9"/>
  <c r="AS134" i="9"/>
  <c r="AE5" i="10"/>
  <c r="AS269" i="9"/>
  <c r="AS267" i="9"/>
  <c r="AP133" i="9"/>
  <c r="AP188" i="9"/>
  <c r="AP122" i="9"/>
  <c r="AP116" i="9"/>
  <c r="AS277" i="9" l="1"/>
  <c r="AS278" i="9" s="1"/>
  <c r="AT278" i="9" s="1"/>
  <c r="AT269" i="9"/>
  <c r="AT277" i="9" s="1"/>
  <c r="AU188" i="9"/>
  <c r="AP134" i="9"/>
  <c r="AP120" i="9"/>
  <c r="AB4" i="10"/>
  <c r="AS271" i="9"/>
  <c r="AT271" i="9" s="1"/>
  <c r="AP267" i="9"/>
  <c r="AP269" i="9"/>
  <c r="AP271" i="9" s="1"/>
  <c r="AT255" i="9" l="1"/>
  <c r="AT256" i="9" s="1"/>
  <c r="AP277" i="9"/>
  <c r="AP278" i="9" s="1"/>
  <c r="AP255" i="9" s="1"/>
  <c r="AS255" i="9"/>
  <c r="AB6" i="10"/>
  <c r="AB5" i="10"/>
  <c r="AB26" i="10"/>
  <c r="AP264" i="9" l="1"/>
  <c r="AP114" i="9" s="1"/>
  <c r="Y41" i="13" s="1"/>
  <c r="AP256" i="9"/>
  <c r="AS293" i="9"/>
  <c r="AT293" i="9" s="1"/>
  <c r="AS256" i="9"/>
  <c r="AS217" i="9"/>
  <c r="AS226" i="9"/>
  <c r="AU136" i="9" l="1"/>
  <c r="AU133" i="9"/>
  <c r="AU132" i="9"/>
  <c r="AU139" i="9"/>
  <c r="AS210" i="9"/>
  <c r="AP293" i="9"/>
  <c r="AQ136" i="9"/>
  <c r="AQ135" i="9"/>
  <c r="AQ132" i="9"/>
  <c r="AQ133" i="9"/>
  <c r="AQ139" i="9"/>
  <c r="AS90" i="9"/>
  <c r="BA217" i="9"/>
  <c r="AS91" i="9" l="1"/>
  <c r="AT210" i="9"/>
  <c r="AQ217" i="9"/>
  <c r="AQ210" i="9"/>
  <c r="AU134" i="9"/>
  <c r="AQ137" i="9"/>
  <c r="AQ134" i="9"/>
  <c r="AS218" i="9"/>
  <c r="AO217" i="9"/>
  <c r="AO210" i="9"/>
  <c r="AW217" i="9"/>
  <c r="AP209" i="9"/>
  <c r="AP226" i="9" s="1"/>
  <c r="AT218" i="9" l="1"/>
  <c r="AR210" i="9"/>
  <c r="AT211" i="9"/>
  <c r="AQ218" i="9"/>
  <c r="AQ91" i="9"/>
  <c r="AP217" i="9"/>
  <c r="AU209" i="9"/>
  <c r="AX217" i="9"/>
  <c r="AO91" i="9"/>
  <c r="AO218" i="9"/>
  <c r="AW218" i="9"/>
  <c r="AP210" i="9"/>
  <c r="AP218" i="9" s="1"/>
  <c r="AU210" i="9" l="1"/>
  <c r="AU218" i="9" s="1"/>
  <c r="AT219" i="9"/>
  <c r="AT222" i="9"/>
  <c r="AR218" i="9"/>
  <c r="AR211" i="9"/>
  <c r="AR219" i="9" s="1"/>
  <c r="AU217" i="9"/>
  <c r="AP211" i="9"/>
  <c r="AP219" i="9" s="1"/>
  <c r="AP91" i="9"/>
  <c r="AU211" i="9" l="1"/>
  <c r="AU219" i="9" s="1"/>
  <c r="DO196" i="5" l="1"/>
  <c r="AE62" i="10"/>
  <c r="AE72" i="10"/>
  <c r="AF72" i="10" s="1"/>
  <c r="AE12" i="10"/>
  <c r="AS167" i="9" l="1"/>
  <c r="AS146" i="9" s="1"/>
  <c r="AS148" i="9" s="1"/>
  <c r="AF12" i="10"/>
  <c r="AD72" i="10"/>
  <c r="AD67" i="10" s="1"/>
  <c r="AF74" i="10"/>
  <c r="AF67" i="10"/>
  <c r="AE13" i="10"/>
  <c r="AE25" i="10" s="1"/>
  <c r="AB12" i="10"/>
  <c r="AG12" i="10" s="1"/>
  <c r="AG13" i="10" s="1"/>
  <c r="AE208" i="10"/>
  <c r="AE209" i="10"/>
  <c r="AE31" i="10"/>
  <c r="AF31" i="10" s="1"/>
  <c r="AE63" i="10"/>
  <c r="AS159" i="9"/>
  <c r="AT159" i="9" s="1"/>
  <c r="AE74" i="10"/>
  <c r="AB72" i="10"/>
  <c r="AD74" i="10" l="1"/>
  <c r="AD75" i="10" s="1"/>
  <c r="AF75" i="10"/>
  <c r="AT167" i="9"/>
  <c r="AT146" i="9" s="1"/>
  <c r="AT148" i="9" s="1"/>
  <c r="AD12" i="10"/>
  <c r="AF13" i="10"/>
  <c r="AF129" i="10"/>
  <c r="AT175" i="9"/>
  <c r="AR159" i="9"/>
  <c r="AR135" i="9" s="1"/>
  <c r="AR137" i="9" s="1"/>
  <c r="AT135" i="9"/>
  <c r="AT137" i="9" s="1"/>
  <c r="AU167" i="9"/>
  <c r="AP167" i="9"/>
  <c r="AP146" i="9" s="1"/>
  <c r="AP148" i="9" s="1"/>
  <c r="AE9" i="10"/>
  <c r="AB13" i="10"/>
  <c r="AB9" i="10" s="1"/>
  <c r="AB74" i="10"/>
  <c r="AE75" i="10"/>
  <c r="AP159" i="9"/>
  <c r="AU159" i="9" s="1"/>
  <c r="AS135" i="9"/>
  <c r="AS137" i="9" s="1"/>
  <c r="AS175" i="9"/>
  <c r="AR167" i="9" l="1"/>
  <c r="AR146" i="9" s="1"/>
  <c r="AR148" i="9" s="1"/>
  <c r="AD13" i="10"/>
  <c r="AE32" i="10"/>
  <c r="AS176" i="9" s="1"/>
  <c r="AS178" i="9" s="1"/>
  <c r="AS124" i="9" s="1"/>
  <c r="AU146" i="9"/>
  <c r="AB25" i="10"/>
  <c r="AU135" i="9"/>
  <c r="AU137" i="9" s="1"/>
  <c r="AS168" i="9"/>
  <c r="AS170" i="9" s="1"/>
  <c r="AE24" i="10"/>
  <c r="AP135" i="9"/>
  <c r="AP137" i="9" s="1"/>
  <c r="AP168" i="9"/>
  <c r="AB24" i="10"/>
  <c r="AE34" i="10" l="1"/>
  <c r="AE35" i="10" s="1"/>
  <c r="AU148" i="9"/>
  <c r="AS160" i="9"/>
  <c r="AS162" i="9" s="1"/>
  <c r="AS149" i="9"/>
  <c r="AS151" i="9" s="1"/>
  <c r="AS152" i="9" s="1"/>
  <c r="AS125" i="9"/>
  <c r="AS128" i="9"/>
  <c r="AP149" i="9"/>
  <c r="AP151" i="9" s="1"/>
  <c r="AP152" i="9" s="1"/>
  <c r="AP170" i="9"/>
  <c r="AP160" i="9" l="1"/>
  <c r="AP162" i="9" s="1"/>
  <c r="AS138" i="9"/>
  <c r="AS140" i="9" s="1"/>
  <c r="AS141" i="9" s="1"/>
  <c r="AS129" i="9"/>
  <c r="BJ41" i="11"/>
  <c r="AP138" i="9" l="1"/>
  <c r="AP140" i="9" s="1"/>
  <c r="AP141" i="9" s="1"/>
  <c r="BJ42" i="11"/>
  <c r="BJ44" i="11"/>
  <c r="BJ45" i="11" l="1"/>
  <c r="AS200" i="9"/>
  <c r="AS204" i="9" s="1"/>
  <c r="AS205" i="9" s="1"/>
  <c r="AZ7" i="12" l="1"/>
  <c r="BB17" i="12" l="1"/>
  <c r="Z27" i="4" s="1"/>
  <c r="DZ28" i="5" s="1"/>
  <c r="C6" i="16"/>
  <c r="AX7" i="12"/>
  <c r="AZ12" i="12"/>
  <c r="AY13" i="9"/>
  <c r="D6" i="16" l="1"/>
  <c r="D17" i="16" s="1"/>
  <c r="F6" i="16"/>
  <c r="F17" i="16" s="1"/>
  <c r="AX12" i="12"/>
  <c r="AZ19" i="12"/>
  <c r="C17" i="16"/>
  <c r="C18" i="16" s="1"/>
  <c r="AZ17" i="12"/>
  <c r="DX28" i="5" s="1"/>
  <c r="BB8" i="12"/>
  <c r="BB13" i="12" s="1"/>
  <c r="AZ18" i="12"/>
  <c r="W80" i="3"/>
  <c r="DN179" i="5"/>
  <c r="DN180" i="5"/>
  <c r="DN184" i="5" s="1"/>
  <c r="AX18" i="12" l="1"/>
  <c r="AW13" i="12"/>
  <c r="AW11" i="12" s="1"/>
  <c r="AW10" i="12" s="1"/>
  <c r="DU180" i="5" s="1"/>
  <c r="DU184" i="5" s="1"/>
  <c r="BB11" i="12"/>
  <c r="BB10" i="12" s="1"/>
  <c r="W86" i="3"/>
  <c r="W92" i="3" s="1"/>
  <c r="AW8" i="12"/>
  <c r="AW6" i="12" s="1"/>
  <c r="AW5" i="12" s="1"/>
  <c r="AZ8" i="12"/>
  <c r="BB6" i="12"/>
  <c r="BB5" i="12" s="1"/>
  <c r="AX19" i="12"/>
  <c r="DN183" i="5"/>
  <c r="DN181" i="5"/>
  <c r="DN185" i="5" s="1"/>
  <c r="AX17" i="12"/>
  <c r="DV28" i="5" s="1"/>
  <c r="AX8" i="12" l="1"/>
  <c r="BC17" i="12"/>
  <c r="EA28" i="5" s="1"/>
  <c r="BC5" i="12"/>
  <c r="DS179" i="5"/>
  <c r="BB15" i="12"/>
  <c r="BJ17" i="12" s="1"/>
  <c r="AA27" i="4" s="1"/>
  <c r="EH28" i="5" s="1"/>
  <c r="DZ180" i="5"/>
  <c r="DZ184" i="5" s="1"/>
  <c r="BJ5" i="12"/>
  <c r="DZ179" i="5"/>
  <c r="DS180" i="5"/>
  <c r="DS184" i="5" s="1"/>
  <c r="BA8" i="12"/>
  <c r="AZ13" i="12"/>
  <c r="AX13" i="12" s="1"/>
  <c r="BA13" i="12"/>
  <c r="DU179" i="5"/>
  <c r="AW15" i="12"/>
  <c r="BE5" i="12"/>
  <c r="EC179" i="5" l="1"/>
  <c r="BM5" i="12"/>
  <c r="DZ183" i="5"/>
  <c r="DZ181" i="5"/>
  <c r="DZ185" i="5" s="1"/>
  <c r="DS4" i="5"/>
  <c r="BE17" i="12"/>
  <c r="EC28" i="5" s="1"/>
  <c r="DU4" i="5"/>
  <c r="AW16" i="12"/>
  <c r="AZ10" i="12"/>
  <c r="BH12" i="12" s="1"/>
  <c r="DW180" i="5"/>
  <c r="DW184" i="5" s="1"/>
  <c r="AZ5" i="12"/>
  <c r="BH8" i="12" s="1"/>
  <c r="BG17" i="12"/>
  <c r="EE28" i="5" s="1"/>
  <c r="BG5" i="12"/>
  <c r="DW179" i="5"/>
  <c r="BD7" i="12"/>
  <c r="EH179" i="5"/>
  <c r="BR5" i="12"/>
  <c r="DU183" i="5"/>
  <c r="DU181" i="5"/>
  <c r="DU185" i="5" s="1"/>
  <c r="DS183" i="5"/>
  <c r="DS181" i="5"/>
  <c r="DS185" i="5" s="1"/>
  <c r="Z5" i="4"/>
  <c r="BB21" i="12"/>
  <c r="BB27" i="12"/>
  <c r="BJ13" i="12"/>
  <c r="BB30" i="12"/>
  <c r="BB37" i="12"/>
  <c r="BB16" i="12"/>
  <c r="BK5" i="12"/>
  <c r="EA179" i="5"/>
  <c r="BD8" i="12" l="1"/>
  <c r="X80" i="3"/>
  <c r="DZ4" i="5"/>
  <c r="Z20" i="4"/>
  <c r="EP179" i="5"/>
  <c r="BZ5" i="12"/>
  <c r="AX5" i="12"/>
  <c r="BF8" i="12" s="1"/>
  <c r="DX179" i="5"/>
  <c r="AZ6" i="12"/>
  <c r="DS18" i="5"/>
  <c r="EH183" i="5"/>
  <c r="BH7" i="12"/>
  <c r="BB39" i="12"/>
  <c r="Z66" i="4"/>
  <c r="Z97" i="4"/>
  <c r="DT179" i="5"/>
  <c r="BA5" i="12"/>
  <c r="AZ11" i="12"/>
  <c r="DX180" i="5"/>
  <c r="DX184" i="5" s="1"/>
  <c r="AX10" i="12"/>
  <c r="BF12" i="12" s="1"/>
  <c r="BC13" i="12"/>
  <c r="BC11" i="12" s="1"/>
  <c r="BC10" i="12" s="1"/>
  <c r="BJ11" i="12"/>
  <c r="BJ10" i="12" s="1"/>
  <c r="BE13" i="12"/>
  <c r="BE11" i="12" s="1"/>
  <c r="BE10" i="12" s="1"/>
  <c r="BG13" i="12"/>
  <c r="BH5" i="12"/>
  <c r="BP7" i="12" s="1"/>
  <c r="BO5" i="12"/>
  <c r="BP5" i="12" s="1"/>
  <c r="BD5" i="12"/>
  <c r="BL8" i="12" s="1"/>
  <c r="EE179" i="5"/>
  <c r="DU18" i="5"/>
  <c r="BU5" i="12"/>
  <c r="EK179" i="5"/>
  <c r="BD12" i="12"/>
  <c r="DT180" i="5"/>
  <c r="DT184" i="5" s="1"/>
  <c r="BA10" i="12"/>
  <c r="EA183" i="5"/>
  <c r="EI179" i="5"/>
  <c r="BS5" i="12"/>
  <c r="DW183" i="5"/>
  <c r="DW181" i="5"/>
  <c r="DW185" i="5" s="1"/>
  <c r="Z108" i="4"/>
  <c r="BB25" i="12"/>
  <c r="Z39" i="4"/>
  <c r="AZ15" i="12"/>
  <c r="AY30" i="12"/>
  <c r="BA28" i="9"/>
  <c r="EC183" i="5"/>
  <c r="BA29" i="9" l="1"/>
  <c r="BA31" i="9"/>
  <c r="BA32" i="9" s="1"/>
  <c r="BL7" i="12"/>
  <c r="BD17" i="12"/>
  <c r="EB28" i="5" s="1"/>
  <c r="BF7" i="12"/>
  <c r="BP6" i="12"/>
  <c r="BN5" i="12"/>
  <c r="EN179" i="5"/>
  <c r="EH180" i="5"/>
  <c r="BJ15" i="12"/>
  <c r="BA15" i="12"/>
  <c r="DY179" i="5"/>
  <c r="BA6" i="12"/>
  <c r="BI7" i="12"/>
  <c r="BI8" i="12"/>
  <c r="EA180" i="5"/>
  <c r="BC15" i="12"/>
  <c r="BK17" i="12" s="1"/>
  <c r="EI28" i="5" s="1"/>
  <c r="AZ37" i="12"/>
  <c r="AZ38" i="12" s="1"/>
  <c r="CH5" i="12"/>
  <c r="EX179" i="5"/>
  <c r="EE183" i="5"/>
  <c r="DT183" i="5"/>
  <c r="DT181" i="5"/>
  <c r="DT185" i="5" s="1"/>
  <c r="EP183" i="5"/>
  <c r="EK183" i="5"/>
  <c r="EB179" i="5"/>
  <c r="BD6" i="12"/>
  <c r="BI5" i="12"/>
  <c r="BQ8" i="12" s="1"/>
  <c r="AZ39" i="12"/>
  <c r="Z77" i="4"/>
  <c r="DX183" i="5"/>
  <c r="DX181" i="5"/>
  <c r="DX185" i="5" s="1"/>
  <c r="CC5" i="12"/>
  <c r="ES179" i="5"/>
  <c r="EM179" i="5"/>
  <c r="BL5" i="12"/>
  <c r="BT8" i="12" s="1"/>
  <c r="BW5" i="12"/>
  <c r="BH17" i="12"/>
  <c r="EF28" i="5" s="1"/>
  <c r="DV179" i="5"/>
  <c r="AX6" i="12"/>
  <c r="DZ18" i="5"/>
  <c r="BF5" i="12"/>
  <c r="BH6" i="12"/>
  <c r="EF179" i="5"/>
  <c r="BP8" i="12"/>
  <c r="BD18" i="12"/>
  <c r="AZ27" i="12"/>
  <c r="AZ28" i="12" s="1"/>
  <c r="BX7" i="12"/>
  <c r="DY180" i="5"/>
  <c r="DY184" i="5" s="1"/>
  <c r="BA11" i="12"/>
  <c r="AX11" i="12"/>
  <c r="DV180" i="5"/>
  <c r="DV184" i="5" s="1"/>
  <c r="AZ21" i="12"/>
  <c r="EQ179" i="5"/>
  <c r="CA5" i="12"/>
  <c r="BI12" i="12"/>
  <c r="BH13" i="12"/>
  <c r="BF13" i="12" s="1"/>
  <c r="BG11" i="12"/>
  <c r="BG10" i="12" s="1"/>
  <c r="BH10" i="12" s="1"/>
  <c r="BD13" i="12"/>
  <c r="BI13" i="12" s="1"/>
  <c r="AZ30" i="12"/>
  <c r="AZ31" i="12" s="1"/>
  <c r="BD19" i="12"/>
  <c r="DX4" i="5"/>
  <c r="AX15" i="12"/>
  <c r="AZ16" i="12"/>
  <c r="BH18" i="12"/>
  <c r="BH19" i="12"/>
  <c r="DZ52" i="5"/>
  <c r="DZ61" i="5" s="1"/>
  <c r="Z55" i="4"/>
  <c r="X86" i="3"/>
  <c r="X92" i="3" s="1"/>
  <c r="EI183" i="5"/>
  <c r="EC180" i="5"/>
  <c r="BE15" i="12"/>
  <c r="BX8" i="12"/>
  <c r="BI19" i="12" l="1"/>
  <c r="BF17" i="12"/>
  <c r="ED28" i="5" s="1"/>
  <c r="BI18" i="12"/>
  <c r="BV8" i="12"/>
  <c r="AZ40" i="12"/>
  <c r="BI17" i="12"/>
  <c r="EG28" i="5" s="1"/>
  <c r="BV7" i="12"/>
  <c r="BP12" i="12"/>
  <c r="BF10" i="12"/>
  <c r="BH11" i="12"/>
  <c r="EF180" i="5"/>
  <c r="EF184" i="5" s="1"/>
  <c r="BC16" i="12"/>
  <c r="EA4" i="5"/>
  <c r="BA16" i="12"/>
  <c r="DY4" i="5"/>
  <c r="BR17" i="12"/>
  <c r="AB27" i="4" s="1"/>
  <c r="EP28" i="5" s="1"/>
  <c r="AA5" i="4"/>
  <c r="BJ30" i="12"/>
  <c r="BR13" i="12"/>
  <c r="BJ37" i="12"/>
  <c r="BJ21" i="12"/>
  <c r="BJ16" i="12"/>
  <c r="BJ27" i="12"/>
  <c r="BF6" i="12"/>
  <c r="ED179" i="5"/>
  <c r="FA179" i="5"/>
  <c r="EA184" i="5"/>
  <c r="EA181" i="5"/>
  <c r="EA185" i="5" s="1"/>
  <c r="BM17" i="12"/>
  <c r="EK28" i="5" s="1"/>
  <c r="BE16" i="12"/>
  <c r="EC4" i="5"/>
  <c r="EX183" i="5"/>
  <c r="EH184" i="5"/>
  <c r="EH181" i="5"/>
  <c r="EH185" i="5" s="1"/>
  <c r="EY179" i="5"/>
  <c r="BI6" i="12"/>
  <c r="EG179" i="5"/>
  <c r="FF179" i="5"/>
  <c r="BQ7" i="12"/>
  <c r="DX18" i="5"/>
  <c r="EN183" i="5"/>
  <c r="DV183" i="5"/>
  <c r="DV181" i="5"/>
  <c r="DV185" i="5" s="1"/>
  <c r="ES183" i="5"/>
  <c r="EE180" i="5"/>
  <c r="BD10" i="12"/>
  <c r="BL12" i="12" s="1"/>
  <c r="BG15" i="12"/>
  <c r="EQ183" i="5"/>
  <c r="BN8" i="12"/>
  <c r="BX5" i="12"/>
  <c r="CF7" i="12" s="1"/>
  <c r="BT5" i="12"/>
  <c r="CB8" i="12" s="1"/>
  <c r="EU179" i="5"/>
  <c r="CE5" i="12"/>
  <c r="CF5" i="12" s="1"/>
  <c r="BF18" i="12"/>
  <c r="EF183" i="5"/>
  <c r="BT7" i="12"/>
  <c r="BL6" i="12"/>
  <c r="EJ179" i="5"/>
  <c r="BQ5" i="12"/>
  <c r="EB183" i="5"/>
  <c r="EL179" i="5"/>
  <c r="BN6" i="12"/>
  <c r="DV4" i="5"/>
  <c r="AX16" i="12"/>
  <c r="EC184" i="5"/>
  <c r="EC181" i="5"/>
  <c r="EC185" i="5" s="1"/>
  <c r="BF19" i="12"/>
  <c r="DX52" i="5"/>
  <c r="AZ25" i="12"/>
  <c r="AZ22" i="12"/>
  <c r="EM183" i="5"/>
  <c r="Z87" i="4"/>
  <c r="BN7" i="12"/>
  <c r="DY183" i="5"/>
  <c r="DY181" i="5"/>
  <c r="DY185" i="5" s="1"/>
  <c r="DX61" i="5" l="1"/>
  <c r="BY7" i="12"/>
  <c r="EF181" i="5"/>
  <c r="EF185" i="5" s="1"/>
  <c r="CD5" i="12"/>
  <c r="CF6" i="12"/>
  <c r="FD179" i="5"/>
  <c r="EL183" i="5"/>
  <c r="EC18" i="5"/>
  <c r="AA39" i="4"/>
  <c r="BJ25" i="12"/>
  <c r="EA18" i="5"/>
  <c r="FF183" i="5"/>
  <c r="EY183" i="5"/>
  <c r="ED183" i="5"/>
  <c r="AA66" i="4"/>
  <c r="BJ39" i="12"/>
  <c r="CB7" i="12"/>
  <c r="ER179" i="5"/>
  <c r="BT6" i="12"/>
  <c r="BY5" i="12"/>
  <c r="EU183" i="5"/>
  <c r="CF8" i="12"/>
  <c r="EV179" i="5"/>
  <c r="BV5" i="12"/>
  <c r="BX6" i="12"/>
  <c r="BO17" i="12"/>
  <c r="EM28" i="5" s="1"/>
  <c r="BD15" i="12"/>
  <c r="BL17" i="12" s="1"/>
  <c r="EJ28" i="5" s="1"/>
  <c r="EE4" i="5"/>
  <c r="BG21" i="12"/>
  <c r="BH21" i="12" s="1"/>
  <c r="BG27" i="12"/>
  <c r="BH27" i="12" s="1"/>
  <c r="BG37" i="12"/>
  <c r="BG39" i="12" s="1"/>
  <c r="BG16" i="12"/>
  <c r="BG30" i="12"/>
  <c r="BO13" i="12"/>
  <c r="BP13" i="12" s="1"/>
  <c r="BM13" i="12"/>
  <c r="BM11" i="12" s="1"/>
  <c r="BM10" i="12" s="1"/>
  <c r="BK13" i="12"/>
  <c r="BK11" i="12" s="1"/>
  <c r="BK10" i="12" s="1"/>
  <c r="BR11" i="12"/>
  <c r="BR10" i="12" s="1"/>
  <c r="DY18" i="5"/>
  <c r="EO179" i="5"/>
  <c r="BQ6" i="12"/>
  <c r="AA97" i="4"/>
  <c r="EG183" i="5"/>
  <c r="BY8" i="12"/>
  <c r="BH15" i="12"/>
  <c r="BP19" i="12" s="1"/>
  <c r="AA20" i="4"/>
  <c r="Y80" i="3"/>
  <c r="EH4" i="5"/>
  <c r="ED180" i="5"/>
  <c r="ED184" i="5" s="1"/>
  <c r="BF11" i="12"/>
  <c r="FC179" i="5"/>
  <c r="CB5" i="12"/>
  <c r="DV18" i="5"/>
  <c r="EJ183" i="5"/>
  <c r="BI10" i="12"/>
  <c r="EB180" i="5"/>
  <c r="BD11" i="12"/>
  <c r="EE184" i="5"/>
  <c r="EE181" i="5"/>
  <c r="EE185" i="5" s="1"/>
  <c r="FA183" i="5"/>
  <c r="AA108" i="4"/>
  <c r="BN12" i="12"/>
  <c r="BH28" i="12" l="1"/>
  <c r="BN13" i="12"/>
  <c r="BH30" i="12"/>
  <c r="BH31" i="12" s="1"/>
  <c r="BL18" i="12"/>
  <c r="EF52" i="5"/>
  <c r="BH22" i="12"/>
  <c r="BH25" i="12"/>
  <c r="CD8" i="12"/>
  <c r="ET179" i="5"/>
  <c r="BV6" i="12"/>
  <c r="EW179" i="5"/>
  <c r="BY6" i="12"/>
  <c r="EV183" i="5"/>
  <c r="ER183" i="5"/>
  <c r="BH37" i="12"/>
  <c r="BH38" i="12" s="1"/>
  <c r="CG8" i="12"/>
  <c r="EH18" i="5"/>
  <c r="EE52" i="5"/>
  <c r="EE61" i="5" s="1"/>
  <c r="BG25" i="12"/>
  <c r="CG7" i="12"/>
  <c r="BH39" i="12"/>
  <c r="AA77" i="4"/>
  <c r="Y86" i="3"/>
  <c r="Y92" i="3" s="1"/>
  <c r="EH52" i="5"/>
  <c r="EH61" i="5" s="1"/>
  <c r="AA55" i="4"/>
  <c r="FD183" i="5"/>
  <c r="EB184" i="5"/>
  <c r="EB181" i="5"/>
  <c r="EB185" i="5" s="1"/>
  <c r="BI11" i="12"/>
  <c r="EG180" i="5"/>
  <c r="BI15" i="12"/>
  <c r="EP180" i="5"/>
  <c r="BR15" i="12"/>
  <c r="EE18" i="5"/>
  <c r="CG5" i="12"/>
  <c r="CB6" i="12"/>
  <c r="EZ179" i="5"/>
  <c r="EI180" i="5"/>
  <c r="BK15" i="12"/>
  <c r="BL19" i="12"/>
  <c r="EB4" i="5"/>
  <c r="BD16" i="12"/>
  <c r="ED181" i="5"/>
  <c r="ED185" i="5" s="1"/>
  <c r="FB179" i="5"/>
  <c r="CD6" i="12"/>
  <c r="FC183" i="5"/>
  <c r="EO183" i="5"/>
  <c r="EK180" i="5"/>
  <c r="BM15" i="12"/>
  <c r="BQ12" i="12"/>
  <c r="BP18" i="12"/>
  <c r="BH16" i="12"/>
  <c r="BF15" i="12"/>
  <c r="EF4" i="5"/>
  <c r="BP17" i="12"/>
  <c r="EN28" i="5" s="1"/>
  <c r="BO11" i="12"/>
  <c r="BO10" i="12" s="1"/>
  <c r="BL13" i="12"/>
  <c r="BQ13" i="12" s="1"/>
  <c r="CD7" i="12"/>
  <c r="DL196" i="5"/>
  <c r="AB207" i="10"/>
  <c r="AB51" i="10"/>
  <c r="AB67" i="10" s="1"/>
  <c r="BH40" i="12" l="1"/>
  <c r="BQ18" i="12"/>
  <c r="BQ17" i="12"/>
  <c r="EO28" i="5" s="1"/>
  <c r="BQ19" i="12"/>
  <c r="EM180" i="5"/>
  <c r="BL10" i="12"/>
  <c r="BO15" i="12"/>
  <c r="BP15" i="12" s="1"/>
  <c r="BX19" i="12" s="1"/>
  <c r="EK184" i="5"/>
  <c r="EK181" i="5"/>
  <c r="EK185" i="5" s="1"/>
  <c r="EZ183" i="5"/>
  <c r="ET183" i="5"/>
  <c r="BS17" i="12"/>
  <c r="EQ28" i="5" s="1"/>
  <c r="BK16" i="12"/>
  <c r="EI4" i="5"/>
  <c r="AA87" i="4"/>
  <c r="BZ17" i="12"/>
  <c r="AC27" i="4" s="1"/>
  <c r="EX28" i="5" s="1"/>
  <c r="BZ13" i="12"/>
  <c r="BR30" i="12"/>
  <c r="AB5" i="4"/>
  <c r="BR21" i="12"/>
  <c r="CI15" i="12"/>
  <c r="BR16" i="12"/>
  <c r="BR27" i="12"/>
  <c r="BR37" i="12"/>
  <c r="EF18" i="5"/>
  <c r="FE179" i="5"/>
  <c r="CG6" i="12"/>
  <c r="BN18" i="12"/>
  <c r="ED4" i="5"/>
  <c r="BF16" i="12"/>
  <c r="EI184" i="5"/>
  <c r="EI181" i="5"/>
  <c r="EI185" i="5" s="1"/>
  <c r="BP10" i="12"/>
  <c r="EW183" i="5"/>
  <c r="EF61" i="5"/>
  <c r="EG184" i="5"/>
  <c r="EG181" i="5"/>
  <c r="EG185" i="5" s="1"/>
  <c r="EP184" i="5"/>
  <c r="EP181" i="5"/>
  <c r="EP185" i="5" s="1"/>
  <c r="BN19" i="12"/>
  <c r="FB183" i="5"/>
  <c r="BU17" i="12"/>
  <c r="ES28" i="5" s="1"/>
  <c r="EK4" i="5"/>
  <c r="BM16" i="12"/>
  <c r="EB18" i="5"/>
  <c r="EG4" i="5"/>
  <c r="BI16" i="12"/>
  <c r="BN17" i="12"/>
  <c r="EL28" i="5" s="1"/>
  <c r="AB62" i="10"/>
  <c r="AB75" i="10" s="1"/>
  <c r="AB208" i="10"/>
  <c r="E6" i="16" l="1"/>
  <c r="E7" i="16" s="1"/>
  <c r="EN180" i="5"/>
  <c r="BN10" i="12"/>
  <c r="BP11" i="12"/>
  <c r="AB97" i="4"/>
  <c r="BX12" i="12"/>
  <c r="BX18" i="12"/>
  <c r="BN15" i="12"/>
  <c r="BP16" i="12"/>
  <c r="EN4" i="5"/>
  <c r="BS13" i="12"/>
  <c r="BS11" i="12" s="1"/>
  <c r="BS10" i="12" s="1"/>
  <c r="BW13" i="12"/>
  <c r="BU13" i="12"/>
  <c r="BU11" i="12" s="1"/>
  <c r="BU10" i="12" s="1"/>
  <c r="BZ11" i="12"/>
  <c r="BZ10" i="12" s="1"/>
  <c r="AB108" i="4"/>
  <c r="AB20" i="4"/>
  <c r="EP4" i="5"/>
  <c r="Z80" i="3"/>
  <c r="BW17" i="12"/>
  <c r="EU28" i="5" s="1"/>
  <c r="BO37" i="12"/>
  <c r="BO39" i="12" s="1"/>
  <c r="BL15" i="12"/>
  <c r="BT19" i="12" s="1"/>
  <c r="BO16" i="12"/>
  <c r="EM4" i="5"/>
  <c r="BO27" i="12"/>
  <c r="BO30" i="12"/>
  <c r="BO21" i="12"/>
  <c r="BP21" i="12" s="1"/>
  <c r="BR39" i="12"/>
  <c r="AB66" i="4"/>
  <c r="BT12" i="12"/>
  <c r="EJ180" i="5"/>
  <c r="BL11" i="12"/>
  <c r="BQ10" i="12"/>
  <c r="EG18" i="5"/>
  <c r="EK18" i="5"/>
  <c r="FE183" i="5"/>
  <c r="ED18" i="5"/>
  <c r="AB39" i="4"/>
  <c r="BR25" i="12"/>
  <c r="EI18" i="5"/>
  <c r="EM184" i="5"/>
  <c r="EM181" i="5"/>
  <c r="EM185" i="5" s="1"/>
  <c r="AB63" i="10"/>
  <c r="AB209" i="10"/>
  <c r="AB184" i="10"/>
  <c r="AG185" i="10"/>
  <c r="AG184" i="10" s="1"/>
  <c r="E17" i="16" l="1"/>
  <c r="E18" i="16" s="1"/>
  <c r="BT18" i="12"/>
  <c r="BP37" i="12"/>
  <c r="BP38" i="12" s="1"/>
  <c r="BV12" i="12"/>
  <c r="BV17" i="12" s="1"/>
  <c r="ET28" i="5" s="1"/>
  <c r="BV18" i="12"/>
  <c r="EL4" i="5"/>
  <c r="BN16" i="12"/>
  <c r="BP30" i="12"/>
  <c r="BP31" i="12" s="1"/>
  <c r="ES180" i="5"/>
  <c r="BU15" i="12"/>
  <c r="BX17" i="12"/>
  <c r="EV28" i="5" s="1"/>
  <c r="BP22" i="12"/>
  <c r="EN52" i="5"/>
  <c r="EN61" i="5" s="1"/>
  <c r="BP25" i="12"/>
  <c r="EX180" i="5"/>
  <c r="BZ15" i="12"/>
  <c r="CH17" i="12" s="1"/>
  <c r="AD27" i="4" s="1"/>
  <c r="FF28" i="5" s="1"/>
  <c r="BX13" i="12"/>
  <c r="BV13" i="12" s="1"/>
  <c r="BT13" i="12"/>
  <c r="BY13" i="12" s="1"/>
  <c r="BW11" i="12"/>
  <c r="BW10" i="12" s="1"/>
  <c r="BY12" i="12"/>
  <c r="EO180" i="5"/>
  <c r="BQ11" i="12"/>
  <c r="BQ15" i="12"/>
  <c r="AB55" i="4"/>
  <c r="Z86" i="3"/>
  <c r="Z92" i="3" s="1"/>
  <c r="EP52" i="5"/>
  <c r="EP61" i="5" s="1"/>
  <c r="BP39" i="12"/>
  <c r="AB77" i="4"/>
  <c r="EM18" i="5"/>
  <c r="EQ180" i="5"/>
  <c r="BS15" i="12"/>
  <c r="EL180" i="5"/>
  <c r="BN11" i="12"/>
  <c r="BO25" i="12"/>
  <c r="EM52" i="5"/>
  <c r="EM61" i="5" s="1"/>
  <c r="EJ184" i="5"/>
  <c r="EJ181" i="5"/>
  <c r="EJ185" i="5" s="1"/>
  <c r="BP27" i="12"/>
  <c r="BP28" i="12" s="1"/>
  <c r="EN18" i="5"/>
  <c r="EN184" i="5"/>
  <c r="EN181" i="5"/>
  <c r="EN185" i="5" s="1"/>
  <c r="BT17" i="12"/>
  <c r="ER28" i="5" s="1"/>
  <c r="BL16" i="12"/>
  <c r="EJ4" i="5"/>
  <c r="EP18" i="5"/>
  <c r="BV19" i="12"/>
  <c r="AG208" i="10" l="1"/>
  <c r="BY18" i="12"/>
  <c r="AG209" i="10"/>
  <c r="BP40" i="12"/>
  <c r="CA17" i="12"/>
  <c r="EY28" i="5" s="1"/>
  <c r="EQ4" i="5"/>
  <c r="BS16" i="12"/>
  <c r="EL184" i="5"/>
  <c r="EL181" i="5"/>
  <c r="EL185" i="5" s="1"/>
  <c r="EO184" i="5"/>
  <c r="EO181" i="5"/>
  <c r="EO185" i="5" s="1"/>
  <c r="EU180" i="5"/>
  <c r="BT10" i="12"/>
  <c r="CB12" i="12" s="1"/>
  <c r="BW15" i="12"/>
  <c r="CE17" i="12" s="1"/>
  <c r="FC28" i="5" s="1"/>
  <c r="EX184" i="5"/>
  <c r="EX181" i="5"/>
  <c r="EX185" i="5" s="1"/>
  <c r="EL18" i="5"/>
  <c r="BY19" i="12"/>
  <c r="AB87" i="4"/>
  <c r="EQ184" i="5"/>
  <c r="EQ181" i="5"/>
  <c r="EQ185" i="5" s="1"/>
  <c r="AC5" i="4"/>
  <c r="BZ16" i="12"/>
  <c r="BZ21" i="12"/>
  <c r="BZ27" i="12"/>
  <c r="CH13" i="12"/>
  <c r="BZ37" i="12"/>
  <c r="BZ30" i="12"/>
  <c r="CC17" i="12"/>
  <c r="FA28" i="5" s="1"/>
  <c r="BU16" i="12"/>
  <c r="ES4" i="5"/>
  <c r="BY17" i="12"/>
  <c r="EW28" i="5" s="1"/>
  <c r="BQ16" i="12"/>
  <c r="EO4" i="5"/>
  <c r="EJ18" i="5"/>
  <c r="BX10" i="12"/>
  <c r="CF12" i="12" s="1"/>
  <c r="ES184" i="5"/>
  <c r="ES181" i="5"/>
  <c r="ES185" i="5" s="1"/>
  <c r="AC97" i="4" l="1"/>
  <c r="BZ39" i="12"/>
  <c r="AC66" i="4"/>
  <c r="CC13" i="12"/>
  <c r="CC11" i="12" s="1"/>
  <c r="CC10" i="12" s="1"/>
  <c r="CA13" i="12"/>
  <c r="CA11" i="12" s="1"/>
  <c r="CA10" i="12" s="1"/>
  <c r="CH11" i="12"/>
  <c r="CH10" i="12" s="1"/>
  <c r="CE13" i="12"/>
  <c r="BX15" i="12"/>
  <c r="CF17" i="12" s="1"/>
  <c r="FD28" i="5" s="1"/>
  <c r="BW30" i="12"/>
  <c r="BW21" i="12"/>
  <c r="BX21" i="12" s="1"/>
  <c r="BW16" i="12"/>
  <c r="BT15" i="12"/>
  <c r="BW27" i="12"/>
  <c r="EU4" i="5"/>
  <c r="BW37" i="12"/>
  <c r="BW39" i="12" s="1"/>
  <c r="EQ18" i="5"/>
  <c r="BY10" i="12"/>
  <c r="ER180" i="5"/>
  <c r="BT11" i="12"/>
  <c r="ES18" i="5"/>
  <c r="AC108" i="4"/>
  <c r="AC39" i="4"/>
  <c r="BZ25" i="12"/>
  <c r="BX11" i="12"/>
  <c r="EV180" i="5"/>
  <c r="BV10" i="12"/>
  <c r="CD12" i="12" s="1"/>
  <c r="EO18" i="5"/>
  <c r="AA80" i="3"/>
  <c r="EX4" i="5"/>
  <c r="AC20" i="4"/>
  <c r="EU184" i="5"/>
  <c r="EU181" i="5"/>
  <c r="EU185" i="5" s="1"/>
  <c r="ER184" i="5" l="1"/>
  <c r="ER181" i="5"/>
  <c r="ER185" i="5" s="1"/>
  <c r="BY11" i="12"/>
  <c r="EW180" i="5"/>
  <c r="BY15" i="12"/>
  <c r="EU18" i="5"/>
  <c r="FF180" i="5"/>
  <c r="CH15" i="12"/>
  <c r="CF13" i="12"/>
  <c r="CD13" i="12" s="1"/>
  <c r="CB13" i="12"/>
  <c r="CG13" i="12" s="1"/>
  <c r="CE11" i="12"/>
  <c r="CE10" i="12" s="1"/>
  <c r="BX25" i="12"/>
  <c r="BX22" i="12"/>
  <c r="EV52" i="5"/>
  <c r="CB18" i="12"/>
  <c r="BT16" i="12"/>
  <c r="ER4" i="5"/>
  <c r="EY180" i="5"/>
  <c r="CA15" i="12"/>
  <c r="BX37" i="12"/>
  <c r="BX38" i="12" s="1"/>
  <c r="EX52" i="5"/>
  <c r="EX61" i="5" s="1"/>
  <c r="AC55" i="4"/>
  <c r="AA86" i="3"/>
  <c r="AA92" i="3" s="1"/>
  <c r="BX39" i="12"/>
  <c r="AC77" i="4"/>
  <c r="BX30" i="12"/>
  <c r="BX31" i="12" s="1"/>
  <c r="EU52" i="5"/>
  <c r="EU61" i="5" s="1"/>
  <c r="BW25" i="12"/>
  <c r="FA180" i="5"/>
  <c r="CC15" i="12"/>
  <c r="BV11" i="12"/>
  <c r="ET180" i="5"/>
  <c r="BX27" i="12"/>
  <c r="BX28" i="12" s="1"/>
  <c r="CB17" i="12"/>
  <c r="EZ28" i="5" s="1"/>
  <c r="CG12" i="12"/>
  <c r="EX18" i="5"/>
  <c r="EV184" i="5"/>
  <c r="EV181" i="5"/>
  <c r="EV185" i="5" s="1"/>
  <c r="CB19" i="12"/>
  <c r="CF19" i="12"/>
  <c r="BX16" i="12"/>
  <c r="EV4" i="5"/>
  <c r="BV15" i="12"/>
  <c r="CF18" i="12"/>
  <c r="CG19" i="12" l="1"/>
  <c r="CG17" i="12"/>
  <c r="FE28" i="5" s="1"/>
  <c r="CD18" i="12"/>
  <c r="CD19" i="12"/>
  <c r="FF184" i="5"/>
  <c r="FF181" i="5"/>
  <c r="FF185" i="5" s="1"/>
  <c r="BX40" i="12"/>
  <c r="CA16" i="12"/>
  <c r="EY4" i="5"/>
  <c r="AC87" i="4"/>
  <c r="EY184" i="5"/>
  <c r="EY181" i="5"/>
  <c r="EY185" i="5" s="1"/>
  <c r="ER18" i="5"/>
  <c r="EW4" i="5"/>
  <c r="BY16" i="12"/>
  <c r="CG18" i="12"/>
  <c r="CF10" i="12"/>
  <c r="FC180" i="5"/>
  <c r="CB10" i="12"/>
  <c r="CE15" i="12"/>
  <c r="EW184" i="5"/>
  <c r="EW181" i="5"/>
  <c r="EW185" i="5" s="1"/>
  <c r="CC16" i="12"/>
  <c r="FA4" i="5"/>
  <c r="EV61" i="5"/>
  <c r="EV18" i="5"/>
  <c r="FA184" i="5"/>
  <c r="FA181" i="5"/>
  <c r="FA185" i="5" s="1"/>
  <c r="ET4" i="5"/>
  <c r="BV16" i="12"/>
  <c r="ET184" i="5"/>
  <c r="ET181" i="5"/>
  <c r="ET185" i="5" s="1"/>
  <c r="AD5" i="4"/>
  <c r="CH16" i="12"/>
  <c r="CH27" i="12"/>
  <c r="CH37" i="12"/>
  <c r="CH21" i="12"/>
  <c r="CH30" i="12"/>
  <c r="CD17" i="12"/>
  <c r="FB28" i="5" s="1"/>
  <c r="CH25" i="12" l="1"/>
  <c r="AD39" i="4"/>
  <c r="ET18" i="5"/>
  <c r="CF15" i="12"/>
  <c r="CE21" i="12"/>
  <c r="CF21" i="12" s="1"/>
  <c r="CB15" i="12"/>
  <c r="CE37" i="12"/>
  <c r="CE39" i="12" s="1"/>
  <c r="CE27" i="12"/>
  <c r="CF27" i="12" s="1"/>
  <c r="CF28" i="12" s="1"/>
  <c r="CE16" i="12"/>
  <c r="CE30" i="12"/>
  <c r="FC4" i="5"/>
  <c r="CG10" i="12"/>
  <c r="CB11" i="12"/>
  <c r="EZ180" i="5"/>
  <c r="CH39" i="12"/>
  <c r="AD66" i="4"/>
  <c r="AD97" i="4"/>
  <c r="CD10" i="12"/>
  <c r="CF11" i="12"/>
  <c r="FD180" i="5"/>
  <c r="FA18" i="5"/>
  <c r="EY18" i="5"/>
  <c r="FC184" i="5"/>
  <c r="FC181" i="5"/>
  <c r="FC185" i="5" s="1"/>
  <c r="AD108" i="4"/>
  <c r="FF4" i="5"/>
  <c r="AB80" i="3"/>
  <c r="AD20" i="4"/>
  <c r="EW18" i="5"/>
  <c r="CF30" i="12" l="1"/>
  <c r="CF31" i="12" s="1"/>
  <c r="CF37" i="12"/>
  <c r="CF38" i="12" s="1"/>
  <c r="FF18" i="5"/>
  <c r="FD184" i="5"/>
  <c r="FD181" i="5"/>
  <c r="FD185" i="5" s="1"/>
  <c r="FC18" i="5"/>
  <c r="CF22" i="12"/>
  <c r="FD52" i="5"/>
  <c r="CF25" i="12"/>
  <c r="FF52" i="5"/>
  <c r="FF61" i="5" s="1"/>
  <c r="AD55" i="4"/>
  <c r="AB86" i="3"/>
  <c r="AB92" i="3" s="1"/>
  <c r="FB180" i="5"/>
  <c r="CD11" i="12"/>
  <c r="EZ184" i="5"/>
  <c r="EZ181" i="5"/>
  <c r="EZ185" i="5" s="1"/>
  <c r="EZ4" i="5"/>
  <c r="CB16" i="12"/>
  <c r="CG11" i="12"/>
  <c r="FE180" i="5"/>
  <c r="CG15" i="12"/>
  <c r="CE25" i="12"/>
  <c r="FC52" i="5"/>
  <c r="FC61" i="5" s="1"/>
  <c r="CF39" i="12"/>
  <c r="AD77" i="4"/>
  <c r="CD15" i="12"/>
  <c r="FD4" i="5"/>
  <c r="CF16" i="12"/>
  <c r="CF40" i="12" l="1"/>
  <c r="AD87" i="4"/>
  <c r="FB184" i="5"/>
  <c r="FB181" i="5"/>
  <c r="FB185" i="5" s="1"/>
  <c r="FD61" i="5"/>
  <c r="FD18" i="5"/>
  <c r="CD16" i="12"/>
  <c r="FB4" i="5"/>
  <c r="CG16" i="12"/>
  <c r="FE4" i="5"/>
  <c r="FE184" i="5"/>
  <c r="FE181" i="5"/>
  <c r="FE185" i="5" s="1"/>
  <c r="EZ18" i="5"/>
  <c r="FB18" i="5" l="1"/>
  <c r="FE18" i="5"/>
  <c r="AQ68" i="9" l="1"/>
  <c r="AQ69" i="9"/>
  <c r="AQ64" i="9"/>
  <c r="AP69" i="9"/>
  <c r="AP68" i="9"/>
  <c r="AU6" i="9"/>
  <c r="AU68" i="9" s="1"/>
  <c r="AP67" i="9"/>
  <c r="AP98" i="9"/>
  <c r="AP104" i="9" s="1"/>
  <c r="AP9" i="9"/>
  <c r="AU7" i="9"/>
  <c r="AU69" i="9" l="1"/>
  <c r="AP71" i="9"/>
  <c r="AP96" i="9"/>
  <c r="AP77" i="9"/>
  <c r="AP61" i="9"/>
  <c r="AP62" i="9"/>
  <c r="AP60" i="9"/>
  <c r="DL3" i="5"/>
  <c r="AP10" i="9"/>
  <c r="AP13" i="9" s="1"/>
  <c r="AP64" i="9" l="1"/>
  <c r="AP82" i="9"/>
  <c r="AP81" i="9"/>
  <c r="AP80" i="9"/>
  <c r="DL17" i="5"/>
  <c r="DL11" i="5"/>
  <c r="AP102" i="9"/>
  <c r="AP90" i="9"/>
  <c r="DT35" i="5" l="1"/>
  <c r="AP83" i="9"/>
  <c r="DL24" i="5"/>
  <c r="DL37" i="5" s="1"/>
  <c r="DL36" i="5" s="1"/>
  <c r="DL13" i="5"/>
  <c r="AQ67" i="9" l="1"/>
  <c r="AU5" i="9"/>
  <c r="AU98" i="9" s="1"/>
  <c r="AQ98" i="9"/>
  <c r="AQ96" i="9" s="1"/>
  <c r="AU67" i="9" l="1"/>
  <c r="AU104" i="9"/>
  <c r="AU96" i="9"/>
  <c r="AQ102" i="9"/>
  <c r="AQ90" i="9"/>
  <c r="AU9" i="9"/>
  <c r="DQ3" i="5" s="1"/>
  <c r="AQ118" i="9"/>
  <c r="AQ104" i="9"/>
  <c r="AQ266" i="9" l="1"/>
  <c r="AQ269" i="9" s="1"/>
  <c r="AR118" i="9"/>
  <c r="AU60" i="9"/>
  <c r="DQ17" i="5"/>
  <c r="DQ11" i="5"/>
  <c r="AQ267" i="9"/>
  <c r="AU102" i="9"/>
  <c r="AU90" i="9"/>
  <c r="AQ116" i="9"/>
  <c r="AC4" i="10" s="1"/>
  <c r="AQ122" i="9"/>
  <c r="AU71" i="9"/>
  <c r="BC12" i="9"/>
  <c r="AU10" i="9"/>
  <c r="AU13" i="9" s="1"/>
  <c r="AU61" i="9"/>
  <c r="AU77" i="9"/>
  <c r="AU62" i="9"/>
  <c r="AR266" i="9" l="1"/>
  <c r="AR122" i="9"/>
  <c r="AC5" i="10"/>
  <c r="AC6" i="10"/>
  <c r="DQ24" i="5"/>
  <c r="DQ37" i="5" s="1"/>
  <c r="DQ36" i="5" s="1"/>
  <c r="DQ13" i="5"/>
  <c r="AC25" i="10"/>
  <c r="AC26" i="10"/>
  <c r="AC9" i="10"/>
  <c r="AQ271" i="9"/>
  <c r="AU271" i="9" s="1"/>
  <c r="AU269" i="9"/>
  <c r="AQ277" i="9"/>
  <c r="AU64" i="9"/>
  <c r="AU76" i="9"/>
  <c r="DQ156" i="5" s="1"/>
  <c r="AU81" i="9"/>
  <c r="AU80" i="9"/>
  <c r="AQ120" i="9"/>
  <c r="AR267" i="9" l="1"/>
  <c r="AR269" i="9"/>
  <c r="AR271" i="9" s="1"/>
  <c r="AR277" i="9"/>
  <c r="AR278" i="9" s="1"/>
  <c r="AR255" i="9" s="1"/>
  <c r="AR256" i="9" s="1"/>
  <c r="DQ159" i="5"/>
  <c r="DQ158" i="5"/>
  <c r="DQ161" i="5" s="1"/>
  <c r="AC24" i="10"/>
  <c r="AQ168" i="9"/>
  <c r="AG9" i="10"/>
  <c r="AQ278" i="9"/>
  <c r="AU277" i="9"/>
  <c r="AU91" i="9"/>
  <c r="AU82" i="9"/>
  <c r="AU83" i="9" s="1"/>
  <c r="DY35" i="5"/>
  <c r="AG4" i="10" l="1"/>
  <c r="AU168" i="9"/>
  <c r="AQ149" i="9"/>
  <c r="AQ151" i="9" s="1"/>
  <c r="AQ152" i="9" s="1"/>
  <c r="AQ170" i="9"/>
  <c r="AQ160" i="9"/>
  <c r="AQ255" i="9"/>
  <c r="AU278" i="9"/>
  <c r="AU255" i="9" s="1"/>
  <c r="AG26" i="10" l="1"/>
  <c r="AG25" i="10"/>
  <c r="AG5" i="10"/>
  <c r="AQ162" i="9"/>
  <c r="AQ138" i="9"/>
  <c r="AQ140" i="9" s="1"/>
  <c r="AQ141" i="9" s="1"/>
  <c r="AU160" i="9"/>
  <c r="AG24" i="10"/>
  <c r="AU149" i="9"/>
  <c r="AU170" i="9"/>
  <c r="AU256" i="9"/>
  <c r="AQ256" i="9"/>
  <c r="AQ293" i="9"/>
  <c r="AR293" i="9" s="1"/>
  <c r="AU151" i="9" l="1"/>
  <c r="AU152" i="9" s="1"/>
  <c r="AU116" i="9"/>
  <c r="AU162" i="9"/>
  <c r="AU138" i="9"/>
  <c r="AU140" i="9" s="1"/>
  <c r="AU141" i="9" s="1"/>
  <c r="AU293" i="9"/>
  <c r="AU118" i="9" l="1"/>
  <c r="AU120" i="9"/>
  <c r="AG6" i="10" l="1"/>
  <c r="AU122" i="9"/>
  <c r="AU266" i="9"/>
  <c r="AU267" i="9" s="1"/>
  <c r="AH207" i="10" l="1"/>
  <c r="BM62" i="11" l="1"/>
  <c r="BM63" i="11" s="1"/>
  <c r="W129" i="6"/>
  <c r="AP52" i="10"/>
  <c r="AP63" i="10"/>
  <c r="AH208" i="10"/>
  <c r="AH209" i="10"/>
  <c r="AP208" i="10"/>
  <c r="BM146" i="11"/>
  <c r="BU146" i="11" s="1"/>
  <c r="CC146" i="11" s="1"/>
  <c r="CK146" i="11" s="1"/>
  <c r="CS146" i="11" s="1"/>
  <c r="DA146" i="11" s="1"/>
  <c r="BM83" i="11" l="1"/>
  <c r="BM84" i="11" s="1"/>
  <c r="BM150" i="11" l="1"/>
  <c r="BM76" i="11"/>
  <c r="BU83" i="11"/>
  <c r="CC83" i="11" s="1"/>
  <c r="BM85" i="11"/>
  <c r="BM77" i="11"/>
  <c r="BM151" i="11"/>
  <c r="BM149" i="11" s="1"/>
  <c r="BM188" i="11" s="1"/>
  <c r="BU84" i="11"/>
  <c r="BU150" i="11"/>
  <c r="BU76" i="11" l="1"/>
  <c r="BU77" i="11"/>
  <c r="BU85" i="11"/>
  <c r="BM190" i="11"/>
  <c r="CC84" i="11"/>
  <c r="CC76" i="11"/>
  <c r="CC150" i="11"/>
  <c r="CC151" i="11" s="1"/>
  <c r="CC149" i="11" s="1"/>
  <c r="CC188" i="11" s="1"/>
  <c r="CK83" i="11"/>
  <c r="BU151" i="11"/>
  <c r="BU149" i="11" s="1"/>
  <c r="BU188" i="11" s="1"/>
  <c r="X31" i="7" s="1"/>
  <c r="CC77" i="11" l="1"/>
  <c r="CC85" i="11"/>
  <c r="BU190" i="11"/>
  <c r="DZ271" i="5"/>
  <c r="CC190" i="11"/>
  <c r="Y31" i="7"/>
  <c r="CK150" i="11"/>
  <c r="CK76" i="11"/>
  <c r="CK84" i="11"/>
  <c r="CS83" i="11"/>
  <c r="DX271" i="5" l="1"/>
  <c r="X45" i="8"/>
  <c r="CK151" i="11"/>
  <c r="CK149" i="11" s="1"/>
  <c r="CK188" i="11" s="1"/>
  <c r="CS150" i="11"/>
  <c r="CS76" i="11"/>
  <c r="CS84" i="11"/>
  <c r="DA83" i="11"/>
  <c r="CK85" i="11"/>
  <c r="CK77" i="11"/>
  <c r="EH271" i="5"/>
  <c r="CK190" i="11" l="1"/>
  <c r="Z31" i="7"/>
  <c r="CS151" i="11"/>
  <c r="CS149" i="11" s="1"/>
  <c r="CS188" i="11" s="1"/>
  <c r="X127" i="8"/>
  <c r="Y45" i="8"/>
  <c r="DA150" i="11"/>
  <c r="DA151" i="11" s="1"/>
  <c r="DA149" i="11" s="1"/>
  <c r="DA188" i="11" s="1"/>
  <c r="DA76" i="11"/>
  <c r="DA84" i="11"/>
  <c r="DB84" i="11" s="1"/>
  <c r="EE271" i="5"/>
  <c r="CS85" i="11"/>
  <c r="CS77" i="11"/>
  <c r="EF271" i="5" l="1"/>
  <c r="DA190" i="11"/>
  <c r="AB31" i="7"/>
  <c r="DA86" i="11"/>
  <c r="DA85" i="11"/>
  <c r="DA77" i="11"/>
  <c r="Y127" i="8"/>
  <c r="Z45" i="8"/>
  <c r="AA31" i="7"/>
  <c r="CS190" i="11"/>
  <c r="EP271" i="5"/>
  <c r="BB42" i="12" l="1"/>
  <c r="EX271" i="5"/>
  <c r="FF271" i="5"/>
  <c r="EM271" i="5"/>
  <c r="Z127" i="8"/>
  <c r="AA45" i="8"/>
  <c r="EN271" i="5" l="1"/>
  <c r="BB43" i="12"/>
  <c r="EU271" i="5"/>
  <c r="FC271" i="5"/>
  <c r="AB45" i="8"/>
  <c r="AA127" i="8"/>
  <c r="EV271" i="5" l="1"/>
  <c r="AB127" i="8"/>
  <c r="FD271" i="5"/>
  <c r="C4" i="16" l="1"/>
  <c r="W79" i="3"/>
  <c r="W8" i="6" l="1"/>
  <c r="Z34" i="4"/>
  <c r="DZ35" i="5" s="1"/>
  <c r="F4" i="16"/>
  <c r="C12" i="16"/>
  <c r="D4" i="16"/>
  <c r="W88" i="8" l="1"/>
  <c r="W117" i="8"/>
  <c r="W109" i="8"/>
  <c r="W113" i="8"/>
  <c r="W11" i="6"/>
  <c r="W12" i="6" s="1"/>
  <c r="DR39" i="5" s="1"/>
  <c r="W131" i="8"/>
  <c r="W21" i="6"/>
  <c r="W14" i="6"/>
  <c r="W133" i="8"/>
  <c r="D15" i="16"/>
  <c r="D23" i="16" s="1"/>
  <c r="D12" i="16"/>
  <c r="D13" i="16" s="1"/>
  <c r="F15" i="16"/>
  <c r="F23" i="16" s="1"/>
  <c r="F12" i="16"/>
  <c r="F13" i="16" s="1"/>
  <c r="DO14" i="5"/>
  <c r="DL14" i="5"/>
  <c r="DK14" i="5"/>
  <c r="DM14" i="5"/>
  <c r="DQ14" i="5"/>
  <c r="W13" i="3"/>
  <c r="DP39" i="5" l="1"/>
  <c r="DR44" i="5"/>
  <c r="DR50" i="5"/>
  <c r="W24" i="3"/>
  <c r="F27" i="16"/>
  <c r="F24" i="16"/>
  <c r="D27" i="16"/>
  <c r="D24" i="16"/>
  <c r="DR67" i="5" l="1"/>
  <c r="DR76" i="5"/>
  <c r="DR91" i="5" s="1"/>
  <c r="DP44" i="5"/>
  <c r="DP69" i="5" s="1"/>
  <c r="DP77" i="5" s="1"/>
  <c r="DP92" i="5" s="1"/>
  <c r="DP115" i="5" s="1"/>
  <c r="DR69" i="5"/>
  <c r="DR77" i="5" s="1"/>
  <c r="DR92" i="5" s="1"/>
  <c r="DR115" i="5" s="1"/>
  <c r="DR119" i="5" s="1"/>
  <c r="C15" i="16"/>
  <c r="W85" i="3"/>
  <c r="W91" i="3" s="1"/>
  <c r="DR100" i="5" l="1"/>
  <c r="DR114" i="5"/>
  <c r="DP256" i="5"/>
  <c r="DP268" i="5" s="1"/>
  <c r="DP273" i="5" s="1"/>
  <c r="DP296" i="5" s="1"/>
  <c r="DP298" i="5" s="1"/>
  <c r="DP301" i="5" s="1"/>
  <c r="DP119" i="5"/>
  <c r="X70" i="8"/>
  <c r="X79" i="8"/>
  <c r="C23" i="16"/>
  <c r="C24" i="16" s="1"/>
  <c r="C16" i="16"/>
  <c r="DR118" i="5" l="1"/>
  <c r="DR309" i="5"/>
  <c r="DR320" i="5" s="1"/>
  <c r="W15" i="3"/>
  <c r="AC21" i="6"/>
  <c r="X91" i="8"/>
  <c r="DR319" i="5" l="1"/>
  <c r="DP319" i="5" s="1"/>
  <c r="DP320" i="5"/>
  <c r="W105" i="8"/>
  <c r="X95" i="8"/>
  <c r="Y90" i="8" s="1"/>
  <c r="W30" i="3"/>
  <c r="W16" i="3"/>
  <c r="W31" i="3" s="1"/>
  <c r="C34" i="16"/>
  <c r="C33" i="16" s="1"/>
  <c r="W14" i="3"/>
  <c r="AC13" i="6"/>
  <c r="W115" i="8" l="1"/>
  <c r="W107" i="8"/>
  <c r="W29" i="3"/>
  <c r="W25" i="3"/>
  <c r="C37" i="16"/>
  <c r="W18" i="3"/>
  <c r="W26" i="3" s="1"/>
  <c r="W17" i="3"/>
  <c r="W32" i="3" s="1"/>
  <c r="W36" i="3" l="1"/>
  <c r="C35" i="16"/>
  <c r="C36" i="16" s="1"/>
  <c r="C39" i="16"/>
  <c r="W19" i="3"/>
  <c r="W41" i="3" s="1"/>
  <c r="W20" i="3" l="1"/>
  <c r="X98" i="6"/>
  <c r="X56" i="7" s="1"/>
  <c r="W57" i="3"/>
  <c r="W54" i="3"/>
  <c r="W34" i="3" l="1"/>
  <c r="W33" i="3"/>
  <c r="W46" i="3"/>
  <c r="W39" i="3"/>
  <c r="W67" i="3"/>
  <c r="DZ285" i="5"/>
  <c r="X58" i="7"/>
  <c r="DX331" i="5"/>
  <c r="DZ287" i="5" l="1"/>
  <c r="DX285" i="5" l="1"/>
  <c r="DX287" i="5" s="1"/>
  <c r="DX326" i="5" s="1"/>
  <c r="DZ326" i="5"/>
  <c r="DZ292" i="5"/>
  <c r="DX292" i="5" l="1"/>
  <c r="DN196" i="5"/>
  <c r="AL208" i="10"/>
  <c r="AN208" i="10"/>
  <c r="AL63" i="10" l="1"/>
  <c r="AN63" i="10" l="1"/>
  <c r="AV117" i="9" l="1"/>
  <c r="AV196" i="9" s="1"/>
  <c r="DR173" i="5" l="1"/>
  <c r="BM5" i="11"/>
  <c r="AV197" i="9"/>
  <c r="AV97" i="9"/>
  <c r="AT97" i="9" s="1"/>
  <c r="AV116" i="9"/>
  <c r="BM17" i="11" l="1"/>
  <c r="BM6" i="11"/>
  <c r="BM32" i="11" s="1"/>
  <c r="AT103" i="9"/>
  <c r="AR97" i="9"/>
  <c r="AT91" i="9"/>
  <c r="AT96" i="9"/>
  <c r="BM13" i="11"/>
  <c r="AV195" i="9" s="1"/>
  <c r="DR174" i="5"/>
  <c r="DR176" i="5"/>
  <c r="DR177" i="5" s="1"/>
  <c r="BD120" i="9"/>
  <c r="AV120" i="9"/>
  <c r="AH4" i="10"/>
  <c r="CK97" i="9"/>
  <c r="AV96" i="9"/>
  <c r="AV90" i="9" s="1"/>
  <c r="AV91" i="9"/>
  <c r="AV103" i="9"/>
  <c r="BM14" i="11" l="1"/>
  <c r="BU13" i="11"/>
  <c r="BR14" i="11" s="1"/>
  <c r="BM50" i="11"/>
  <c r="BK13" i="11"/>
  <c r="BI13" i="11" s="1"/>
  <c r="AR103" i="9"/>
  <c r="AR91" i="9"/>
  <c r="AR96" i="9"/>
  <c r="AT102" i="9"/>
  <c r="AT90" i="9"/>
  <c r="AH25" i="10"/>
  <c r="AP5" i="10"/>
  <c r="AH26" i="10"/>
  <c r="AH6" i="10"/>
  <c r="AH5" i="10"/>
  <c r="AH9" i="10"/>
  <c r="AF9" i="10" s="1"/>
  <c r="AD9" i="10" s="1"/>
  <c r="AV187" i="9"/>
  <c r="AT187" i="9" s="1"/>
  <c r="AV150" i="9"/>
  <c r="AV102" i="9"/>
  <c r="BK50" i="11" l="1"/>
  <c r="AT203" i="9" s="1"/>
  <c r="BU50" i="11"/>
  <c r="BD203" i="9" s="1"/>
  <c r="BD204" i="9" s="1"/>
  <c r="BU5" i="11"/>
  <c r="BU6" i="11" s="1"/>
  <c r="CC13" i="11"/>
  <c r="BZ13" i="11" s="1"/>
  <c r="BS13" i="11"/>
  <c r="BS14" i="11" s="1"/>
  <c r="BD195" i="9"/>
  <c r="BD196" i="9" s="1"/>
  <c r="AV203" i="9"/>
  <c r="AT195" i="9"/>
  <c r="AT150" i="9" s="1"/>
  <c r="AT117" i="9" s="1"/>
  <c r="AT116" i="9" s="1"/>
  <c r="BI14" i="11"/>
  <c r="AR195" i="9"/>
  <c r="AR150" i="9" s="1"/>
  <c r="AR117" i="9" s="1"/>
  <c r="AR116" i="9" s="1"/>
  <c r="AD4" i="10" s="1"/>
  <c r="BK14" i="11"/>
  <c r="AR102" i="9"/>
  <c r="AR90" i="9"/>
  <c r="AR187" i="9"/>
  <c r="AT188" i="9"/>
  <c r="AT139" i="9"/>
  <c r="AH24" i="10"/>
  <c r="AV168" i="9"/>
  <c r="AH32" i="10"/>
  <c r="AF32" i="10" s="1"/>
  <c r="AT168" i="9"/>
  <c r="AV139" i="9"/>
  <c r="AV188" i="9"/>
  <c r="AV189" i="9" s="1"/>
  <c r="BK51" i="11"/>
  <c r="BR50" i="11"/>
  <c r="BA195" i="9"/>
  <c r="BU41" i="11" l="1"/>
  <c r="BS5" i="11"/>
  <c r="BU17" i="11"/>
  <c r="BB195" i="9"/>
  <c r="BB196" i="9" s="1"/>
  <c r="DX173" i="5" s="1"/>
  <c r="CC5" i="11"/>
  <c r="CC6" i="11" s="1"/>
  <c r="BL195" i="9"/>
  <c r="BL196" i="9" s="1"/>
  <c r="CK13" i="11"/>
  <c r="CK5" i="11" s="1"/>
  <c r="DB5" i="11" s="1"/>
  <c r="CC50" i="11"/>
  <c r="BL203" i="9" s="1"/>
  <c r="BL204" i="9" s="1"/>
  <c r="BD150" i="9"/>
  <c r="BD151" i="9" s="1"/>
  <c r="BD152" i="9" s="1"/>
  <c r="AT196" i="9"/>
  <c r="DP173" i="5" s="1"/>
  <c r="DP176" i="5" s="1"/>
  <c r="DP177" i="5" s="1"/>
  <c r="AT121" i="9"/>
  <c r="DP144" i="5" s="1"/>
  <c r="AR196" i="9"/>
  <c r="BI5" i="11" s="1"/>
  <c r="AF130" i="10"/>
  <c r="AF34" i="10"/>
  <c r="AT120" i="9"/>
  <c r="AF4" i="10"/>
  <c r="AD6" i="10"/>
  <c r="AD5" i="10"/>
  <c r="AD24" i="10"/>
  <c r="AD26" i="10"/>
  <c r="AD25" i="10"/>
  <c r="AT149" i="9"/>
  <c r="AT151" i="9" s="1"/>
  <c r="AT152" i="9" s="1"/>
  <c r="AT170" i="9"/>
  <c r="AR188" i="9"/>
  <c r="AR139" i="9"/>
  <c r="AR120" i="9"/>
  <c r="AV149" i="9"/>
  <c r="AV151" i="9" s="1"/>
  <c r="AV152" i="9" s="1"/>
  <c r="AV170" i="9"/>
  <c r="AV160" i="9"/>
  <c r="AT160" i="9" s="1"/>
  <c r="BD205" i="9"/>
  <c r="BZ5" i="11"/>
  <c r="BZ14" i="11"/>
  <c r="BV13" i="11"/>
  <c r="BI195" i="9"/>
  <c r="BZ50" i="11"/>
  <c r="BP5" i="11"/>
  <c r="BP14" i="11"/>
  <c r="AY195" i="9"/>
  <c r="DZ173" i="5"/>
  <c r="DZ174" i="5" s="1"/>
  <c r="BD197" i="9"/>
  <c r="BA196" i="9"/>
  <c r="BA150" i="9"/>
  <c r="BA117" i="9" s="1"/>
  <c r="BA203" i="9"/>
  <c r="CA13" i="11"/>
  <c r="DN144" i="5"/>
  <c r="AR168" i="9"/>
  <c r="BU42" i="11"/>
  <c r="BD125" i="9"/>
  <c r="BQ13" i="11"/>
  <c r="AH34" i="10"/>
  <c r="AH35" i="10" s="1"/>
  <c r="AT176" i="9"/>
  <c r="AT178" i="9" s="1"/>
  <c r="AV176" i="9"/>
  <c r="AV178" i="9" s="1"/>
  <c r="AV124" i="9" s="1"/>
  <c r="AT124" i="9" s="1"/>
  <c r="BS50" i="11"/>
  <c r="BB150" i="9"/>
  <c r="BL150" i="9" l="1"/>
  <c r="BL117" i="9" s="1"/>
  <c r="DX174" i="5"/>
  <c r="DP174" i="5"/>
  <c r="CC17" i="11"/>
  <c r="CK50" i="11"/>
  <c r="BT203" i="9" s="1"/>
  <c r="BT204" i="9" s="1"/>
  <c r="BD117" i="9"/>
  <c r="BD121" i="9" s="1"/>
  <c r="CS13" i="11"/>
  <c r="CS5" i="11" s="1"/>
  <c r="CC41" i="11"/>
  <c r="CC42" i="11" s="1"/>
  <c r="BT195" i="9"/>
  <c r="BT196" i="9" s="1"/>
  <c r="CH13" i="11"/>
  <c r="CI13" i="11" s="1"/>
  <c r="CA50" i="11"/>
  <c r="CA51" i="11" s="1"/>
  <c r="BK5" i="11"/>
  <c r="BS6" i="11" s="1"/>
  <c r="BS32" i="11" s="1"/>
  <c r="BK6" i="11"/>
  <c r="BK32" i="11" s="1"/>
  <c r="BI6" i="11"/>
  <c r="BI32" i="11" s="1"/>
  <c r="BP6" i="11"/>
  <c r="BP32" i="11" s="1"/>
  <c r="BP29" i="11"/>
  <c r="DN173" i="5"/>
  <c r="DN174" i="5" s="1"/>
  <c r="DW173" i="5"/>
  <c r="DW174" i="5" s="1"/>
  <c r="BR5" i="11"/>
  <c r="AF6" i="10"/>
  <c r="AF5" i="10"/>
  <c r="AF25" i="10"/>
  <c r="AF26" i="10"/>
  <c r="AF24" i="10"/>
  <c r="AF35" i="10"/>
  <c r="AR160" i="9"/>
  <c r="AT162" i="9"/>
  <c r="AT138" i="9"/>
  <c r="AT140" i="9" s="1"/>
  <c r="AT141" i="9" s="1"/>
  <c r="AT128" i="9"/>
  <c r="AR149" i="9"/>
  <c r="AR151" i="9" s="1"/>
  <c r="AR152" i="9" s="1"/>
  <c r="AR170" i="9"/>
  <c r="BL205" i="9"/>
  <c r="BI203" i="9"/>
  <c r="BI204" i="9" s="1"/>
  <c r="BZ41" i="11"/>
  <c r="BI125" i="9" s="1"/>
  <c r="BL171" i="9"/>
  <c r="AV128" i="9"/>
  <c r="AV125" i="9"/>
  <c r="BL151" i="9"/>
  <c r="BL152" i="9" s="1"/>
  <c r="BI196" i="9"/>
  <c r="EE173" i="5" s="1"/>
  <c r="BI150" i="9"/>
  <c r="BD126" i="9"/>
  <c r="BB117" i="9"/>
  <c r="AY150" i="9"/>
  <c r="AY196" i="9"/>
  <c r="DU173" i="5" s="1"/>
  <c r="DU174" i="5" s="1"/>
  <c r="EH173" i="5"/>
  <c r="EH174" i="5" s="1"/>
  <c r="BL197" i="9"/>
  <c r="BV5" i="11"/>
  <c r="BE195" i="9"/>
  <c r="BB203" i="9"/>
  <c r="BS51" i="11"/>
  <c r="AZ195" i="9"/>
  <c r="BQ14" i="11"/>
  <c r="BQ5" i="11"/>
  <c r="CK17" i="11"/>
  <c r="CK6" i="11"/>
  <c r="CA14" i="11"/>
  <c r="CA5" i="11"/>
  <c r="CA6" i="11" s="1"/>
  <c r="BX13" i="11"/>
  <c r="BY13" i="11" s="1"/>
  <c r="BJ195" i="9"/>
  <c r="BW13" i="11"/>
  <c r="AV162" i="9"/>
  <c r="AV138" i="9"/>
  <c r="AV140" i="9" s="1"/>
  <c r="AV141" i="9" s="1"/>
  <c r="BT150" i="9" l="1"/>
  <c r="BT117" i="9" s="1"/>
  <c r="CP13" i="11"/>
  <c r="CQ13" i="11" s="1"/>
  <c r="CQ14" i="11" s="1"/>
  <c r="BD118" i="9"/>
  <c r="BD122" i="9" s="1"/>
  <c r="BL125" i="9"/>
  <c r="BL126" i="9" s="1"/>
  <c r="DA13" i="11"/>
  <c r="DA5" i="11" s="1"/>
  <c r="CK41" i="11"/>
  <c r="CK42" i="11" s="1"/>
  <c r="CS50" i="11"/>
  <c r="CB203" i="9" s="1"/>
  <c r="CB204" i="9" s="1"/>
  <c r="BD129" i="9"/>
  <c r="CD13" i="11"/>
  <c r="CE13" i="11" s="1"/>
  <c r="CE5" i="11" s="1"/>
  <c r="CH14" i="11"/>
  <c r="CH5" i="11"/>
  <c r="CH6" i="11" s="1"/>
  <c r="BJ203" i="9"/>
  <c r="BJ204" i="9" s="1"/>
  <c r="CA41" i="11"/>
  <c r="BJ125" i="9" s="1"/>
  <c r="BJ126" i="9" s="1"/>
  <c r="BQ195" i="9"/>
  <c r="BQ196" i="9" s="1"/>
  <c r="EM173" i="5" s="1"/>
  <c r="EM174" i="5" s="1"/>
  <c r="CB195" i="9"/>
  <c r="CB196" i="9" s="1"/>
  <c r="CH50" i="11"/>
  <c r="BQ203" i="9" s="1"/>
  <c r="BQ204" i="9" s="1"/>
  <c r="BQ6" i="11"/>
  <c r="BQ32" i="11" s="1"/>
  <c r="BR6" i="11"/>
  <c r="BR32" i="11" s="1"/>
  <c r="BR29" i="11"/>
  <c r="EE174" i="5"/>
  <c r="BZ6" i="11"/>
  <c r="BD130" i="9"/>
  <c r="AV129" i="9"/>
  <c r="AT125" i="9"/>
  <c r="BK41" i="11" s="1"/>
  <c r="BK42" i="11" s="1"/>
  <c r="BM41" i="11"/>
  <c r="AR138" i="9"/>
  <c r="AR140" i="9" s="1"/>
  <c r="AR141" i="9" s="1"/>
  <c r="AR162" i="9"/>
  <c r="BE196" i="9"/>
  <c r="EA173" i="5" s="1"/>
  <c r="BE150" i="9"/>
  <c r="BX5" i="11"/>
  <c r="BX6" i="11" s="1"/>
  <c r="BX14" i="11"/>
  <c r="BG195" i="9"/>
  <c r="BB121" i="9"/>
  <c r="DX144" i="5" s="1"/>
  <c r="BL121" i="9"/>
  <c r="BL118" i="9"/>
  <c r="BT205" i="9"/>
  <c r="BY5" i="11"/>
  <c r="BY6" i="11" s="1"/>
  <c r="BY14" i="11"/>
  <c r="BH195" i="9"/>
  <c r="AZ196" i="9"/>
  <c r="DV173" i="5" s="1"/>
  <c r="DV174" i="5" s="1"/>
  <c r="AZ150" i="9"/>
  <c r="X128" i="6"/>
  <c r="DZ144" i="5"/>
  <c r="BI126" i="9"/>
  <c r="BW5" i="11"/>
  <c r="BF195" i="9"/>
  <c r="CS6" i="11"/>
  <c r="CS17" i="11"/>
  <c r="BA121" i="9"/>
  <c r="DW144" i="5" s="1"/>
  <c r="CI14" i="11"/>
  <c r="CF13" i="11"/>
  <c r="CI5" i="11"/>
  <c r="CI6" i="11" s="1"/>
  <c r="BR195" i="9"/>
  <c r="CB13" i="11"/>
  <c r="BT151" i="9"/>
  <c r="BT152" i="9" s="1"/>
  <c r="BI205" i="9"/>
  <c r="BJ196" i="9"/>
  <c r="EF173" i="5" s="1"/>
  <c r="EF174" i="5" s="1"/>
  <c r="BJ150" i="9"/>
  <c r="AY117" i="9"/>
  <c r="BT197" i="9"/>
  <c r="EP173" i="5"/>
  <c r="EP174" i="5" s="1"/>
  <c r="BI151" i="9"/>
  <c r="BI152" i="9" s="1"/>
  <c r="BI117" i="9"/>
  <c r="BI129" i="9" s="1"/>
  <c r="BM42" i="11" l="1"/>
  <c r="BM44" i="11"/>
  <c r="BD266" i="9"/>
  <c r="CP50" i="11"/>
  <c r="CQ50" i="11" s="1"/>
  <c r="CQ41" i="11" s="1"/>
  <c r="BZ125" i="9" s="1"/>
  <c r="CQ5" i="11"/>
  <c r="CQ6" i="11" s="1"/>
  <c r="AP6" i="10"/>
  <c r="CP5" i="11"/>
  <c r="CP6" i="11" s="1"/>
  <c r="CL13" i="11"/>
  <c r="CM13" i="11" s="1"/>
  <c r="CM5" i="11" s="1"/>
  <c r="CM6" i="11" s="1"/>
  <c r="CP14" i="11"/>
  <c r="CN13" i="11"/>
  <c r="CO13" i="11" s="1"/>
  <c r="BX195" i="9" s="1"/>
  <c r="BZ195" i="9"/>
  <c r="BZ196" i="9" s="1"/>
  <c r="EV173" i="5" s="1"/>
  <c r="BY195" i="9"/>
  <c r="BY196" i="9" s="1"/>
  <c r="EU173" i="5" s="1"/>
  <c r="EU174" i="5" s="1"/>
  <c r="BL129" i="9"/>
  <c r="BT125" i="9"/>
  <c r="BT129" i="9" s="1"/>
  <c r="CJ195" i="9"/>
  <c r="CJ196" i="9" s="1"/>
  <c r="BQ150" i="9"/>
  <c r="BQ151" i="9" s="1"/>
  <c r="BQ152" i="9" s="1"/>
  <c r="CX13" i="11"/>
  <c r="CY13" i="11" s="1"/>
  <c r="CV13" i="11" s="1"/>
  <c r="DA50" i="11"/>
  <c r="CJ203" i="9" s="1"/>
  <c r="CJ204" i="9" s="1"/>
  <c r="BN195" i="9"/>
  <c r="BN150" i="9" s="1"/>
  <c r="CE14" i="11"/>
  <c r="BM195" i="9"/>
  <c r="BM196" i="9" s="1"/>
  <c r="EI173" i="5" s="1"/>
  <c r="EI174" i="5" s="1"/>
  <c r="CJ13" i="11"/>
  <c r="CJ5" i="11" s="1"/>
  <c r="CS41" i="11"/>
  <c r="CS42" i="11" s="1"/>
  <c r="CD14" i="11"/>
  <c r="CD5" i="11"/>
  <c r="CD6" i="11" s="1"/>
  <c r="CI50" i="11"/>
  <c r="CI51" i="11" s="1"/>
  <c r="CB150" i="9"/>
  <c r="CB117" i="9" s="1"/>
  <c r="CH41" i="11"/>
  <c r="BQ125" i="9" s="1"/>
  <c r="BQ126" i="9" s="1"/>
  <c r="BQ205" i="9"/>
  <c r="BJ205" i="9"/>
  <c r="BL130" i="9"/>
  <c r="CB205" i="9"/>
  <c r="AT129" i="9"/>
  <c r="AT126" i="9"/>
  <c r="AT130" i="9" s="1"/>
  <c r="CG13" i="11"/>
  <c r="CG5" i="11" s="1"/>
  <c r="CG6" i="11" s="1"/>
  <c r="CE6" i="11"/>
  <c r="AY121" i="9"/>
  <c r="DU144" i="5" s="1"/>
  <c r="AZ117" i="9"/>
  <c r="BD267" i="9"/>
  <c r="BD281" i="9" s="1"/>
  <c r="BD269" i="9"/>
  <c r="BE151" i="9"/>
  <c r="BE152" i="9" s="1"/>
  <c r="BE117" i="9"/>
  <c r="BR196" i="9"/>
  <c r="EN173" i="5" s="1"/>
  <c r="EN174" i="5" s="1"/>
  <c r="BR150" i="9"/>
  <c r="BF196" i="9"/>
  <c r="EB173" i="5" s="1"/>
  <c r="BF150" i="9"/>
  <c r="CP41" i="11"/>
  <c r="BY125" i="9" s="1"/>
  <c r="BJ151" i="9"/>
  <c r="BJ152" i="9" s="1"/>
  <c r="BJ117" i="9"/>
  <c r="BT121" i="9"/>
  <c r="BT118" i="9"/>
  <c r="CB5" i="11"/>
  <c r="BK195" i="9"/>
  <c r="AX6" i="10"/>
  <c r="BL122" i="9"/>
  <c r="BL266" i="9"/>
  <c r="EX173" i="5"/>
  <c r="EX174" i="5" s="1"/>
  <c r="CB197" i="9"/>
  <c r="BI121" i="9"/>
  <c r="EE144" i="5" s="1"/>
  <c r="BI118" i="9"/>
  <c r="CF5" i="11"/>
  <c r="CF6" i="11" s="1"/>
  <c r="CF14" i="11"/>
  <c r="BO195" i="9"/>
  <c r="AW266" i="9"/>
  <c r="DA17" i="11"/>
  <c r="DA6" i="11"/>
  <c r="BH196" i="9"/>
  <c r="ED173" i="5" s="1"/>
  <c r="ED174" i="5" s="1"/>
  <c r="BH150" i="9"/>
  <c r="Y128" i="6"/>
  <c r="EH144" i="5"/>
  <c r="BG196" i="9"/>
  <c r="EC173" i="5" s="1"/>
  <c r="EC174" i="5" s="1"/>
  <c r="BG150" i="9"/>
  <c r="BM45" i="11" l="1"/>
  <c r="AV200" i="9"/>
  <c r="AV204" i="9" s="1"/>
  <c r="AV205" i="9" s="1"/>
  <c r="BM55" i="11"/>
  <c r="BK44" i="11"/>
  <c r="BM54" i="11"/>
  <c r="CO5" i="11"/>
  <c r="BY203" i="9"/>
  <c r="BY204" i="9" s="1"/>
  <c r="BY205" i="9" s="1"/>
  <c r="CL5" i="11"/>
  <c r="CL6" i="11" s="1"/>
  <c r="CR13" i="11"/>
  <c r="CA195" i="9" s="1"/>
  <c r="BV195" i="9"/>
  <c r="BV196" i="9" s="1"/>
  <c r="ER173" i="5" s="1"/>
  <c r="CY14" i="11"/>
  <c r="BT126" i="9"/>
  <c r="BT130" i="9" s="1"/>
  <c r="CJ14" i="11"/>
  <c r="CJ150" i="9"/>
  <c r="CJ151" i="9" s="1"/>
  <c r="CJ152" i="9" s="1"/>
  <c r="BY150" i="9"/>
  <c r="BY151" i="9" s="1"/>
  <c r="BY152" i="9" s="1"/>
  <c r="CM14" i="11"/>
  <c r="BW195" i="9"/>
  <c r="BW196" i="9" s="1"/>
  <c r="ES173" i="5" s="1"/>
  <c r="BZ150" i="9"/>
  <c r="BZ117" i="9" s="1"/>
  <c r="BZ129" i="9" s="1"/>
  <c r="CN5" i="11"/>
  <c r="CN6" i="11" s="1"/>
  <c r="BU195" i="9"/>
  <c r="BU196" i="9" s="1"/>
  <c r="EQ173" i="5" s="1"/>
  <c r="EQ174" i="5" s="1"/>
  <c r="CN14" i="11"/>
  <c r="CL14" i="11"/>
  <c r="BR203" i="9"/>
  <c r="BR204" i="9" s="1"/>
  <c r="BR205" i="9" s="1"/>
  <c r="CX5" i="11"/>
  <c r="CX6" i="11" s="1"/>
  <c r="CY5" i="11"/>
  <c r="CY6" i="11" s="1"/>
  <c r="DA41" i="11"/>
  <c r="DA42" i="11" s="1"/>
  <c r="CG195" i="9"/>
  <c r="CG150" i="9" s="1"/>
  <c r="CB151" i="9"/>
  <c r="CB152" i="9" s="1"/>
  <c r="CX50" i="11"/>
  <c r="CY50" i="11" s="1"/>
  <c r="CY41" i="11" s="1"/>
  <c r="CH125" i="9" s="1"/>
  <c r="CT13" i="11"/>
  <c r="CU13" i="11" s="1"/>
  <c r="CD195" i="9" s="1"/>
  <c r="CI41" i="11"/>
  <c r="BR125" i="9" s="1"/>
  <c r="BR126" i="9" s="1"/>
  <c r="BM150" i="9"/>
  <c r="BM151" i="9" s="1"/>
  <c r="BM152" i="9" s="1"/>
  <c r="BN196" i="9"/>
  <c r="EJ173" i="5" s="1"/>
  <c r="EJ174" i="5" s="1"/>
  <c r="CX14" i="11"/>
  <c r="CH195" i="9"/>
  <c r="CH196" i="9" s="1"/>
  <c r="FD173" i="5" s="1"/>
  <c r="FD174" i="5" s="1"/>
  <c r="BQ117" i="9"/>
  <c r="BQ118" i="9" s="1"/>
  <c r="BQ130" i="9" s="1"/>
  <c r="CO14" i="11"/>
  <c r="BS195" i="9"/>
  <c r="BS196" i="9" s="1"/>
  <c r="EO173" i="5" s="1"/>
  <c r="CB125" i="9"/>
  <c r="CB126" i="9" s="1"/>
  <c r="CQ51" i="11"/>
  <c r="BZ203" i="9"/>
  <c r="BZ204" i="9" s="1"/>
  <c r="BZ205" i="9" s="1"/>
  <c r="BP195" i="9"/>
  <c r="BP150" i="9" s="1"/>
  <c r="AW267" i="9"/>
  <c r="AW269" i="9"/>
  <c r="AW271" i="9" s="1"/>
  <c r="EV174" i="5"/>
  <c r="CG14" i="11"/>
  <c r="CO6" i="11"/>
  <c r="CJ6" i="11"/>
  <c r="BG151" i="9"/>
  <c r="BG152" i="9" s="1"/>
  <c r="BG117" i="9"/>
  <c r="BH151" i="9"/>
  <c r="BH152" i="9" s="1"/>
  <c r="BH117" i="9"/>
  <c r="AW122" i="9"/>
  <c r="AU6" i="10"/>
  <c r="BI266" i="9"/>
  <c r="DP51" i="5"/>
  <c r="BX196" i="9"/>
  <c r="ET173" i="5" s="1"/>
  <c r="BX150" i="9"/>
  <c r="BF117" i="9"/>
  <c r="BF151" i="9"/>
  <c r="BF152" i="9" s="1"/>
  <c r="BE118" i="9"/>
  <c r="AZ121" i="9"/>
  <c r="DV144" i="5" s="1"/>
  <c r="BK196" i="9"/>
  <c r="EG173" i="5" s="1"/>
  <c r="BK150" i="9"/>
  <c r="BY126" i="9"/>
  <c r="CV5" i="11"/>
  <c r="CV14" i="11"/>
  <c r="CE195" i="9"/>
  <c r="BI130" i="9"/>
  <c r="BF6" i="10"/>
  <c r="BT122" i="9"/>
  <c r="BT266" i="9"/>
  <c r="BD273" i="9"/>
  <c r="BD271" i="9"/>
  <c r="BN151" i="9"/>
  <c r="BN152" i="9" s="1"/>
  <c r="BN117" i="9"/>
  <c r="BZ126" i="9"/>
  <c r="BJ121" i="9"/>
  <c r="EF144" i="5" s="1"/>
  <c r="BJ118" i="9"/>
  <c r="BJ129" i="9"/>
  <c r="Z128" i="6"/>
  <c r="EP144" i="5"/>
  <c r="CJ197" i="9"/>
  <c r="FF173" i="5"/>
  <c r="FF174" i="5" s="1"/>
  <c r="BO196" i="9"/>
  <c r="EK173" i="5" s="1"/>
  <c r="EK174" i="5" s="1"/>
  <c r="BO150" i="9"/>
  <c r="CR5" i="11"/>
  <c r="CR6" i="11" s="1"/>
  <c r="BL267" i="9"/>
  <c r="BL269" i="9"/>
  <c r="BL277" i="9" s="1"/>
  <c r="BL278" i="9" s="1"/>
  <c r="CW13" i="11"/>
  <c r="CB121" i="9"/>
  <c r="CB118" i="9"/>
  <c r="CJ205" i="9"/>
  <c r="BR151" i="9"/>
  <c r="BR152" i="9" s="1"/>
  <c r="BR117" i="9"/>
  <c r="BD277" i="9"/>
  <c r="BD278" i="9" s="1"/>
  <c r="CR14" i="11" l="1"/>
  <c r="BZ151" i="9"/>
  <c r="BZ152" i="9" s="1"/>
  <c r="AT200" i="9"/>
  <c r="AT204" i="9" s="1"/>
  <c r="AT205" i="9" s="1"/>
  <c r="BK45" i="11"/>
  <c r="BV150" i="9"/>
  <c r="BV151" i="9" s="1"/>
  <c r="BV152" i="9" s="1"/>
  <c r="BW150" i="9"/>
  <c r="BW117" i="9" s="1"/>
  <c r="CJ117" i="9"/>
  <c r="CJ118" i="9" s="1"/>
  <c r="BR129" i="9"/>
  <c r="BU150" i="9"/>
  <c r="BU151" i="9" s="1"/>
  <c r="BU152" i="9" s="1"/>
  <c r="BM117" i="9"/>
  <c r="BM121" i="9" s="1"/>
  <c r="EI144" i="5" s="1"/>
  <c r="BY117" i="9"/>
  <c r="BY129" i="9" s="1"/>
  <c r="CH203" i="9"/>
  <c r="CH204" i="9" s="1"/>
  <c r="CH205" i="9" s="1"/>
  <c r="CV6" i="11"/>
  <c r="CY51" i="11"/>
  <c r="CG196" i="9"/>
  <c r="FC173" i="5" s="1"/>
  <c r="FC174" i="5" s="1"/>
  <c r="CU14" i="11"/>
  <c r="CT14" i="11"/>
  <c r="BP196" i="9"/>
  <c r="EL173" i="5" s="1"/>
  <c r="EL174" i="5" s="1"/>
  <c r="CJ125" i="9"/>
  <c r="CU5" i="11"/>
  <c r="CU6" i="11" s="1"/>
  <c r="CC195" i="9"/>
  <c r="CC196" i="9" s="1"/>
  <c r="EY173" i="5" s="1"/>
  <c r="EY174" i="5" s="1"/>
  <c r="CG203" i="9"/>
  <c r="CG204" i="9" s="1"/>
  <c r="CX41" i="11"/>
  <c r="CG125" i="9" s="1"/>
  <c r="CG126" i="9" s="1"/>
  <c r="CB129" i="9"/>
  <c r="CT5" i="11"/>
  <c r="CT6" i="11" s="1"/>
  <c r="CZ13" i="11"/>
  <c r="CZ14" i="11" s="1"/>
  <c r="BQ121" i="9"/>
  <c r="EM144" i="5" s="1"/>
  <c r="BS150" i="9"/>
  <c r="BS151" i="9" s="1"/>
  <c r="BS152" i="9" s="1"/>
  <c r="CH150" i="9"/>
  <c r="CH151" i="9" s="1"/>
  <c r="CH152" i="9" s="1"/>
  <c r="BQ129" i="9"/>
  <c r="ER174" i="5"/>
  <c r="AW277" i="9"/>
  <c r="AW278" i="9" s="1"/>
  <c r="AW255" i="9" s="1"/>
  <c r="AW293" i="9" s="1"/>
  <c r="EO174" i="5"/>
  <c r="DP60" i="5"/>
  <c r="DP50" i="5"/>
  <c r="BY121" i="9"/>
  <c r="EU144" i="5" s="1"/>
  <c r="BL273" i="9"/>
  <c r="BL271" i="9"/>
  <c r="BP151" i="9"/>
  <c r="BP152" i="9" s="1"/>
  <c r="BP117" i="9"/>
  <c r="BN118" i="9"/>
  <c r="BN121" i="9"/>
  <c r="EJ144" i="5" s="1"/>
  <c r="AQ6" i="10"/>
  <c r="BE122" i="9"/>
  <c r="BF118" i="9"/>
  <c r="BG121" i="9"/>
  <c r="EC144" i="5" s="1"/>
  <c r="BG118" i="9"/>
  <c r="CH126" i="9"/>
  <c r="BZ121" i="9"/>
  <c r="EV144" i="5" s="1"/>
  <c r="BZ118" i="9"/>
  <c r="BZ130" i="9" s="1"/>
  <c r="BX151" i="9"/>
  <c r="BX152" i="9" s="1"/>
  <c r="BX117" i="9"/>
  <c r="BI269" i="9"/>
  <c r="BI271" i="9" s="1"/>
  <c r="BO151" i="9"/>
  <c r="BO152" i="9" s="1"/>
  <c r="BO117" i="9"/>
  <c r="EX144" i="5"/>
  <c r="AA128" i="6"/>
  <c r="CW14" i="11"/>
  <c r="CW5" i="11"/>
  <c r="CW6" i="11" s="1"/>
  <c r="CF195" i="9"/>
  <c r="CA196" i="9"/>
  <c r="EW173" i="5" s="1"/>
  <c r="EW174" i="5" s="1"/>
  <c r="CA150" i="9"/>
  <c r="BQ122" i="9"/>
  <c r="BC6" i="10"/>
  <c r="BQ266" i="9"/>
  <c r="BD272" i="9"/>
  <c r="BD274" i="9" s="1"/>
  <c r="BD255" i="9"/>
  <c r="BL281" i="9" s="1"/>
  <c r="BK151" i="9"/>
  <c r="BK152" i="9" s="1"/>
  <c r="BK117" i="9"/>
  <c r="BH121" i="9"/>
  <c r="ED144" i="5" s="1"/>
  <c r="BH118" i="9"/>
  <c r="BN6" i="10"/>
  <c r="CB122" i="9"/>
  <c r="CB266" i="9"/>
  <c r="BR121" i="9"/>
  <c r="EN144" i="5" s="1"/>
  <c r="BR118" i="9"/>
  <c r="BR130" i="9" s="1"/>
  <c r="CG151" i="9"/>
  <c r="CG152" i="9" s="1"/>
  <c r="CG117" i="9"/>
  <c r="AV6" i="10"/>
  <c r="BJ266" i="9"/>
  <c r="BJ130" i="9"/>
  <c r="ES174" i="5"/>
  <c r="CB130" i="9"/>
  <c r="BT267" i="9"/>
  <c r="BT269" i="9"/>
  <c r="BT277" i="9" s="1"/>
  <c r="BT278" i="9" s="1"/>
  <c r="CE196" i="9"/>
  <c r="FA173" i="5" s="1"/>
  <c r="FA174" i="5" s="1"/>
  <c r="CE150" i="9"/>
  <c r="CD150" i="9"/>
  <c r="CD196" i="9"/>
  <c r="EZ173" i="5" s="1"/>
  <c r="EZ174" i="5" s="1"/>
  <c r="CJ121" i="9" l="1"/>
  <c r="CJ126" i="9"/>
  <c r="CJ130" i="9" s="1"/>
  <c r="BV117" i="9"/>
  <c r="BV121" i="9" s="1"/>
  <c r="ER144" i="5" s="1"/>
  <c r="BY118" i="9"/>
  <c r="BY130" i="9" s="1"/>
  <c r="BW151" i="9"/>
  <c r="BW152" i="9" s="1"/>
  <c r="BU117" i="9"/>
  <c r="BU118" i="9" s="1"/>
  <c r="BM118" i="9"/>
  <c r="AY6" i="10" s="1"/>
  <c r="CG205" i="9"/>
  <c r="BS117" i="9"/>
  <c r="BS118" i="9" s="1"/>
  <c r="ET174" i="5"/>
  <c r="CC150" i="9"/>
  <c r="CC117" i="9" s="1"/>
  <c r="CJ129" i="9"/>
  <c r="CI195" i="9"/>
  <c r="CI196" i="9" s="1"/>
  <c r="FE173" i="5" s="1"/>
  <c r="FE174" i="5" s="1"/>
  <c r="CZ5" i="11"/>
  <c r="CZ6" i="11" s="1"/>
  <c r="CH117" i="9"/>
  <c r="CH129" i="9" s="1"/>
  <c r="AW256" i="9"/>
  <c r="DP76" i="5"/>
  <c r="DP91" i="5" s="1"/>
  <c r="DP67" i="5"/>
  <c r="BI277" i="9"/>
  <c r="BI278" i="9" s="1"/>
  <c r="BJ278" i="9" s="1"/>
  <c r="CD151" i="9"/>
  <c r="CD152" i="9" s="1"/>
  <c r="CD117" i="9"/>
  <c r="AB128" i="6"/>
  <c r="FF144" i="5"/>
  <c r="BQ267" i="9"/>
  <c r="BQ269" i="9"/>
  <c r="BQ271" i="9" s="1"/>
  <c r="BP121" i="9"/>
  <c r="EL144" i="5" s="1"/>
  <c r="BP118" i="9"/>
  <c r="BJ269" i="9"/>
  <c r="BJ277" i="9" s="1"/>
  <c r="CE151" i="9"/>
  <c r="CE152" i="9" s="1"/>
  <c r="CE117" i="9"/>
  <c r="AR6" i="10"/>
  <c r="BN122" i="9"/>
  <c r="AZ6" i="10"/>
  <c r="CG121" i="9"/>
  <c r="FC144" i="5" s="1"/>
  <c r="CG118" i="9"/>
  <c r="CG130" i="9" s="1"/>
  <c r="CB267" i="9"/>
  <c r="CB269" i="9"/>
  <c r="CB277" i="9" s="1"/>
  <c r="CB278" i="9" s="1"/>
  <c r="BK118" i="9"/>
  <c r="BD280" i="9"/>
  <c r="BD256" i="9"/>
  <c r="BD293" i="9"/>
  <c r="BD13" i="9" s="1"/>
  <c r="BD264" i="9"/>
  <c r="CF196" i="9"/>
  <c r="FB173" i="5" s="1"/>
  <c r="FB174" i="5" s="1"/>
  <c r="CF150" i="9"/>
  <c r="BW121" i="9"/>
  <c r="ES144" i="5" s="1"/>
  <c r="BW118" i="9"/>
  <c r="BZ122" i="9"/>
  <c r="BL6" i="10"/>
  <c r="BZ266" i="9"/>
  <c r="BL272" i="9"/>
  <c r="BL274" i="9" s="1"/>
  <c r="BL282" i="9" s="1"/>
  <c r="BL255" i="9"/>
  <c r="BT281" i="9" s="1"/>
  <c r="BJ271" i="9"/>
  <c r="BY122" i="9"/>
  <c r="BY266" i="9"/>
  <c r="BT273" i="9"/>
  <c r="BT271" i="9"/>
  <c r="CG129" i="9"/>
  <c r="BR122" i="9"/>
  <c r="BD6" i="10"/>
  <c r="BR266" i="9"/>
  <c r="AT6" i="10"/>
  <c r="CJ122" i="9"/>
  <c r="BV6" i="10"/>
  <c r="CJ266" i="9"/>
  <c r="BD282" i="9"/>
  <c r="CA117" i="9"/>
  <c r="CA151" i="9"/>
  <c r="CA152" i="9" s="1"/>
  <c r="BO121" i="9"/>
  <c r="EK144" i="5" s="1"/>
  <c r="BO118" i="9"/>
  <c r="BX121" i="9"/>
  <c r="ET144" i="5" s="1"/>
  <c r="BX118" i="9"/>
  <c r="AS6" i="10"/>
  <c r="BV118" i="9" l="1"/>
  <c r="BK6" i="10"/>
  <c r="BM122" i="9"/>
  <c r="BS121" i="9"/>
  <c r="EO144" i="5" s="1"/>
  <c r="BU121" i="9"/>
  <c r="EQ144" i="5" s="1"/>
  <c r="CC151" i="9"/>
  <c r="CC152" i="9" s="1"/>
  <c r="CH118" i="9"/>
  <c r="CH122" i="9" s="1"/>
  <c r="CI150" i="9"/>
  <c r="CI151" i="9" s="1"/>
  <c r="CI152" i="9" s="1"/>
  <c r="CH121" i="9"/>
  <c r="FD144" i="5" s="1"/>
  <c r="BR269" i="9"/>
  <c r="BR277" i="9" s="1"/>
  <c r="DP100" i="5"/>
  <c r="DP114" i="5"/>
  <c r="BI255" i="9"/>
  <c r="BI293" i="9" s="1"/>
  <c r="BJ255" i="9"/>
  <c r="BJ264" i="9" s="1"/>
  <c r="BH42" i="12" s="1"/>
  <c r="CA121" i="9"/>
  <c r="EW144" i="5" s="1"/>
  <c r="CA118" i="9"/>
  <c r="CJ267" i="9"/>
  <c r="CJ269" i="9"/>
  <c r="CJ277" i="9" s="1"/>
  <c r="CJ278" i="9" s="1"/>
  <c r="BV122" i="9"/>
  <c r="BH6" i="10"/>
  <c r="BR267" i="9"/>
  <c r="BT272" i="9"/>
  <c r="BT274" i="9" s="1"/>
  <c r="BR271" i="9"/>
  <c r="BT255" i="9"/>
  <c r="CB281" i="9" s="1"/>
  <c r="BZ267" i="9"/>
  <c r="BO122" i="9"/>
  <c r="BA6" i="10"/>
  <c r="BE6" i="10"/>
  <c r="BS122" i="9"/>
  <c r="BS6" i="10"/>
  <c r="CG122" i="9"/>
  <c r="CG266" i="9"/>
  <c r="AY42" i="12"/>
  <c r="AY43" i="12" s="1"/>
  <c r="BA114" i="9"/>
  <c r="CD121" i="9"/>
  <c r="EZ144" i="5" s="1"/>
  <c r="CD118" i="9"/>
  <c r="BX122" i="9"/>
  <c r="BJ6" i="10"/>
  <c r="CC121" i="9"/>
  <c r="EY144" i="5" s="1"/>
  <c r="CC118" i="9"/>
  <c r="CF151" i="9"/>
  <c r="CF152" i="9" s="1"/>
  <c r="CF117" i="9"/>
  <c r="BJ42" i="12"/>
  <c r="BJ43" i="12" s="1"/>
  <c r="BD114" i="9"/>
  <c r="BD283" i="9"/>
  <c r="CB273" i="9"/>
  <c r="CB271" i="9"/>
  <c r="BP122" i="9"/>
  <c r="BB6" i="10"/>
  <c r="BQ277" i="9"/>
  <c r="BQ278" i="9" s="1"/>
  <c r="BR278" i="9" s="1"/>
  <c r="BG6" i="10"/>
  <c r="BU122" i="9"/>
  <c r="BY267" i="9"/>
  <c r="BY269" i="9"/>
  <c r="BY271" i="9" s="1"/>
  <c r="BL280" i="9"/>
  <c r="BL283" i="9" s="1"/>
  <c r="BL293" i="9"/>
  <c r="BL256" i="9"/>
  <c r="BL264" i="9"/>
  <c r="BW122" i="9"/>
  <c r="BI6" i="10"/>
  <c r="AW6" i="10"/>
  <c r="CE118" i="9"/>
  <c r="CE121" i="9"/>
  <c r="FA144" i="5" s="1"/>
  <c r="CH266" i="9" l="1"/>
  <c r="CH130" i="9"/>
  <c r="CI117" i="9"/>
  <c r="CI121" i="9" s="1"/>
  <c r="FE144" i="5" s="1"/>
  <c r="BT6" i="10"/>
  <c r="AJ41" i="13"/>
  <c r="AJ42" i="13" s="1"/>
  <c r="BA97" i="9"/>
  <c r="BI264" i="9"/>
  <c r="BI114" i="9" s="1"/>
  <c r="BJ114" i="9"/>
  <c r="BJ186" i="9" s="1"/>
  <c r="DP118" i="5"/>
  <c r="DP309" i="5"/>
  <c r="DP321" i="5" s="1"/>
  <c r="DP325" i="5" s="1"/>
  <c r="DP332" i="5" s="1"/>
  <c r="DP334" i="5" s="1"/>
  <c r="CI118" i="9"/>
  <c r="BO6" i="10"/>
  <c r="CC122" i="9"/>
  <c r="BP6" i="10"/>
  <c r="CD122" i="9"/>
  <c r="BA185" i="9"/>
  <c r="BA186" i="9"/>
  <c r="BA158" i="9"/>
  <c r="BA161" i="9"/>
  <c r="BA184" i="9"/>
  <c r="BA187" i="9"/>
  <c r="BQ255" i="9"/>
  <c r="BT282" i="9"/>
  <c r="CF118" i="9"/>
  <c r="CF121" i="9"/>
  <c r="FB144" i="5" s="1"/>
  <c r="BR42" i="12"/>
  <c r="BR43" i="12" s="1"/>
  <c r="BL114" i="9"/>
  <c r="BY277" i="9"/>
  <c r="BY278" i="9" s="1"/>
  <c r="BZ278" i="9" s="1"/>
  <c r="CG267" i="9"/>
  <c r="CG269" i="9"/>
  <c r="CG271" i="9" s="1"/>
  <c r="BT280" i="9"/>
  <c r="BT293" i="9"/>
  <c r="BT256" i="9"/>
  <c r="BT264" i="9"/>
  <c r="BM6" i="10"/>
  <c r="CA122" i="9"/>
  <c r="BJ293" i="9"/>
  <c r="CB272" i="9"/>
  <c r="CB274" i="9" s="1"/>
  <c r="CB282" i="9" s="1"/>
  <c r="BZ271" i="9"/>
  <c r="CB255" i="9"/>
  <c r="BD159" i="9"/>
  <c r="BD135" i="9" s="1"/>
  <c r="BD160" i="9"/>
  <c r="BD185" i="9"/>
  <c r="BD136" i="9" s="1"/>
  <c r="BD161" i="9"/>
  <c r="BD186" i="9"/>
  <c r="AM41" i="13"/>
  <c r="AM42" i="13" s="1"/>
  <c r="BD158" i="9"/>
  <c r="BC114" i="9"/>
  <c r="BD184" i="9"/>
  <c r="BD187" i="9"/>
  <c r="BD107" i="9"/>
  <c r="BQ6" i="10"/>
  <c r="CE122" i="9"/>
  <c r="BZ269" i="9"/>
  <c r="BZ277" i="9" s="1"/>
  <c r="CH267" i="9"/>
  <c r="BR255" i="9"/>
  <c r="CJ273" i="9"/>
  <c r="CJ271" i="9"/>
  <c r="BG42" i="12" l="1"/>
  <c r="BG43" i="12" s="1"/>
  <c r="BA136" i="9"/>
  <c r="BJ184" i="9"/>
  <c r="BJ158" i="9"/>
  <c r="BJ132" i="9" s="1"/>
  <c r="BJ159" i="9"/>
  <c r="BJ135" i="9" s="1"/>
  <c r="BJ185" i="9"/>
  <c r="BJ136" i="9" s="1"/>
  <c r="BJ187" i="9"/>
  <c r="BJ139" i="9" s="1"/>
  <c r="BJ161" i="9"/>
  <c r="BJ160" i="9"/>
  <c r="BT283" i="9"/>
  <c r="AS41" i="13"/>
  <c r="BD137" i="9"/>
  <c r="BR6" i="10"/>
  <c r="CF122" i="9"/>
  <c r="BY255" i="9"/>
  <c r="BI159" i="9"/>
  <c r="BI135" i="9" s="1"/>
  <c r="BI185" i="9"/>
  <c r="BI136" i="9" s="1"/>
  <c r="BI158" i="9"/>
  <c r="BI186" i="9"/>
  <c r="BI160" i="9"/>
  <c r="BI161" i="9"/>
  <c r="AR41" i="13"/>
  <c r="AR42" i="13" s="1"/>
  <c r="BI184" i="9"/>
  <c r="BE114" i="9"/>
  <c r="BI187" i="9"/>
  <c r="BI107" i="9"/>
  <c r="BL186" i="9"/>
  <c r="AU41" i="13"/>
  <c r="AU42" i="13" s="1"/>
  <c r="BL185" i="9"/>
  <c r="BL136" i="9" s="1"/>
  <c r="BL159" i="9"/>
  <c r="BL135" i="9" s="1"/>
  <c r="BL160" i="9"/>
  <c r="BL161" i="9"/>
  <c r="BK114" i="9"/>
  <c r="BL158" i="9"/>
  <c r="BL184" i="9"/>
  <c r="BL187" i="9"/>
  <c r="BL107" i="9"/>
  <c r="BA139" i="9"/>
  <c r="BR256" i="9"/>
  <c r="BR264" i="9"/>
  <c r="BD188" i="9"/>
  <c r="BD189" i="9" s="1"/>
  <c r="BD133" i="9"/>
  <c r="BZ255" i="9"/>
  <c r="CG277" i="9"/>
  <c r="CG278" i="9" s="1"/>
  <c r="CH278" i="9" s="1"/>
  <c r="BA188" i="9"/>
  <c r="BA133" i="9"/>
  <c r="CI122" i="9"/>
  <c r="BU6" i="10"/>
  <c r="CJ272" i="9"/>
  <c r="CJ274" i="9" s="1"/>
  <c r="CJ282" i="9" s="1"/>
  <c r="CJ255" i="9"/>
  <c r="CH271" i="9"/>
  <c r="BD162" i="9"/>
  <c r="BD163" i="9" s="1"/>
  <c r="BD132" i="9"/>
  <c r="CB280" i="9"/>
  <c r="CB283" i="9" s="1"/>
  <c r="CB293" i="9"/>
  <c r="CB256" i="9"/>
  <c r="CB264" i="9"/>
  <c r="BZ42" i="12"/>
  <c r="BZ43" i="12" s="1"/>
  <c r="BT114" i="9"/>
  <c r="CH269" i="9"/>
  <c r="CH277" i="9" s="1"/>
  <c r="BC185" i="9"/>
  <c r="BC136" i="9" s="1"/>
  <c r="BC186" i="9"/>
  <c r="BC161" i="9"/>
  <c r="AL41" i="13"/>
  <c r="BC158" i="9"/>
  <c r="BC184" i="9"/>
  <c r="BD139" i="9"/>
  <c r="BD138" i="9"/>
  <c r="BJ133" i="9"/>
  <c r="CJ281" i="9"/>
  <c r="BQ293" i="9"/>
  <c r="BQ256" i="9"/>
  <c r="BQ264" i="9"/>
  <c r="AW186" i="9"/>
  <c r="AX186" i="9" s="1"/>
  <c r="AW159" i="9"/>
  <c r="AW135" i="9" s="1"/>
  <c r="AW185" i="9"/>
  <c r="AW136" i="9" s="1"/>
  <c r="AW158" i="9"/>
  <c r="AX158" i="9" s="1"/>
  <c r="AX132" i="9" s="1"/>
  <c r="AW161" i="9"/>
  <c r="AX161" i="9" s="1"/>
  <c r="AF41" i="13"/>
  <c r="AW184" i="9"/>
  <c r="AX184" i="9" s="1"/>
  <c r="BA132" i="9"/>
  <c r="AX185" i="9" l="1"/>
  <c r="AX136" i="9" s="1"/>
  <c r="AX133" i="9"/>
  <c r="AX134" i="9" s="1"/>
  <c r="BJ137" i="9"/>
  <c r="BJ162" i="9"/>
  <c r="BJ138" i="9"/>
  <c r="BJ140" i="9" s="1"/>
  <c r="BJ188" i="9"/>
  <c r="BJ97" i="9"/>
  <c r="BJ75" i="9" s="1"/>
  <c r="CH255" i="9"/>
  <c r="CH256" i="9" s="1"/>
  <c r="AW137" i="9"/>
  <c r="BL138" i="9"/>
  <c r="BL139" i="9"/>
  <c r="BL137" i="9"/>
  <c r="BD140" i="9"/>
  <c r="CG255" i="9"/>
  <c r="CG264" i="9" s="1"/>
  <c r="BC132" i="9"/>
  <c r="BR293" i="9"/>
  <c r="BC133" i="9"/>
  <c r="BL162" i="9"/>
  <c r="BL163" i="9" s="1"/>
  <c r="BL132" i="9"/>
  <c r="BI132" i="9"/>
  <c r="BI162" i="9"/>
  <c r="BJ107" i="9"/>
  <c r="BK186" i="9"/>
  <c r="BK160" i="9"/>
  <c r="BK185" i="9"/>
  <c r="BK136" i="9" s="1"/>
  <c r="AT41" i="13"/>
  <c r="BK158" i="9"/>
  <c r="BK159" i="9"/>
  <c r="BK135" i="9" s="1"/>
  <c r="BK161" i="9"/>
  <c r="BK184" i="9"/>
  <c r="BK187" i="9"/>
  <c r="BD97" i="9"/>
  <c r="BP42" i="12"/>
  <c r="BP43" i="12" s="1"/>
  <c r="BR114" i="9"/>
  <c r="BE185" i="9"/>
  <c r="BE136" i="9" s="1"/>
  <c r="BE160" i="9"/>
  <c r="BE159" i="9"/>
  <c r="BE135" i="9" s="1"/>
  <c r="BE158" i="9"/>
  <c r="BE186" i="9"/>
  <c r="BE161" i="9"/>
  <c r="AN41" i="13"/>
  <c r="BE184" i="9"/>
  <c r="BF114" i="9"/>
  <c r="BE187" i="9"/>
  <c r="BI138" i="9"/>
  <c r="BI137" i="9"/>
  <c r="BY293" i="9"/>
  <c r="BZ293" i="9" s="1"/>
  <c r="BY256" i="9"/>
  <c r="BY264" i="9"/>
  <c r="BC41" i="13"/>
  <c r="BC42" i="13" s="1"/>
  <c r="BT185" i="9"/>
  <c r="BT136" i="9" s="1"/>
  <c r="BT159" i="9"/>
  <c r="BT135" i="9" s="1"/>
  <c r="BT186" i="9"/>
  <c r="BT161" i="9"/>
  <c r="BT158" i="9"/>
  <c r="BT160" i="9"/>
  <c r="BS114" i="9"/>
  <c r="BT184" i="9"/>
  <c r="BT187" i="9"/>
  <c r="BT107" i="9"/>
  <c r="BD134" i="9"/>
  <c r="BD96" i="9"/>
  <c r="BD102" i="9" s="1"/>
  <c r="CJ280" i="9"/>
  <c r="CJ283" i="9" s="1"/>
  <c r="CJ256" i="9"/>
  <c r="CJ293" i="9"/>
  <c r="CJ264" i="9"/>
  <c r="CJ114" i="9" s="1"/>
  <c r="CJ107" i="9" s="1"/>
  <c r="BZ256" i="9"/>
  <c r="BZ264" i="9"/>
  <c r="BA134" i="9"/>
  <c r="AW133" i="9"/>
  <c r="AW132" i="9"/>
  <c r="BO42" i="12"/>
  <c r="BO43" i="12" s="1"/>
  <c r="BQ114" i="9"/>
  <c r="CH42" i="12"/>
  <c r="CH43" i="12" s="1"/>
  <c r="CB114" i="9"/>
  <c r="BJ134" i="9"/>
  <c r="BL188" i="9"/>
  <c r="BL189" i="9" s="1"/>
  <c r="BL133" i="9"/>
  <c r="BI188" i="9"/>
  <c r="BI133" i="9"/>
  <c r="BI139" i="9"/>
  <c r="BJ96" i="9" l="1"/>
  <c r="BJ98" i="9" s="1"/>
  <c r="BJ5" i="9" s="1"/>
  <c r="CH264" i="9"/>
  <c r="CF42" i="12" s="1"/>
  <c r="BJ141" i="9"/>
  <c r="BA103" i="9"/>
  <c r="BK137" i="9"/>
  <c r="BE137" i="9"/>
  <c r="BT138" i="9"/>
  <c r="BK138" i="9"/>
  <c r="CG293" i="9"/>
  <c r="CH293" i="9" s="1"/>
  <c r="CG256" i="9"/>
  <c r="BL97" i="9"/>
  <c r="BL111" i="9" s="1"/>
  <c r="BD141" i="9"/>
  <c r="BL140" i="9"/>
  <c r="BT137" i="9"/>
  <c r="BE139" i="9"/>
  <c r="BT139" i="9"/>
  <c r="CB185" i="9"/>
  <c r="CB136" i="9" s="1"/>
  <c r="BK41" i="13"/>
  <c r="BK42" i="13" s="1"/>
  <c r="CB159" i="9"/>
  <c r="CB135" i="9" s="1"/>
  <c r="CB160" i="9"/>
  <c r="CB186" i="9"/>
  <c r="CB161" i="9"/>
  <c r="CB158" i="9"/>
  <c r="CA114" i="9"/>
  <c r="CB184" i="9"/>
  <c r="CB187" i="9"/>
  <c r="CB107" i="9"/>
  <c r="BQ185" i="9"/>
  <c r="BQ136" i="9" s="1"/>
  <c r="AZ41" i="13"/>
  <c r="AZ42" i="13" s="1"/>
  <c r="BQ160" i="9"/>
  <c r="BQ158" i="9"/>
  <c r="BQ159" i="9"/>
  <c r="BQ135" i="9" s="1"/>
  <c r="BQ161" i="9"/>
  <c r="BQ186" i="9"/>
  <c r="BM114" i="9"/>
  <c r="BQ184" i="9"/>
  <c r="BQ187" i="9"/>
  <c r="BQ107" i="9"/>
  <c r="BR107" i="9" s="1"/>
  <c r="BF160" i="9"/>
  <c r="BF185" i="9"/>
  <c r="BF136" i="9" s="1"/>
  <c r="BF186" i="9"/>
  <c r="BF159" i="9"/>
  <c r="BF135" i="9" s="1"/>
  <c r="BF158" i="9"/>
  <c r="BF161" i="9"/>
  <c r="AO41" i="13"/>
  <c r="BF184" i="9"/>
  <c r="BG114" i="9"/>
  <c r="BF187" i="9"/>
  <c r="BL96" i="9"/>
  <c r="BL134" i="9"/>
  <c r="BX42" i="12"/>
  <c r="BX43" i="12" s="1"/>
  <c r="BZ114" i="9"/>
  <c r="BT188" i="9"/>
  <c r="BT189" i="9" s="1"/>
  <c r="BT133" i="9"/>
  <c r="BI97" i="9"/>
  <c r="AW134" i="9"/>
  <c r="CJ186" i="9"/>
  <c r="CJ185" i="9"/>
  <c r="CJ136" i="9" s="1"/>
  <c r="CJ161" i="9"/>
  <c r="BS41" i="13"/>
  <c r="CJ159" i="9"/>
  <c r="CJ135" i="9" s="1"/>
  <c r="CJ160" i="9"/>
  <c r="CJ158" i="9"/>
  <c r="CI114" i="9"/>
  <c r="CJ184" i="9"/>
  <c r="CJ187" i="9"/>
  <c r="BT162" i="9"/>
  <c r="BT163" i="9" s="1"/>
  <c r="BT132" i="9"/>
  <c r="BW42" i="12"/>
  <c r="BW43" i="12" s="1"/>
  <c r="BY114" i="9"/>
  <c r="BE188" i="9"/>
  <c r="BE133" i="9"/>
  <c r="BE132" i="9"/>
  <c r="BE162" i="9"/>
  <c r="BR186" i="9"/>
  <c r="BA41" i="13"/>
  <c r="BA42" i="13" s="1"/>
  <c r="BR185" i="9"/>
  <c r="BR136" i="9" s="1"/>
  <c r="BR159" i="9"/>
  <c r="BR135" i="9" s="1"/>
  <c r="BR161" i="9"/>
  <c r="BR160" i="9"/>
  <c r="BR158" i="9"/>
  <c r="BR184" i="9"/>
  <c r="BR187" i="9"/>
  <c r="CE42" i="12"/>
  <c r="CG114" i="9"/>
  <c r="BK132" i="9"/>
  <c r="BK162" i="9"/>
  <c r="BK139" i="9"/>
  <c r="BI134" i="9"/>
  <c r="BI96" i="9"/>
  <c r="BJ91" i="9"/>
  <c r="EF157" i="5"/>
  <c r="BC134" i="9"/>
  <c r="BI140" i="9"/>
  <c r="BK188" i="9"/>
  <c r="BK133" i="9"/>
  <c r="BS160" i="9"/>
  <c r="BS186" i="9"/>
  <c r="BS158" i="9"/>
  <c r="BS185" i="9"/>
  <c r="BS136" i="9" s="1"/>
  <c r="BS159" i="9"/>
  <c r="BS135" i="9" s="1"/>
  <c r="BS161" i="9"/>
  <c r="BB41" i="13"/>
  <c r="BS184" i="9"/>
  <c r="BS187" i="9"/>
  <c r="BE138" i="9"/>
  <c r="BD103" i="9"/>
  <c r="BD75" i="9"/>
  <c r="BD98" i="9"/>
  <c r="BD111" i="9"/>
  <c r="DW157" i="5"/>
  <c r="CH114" i="9" l="1"/>
  <c r="CH185" i="9" s="1"/>
  <c r="CH136" i="9" s="1"/>
  <c r="BE97" i="9"/>
  <c r="BE75" i="9" s="1"/>
  <c r="BS42" i="13"/>
  <c r="BT140" i="9"/>
  <c r="BK140" i="9"/>
  <c r="BT97" i="9"/>
  <c r="BT75" i="9" s="1"/>
  <c r="BL75" i="9"/>
  <c r="EH157" i="5" s="1"/>
  <c r="BQ137" i="9"/>
  <c r="BL98" i="9"/>
  <c r="BL103" i="9"/>
  <c r="BE140" i="9"/>
  <c r="BK97" i="9"/>
  <c r="CJ137" i="9"/>
  <c r="CJ139" i="9"/>
  <c r="BR137" i="9"/>
  <c r="BS137" i="9"/>
  <c r="BL141" i="9"/>
  <c r="CB138" i="9"/>
  <c r="BS138" i="9"/>
  <c r="CF43" i="12"/>
  <c r="CE43" i="12"/>
  <c r="BR138" i="9"/>
  <c r="CJ138" i="9"/>
  <c r="BT134" i="9"/>
  <c r="BT96" i="9"/>
  <c r="BT102" i="9" s="1"/>
  <c r="DW166" i="5"/>
  <c r="DW176" i="5" s="1"/>
  <c r="DW177" i="5" s="1"/>
  <c r="DW160" i="5"/>
  <c r="BS139" i="9"/>
  <c r="BR139" i="9"/>
  <c r="BI41" i="13"/>
  <c r="BI42" i="13" s="1"/>
  <c r="BZ186" i="9"/>
  <c r="BZ161" i="9"/>
  <c r="BZ159" i="9"/>
  <c r="BZ135" i="9" s="1"/>
  <c r="BZ160" i="9"/>
  <c r="BZ158" i="9"/>
  <c r="BZ185" i="9"/>
  <c r="BZ136" i="9" s="1"/>
  <c r="BZ184" i="9"/>
  <c r="BZ187" i="9"/>
  <c r="BM185" i="9"/>
  <c r="BM136" i="9" s="1"/>
  <c r="BM158" i="9"/>
  <c r="BM159" i="9"/>
  <c r="BM135" i="9" s="1"/>
  <c r="BM160" i="9"/>
  <c r="BM161" i="9"/>
  <c r="AV41" i="13"/>
  <c r="BM186" i="9"/>
  <c r="BM184" i="9"/>
  <c r="BN114" i="9"/>
  <c r="BM187" i="9"/>
  <c r="BQ162" i="9"/>
  <c r="BQ132" i="9"/>
  <c r="CB139" i="9"/>
  <c r="BS132" i="9"/>
  <c r="BS162" i="9"/>
  <c r="BI141" i="9"/>
  <c r="BR188" i="9"/>
  <c r="BR133" i="9"/>
  <c r="BY160" i="9"/>
  <c r="BY159" i="9"/>
  <c r="BY135" i="9" s="1"/>
  <c r="BY185" i="9"/>
  <c r="BY136" i="9" s="1"/>
  <c r="BY158" i="9"/>
  <c r="BH41" i="13"/>
  <c r="BH42" i="13" s="1"/>
  <c r="BY186" i="9"/>
  <c r="BY161" i="9"/>
  <c r="BU114" i="9"/>
  <c r="BY184" i="9"/>
  <c r="BY187" i="9"/>
  <c r="BY107" i="9"/>
  <c r="CJ188" i="9"/>
  <c r="CJ133" i="9"/>
  <c r="BB12" i="9"/>
  <c r="BB13" i="9"/>
  <c r="BG186" i="9"/>
  <c r="BG185" i="9"/>
  <c r="BG136" i="9" s="1"/>
  <c r="BG160" i="9"/>
  <c r="BG158" i="9"/>
  <c r="BG159" i="9"/>
  <c r="BG135" i="9" s="1"/>
  <c r="AP41" i="13"/>
  <c r="BG161" i="9"/>
  <c r="BG184" i="9"/>
  <c r="BH114" i="9"/>
  <c r="BG187" i="9"/>
  <c r="BF132" i="9"/>
  <c r="BF162" i="9"/>
  <c r="BF138" i="9"/>
  <c r="BQ139" i="9"/>
  <c r="BQ138" i="9"/>
  <c r="CB162" i="9"/>
  <c r="CB163" i="9" s="1"/>
  <c r="CB132" i="9"/>
  <c r="BD104" i="9"/>
  <c r="BD5" i="9"/>
  <c r="BK96" i="9"/>
  <c r="BK134" i="9"/>
  <c r="BD91" i="9"/>
  <c r="BD87" i="9"/>
  <c r="DZ157" i="5"/>
  <c r="BS188" i="9"/>
  <c r="BS133" i="9"/>
  <c r="EF166" i="5"/>
  <c r="EF176" i="5" s="1"/>
  <c r="CG185" i="9"/>
  <c r="CG136" i="9" s="1"/>
  <c r="CG159" i="9"/>
  <c r="CG135" i="9" s="1"/>
  <c r="BP41" i="13"/>
  <c r="CG186" i="9"/>
  <c r="CG160" i="9"/>
  <c r="CG161" i="9"/>
  <c r="CG158" i="9"/>
  <c r="CC114" i="9"/>
  <c r="CG184" i="9"/>
  <c r="CG187" i="9"/>
  <c r="CG107" i="9"/>
  <c r="BR162" i="9"/>
  <c r="BR132" i="9"/>
  <c r="BE134" i="9"/>
  <c r="BE96" i="9"/>
  <c r="CI185" i="9"/>
  <c r="CI136" i="9" s="1"/>
  <c r="CI186" i="9"/>
  <c r="CI160" i="9"/>
  <c r="CI158" i="9"/>
  <c r="CI161" i="9"/>
  <c r="CI159" i="9"/>
  <c r="CI135" i="9" s="1"/>
  <c r="BR41" i="13"/>
  <c r="CI184" i="9"/>
  <c r="CI187" i="9"/>
  <c r="BI75" i="9"/>
  <c r="BI103" i="9"/>
  <c r="BI98" i="9"/>
  <c r="BL102" i="9"/>
  <c r="BF188" i="9"/>
  <c r="BF133" i="9"/>
  <c r="BF137" i="9"/>
  <c r="CB188" i="9"/>
  <c r="CB189" i="9" s="1"/>
  <c r="CB133" i="9"/>
  <c r="CB137" i="9"/>
  <c r="BJ9" i="9"/>
  <c r="CJ132" i="9"/>
  <c r="CJ162" i="9"/>
  <c r="AW87" i="9"/>
  <c r="DS157" i="5"/>
  <c r="DN157" i="5"/>
  <c r="BF139" i="9"/>
  <c r="BQ188" i="9"/>
  <c r="BQ133" i="9"/>
  <c r="CA160" i="9"/>
  <c r="CA185" i="9"/>
  <c r="CA136" i="9" s="1"/>
  <c r="CA159" i="9"/>
  <c r="CA135" i="9" s="1"/>
  <c r="CA161" i="9"/>
  <c r="BJ41" i="13"/>
  <c r="CA186" i="9"/>
  <c r="CA158" i="9"/>
  <c r="CA184" i="9"/>
  <c r="CA187" i="9"/>
  <c r="CH187" i="9" l="1"/>
  <c r="CH160" i="9"/>
  <c r="CH184" i="9"/>
  <c r="CH133" i="9" s="1"/>
  <c r="CH159" i="9"/>
  <c r="CH135" i="9" s="1"/>
  <c r="CH137" i="9" s="1"/>
  <c r="BR140" i="9"/>
  <c r="BQ41" i="13"/>
  <c r="BQ42" i="13" s="1"/>
  <c r="CH158" i="9"/>
  <c r="CH132" i="9" s="1"/>
  <c r="CH161" i="9"/>
  <c r="CH186" i="9"/>
  <c r="CB97" i="9"/>
  <c r="CB111" i="9" s="1"/>
  <c r="BK141" i="9"/>
  <c r="BT111" i="9"/>
  <c r="CB140" i="9"/>
  <c r="BL104" i="9"/>
  <c r="BS140" i="9"/>
  <c r="BT141" i="9"/>
  <c r="CJ140" i="9"/>
  <c r="BL5" i="9"/>
  <c r="BL9" i="9" s="1"/>
  <c r="BL60" i="9" s="1"/>
  <c r="CG137" i="9"/>
  <c r="CJ97" i="9"/>
  <c r="CJ111" i="9" s="1"/>
  <c r="BL87" i="9"/>
  <c r="BL91" i="9"/>
  <c r="BK75" i="9"/>
  <c r="EG157" i="5" s="1"/>
  <c r="BT103" i="9"/>
  <c r="BQ97" i="9"/>
  <c r="BQ103" i="9" s="1"/>
  <c r="BE141" i="9"/>
  <c r="BP42" i="13"/>
  <c r="BZ139" i="9"/>
  <c r="BR97" i="9"/>
  <c r="BR75" i="9" s="1"/>
  <c r="CA138" i="9"/>
  <c r="CI138" i="9"/>
  <c r="BM139" i="9"/>
  <c r="BY137" i="9"/>
  <c r="BM138" i="9"/>
  <c r="CJ163" i="9"/>
  <c r="BY138" i="9"/>
  <c r="BM137" i="9"/>
  <c r="BZ138" i="9"/>
  <c r="BS97" i="9"/>
  <c r="BS103" i="9" s="1"/>
  <c r="BT98" i="9"/>
  <c r="BT5" i="9" s="1"/>
  <c r="CA137" i="9"/>
  <c r="BG137" i="9"/>
  <c r="CA188" i="9"/>
  <c r="CA133" i="9"/>
  <c r="DS160" i="5"/>
  <c r="DS166" i="5"/>
  <c r="AW104" i="9"/>
  <c r="CI137" i="9"/>
  <c r="CI139" i="9"/>
  <c r="CG188" i="9"/>
  <c r="CG133" i="9"/>
  <c r="CG138" i="9"/>
  <c r="DZ166" i="5"/>
  <c r="DZ176" i="5" s="1"/>
  <c r="DZ177" i="5" s="1"/>
  <c r="DZ160" i="5"/>
  <c r="BD67" i="9"/>
  <c r="BD9" i="9"/>
  <c r="Z4" i="4" s="1"/>
  <c r="BG133" i="9"/>
  <c r="BG188" i="9"/>
  <c r="BG162" i="9"/>
  <c r="BG132" i="9"/>
  <c r="CJ189" i="9"/>
  <c r="BY139" i="9"/>
  <c r="BE87" i="9"/>
  <c r="EA157" i="5"/>
  <c r="BE91" i="9"/>
  <c r="BQ134" i="9"/>
  <c r="BQ96" i="9"/>
  <c r="BQ102" i="9" s="1"/>
  <c r="BM188" i="9"/>
  <c r="BM133" i="9"/>
  <c r="CJ134" i="9"/>
  <c r="CJ96" i="9"/>
  <c r="BI5" i="9"/>
  <c r="CG139" i="9"/>
  <c r="CB134" i="9"/>
  <c r="CB96" i="9"/>
  <c r="BF96" i="9"/>
  <c r="BF134" i="9"/>
  <c r="BG138" i="9"/>
  <c r="BY188" i="9"/>
  <c r="BY133" i="9"/>
  <c r="BZ132" i="9"/>
  <c r="BZ162" i="9"/>
  <c r="BT91" i="9"/>
  <c r="EP157" i="5"/>
  <c r="BT87" i="9"/>
  <c r="DN166" i="5"/>
  <c r="DN176" i="5" s="1"/>
  <c r="DN177" i="5" s="1"/>
  <c r="DN160" i="5"/>
  <c r="BJ61" i="9"/>
  <c r="BJ77" i="9"/>
  <c r="BJ62" i="9"/>
  <c r="EF3" i="5"/>
  <c r="CA162" i="9"/>
  <c r="CA132" i="9"/>
  <c r="BJ60" i="9"/>
  <c r="BR96" i="9"/>
  <c r="BR102" i="9" s="1"/>
  <c r="BR134" i="9"/>
  <c r="CC159" i="9"/>
  <c r="CC135" i="9" s="1"/>
  <c r="CC186" i="9"/>
  <c r="CC160" i="9"/>
  <c r="CC158" i="9"/>
  <c r="CC185" i="9"/>
  <c r="CC136" i="9" s="1"/>
  <c r="BL41" i="13"/>
  <c r="CC161" i="9"/>
  <c r="CD114" i="9"/>
  <c r="CC184" i="9"/>
  <c r="CC187" i="9"/>
  <c r="CA139" i="9"/>
  <c r="BF97" i="9"/>
  <c r="CI188" i="9"/>
  <c r="CI133" i="9"/>
  <c r="CI132" i="9"/>
  <c r="CI162" i="9"/>
  <c r="CG132" i="9"/>
  <c r="CG162" i="9"/>
  <c r="CH107" i="9"/>
  <c r="BU185" i="9"/>
  <c r="BU136" i="9" s="1"/>
  <c r="BU186" i="9"/>
  <c r="BU159" i="9"/>
  <c r="BU135" i="9" s="1"/>
  <c r="BU160" i="9"/>
  <c r="BD41" i="13"/>
  <c r="BU158" i="9"/>
  <c r="BU161" i="9"/>
  <c r="BU184" i="9"/>
  <c r="BV114" i="9"/>
  <c r="BU187" i="9"/>
  <c r="BY162" i="9"/>
  <c r="BY132" i="9"/>
  <c r="BZ107" i="9"/>
  <c r="BM132" i="9"/>
  <c r="BM162" i="9"/>
  <c r="EE157" i="5"/>
  <c r="BI91" i="9"/>
  <c r="BI87" i="9"/>
  <c r="EH166" i="5"/>
  <c r="EH176" i="5" s="1"/>
  <c r="EH160" i="5"/>
  <c r="BK98" i="9"/>
  <c r="BQ140" i="9"/>
  <c r="BF140" i="9"/>
  <c r="BH159" i="9"/>
  <c r="BH135" i="9" s="1"/>
  <c r="BH185" i="9"/>
  <c r="BH136" i="9" s="1"/>
  <c r="BH160" i="9"/>
  <c r="BH158" i="9"/>
  <c r="BH161" i="9"/>
  <c r="BH184" i="9"/>
  <c r="AQ41" i="13"/>
  <c r="BH186" i="9"/>
  <c r="BH187" i="9"/>
  <c r="BG139" i="9"/>
  <c r="BE98" i="9"/>
  <c r="BS134" i="9"/>
  <c r="BS96" i="9"/>
  <c r="BS102" i="9" s="1"/>
  <c r="BN185" i="9"/>
  <c r="BN136" i="9" s="1"/>
  <c r="BN159" i="9"/>
  <c r="BN135" i="9" s="1"/>
  <c r="BN160" i="9"/>
  <c r="BN186" i="9"/>
  <c r="AW41" i="13"/>
  <c r="BN161" i="9"/>
  <c r="BN158" i="9"/>
  <c r="BN184" i="9"/>
  <c r="BO114" i="9"/>
  <c r="BN187" i="9"/>
  <c r="BZ188" i="9"/>
  <c r="BZ133" i="9"/>
  <c r="BZ137" i="9"/>
  <c r="CH188" i="9" l="1"/>
  <c r="BR141" i="9"/>
  <c r="CH162" i="9"/>
  <c r="CB103" i="9"/>
  <c r="CB75" i="9"/>
  <c r="EX157" i="5" s="1"/>
  <c r="CH138" i="9"/>
  <c r="CH139" i="9"/>
  <c r="CH97" i="9" s="1"/>
  <c r="BZ97" i="9"/>
  <c r="BZ103" i="9" s="1"/>
  <c r="BL67" i="9"/>
  <c r="BZ140" i="9"/>
  <c r="CJ141" i="9"/>
  <c r="CB141" i="9"/>
  <c r="DW3" i="5"/>
  <c r="DW60" i="5" s="1"/>
  <c r="CJ75" i="9"/>
  <c r="CJ91" i="9" s="1"/>
  <c r="CJ103" i="9"/>
  <c r="CA140" i="9"/>
  <c r="CJ98" i="9"/>
  <c r="BK91" i="9"/>
  <c r="BS141" i="9"/>
  <c r="EH177" i="5"/>
  <c r="CI140" i="9"/>
  <c r="BQ75" i="9"/>
  <c r="EM157" i="5" s="1"/>
  <c r="BT104" i="9"/>
  <c r="BS75" i="9"/>
  <c r="EO157" i="5" s="1"/>
  <c r="BM140" i="9"/>
  <c r="BR103" i="9"/>
  <c r="BM97" i="9"/>
  <c r="BM103" i="9" s="1"/>
  <c r="BY140" i="9"/>
  <c r="BU137" i="9"/>
  <c r="BN138" i="9"/>
  <c r="BR98" i="9"/>
  <c r="BR104" i="9" s="1"/>
  <c r="BH139" i="9"/>
  <c r="BJ64" i="9"/>
  <c r="BQ98" i="9"/>
  <c r="BQ104" i="9" s="1"/>
  <c r="BN139" i="9"/>
  <c r="BH138" i="9"/>
  <c r="CI97" i="9"/>
  <c r="CI75" i="9" s="1"/>
  <c r="BO185" i="9"/>
  <c r="BO136" i="9" s="1"/>
  <c r="BO158" i="9"/>
  <c r="BO186" i="9"/>
  <c r="BO160" i="9"/>
  <c r="AX41" i="13"/>
  <c r="BO159" i="9"/>
  <c r="BO135" i="9" s="1"/>
  <c r="BO161" i="9"/>
  <c r="BP114" i="9"/>
  <c r="BO184" i="9"/>
  <c r="BO187" i="9"/>
  <c r="BE104" i="9"/>
  <c r="BE5" i="9"/>
  <c r="BH162" i="9"/>
  <c r="BH132" i="9"/>
  <c r="BM96" i="9"/>
  <c r="BM102" i="9" s="1"/>
  <c r="BM134" i="9"/>
  <c r="CG96" i="9"/>
  <c r="CG134" i="9"/>
  <c r="CC138" i="9"/>
  <c r="EF11" i="5"/>
  <c r="BG140" i="9"/>
  <c r="BQ141" i="9"/>
  <c r="DX35" i="5"/>
  <c r="BG97" i="9"/>
  <c r="BU132" i="9"/>
  <c r="BU162" i="9"/>
  <c r="BU139" i="9"/>
  <c r="BS98" i="9"/>
  <c r="CI96" i="9"/>
  <c r="CI134" i="9"/>
  <c r="CC139" i="9"/>
  <c r="EP166" i="5"/>
  <c r="EP176" i="5" s="1"/>
  <c r="EP177" i="5" s="1"/>
  <c r="EP160" i="5"/>
  <c r="BZ96" i="9"/>
  <c r="BZ102" i="9" s="1"/>
  <c r="BZ134" i="9"/>
  <c r="BF141" i="9"/>
  <c r="CB102" i="9"/>
  <c r="EG166" i="5"/>
  <c r="EG176" i="5" s="1"/>
  <c r="CB98" i="9"/>
  <c r="BG134" i="9"/>
  <c r="BG96" i="9"/>
  <c r="BD10" i="9"/>
  <c r="BD11" i="9" s="1"/>
  <c r="Z26" i="4" s="1"/>
  <c r="BD71" i="9"/>
  <c r="BD61" i="9"/>
  <c r="BD62" i="9"/>
  <c r="BD28" i="9"/>
  <c r="BD77" i="9"/>
  <c r="BD34" i="9"/>
  <c r="BD46" i="9"/>
  <c r="BU18" i="11"/>
  <c r="BL13" i="9"/>
  <c r="CA97" i="9"/>
  <c r="BN188" i="9"/>
  <c r="BN133" i="9"/>
  <c r="EN157" i="5"/>
  <c r="BR87" i="9"/>
  <c r="BR91" i="9"/>
  <c r="BV160" i="9"/>
  <c r="BV185" i="9"/>
  <c r="BV136" i="9" s="1"/>
  <c r="BV186" i="9"/>
  <c r="BV158" i="9"/>
  <c r="BV159" i="9"/>
  <c r="BV135" i="9" s="1"/>
  <c r="BV161" i="9"/>
  <c r="BW114" i="9"/>
  <c r="BE41" i="13"/>
  <c r="BV184" i="9"/>
  <c r="BV187" i="9"/>
  <c r="CC188" i="9"/>
  <c r="CC133" i="9"/>
  <c r="CC137" i="9"/>
  <c r="CA96" i="9"/>
  <c r="CA102" i="9" s="1"/>
  <c r="CA134" i="9"/>
  <c r="BJ82" i="9"/>
  <c r="BJ74" i="9"/>
  <c r="BJ81" i="9"/>
  <c r="EA166" i="5"/>
  <c r="EA176" i="5" s="1"/>
  <c r="EA160" i="5"/>
  <c r="CG140" i="9"/>
  <c r="AW67" i="9"/>
  <c r="BT67" i="9"/>
  <c r="BT9" i="9"/>
  <c r="BT60" i="9" s="1"/>
  <c r="BN162" i="9"/>
  <c r="BN132" i="9"/>
  <c r="BH188" i="9"/>
  <c r="BH133" i="9"/>
  <c r="BK5" i="9"/>
  <c r="BL10" i="9"/>
  <c r="BL77" i="9"/>
  <c r="BL71" i="9"/>
  <c r="BL62" i="9"/>
  <c r="BL61" i="9"/>
  <c r="BL46" i="9"/>
  <c r="BL28" i="9"/>
  <c r="AA4" i="4"/>
  <c r="BL34" i="9"/>
  <c r="BT13" i="9"/>
  <c r="CC18" i="11"/>
  <c r="BN137" i="9"/>
  <c r="BH137" i="9"/>
  <c r="EE166" i="5"/>
  <c r="EE176" i="5" s="1"/>
  <c r="EE177" i="5" s="1"/>
  <c r="EE160" i="5"/>
  <c r="BY96" i="9"/>
  <c r="BY102" i="9" s="1"/>
  <c r="BY134" i="9"/>
  <c r="BU188" i="9"/>
  <c r="BU133" i="9"/>
  <c r="BU138" i="9"/>
  <c r="BF75" i="9"/>
  <c r="BF98" i="9"/>
  <c r="CH134" i="9"/>
  <c r="CD160" i="9"/>
  <c r="CD159" i="9"/>
  <c r="CD135" i="9" s="1"/>
  <c r="CD185" i="9"/>
  <c r="CD136" i="9" s="1"/>
  <c r="CD158" i="9"/>
  <c r="CD186" i="9"/>
  <c r="BM41" i="13"/>
  <c r="CD161" i="9"/>
  <c r="CD184" i="9"/>
  <c r="CE114" i="9"/>
  <c r="CD187" i="9"/>
  <c r="CC162" i="9"/>
  <c r="CC132" i="9"/>
  <c r="BY97" i="9"/>
  <c r="DW27" i="5"/>
  <c r="DW34" i="5" s="1"/>
  <c r="BI13" i="9"/>
  <c r="BI9" i="9"/>
  <c r="CJ102" i="9"/>
  <c r="BD60" i="9"/>
  <c r="CG97" i="9"/>
  <c r="CH140" i="9" l="1"/>
  <c r="CH141" i="9" s="1"/>
  <c r="CH96" i="9"/>
  <c r="CH102" i="9" s="1"/>
  <c r="CB87" i="9"/>
  <c r="CB91" i="9"/>
  <c r="BZ75" i="9"/>
  <c r="EV157" i="5" s="1"/>
  <c r="BZ141" i="9"/>
  <c r="CJ5" i="9"/>
  <c r="CJ9" i="9" s="1"/>
  <c r="FF157" i="5"/>
  <c r="FF166" i="5" s="1"/>
  <c r="FF176" i="5" s="1"/>
  <c r="CJ87" i="9"/>
  <c r="BM75" i="9"/>
  <c r="BM87" i="9" s="1"/>
  <c r="BQ87" i="9"/>
  <c r="CA141" i="9"/>
  <c r="DW11" i="5"/>
  <c r="DW17" i="5"/>
  <c r="BY141" i="9"/>
  <c r="BS87" i="9"/>
  <c r="CJ104" i="9"/>
  <c r="BQ91" i="9"/>
  <c r="CI141" i="9"/>
  <c r="BU97" i="9"/>
  <c r="BU103" i="9" s="1"/>
  <c r="BM141" i="9"/>
  <c r="BS91" i="9"/>
  <c r="BQ5" i="9"/>
  <c r="BQ67" i="9" s="1"/>
  <c r="BN97" i="9"/>
  <c r="BN75" i="9" s="1"/>
  <c r="BN140" i="9"/>
  <c r="BH97" i="9"/>
  <c r="BH75" i="9" s="1"/>
  <c r="BH140" i="9"/>
  <c r="BL11" i="9"/>
  <c r="AA26" i="4" s="1"/>
  <c r="EH27" i="5" s="1"/>
  <c r="CI98" i="9"/>
  <c r="CI5" i="9" s="1"/>
  <c r="CI103" i="9"/>
  <c r="BD64" i="9"/>
  <c r="CD137" i="9"/>
  <c r="CC140" i="9"/>
  <c r="CD138" i="9"/>
  <c r="CC97" i="9"/>
  <c r="CC75" i="9" s="1"/>
  <c r="BM98" i="9"/>
  <c r="BM104" i="9" s="1"/>
  <c r="BR5" i="9"/>
  <c r="BR9" i="9" s="1"/>
  <c r="CD139" i="9"/>
  <c r="BU140" i="9"/>
  <c r="BL64" i="9"/>
  <c r="BO137" i="9"/>
  <c r="BY103" i="9"/>
  <c r="BY75" i="9"/>
  <c r="BY98" i="9"/>
  <c r="CE159" i="9"/>
  <c r="CE135" i="9" s="1"/>
  <c r="CE186" i="9"/>
  <c r="CE185" i="9"/>
  <c r="CE136" i="9" s="1"/>
  <c r="CE158" i="9"/>
  <c r="BN41" i="13"/>
  <c r="CE161" i="9"/>
  <c r="CE160" i="9"/>
  <c r="CE184" i="9"/>
  <c r="CF114" i="9"/>
  <c r="CE187" i="9"/>
  <c r="AA19" i="4"/>
  <c r="Y79" i="3"/>
  <c r="EH3" i="5"/>
  <c r="AA13" i="4"/>
  <c r="BL82" i="9"/>
  <c r="BL74" i="9"/>
  <c r="BL81" i="9"/>
  <c r="BK9" i="9"/>
  <c r="EX160" i="5"/>
  <c r="EX166" i="5"/>
  <c r="EX176" i="5" s="1"/>
  <c r="EX177" i="5" s="1"/>
  <c r="BW186" i="9"/>
  <c r="BW185" i="9"/>
  <c r="BW136" i="9" s="1"/>
  <c r="BW160" i="9"/>
  <c r="BW158" i="9"/>
  <c r="BW184" i="9"/>
  <c r="BX114" i="9"/>
  <c r="BW159" i="9"/>
  <c r="BW135" i="9" s="1"/>
  <c r="BW161" i="9"/>
  <c r="BF41" i="13"/>
  <c r="BW187" i="9"/>
  <c r="BV139" i="9"/>
  <c r="BD49" i="9"/>
  <c r="BB46" i="9"/>
  <c r="Z65" i="4"/>
  <c r="BD51" i="9"/>
  <c r="Z19" i="4"/>
  <c r="X79" i="3"/>
  <c r="DZ3" i="5"/>
  <c r="Z13" i="4"/>
  <c r="BS104" i="9"/>
  <c r="BS5" i="9"/>
  <c r="EM166" i="5"/>
  <c r="EM176" i="5" s="1"/>
  <c r="EM177" i="5" s="1"/>
  <c r="EM160" i="5"/>
  <c r="BO139" i="9"/>
  <c r="CD162" i="9"/>
  <c r="CD132" i="9"/>
  <c r="AA107" i="4"/>
  <c r="AA115" i="4" s="1"/>
  <c r="BB34" i="9"/>
  <c r="Z96" i="4"/>
  <c r="CH103" i="9"/>
  <c r="CH75" i="9"/>
  <c r="BH134" i="9"/>
  <c r="BH96" i="9"/>
  <c r="BO162" i="9"/>
  <c r="BO132" i="9"/>
  <c r="BI61" i="9"/>
  <c r="BI62" i="9"/>
  <c r="BI10" i="9"/>
  <c r="BI11" i="9" s="1"/>
  <c r="EE27" i="5" s="1"/>
  <c r="BI77" i="9"/>
  <c r="BI46" i="9"/>
  <c r="BJ46" i="9" s="1"/>
  <c r="BI71" i="9"/>
  <c r="BI28" i="9"/>
  <c r="BJ28" i="9" s="1"/>
  <c r="BJ29" i="9" s="1"/>
  <c r="BI34" i="9"/>
  <c r="EE278" i="5" s="1"/>
  <c r="EE323" i="5" s="1"/>
  <c r="EE3" i="5"/>
  <c r="BQ13" i="9"/>
  <c r="BR13" i="9" s="1"/>
  <c r="CD188" i="9"/>
  <c r="CD133" i="9"/>
  <c r="EB157" i="5"/>
  <c r="BF91" i="9"/>
  <c r="BR12" i="9"/>
  <c r="BN134" i="9"/>
  <c r="BN96" i="9"/>
  <c r="BN102" i="9" s="1"/>
  <c r="CA75" i="9"/>
  <c r="CI87" i="9" s="1"/>
  <c r="CA103" i="9"/>
  <c r="CA98" i="9"/>
  <c r="AA65" i="4"/>
  <c r="BL51" i="9"/>
  <c r="AZ12" i="9"/>
  <c r="AZ13" i="9"/>
  <c r="EO160" i="5"/>
  <c r="EO166" i="5"/>
  <c r="EO176" i="5" s="1"/>
  <c r="EO177" i="5" s="1"/>
  <c r="BV188" i="9"/>
  <c r="BV133" i="9"/>
  <c r="BV137" i="9"/>
  <c r="BV138" i="9"/>
  <c r="EN160" i="5"/>
  <c r="EN166" i="5"/>
  <c r="EN176" i="5" s="1"/>
  <c r="EN177" i="5" s="1"/>
  <c r="BD82" i="9"/>
  <c r="BD74" i="9"/>
  <c r="BD81" i="9"/>
  <c r="Z32" i="4"/>
  <c r="DZ27" i="5"/>
  <c r="DZ34" i="5" s="1"/>
  <c r="BG141" i="9"/>
  <c r="CB104" i="9"/>
  <c r="CB5" i="9"/>
  <c r="CI102" i="9"/>
  <c r="BZ98" i="9"/>
  <c r="BG75" i="9"/>
  <c r="BG98" i="9"/>
  <c r="EF13" i="5"/>
  <c r="CG141" i="9"/>
  <c r="BO188" i="9"/>
  <c r="BO133" i="9"/>
  <c r="CC96" i="9"/>
  <c r="CC134" i="9"/>
  <c r="CG75" i="9"/>
  <c r="CG103" i="9"/>
  <c r="CG98" i="9"/>
  <c r="BI60" i="9"/>
  <c r="BF5" i="9"/>
  <c r="AA96" i="4"/>
  <c r="BT10" i="9"/>
  <c r="BT11" i="9" s="1"/>
  <c r="AB26" i="4" s="1"/>
  <c r="EP27" i="5" s="1"/>
  <c r="BT28" i="9"/>
  <c r="BT71" i="9"/>
  <c r="BT77" i="9"/>
  <c r="BT61" i="9"/>
  <c r="BT62" i="9"/>
  <c r="CK9" i="9"/>
  <c r="BT34" i="9"/>
  <c r="AB4" i="4"/>
  <c r="BT46" i="9"/>
  <c r="CB13" i="9"/>
  <c r="CK18" i="11"/>
  <c r="BE13" i="9"/>
  <c r="AW10" i="9"/>
  <c r="AW71" i="9"/>
  <c r="DS3" i="5"/>
  <c r="AW77" i="9"/>
  <c r="EF156" i="5"/>
  <c r="BJ80" i="9"/>
  <c r="BJ83" i="9" s="1"/>
  <c r="BJ90" i="9"/>
  <c r="FE157" i="5"/>
  <c r="CI91" i="9"/>
  <c r="BV162" i="9"/>
  <c r="BV132" i="9"/>
  <c r="BB28" i="9"/>
  <c r="Z107" i="4"/>
  <c r="Z115" i="4" s="1"/>
  <c r="BU96" i="9"/>
  <c r="BU102" i="9" s="1"/>
  <c r="BU134" i="9"/>
  <c r="CG102" i="9"/>
  <c r="BE67" i="9"/>
  <c r="BE9" i="9"/>
  <c r="BE60" i="9" s="1"/>
  <c r="BP185" i="9"/>
  <c r="BP136" i="9" s="1"/>
  <c r="BP159" i="9"/>
  <c r="BP135" i="9" s="1"/>
  <c r="BP186" i="9"/>
  <c r="BP158" i="9"/>
  <c r="BP160" i="9"/>
  <c r="AY41" i="13"/>
  <c r="BP161" i="9"/>
  <c r="BP184" i="9"/>
  <c r="BP187" i="9"/>
  <c r="BO138" i="9"/>
  <c r="CH98" i="9" l="1"/>
  <c r="BZ87" i="9"/>
  <c r="BZ91" i="9"/>
  <c r="CJ67" i="9"/>
  <c r="BQ9" i="9"/>
  <c r="BQ60" i="9" s="1"/>
  <c r="CC141" i="9"/>
  <c r="FF160" i="5"/>
  <c r="BH141" i="9"/>
  <c r="BM91" i="9"/>
  <c r="EI157" i="5"/>
  <c r="EI160" i="5" s="1"/>
  <c r="FF177" i="5"/>
  <c r="BU75" i="9"/>
  <c r="CC87" i="9" s="1"/>
  <c r="DW24" i="5"/>
  <c r="DW37" i="5" s="1"/>
  <c r="DW36" i="5" s="1"/>
  <c r="DW13" i="5"/>
  <c r="BV97" i="9"/>
  <c r="BV75" i="9" s="1"/>
  <c r="CI104" i="9"/>
  <c r="BU141" i="9"/>
  <c r="BN103" i="9"/>
  <c r="CC103" i="9"/>
  <c r="DS27" i="5"/>
  <c r="DS34" i="5" s="1"/>
  <c r="AW13" i="9"/>
  <c r="BN141" i="9"/>
  <c r="AA32" i="4"/>
  <c r="EE34" i="5"/>
  <c r="BM5" i="9"/>
  <c r="BM9" i="9" s="1"/>
  <c r="BN98" i="9"/>
  <c r="BN104" i="9" s="1"/>
  <c r="BR67" i="9"/>
  <c r="CD140" i="9"/>
  <c r="BO140" i="9"/>
  <c r="BO97" i="9"/>
  <c r="BO103" i="9" s="1"/>
  <c r="BV140" i="9"/>
  <c r="CD97" i="9"/>
  <c r="CD75" i="9" s="1"/>
  <c r="AW64" i="9"/>
  <c r="BP137" i="9"/>
  <c r="BJ34" i="9"/>
  <c r="BJ35" i="9" s="1"/>
  <c r="CC102" i="9"/>
  <c r="BD54" i="9"/>
  <c r="BD55" i="9" s="1"/>
  <c r="BP139" i="9"/>
  <c r="BT64" i="9"/>
  <c r="BI64" i="9"/>
  <c r="BJ47" i="9"/>
  <c r="CJ62" i="9"/>
  <c r="CJ61" i="9"/>
  <c r="CJ77" i="9"/>
  <c r="CJ28" i="9"/>
  <c r="CJ46" i="9"/>
  <c r="CJ34" i="9"/>
  <c r="AD4" i="4"/>
  <c r="DA18" i="11"/>
  <c r="CG104" i="9"/>
  <c r="CG5" i="9"/>
  <c r="BD80" i="9"/>
  <c r="BD83" i="9" s="1"/>
  <c r="BD90" i="9"/>
  <c r="BD86" i="9"/>
  <c r="DZ156" i="5"/>
  <c r="EV166" i="5"/>
  <c r="EV176" i="5" s="1"/>
  <c r="EV177" i="5" s="1"/>
  <c r="EV160" i="5"/>
  <c r="AW82" i="9"/>
  <c r="AW81" i="9"/>
  <c r="E4" i="16"/>
  <c r="EP3" i="5"/>
  <c r="Z79" i="3"/>
  <c r="AB19" i="4"/>
  <c r="AB13" i="4"/>
  <c r="BU98" i="9"/>
  <c r="BG5" i="9"/>
  <c r="BZ104" i="9"/>
  <c r="BZ5" i="9"/>
  <c r="EW157" i="5"/>
  <c r="FE160" i="5" s="1"/>
  <c r="CA87" i="9"/>
  <c r="CA91" i="9"/>
  <c r="BH98" i="9"/>
  <c r="BI82" i="9"/>
  <c r="BI74" i="9"/>
  <c r="BI81" i="9"/>
  <c r="CH104" i="9"/>
  <c r="CH5" i="9"/>
  <c r="Z72" i="4"/>
  <c r="Z73" i="4" s="1"/>
  <c r="BW137" i="9"/>
  <c r="BW138" i="9"/>
  <c r="CC91" i="9"/>
  <c r="EY157" i="5"/>
  <c r="EH17" i="5"/>
  <c r="EH11" i="5"/>
  <c r="EP34" i="5" s="1"/>
  <c r="CE138" i="9"/>
  <c r="BY87" i="9"/>
  <c r="EU157" i="5"/>
  <c r="BY91" i="9"/>
  <c r="BP162" i="9"/>
  <c r="BP132" i="9"/>
  <c r="X16" i="6"/>
  <c r="Z121" i="4"/>
  <c r="Z118" i="4"/>
  <c r="FE166" i="5"/>
  <c r="FE176" i="5" s="1"/>
  <c r="EF158" i="5"/>
  <c r="EF165" i="5"/>
  <c r="EF170" i="5"/>
  <c r="BN87" i="9"/>
  <c r="EJ157" i="5"/>
  <c r="BN91" i="9"/>
  <c r="DS17" i="5"/>
  <c r="DS11" i="5"/>
  <c r="AB96" i="4"/>
  <c r="AB107" i="4"/>
  <c r="AB115" i="4" s="1"/>
  <c r="BF9" i="9"/>
  <c r="BF60" i="9" s="1"/>
  <c r="FC157" i="5"/>
  <c r="CG87" i="9"/>
  <c r="CG91" i="9"/>
  <c r="AA76" i="4"/>
  <c r="AA82" i="4" s="1"/>
  <c r="ED157" i="5"/>
  <c r="BH91" i="9"/>
  <c r="EE257" i="5"/>
  <c r="EE260" i="5" s="1"/>
  <c r="EE313" i="5"/>
  <c r="BO96" i="9"/>
  <c r="BO102" i="9" s="1"/>
  <c r="BO134" i="9"/>
  <c r="BR10" i="9"/>
  <c r="BR11" i="9" s="1"/>
  <c r="EN27" i="5" s="1"/>
  <c r="EN34" i="5" s="1"/>
  <c r="BR71" i="9"/>
  <c r="BR61" i="9"/>
  <c r="BR62" i="9"/>
  <c r="BR77" i="9"/>
  <c r="EN3" i="5"/>
  <c r="CH91" i="9"/>
  <c r="CH87" i="9"/>
  <c r="FD157" i="5"/>
  <c r="CD134" i="9"/>
  <c r="CD96" i="9"/>
  <c r="DZ17" i="5"/>
  <c r="DZ11" i="5"/>
  <c r="DW14" i="5" s="1"/>
  <c r="BX159" i="9"/>
  <c r="BX135" i="9" s="1"/>
  <c r="BX185" i="9"/>
  <c r="BX136" i="9" s="1"/>
  <c r="BX160" i="9"/>
  <c r="BX186" i="9"/>
  <c r="BG41" i="13"/>
  <c r="BX161" i="9"/>
  <c r="BX158" i="9"/>
  <c r="BX184" i="9"/>
  <c r="BX187" i="9"/>
  <c r="BK61" i="9"/>
  <c r="BK62" i="9"/>
  <c r="BK77" i="9"/>
  <c r="EG3" i="5"/>
  <c r="BL80" i="9"/>
  <c r="BL83" i="9" s="1"/>
  <c r="BL86" i="9"/>
  <c r="EH156" i="5"/>
  <c r="BL90" i="9"/>
  <c r="CE139" i="9"/>
  <c r="BP188" i="9"/>
  <c r="BP133" i="9"/>
  <c r="BM13" i="9"/>
  <c r="BE10" i="9"/>
  <c r="BE11" i="9" s="1"/>
  <c r="EA27" i="5" s="1"/>
  <c r="BE71" i="9"/>
  <c r="BE77" i="9"/>
  <c r="BE61" i="9"/>
  <c r="BE62" i="9"/>
  <c r="EA3" i="5"/>
  <c r="AB65" i="4"/>
  <c r="BT51" i="9"/>
  <c r="CJ60" i="9"/>
  <c r="BG91" i="9"/>
  <c r="EC157" i="5"/>
  <c r="CB67" i="9"/>
  <c r="CB9" i="9"/>
  <c r="CJ10" i="9" s="1"/>
  <c r="BP138" i="9"/>
  <c r="BV96" i="9"/>
  <c r="BV102" i="9" s="1"/>
  <c r="BV134" i="9"/>
  <c r="BT82" i="9"/>
  <c r="BT74" i="9"/>
  <c r="BT81" i="9"/>
  <c r="CI9" i="9"/>
  <c r="AA72" i="4"/>
  <c r="AA73" i="4" s="1"/>
  <c r="CA104" i="9"/>
  <c r="CA5" i="9"/>
  <c r="BQ71" i="9"/>
  <c r="EE11" i="5"/>
  <c r="EE17" i="5"/>
  <c r="BW188" i="9"/>
  <c r="BW133" i="9"/>
  <c r="BW139" i="9"/>
  <c r="AB32" i="4"/>
  <c r="CF158" i="9"/>
  <c r="CF186" i="9"/>
  <c r="CF185" i="9"/>
  <c r="CF136" i="9" s="1"/>
  <c r="BO41" i="13"/>
  <c r="CF161" i="9"/>
  <c r="CF160" i="9"/>
  <c r="CF159" i="9"/>
  <c r="CF135" i="9" s="1"/>
  <c r="CF184" i="9"/>
  <c r="CF187" i="9"/>
  <c r="CE137" i="9"/>
  <c r="EB166" i="5"/>
  <c r="EB176" i="5" s="1"/>
  <c r="DW156" i="5"/>
  <c r="BI51" i="9"/>
  <c r="EE275" i="5" s="1"/>
  <c r="BR60" i="9"/>
  <c r="AA121" i="4"/>
  <c r="Y16" i="6"/>
  <c r="AA118" i="4"/>
  <c r="BS67" i="9"/>
  <c r="BS9" i="9"/>
  <c r="BS60" i="9" s="1"/>
  <c r="Z35" i="4"/>
  <c r="Z23" i="4"/>
  <c r="Z16" i="4"/>
  <c r="X64" i="6" s="1"/>
  <c r="X8" i="6"/>
  <c r="AA34" i="4"/>
  <c r="EH35" i="5" s="1"/>
  <c r="BB51" i="9"/>
  <c r="BB52" i="9" s="1"/>
  <c r="Z76" i="4"/>
  <c r="Z82" i="4" s="1"/>
  <c r="BL49" i="9"/>
  <c r="BA21" i="9"/>
  <c r="BW162" i="9"/>
  <c r="BW132" i="9"/>
  <c r="CC98" i="9"/>
  <c r="BK60" i="9"/>
  <c r="AA16" i="4"/>
  <c r="Y64" i="6" s="1"/>
  <c r="AA35" i="4"/>
  <c r="AA23" i="4"/>
  <c r="Y8" i="6"/>
  <c r="AB34" i="4"/>
  <c r="EP35" i="5" s="1"/>
  <c r="CE188" i="9"/>
  <c r="CE133" i="9"/>
  <c r="CE162" i="9"/>
  <c r="CE132" i="9"/>
  <c r="BY104" i="9"/>
  <c r="BY5" i="9"/>
  <c r="BQ62" i="9" l="1"/>
  <c r="BQ46" i="9"/>
  <c r="BR46" i="9" s="1"/>
  <c r="BQ77" i="9"/>
  <c r="BQ74" i="9" s="1"/>
  <c r="BQ34" i="9"/>
  <c r="EM278" i="5" s="1"/>
  <c r="EM323" i="5" s="1"/>
  <c r="BY13" i="9"/>
  <c r="BZ13" i="9" s="1"/>
  <c r="BQ10" i="9"/>
  <c r="BQ11" i="9" s="1"/>
  <c r="EM27" i="5" s="1"/>
  <c r="EM34" i="5" s="1"/>
  <c r="EM3" i="5"/>
  <c r="EM17" i="5" s="1"/>
  <c r="BQ61" i="9"/>
  <c r="BQ28" i="9"/>
  <c r="EM257" i="5" s="1"/>
  <c r="EM260" i="5" s="1"/>
  <c r="EI166" i="5"/>
  <c r="EI176" i="5" s="1"/>
  <c r="EI177" i="5" s="1"/>
  <c r="BZ12" i="9"/>
  <c r="EQ157" i="5"/>
  <c r="EY160" i="5" s="1"/>
  <c r="BU91" i="9"/>
  <c r="BU87" i="9"/>
  <c r="BM67" i="9"/>
  <c r="BV141" i="9"/>
  <c r="BV103" i="9"/>
  <c r="CJ64" i="9"/>
  <c r="DW69" i="5"/>
  <c r="DW77" i="5" s="1"/>
  <c r="DW92" i="5" s="1"/>
  <c r="DW115" i="5" s="1"/>
  <c r="DW67" i="5"/>
  <c r="BN5" i="9"/>
  <c r="BN67" i="9" s="1"/>
  <c r="CD103" i="9"/>
  <c r="CD141" i="9"/>
  <c r="CF137" i="9"/>
  <c r="BN12" i="9"/>
  <c r="BO141" i="9"/>
  <c r="BP97" i="9"/>
  <c r="BP75" i="9" s="1"/>
  <c r="BP140" i="9"/>
  <c r="BO75" i="9"/>
  <c r="BO87" i="9" s="1"/>
  <c r="EN35" i="5"/>
  <c r="CE97" i="9"/>
  <c r="CE75" i="9" s="1"/>
  <c r="AA86" i="4"/>
  <c r="AA92" i="4" s="1"/>
  <c r="Y68" i="6" s="1"/>
  <c r="BK64" i="9"/>
  <c r="CF138" i="9"/>
  <c r="CF139" i="9"/>
  <c r="EA34" i="5"/>
  <c r="BB49" i="9"/>
  <c r="BB54" i="9" s="1"/>
  <c r="BD21" i="9"/>
  <c r="BX139" i="9"/>
  <c r="BW97" i="9"/>
  <c r="BW103" i="9" s="1"/>
  <c r="CB60" i="9"/>
  <c r="BX138" i="9"/>
  <c r="BR64" i="9"/>
  <c r="BV98" i="9"/>
  <c r="BV104" i="9" s="1"/>
  <c r="BE64" i="9"/>
  <c r="BX137" i="9"/>
  <c r="EH34" i="5"/>
  <c r="BR47" i="9"/>
  <c r="Y106" i="8"/>
  <c r="Y66" i="6"/>
  <c r="Y13" i="3"/>
  <c r="Y112" i="8"/>
  <c r="Y121" i="8" s="1"/>
  <c r="Y11" i="8" s="1"/>
  <c r="Y116" i="8"/>
  <c r="Y126" i="8" s="1"/>
  <c r="Y87" i="8"/>
  <c r="Y11" i="6"/>
  <c r="Y108" i="8"/>
  <c r="Y120" i="8" s="1"/>
  <c r="CC104" i="9"/>
  <c r="CC5" i="9"/>
  <c r="BT49" i="9"/>
  <c r="BI49" i="9"/>
  <c r="BJ49" i="9" s="1"/>
  <c r="BM10" i="9"/>
  <c r="BM11" i="9" s="1"/>
  <c r="EI27" i="5" s="1"/>
  <c r="BU13" i="9"/>
  <c r="BM71" i="9"/>
  <c r="BM62" i="9"/>
  <c r="BM61" i="9"/>
  <c r="BM77" i="9"/>
  <c r="EI3" i="5"/>
  <c r="AA119" i="4"/>
  <c r="Y71" i="6"/>
  <c r="DV35" i="5"/>
  <c r="BT80" i="9"/>
  <c r="BT83" i="9" s="1"/>
  <c r="BT90" i="9"/>
  <c r="BT86" i="9"/>
  <c r="EP156" i="5"/>
  <c r="AB72" i="4"/>
  <c r="AB73" i="4" s="1"/>
  <c r="AA83" i="4"/>
  <c r="Y86" i="8"/>
  <c r="DS24" i="5"/>
  <c r="DS37" i="5" s="1"/>
  <c r="DS36" i="5" s="1"/>
  <c r="DS13" i="5"/>
  <c r="DS14" i="5"/>
  <c r="BP134" i="9"/>
  <c r="BP96" i="9"/>
  <c r="BP102" i="9" s="1"/>
  <c r="EU160" i="5"/>
  <c r="EU166" i="5"/>
  <c r="EU176" i="5" s="1"/>
  <c r="EU177" i="5" s="1"/>
  <c r="EH24" i="5"/>
  <c r="EH37" i="5" s="1"/>
  <c r="EH13" i="5"/>
  <c r="CC19" i="11"/>
  <c r="EF14" i="5"/>
  <c r="CD87" i="9"/>
  <c r="CD91" i="9"/>
  <c r="EZ157" i="5"/>
  <c r="DN156" i="5"/>
  <c r="BG9" i="9"/>
  <c r="AB16" i="4"/>
  <c r="Z64" i="6" s="1"/>
  <c r="AB23" i="4"/>
  <c r="AB35" i="4"/>
  <c r="Z8" i="6"/>
  <c r="AC34" i="4"/>
  <c r="EX35" i="5" s="1"/>
  <c r="EP17" i="5"/>
  <c r="EP11" i="5"/>
  <c r="AD96" i="4"/>
  <c r="CJ71" i="9"/>
  <c r="BY67" i="9"/>
  <c r="BY9" i="9"/>
  <c r="BY60" i="9" s="1"/>
  <c r="CD102" i="9"/>
  <c r="ED166" i="5"/>
  <c r="ED176" i="5" s="1"/>
  <c r="BJ51" i="9"/>
  <c r="EJ166" i="5"/>
  <c r="EJ176" i="5" s="1"/>
  <c r="EJ177" i="5" s="1"/>
  <c r="EJ160" i="5"/>
  <c r="Z119" i="4"/>
  <c r="X71" i="6"/>
  <c r="EY166" i="5"/>
  <c r="EY176" i="5" s="1"/>
  <c r="Z86" i="4"/>
  <c r="Z92" i="4" s="1"/>
  <c r="BI80" i="9"/>
  <c r="BI83" i="9" s="1"/>
  <c r="BI86" i="9"/>
  <c r="BI90" i="9"/>
  <c r="EE156" i="5"/>
  <c r="CD98" i="9"/>
  <c r="AW80" i="9"/>
  <c r="AW83" i="9" s="1"/>
  <c r="AW86" i="9"/>
  <c r="DS156" i="5"/>
  <c r="DZ170" i="5"/>
  <c r="DZ171" i="5" s="1"/>
  <c r="DZ165" i="5"/>
  <c r="DZ159" i="5"/>
  <c r="DZ158" i="5"/>
  <c r="CG67" i="9"/>
  <c r="CG9" i="9"/>
  <c r="CG60" i="9" s="1"/>
  <c r="AD65" i="4"/>
  <c r="CJ51" i="9"/>
  <c r="EE24" i="5"/>
  <c r="EE37" i="5" s="1"/>
  <c r="EE36" i="5" s="1"/>
  <c r="EE14" i="5"/>
  <c r="EE13" i="5"/>
  <c r="CI62" i="9"/>
  <c r="CI77" i="9"/>
  <c r="FE3" i="5"/>
  <c r="CI61" i="9"/>
  <c r="EC166" i="5"/>
  <c r="EC176" i="5" s="1"/>
  <c r="EA17" i="5"/>
  <c r="EA11" i="5"/>
  <c r="EG11" i="5"/>
  <c r="BX188" i="9"/>
  <c r="BX133" i="9"/>
  <c r="Z83" i="4"/>
  <c r="X86" i="8"/>
  <c r="BM60" i="9"/>
  <c r="BL54" i="9"/>
  <c r="CF132" i="9"/>
  <c r="CF162" i="9"/>
  <c r="CA67" i="9"/>
  <c r="CA9" i="9"/>
  <c r="CI10" i="9" s="1"/>
  <c r="CI67" i="9"/>
  <c r="ER157" i="5"/>
  <c r="BV91" i="9"/>
  <c r="BV87" i="9"/>
  <c r="BE82" i="9"/>
  <c r="BE74" i="9"/>
  <c r="BE81" i="9"/>
  <c r="EH170" i="5"/>
  <c r="EH159" i="5"/>
  <c r="EH165" i="5"/>
  <c r="EH158" i="5"/>
  <c r="BK82" i="9"/>
  <c r="BK74" i="9"/>
  <c r="BK81" i="9"/>
  <c r="BX162" i="9"/>
  <c r="BX132" i="9"/>
  <c r="FD160" i="5"/>
  <c r="FD166" i="5"/>
  <c r="FD176" i="5" s="1"/>
  <c r="FD177" i="5" s="1"/>
  <c r="EN17" i="5"/>
  <c r="EN11" i="5"/>
  <c r="BN13" i="9"/>
  <c r="FC166" i="5"/>
  <c r="FC176" i="5" s="1"/>
  <c r="FC160" i="5"/>
  <c r="AB121" i="4"/>
  <c r="AB118" i="4"/>
  <c r="Z16" i="6"/>
  <c r="EF167" i="5"/>
  <c r="CH67" i="9"/>
  <c r="CH9" i="9"/>
  <c r="CH60" i="9" s="1"/>
  <c r="BH5" i="9"/>
  <c r="EW166" i="5"/>
  <c r="EW176" i="5" s="1"/>
  <c r="EW177" i="5" s="1"/>
  <c r="EW160" i="5"/>
  <c r="BZ67" i="9"/>
  <c r="BZ9" i="9"/>
  <c r="E5" i="16"/>
  <c r="E12" i="16"/>
  <c r="E13" i="16" s="1"/>
  <c r="AD107" i="4"/>
  <c r="AD115" i="4" s="1"/>
  <c r="BW134" i="9"/>
  <c r="BW96" i="9"/>
  <c r="BW102" i="9" s="1"/>
  <c r="X112" i="8"/>
  <c r="X121" i="8" s="1"/>
  <c r="X11" i="8" s="1"/>
  <c r="X13" i="3"/>
  <c r="X24" i="3" s="1"/>
  <c r="X11" i="6"/>
  <c r="X87" i="8"/>
  <c r="X116" i="8"/>
  <c r="X126" i="8" s="1"/>
  <c r="X108" i="8"/>
  <c r="X120" i="8" s="1"/>
  <c r="EF313" i="5"/>
  <c r="CE96" i="9"/>
  <c r="CE134" i="9"/>
  <c r="X66" i="6"/>
  <c r="X106" i="8"/>
  <c r="BS10" i="9"/>
  <c r="EO3" i="5"/>
  <c r="BS61" i="9"/>
  <c r="BS62" i="9"/>
  <c r="BS71" i="9"/>
  <c r="BS77" i="9"/>
  <c r="DW170" i="5"/>
  <c r="DW171" i="5" s="1"/>
  <c r="DW159" i="5"/>
  <c r="DW165" i="5"/>
  <c r="DW158" i="5"/>
  <c r="CF188" i="9"/>
  <c r="CF133" i="9"/>
  <c r="CI60" i="9"/>
  <c r="CB10" i="9"/>
  <c r="CB11" i="9" s="1"/>
  <c r="AC26" i="4" s="1"/>
  <c r="CB77" i="9"/>
  <c r="CB62" i="9"/>
  <c r="CB28" i="9"/>
  <c r="CB71" i="9"/>
  <c r="CB61" i="9"/>
  <c r="CB46" i="9"/>
  <c r="AC4" i="4"/>
  <c r="CB34" i="9"/>
  <c r="CJ13" i="9"/>
  <c r="CJ11" i="9" s="1"/>
  <c r="AD26" i="4" s="1"/>
  <c r="FF27" i="5" s="1"/>
  <c r="CS18" i="11"/>
  <c r="AB76" i="4"/>
  <c r="AB82" i="4" s="1"/>
  <c r="DZ13" i="5"/>
  <c r="DZ24" i="5"/>
  <c r="DZ37" i="5" s="1"/>
  <c r="BU19" i="11"/>
  <c r="BR74" i="9"/>
  <c r="BR82" i="9"/>
  <c r="BR81" i="9"/>
  <c r="BF62" i="9"/>
  <c r="BF61" i="9"/>
  <c r="BF77" i="9"/>
  <c r="EB3" i="5"/>
  <c r="DX313" i="5"/>
  <c r="CE140" i="9"/>
  <c r="BW140" i="9"/>
  <c r="BO98" i="9"/>
  <c r="BU104" i="9"/>
  <c r="BU5" i="9"/>
  <c r="AB79" i="3"/>
  <c r="FF3" i="5"/>
  <c r="AD13" i="4"/>
  <c r="CJ82" i="9"/>
  <c r="CJ74" i="9"/>
  <c r="CJ81" i="9"/>
  <c r="BQ81" i="9" l="1"/>
  <c r="BQ64" i="9"/>
  <c r="BQ82" i="9"/>
  <c r="BQ51" i="9"/>
  <c r="EM275" i="5" s="1"/>
  <c r="BR34" i="9"/>
  <c r="BR35" i="9" s="1"/>
  <c r="EM11" i="5"/>
  <c r="EM24" i="5" s="1"/>
  <c r="EM37" i="5" s="1"/>
  <c r="EM36" i="5" s="1"/>
  <c r="BR28" i="9"/>
  <c r="BR29" i="9" s="1"/>
  <c r="EM313" i="5"/>
  <c r="EQ166" i="5"/>
  <c r="EQ176" i="5" s="1"/>
  <c r="EQ177" i="5" s="1"/>
  <c r="EQ160" i="5"/>
  <c r="CF97" i="9"/>
  <c r="CF75" i="9" s="1"/>
  <c r="CE98" i="9"/>
  <c r="CE5" i="9" s="1"/>
  <c r="BP103" i="9"/>
  <c r="BN9" i="9"/>
  <c r="BN61" i="9" s="1"/>
  <c r="AA93" i="4"/>
  <c r="BX140" i="9"/>
  <c r="BX97" i="9"/>
  <c r="EK157" i="5"/>
  <c r="EK166" i="5" s="1"/>
  <c r="EK176" i="5" s="1"/>
  <c r="EK177" i="5" s="1"/>
  <c r="DW119" i="5"/>
  <c r="DW256" i="5"/>
  <c r="DW268" i="5" s="1"/>
  <c r="DW273" i="5" s="1"/>
  <c r="DW296" i="5" s="1"/>
  <c r="DW298" i="5" s="1"/>
  <c r="DW301" i="5" s="1"/>
  <c r="BV5" i="9"/>
  <c r="BV67" i="9" s="1"/>
  <c r="BO91" i="9"/>
  <c r="AD19" i="4"/>
  <c r="BW75" i="9"/>
  <c r="BW91" i="9" s="1"/>
  <c r="CE103" i="9"/>
  <c r="CH12" i="9"/>
  <c r="BP141" i="9"/>
  <c r="BP98" i="9"/>
  <c r="BP104" i="9" s="1"/>
  <c r="BI54" i="9"/>
  <c r="BI55" i="9" s="1"/>
  <c r="EI34" i="5"/>
  <c r="CI64" i="9"/>
  <c r="CF140" i="9"/>
  <c r="FC177" i="5"/>
  <c r="BM64" i="9"/>
  <c r="CB64" i="9"/>
  <c r="CA60" i="9"/>
  <c r="BF64" i="9"/>
  <c r="BS64" i="9"/>
  <c r="EH171" i="5"/>
  <c r="AB83" i="4"/>
  <c r="Z86" i="8"/>
  <c r="EO17" i="5"/>
  <c r="EO11" i="5"/>
  <c r="CE141" i="9"/>
  <c r="X123" i="8"/>
  <c r="X10" i="8"/>
  <c r="BZ10" i="9"/>
  <c r="BZ11" i="9" s="1"/>
  <c r="EV27" i="5" s="1"/>
  <c r="EV34" i="5" s="1"/>
  <c r="BZ61" i="9"/>
  <c r="BZ62" i="9"/>
  <c r="BZ77" i="9"/>
  <c r="BZ71" i="9"/>
  <c r="EV3" i="5"/>
  <c r="BK80" i="9"/>
  <c r="BK83" i="9" s="1"/>
  <c r="BK90" i="9"/>
  <c r="EG156" i="5"/>
  <c r="EL157" i="5"/>
  <c r="BP91" i="9"/>
  <c r="BP87" i="9"/>
  <c r="ER166" i="5"/>
  <c r="ER176" i="5" s="1"/>
  <c r="ER177" i="5" s="1"/>
  <c r="ER160" i="5"/>
  <c r="CF134" i="9"/>
  <c r="CF96" i="9"/>
  <c r="BB21" i="9"/>
  <c r="EG14" i="5"/>
  <c r="EG13" i="5"/>
  <c r="AD72" i="4"/>
  <c r="AD73" i="4" s="1"/>
  <c r="EE170" i="5"/>
  <c r="EE171" i="5" s="1"/>
  <c r="EE159" i="5"/>
  <c r="EE165" i="5"/>
  <c r="EE158" i="5"/>
  <c r="X68" i="6"/>
  <c r="Z93" i="4"/>
  <c r="BG62" i="9"/>
  <c r="BG61" i="9"/>
  <c r="BG77" i="9"/>
  <c r="EC3" i="5"/>
  <c r="BS12" i="9"/>
  <c r="FE177" i="5"/>
  <c r="EI17" i="5"/>
  <c r="EI11" i="5"/>
  <c r="BQ49" i="9"/>
  <c r="CB49" i="9"/>
  <c r="BT54" i="9"/>
  <c r="Y128" i="8"/>
  <c r="Y33" i="8"/>
  <c r="FE11" i="5"/>
  <c r="AB86" i="4"/>
  <c r="AB92" i="4" s="1"/>
  <c r="BM82" i="9"/>
  <c r="BM74" i="9"/>
  <c r="BM81" i="9"/>
  <c r="CC9" i="9"/>
  <c r="CC67" i="9"/>
  <c r="EX27" i="5"/>
  <c r="EX34" i="5" s="1"/>
  <c r="AC32" i="4"/>
  <c r="CJ80" i="9"/>
  <c r="CJ83" i="9" s="1"/>
  <c r="CJ90" i="9"/>
  <c r="FF156" i="5"/>
  <c r="AC96" i="4"/>
  <c r="X33" i="8"/>
  <c r="X30" i="7" s="1"/>
  <c r="DZ270" i="5" s="1"/>
  <c r="X128" i="8"/>
  <c r="BX96" i="9"/>
  <c r="BX102" i="9" s="1"/>
  <c r="BX134" i="9"/>
  <c r="BL55" i="9"/>
  <c r="BL21" i="9"/>
  <c r="EB11" i="5"/>
  <c r="AA79" i="3"/>
  <c r="AC19" i="4"/>
  <c r="EX3" i="5"/>
  <c r="FF17" i="5" s="1"/>
  <c r="AC13" i="4"/>
  <c r="BW98" i="9"/>
  <c r="Y111" i="8"/>
  <c r="X111" i="8"/>
  <c r="AB16" i="6"/>
  <c r="AD121" i="4"/>
  <c r="AD118" i="4"/>
  <c r="BZ60" i="9"/>
  <c r="Z71" i="6"/>
  <c r="AB119" i="4"/>
  <c r="EH161" i="5"/>
  <c r="EH167" i="5"/>
  <c r="BE80" i="9"/>
  <c r="BE83" i="9" s="1"/>
  <c r="BE86" i="9"/>
  <c r="BE90" i="9"/>
  <c r="EA156" i="5"/>
  <c r="CA10" i="9"/>
  <c r="CA62" i="9"/>
  <c r="CA71" i="9"/>
  <c r="EW3" i="5"/>
  <c r="CA61" i="9"/>
  <c r="CA77" i="9"/>
  <c r="DZ275" i="5"/>
  <c r="DX275" i="5" s="1"/>
  <c r="X80" i="8"/>
  <c r="CI71" i="9"/>
  <c r="DZ167" i="5"/>
  <c r="DZ168" i="5" s="1"/>
  <c r="DZ161" i="5"/>
  <c r="DS158" i="5"/>
  <c r="DS159" i="5"/>
  <c r="DS170" i="5"/>
  <c r="DS171" i="5" s="1"/>
  <c r="DS165" i="5"/>
  <c r="BJ52" i="9"/>
  <c r="BJ54" i="9"/>
  <c r="EP24" i="5"/>
  <c r="EP37" i="5" s="1"/>
  <c r="EP13" i="5"/>
  <c r="CK19" i="11"/>
  <c r="Z66" i="6"/>
  <c r="Z106" i="8"/>
  <c r="BG60" i="9"/>
  <c r="DN165" i="5"/>
  <c r="DN159" i="5"/>
  <c r="DN170" i="5"/>
  <c r="DN171" i="5" s="1"/>
  <c r="DN158" i="5"/>
  <c r="EH275" i="5"/>
  <c r="EF275" i="5" s="1"/>
  <c r="Y80" i="8"/>
  <c r="EP158" i="5"/>
  <c r="EP170" i="5"/>
  <c r="EP171" i="5" s="1"/>
  <c r="EP159" i="5"/>
  <c r="EP165" i="5"/>
  <c r="Y14" i="7"/>
  <c r="Y24" i="3"/>
  <c r="FF11" i="5"/>
  <c r="BU67" i="9"/>
  <c r="BU9" i="9"/>
  <c r="BF82" i="9"/>
  <c r="BF74" i="9"/>
  <c r="BF81" i="9"/>
  <c r="AC107" i="4"/>
  <c r="AC115" i="4" s="1"/>
  <c r="CE102" i="9"/>
  <c r="BW141" i="9"/>
  <c r="BH9" i="9"/>
  <c r="AD16" i="4"/>
  <c r="AB64" i="6" s="1"/>
  <c r="AB8" i="6"/>
  <c r="BO104" i="9"/>
  <c r="BO5" i="9"/>
  <c r="BR80" i="9"/>
  <c r="BR83" i="9" s="1"/>
  <c r="BR86" i="9"/>
  <c r="BR90" i="9"/>
  <c r="EN156" i="5"/>
  <c r="AC65" i="4"/>
  <c r="CB51" i="9"/>
  <c r="CB74" i="9"/>
  <c r="CB82" i="9"/>
  <c r="CB81" i="9"/>
  <c r="DW161" i="5"/>
  <c r="DW167" i="5"/>
  <c r="DW168" i="5" s="1"/>
  <c r="BS82" i="9"/>
  <c r="BS74" i="9"/>
  <c r="BS81" i="9"/>
  <c r="FA157" i="5"/>
  <c r="CE91" i="9"/>
  <c r="CH10" i="9"/>
  <c r="CH61" i="9"/>
  <c r="CH71" i="9"/>
  <c r="CH62" i="9"/>
  <c r="CH77" i="9"/>
  <c r="FD3" i="5"/>
  <c r="EN24" i="5"/>
  <c r="EN37" i="5" s="1"/>
  <c r="EN36" i="5" s="1"/>
  <c r="EN14" i="5"/>
  <c r="EN13" i="5"/>
  <c r="EA24" i="5"/>
  <c r="EA37" i="5" s="1"/>
  <c r="EA36" i="5" s="1"/>
  <c r="EA13" i="5"/>
  <c r="EA14" i="5"/>
  <c r="CI82" i="9"/>
  <c r="CI74" i="9"/>
  <c r="CI81" i="9"/>
  <c r="BQ80" i="9"/>
  <c r="BQ83" i="9" s="1"/>
  <c r="BQ86" i="9"/>
  <c r="BQ90" i="9"/>
  <c r="EM156" i="5"/>
  <c r="AD76" i="4"/>
  <c r="AD82" i="4" s="1"/>
  <c r="CG10" i="9"/>
  <c r="CG77" i="9"/>
  <c r="CG28" i="9"/>
  <c r="CG34" i="9"/>
  <c r="CG71" i="9"/>
  <c r="CG46" i="9"/>
  <c r="CG61" i="9"/>
  <c r="CG62" i="9"/>
  <c r="FC3" i="5"/>
  <c r="CD104" i="9"/>
  <c r="CD5" i="9"/>
  <c r="X14" i="7"/>
  <c r="X71" i="8"/>
  <c r="BY10" i="9"/>
  <c r="BY11" i="9" s="1"/>
  <c r="EU27" i="5" s="1"/>
  <c r="EU34" i="5" s="1"/>
  <c r="BY28" i="9"/>
  <c r="BZ28" i="9" s="1"/>
  <c r="BZ29" i="9" s="1"/>
  <c r="BY46" i="9"/>
  <c r="BZ46" i="9" s="1"/>
  <c r="BY61" i="9"/>
  <c r="BY34" i="9"/>
  <c r="EU278" i="5" s="1"/>
  <c r="EU323" i="5" s="1"/>
  <c r="BY71" i="9"/>
  <c r="BY62" i="9"/>
  <c r="BY77" i="9"/>
  <c r="EU3" i="5"/>
  <c r="CG13" i="9"/>
  <c r="CH13" i="9" s="1"/>
  <c r="Z13" i="3"/>
  <c r="Z24" i="3" s="1"/>
  <c r="Z112" i="8"/>
  <c r="Z121" i="8" s="1"/>
  <c r="Z11" i="8" s="1"/>
  <c r="Z116" i="8"/>
  <c r="Z126" i="8" s="1"/>
  <c r="Z87" i="8"/>
  <c r="AC8" i="6"/>
  <c r="Z11" i="6"/>
  <c r="Z108" i="8"/>
  <c r="Z120" i="8" s="1"/>
  <c r="EZ160" i="5"/>
  <c r="EZ166" i="5"/>
  <c r="EZ176" i="5" s="1"/>
  <c r="Y123" i="8"/>
  <c r="Y10" i="8"/>
  <c r="EM13" i="5" l="1"/>
  <c r="BR51" i="9"/>
  <c r="BR52" i="9" s="1"/>
  <c r="EM14" i="5"/>
  <c r="BQ54" i="9"/>
  <c r="BQ21" i="9" s="1"/>
  <c r="EN313" i="5"/>
  <c r="EV35" i="5"/>
  <c r="EY177" i="5"/>
  <c r="CF98" i="9"/>
  <c r="CF5" i="9" s="1"/>
  <c r="EJ3" i="5"/>
  <c r="EJ11" i="5" s="1"/>
  <c r="CF103" i="9"/>
  <c r="BN71" i="9"/>
  <c r="BN10" i="9"/>
  <c r="BN11" i="9" s="1"/>
  <c r="EJ27" i="5" s="1"/>
  <c r="EJ34" i="5" s="1"/>
  <c r="BV13" i="9"/>
  <c r="BN60" i="9"/>
  <c r="BV12" i="9"/>
  <c r="BN77" i="9"/>
  <c r="BN74" i="9" s="1"/>
  <c r="BX75" i="9"/>
  <c r="CF87" i="9" s="1"/>
  <c r="BN62" i="9"/>
  <c r="BX103" i="9"/>
  <c r="BX141" i="9"/>
  <c r="EK160" i="5"/>
  <c r="BV9" i="9"/>
  <c r="BV60" i="9" s="1"/>
  <c r="CE87" i="9"/>
  <c r="ES157" i="5"/>
  <c r="FA160" i="5" s="1"/>
  <c r="BW87" i="9"/>
  <c r="BP5" i="9"/>
  <c r="BP9" i="9" s="1"/>
  <c r="BP60" i="9" s="1"/>
  <c r="AD35" i="4"/>
  <c r="BI21" i="9"/>
  <c r="BZ64" i="9"/>
  <c r="EZ177" i="5"/>
  <c r="BG64" i="9"/>
  <c r="CH64" i="9"/>
  <c r="CF141" i="9"/>
  <c r="AD23" i="4"/>
  <c r="Y130" i="8"/>
  <c r="Y131" i="8" s="1"/>
  <c r="Z111" i="8"/>
  <c r="CG11" i="9"/>
  <c r="FC27" i="5" s="1"/>
  <c r="Y30" i="7"/>
  <c r="EH270" i="5" s="1"/>
  <c r="EE270" i="5" s="1"/>
  <c r="EF270" i="5" s="1"/>
  <c r="BY64" i="9"/>
  <c r="CG64" i="9"/>
  <c r="BX98" i="9"/>
  <c r="BX5" i="9" s="1"/>
  <c r="CA64" i="9"/>
  <c r="BZ47" i="9"/>
  <c r="CI90" i="9"/>
  <c r="CI80" i="9"/>
  <c r="CI83" i="9" s="1"/>
  <c r="FE156" i="5"/>
  <c r="AC76" i="4"/>
  <c r="AC82" i="4" s="1"/>
  <c r="BH62" i="9"/>
  <c r="BH61" i="9"/>
  <c r="BH77" i="9"/>
  <c r="ED3" i="5"/>
  <c r="BU10" i="9"/>
  <c r="BU11" i="9" s="1"/>
  <c r="EQ27" i="5" s="1"/>
  <c r="EQ34" i="5" s="1"/>
  <c r="BU77" i="9"/>
  <c r="BU61" i="9"/>
  <c r="CC13" i="9"/>
  <c r="EQ3" i="5"/>
  <c r="BU62" i="9"/>
  <c r="BU71" i="9"/>
  <c r="DS167" i="5"/>
  <c r="DS168" i="5" s="1"/>
  <c r="DS161" i="5"/>
  <c r="Y29" i="7"/>
  <c r="Z123" i="8"/>
  <c r="Z10" i="8"/>
  <c r="BY82" i="9"/>
  <c r="BY74" i="9"/>
  <c r="BY81" i="9"/>
  <c r="EU257" i="5"/>
  <c r="EU260" i="5" s="1"/>
  <c r="EU313" i="5"/>
  <c r="CD67" i="9"/>
  <c r="CD9" i="9"/>
  <c r="FC17" i="5"/>
  <c r="FC11" i="5"/>
  <c r="CG82" i="9"/>
  <c r="CG74" i="9"/>
  <c r="CG81" i="9"/>
  <c r="EM165" i="5"/>
  <c r="EM158" i="5"/>
  <c r="EM170" i="5"/>
  <c r="EM171" i="5" s="1"/>
  <c r="EM159" i="5"/>
  <c r="CH82" i="9"/>
  <c r="CH74" i="9"/>
  <c r="CH81" i="9"/>
  <c r="CH11" i="9"/>
  <c r="FD27" i="5" s="1"/>
  <c r="FA166" i="5"/>
  <c r="FA176" i="5" s="1"/>
  <c r="DX270" i="5"/>
  <c r="CB90" i="9"/>
  <c r="CB80" i="9"/>
  <c r="CB83" i="9" s="1"/>
  <c r="EX156" i="5"/>
  <c r="FF159" i="5" s="1"/>
  <c r="CB86" i="9"/>
  <c r="EN170" i="5"/>
  <c r="EN171" i="5" s="1"/>
  <c r="EN165" i="5"/>
  <c r="EN158" i="5"/>
  <c r="EN159" i="5"/>
  <c r="BO67" i="9"/>
  <c r="BO9" i="9"/>
  <c r="BO60" i="9" s="1"/>
  <c r="AB112" i="8"/>
  <c r="AB121" i="8" s="1"/>
  <c r="AB11" i="8" s="1"/>
  <c r="AB116" i="8"/>
  <c r="AB126" i="8" s="1"/>
  <c r="AB87" i="8"/>
  <c r="AB108" i="8"/>
  <c r="AB120" i="8" s="1"/>
  <c r="AB13" i="3"/>
  <c r="AB11" i="6"/>
  <c r="EW17" i="5"/>
  <c r="EW11" i="5"/>
  <c r="FE24" i="5" s="1"/>
  <c r="FE37" i="5" s="1"/>
  <c r="AC35" i="4"/>
  <c r="AC23" i="4"/>
  <c r="AC16" i="4"/>
  <c r="AA64" i="6" s="1"/>
  <c r="AA8" i="6"/>
  <c r="AD34" i="4"/>
  <c r="FF35" i="5" s="1"/>
  <c r="AD32" i="4"/>
  <c r="EB14" i="5"/>
  <c r="EB13" i="5"/>
  <c r="BZ34" i="9"/>
  <c r="BZ35" i="9" s="1"/>
  <c r="FF170" i="5"/>
  <c r="FF165" i="5"/>
  <c r="FF158" i="5"/>
  <c r="AB93" i="4"/>
  <c r="Z68" i="6"/>
  <c r="FE17" i="5"/>
  <c r="BR49" i="9"/>
  <c r="BR54" i="9" s="1"/>
  <c r="EI14" i="5"/>
  <c r="EI13" i="5"/>
  <c r="EI24" i="5"/>
  <c r="EI37" i="5" s="1"/>
  <c r="EI36" i="5" s="1"/>
  <c r="EV17" i="5"/>
  <c r="EV11" i="5"/>
  <c r="X130" i="8"/>
  <c r="Z33" i="8"/>
  <c r="Z30" i="7" s="1"/>
  <c r="EP270" i="5" s="1"/>
  <c r="Z128" i="8"/>
  <c r="X81" i="8"/>
  <c r="X39" i="7"/>
  <c r="X84" i="8"/>
  <c r="EA158" i="5"/>
  <c r="EA165" i="5"/>
  <c r="EA159" i="5"/>
  <c r="EA170" i="5"/>
  <c r="EA171" i="5" s="1"/>
  <c r="AB71" i="6"/>
  <c r="AD119" i="4"/>
  <c r="EX17" i="5"/>
  <c r="EX11" i="5"/>
  <c r="FF34" i="5" s="1"/>
  <c r="CF91" i="9"/>
  <c r="FB157" i="5"/>
  <c r="BM80" i="9"/>
  <c r="BM83" i="9" s="1"/>
  <c r="BM86" i="9"/>
  <c r="BM90" i="9"/>
  <c r="EI156" i="5"/>
  <c r="CJ49" i="9"/>
  <c r="BY49" i="9"/>
  <c r="BZ49" i="9" s="1"/>
  <c r="BP12" i="9"/>
  <c r="AD86" i="4"/>
  <c r="AD92" i="4" s="1"/>
  <c r="EG158" i="5"/>
  <c r="EG170" i="5"/>
  <c r="EG165" i="5"/>
  <c r="CE9" i="9"/>
  <c r="CE60" i="9" s="1"/>
  <c r="AD83" i="4"/>
  <c r="AB86" i="8"/>
  <c r="EO156" i="5"/>
  <c r="BS80" i="9"/>
  <c r="BS83" i="9" s="1"/>
  <c r="BS86" i="9"/>
  <c r="BS90" i="9"/>
  <c r="AB106" i="8"/>
  <c r="AB66" i="6"/>
  <c r="FF13" i="5"/>
  <c r="DA19" i="11"/>
  <c r="EH257" i="5"/>
  <c r="EP167" i="5"/>
  <c r="EP168" i="5" s="1"/>
  <c r="EP161" i="5"/>
  <c r="DN167" i="5"/>
  <c r="DN168" i="5" s="1"/>
  <c r="DN161" i="5"/>
  <c r="CA74" i="9"/>
  <c r="CI86" i="9" s="1"/>
  <c r="CA82" i="9"/>
  <c r="CA81" i="9"/>
  <c r="Z14" i="7"/>
  <c r="BW104" i="9"/>
  <c r="BW5" i="9"/>
  <c r="CJ86" i="9"/>
  <c r="CC10" i="9"/>
  <c r="CC77" i="9"/>
  <c r="CC62" i="9"/>
  <c r="CC71" i="9"/>
  <c r="CC61" i="9"/>
  <c r="EY3" i="5"/>
  <c r="EC11" i="5"/>
  <c r="BO13" i="9"/>
  <c r="CF102" i="9"/>
  <c r="BZ74" i="9"/>
  <c r="BZ82" i="9"/>
  <c r="BZ81" i="9"/>
  <c r="EO14" i="5"/>
  <c r="EO13" i="5"/>
  <c r="EO24" i="5"/>
  <c r="EO37" i="5" s="1"/>
  <c r="EP275" i="5"/>
  <c r="EN275" i="5" s="1"/>
  <c r="Z80" i="8"/>
  <c r="CE104" i="9"/>
  <c r="BY51" i="9"/>
  <c r="EU275" i="5" s="1"/>
  <c r="FC278" i="5"/>
  <c r="FC323" i="5" s="1"/>
  <c r="CH34" i="9"/>
  <c r="CH35" i="9" s="1"/>
  <c r="CB54" i="9"/>
  <c r="EU17" i="5"/>
  <c r="EU11" i="5"/>
  <c r="X15" i="7"/>
  <c r="DZ257" i="5"/>
  <c r="CG51" i="9"/>
  <c r="CH46" i="9"/>
  <c r="FC257" i="5"/>
  <c r="FC260" i="5" s="1"/>
  <c r="FC313" i="5"/>
  <c r="CH28" i="9"/>
  <c r="CH29" i="9" s="1"/>
  <c r="FD17" i="5"/>
  <c r="FD11" i="5"/>
  <c r="AC72" i="4"/>
  <c r="AC73" i="4" s="1"/>
  <c r="BH60" i="9"/>
  <c r="AC121" i="4"/>
  <c r="AA16" i="6"/>
  <c r="AC118" i="4"/>
  <c r="BF80" i="9"/>
  <c r="BF83" i="9" s="1"/>
  <c r="EB156" i="5"/>
  <c r="BF90" i="9"/>
  <c r="BU60" i="9"/>
  <c r="Y39" i="7"/>
  <c r="BJ55" i="9"/>
  <c r="BJ21" i="9"/>
  <c r="EH168" i="5"/>
  <c r="CC60" i="9"/>
  <c r="FE13" i="5"/>
  <c r="FE14" i="5"/>
  <c r="BT21" i="9"/>
  <c r="BT55" i="9"/>
  <c r="BG82" i="9"/>
  <c r="BG74" i="9"/>
  <c r="BG81" i="9"/>
  <c r="EE167" i="5"/>
  <c r="EE168" i="5" s="1"/>
  <c r="EE161" i="5"/>
  <c r="EL166" i="5"/>
  <c r="EL176" i="5" s="1"/>
  <c r="EL177" i="5" s="1"/>
  <c r="EL160" i="5"/>
  <c r="X29" i="7"/>
  <c r="EJ35" i="5"/>
  <c r="BQ55" i="9" l="1"/>
  <c r="EJ17" i="5"/>
  <c r="BN81" i="9"/>
  <c r="BN82" i="9"/>
  <c r="ET157" i="5"/>
  <c r="ET166" i="5" s="1"/>
  <c r="ET176" i="5" s="1"/>
  <c r="ET177" i="5" s="1"/>
  <c r="BX87" i="9"/>
  <c r="BN64" i="9"/>
  <c r="CD12" i="9"/>
  <c r="BV10" i="9"/>
  <c r="BV11" i="9" s="1"/>
  <c r="ER27" i="5" s="1"/>
  <c r="ER34" i="5" s="1"/>
  <c r="ES160" i="5"/>
  <c r="BV71" i="9"/>
  <c r="BX91" i="9"/>
  <c r="BV61" i="9"/>
  <c r="ER3" i="5"/>
  <c r="ER11" i="5" s="1"/>
  <c r="BV77" i="9"/>
  <c r="BV82" i="9" s="1"/>
  <c r="BV62" i="9"/>
  <c r="ES166" i="5"/>
  <c r="ES176" i="5" s="1"/>
  <c r="ES177" i="5" s="1"/>
  <c r="CF104" i="9"/>
  <c r="CD13" i="9"/>
  <c r="FC34" i="5"/>
  <c r="BP67" i="9"/>
  <c r="CC11" i="9"/>
  <c r="EY27" i="5" s="1"/>
  <c r="BX104" i="9"/>
  <c r="BU64" i="9"/>
  <c r="AC86" i="4"/>
  <c r="AC92" i="4" s="1"/>
  <c r="AA68" i="6" s="1"/>
  <c r="CA12" i="9"/>
  <c r="BH64" i="9"/>
  <c r="EO35" i="5"/>
  <c r="FF24" i="5"/>
  <c r="FF37" i="5" s="1"/>
  <c r="FD34" i="5"/>
  <c r="CC64" i="9"/>
  <c r="FD24" i="5"/>
  <c r="FD37" i="5" s="1"/>
  <c r="FD14" i="5"/>
  <c r="FD13" i="5"/>
  <c r="BG80" i="9"/>
  <c r="BG83" i="9" s="1"/>
  <c r="BG90" i="9"/>
  <c r="EC156" i="5"/>
  <c r="CB21" i="9"/>
  <c r="CB55" i="9"/>
  <c r="EM270" i="5"/>
  <c r="EN270" i="5" s="1"/>
  <c r="EY11" i="5"/>
  <c r="EY17" i="5"/>
  <c r="EP257" i="5"/>
  <c r="EF257" i="5"/>
  <c r="EF260" i="5" s="1"/>
  <c r="EH260" i="5"/>
  <c r="EG167" i="5"/>
  <c r="BN80" i="9"/>
  <c r="BN86" i="9"/>
  <c r="BN90" i="9"/>
  <c r="EJ156" i="5"/>
  <c r="AB14" i="7"/>
  <c r="X97" i="8"/>
  <c r="X19" i="8" s="1"/>
  <c r="Y79" i="8"/>
  <c r="FF167" i="5"/>
  <c r="FD313" i="5"/>
  <c r="CH47" i="9"/>
  <c r="EU24" i="5"/>
  <c r="EU37" i="5" s="1"/>
  <c r="EU36" i="5" s="1"/>
  <c r="EU13" i="5"/>
  <c r="EU14" i="5"/>
  <c r="BY54" i="9"/>
  <c r="CC82" i="9"/>
  <c r="CC74" i="9"/>
  <c r="CC81" i="9"/>
  <c r="BX67" i="9"/>
  <c r="BX9" i="9"/>
  <c r="BX60" i="9" s="1"/>
  <c r="AB68" i="6"/>
  <c r="AD93" i="4"/>
  <c r="CG49" i="9"/>
  <c r="CH49" i="9" s="1"/>
  <c r="CJ54" i="9"/>
  <c r="EL3" i="5"/>
  <c r="BP61" i="9"/>
  <c r="BP62" i="9"/>
  <c r="BP71" i="9"/>
  <c r="BP10" i="9"/>
  <c r="BP77" i="9"/>
  <c r="DZ277" i="5"/>
  <c r="FC24" i="5"/>
  <c r="FC37" i="5" s="1"/>
  <c r="FC14" i="5"/>
  <c r="FC13" i="5"/>
  <c r="Z130" i="8"/>
  <c r="ED11" i="5"/>
  <c r="EL35" i="5" s="1"/>
  <c r="BZ51" i="9"/>
  <c r="FC275" i="5"/>
  <c r="CH51" i="9"/>
  <c r="CH52" i="9" s="1"/>
  <c r="CE61" i="9"/>
  <c r="CE77" i="9"/>
  <c r="CE62" i="9"/>
  <c r="FA3" i="5"/>
  <c r="FB166" i="5"/>
  <c r="FB176" i="5" s="1"/>
  <c r="AA66" i="6"/>
  <c r="AA106" i="8"/>
  <c r="EW14" i="5"/>
  <c r="EW13" i="5"/>
  <c r="EW24" i="5"/>
  <c r="EW37" i="5" s="1"/>
  <c r="AB123" i="8"/>
  <c r="AB10" i="8"/>
  <c r="EU156" i="5"/>
  <c r="BY90" i="9"/>
  <c r="BY86" i="9"/>
  <c r="BY80" i="9"/>
  <c r="BY83" i="9" s="1"/>
  <c r="FE158" i="5"/>
  <c r="FE165" i="5"/>
  <c r="FE170" i="5"/>
  <c r="BZ80" i="9"/>
  <c r="BZ83" i="9" s="1"/>
  <c r="BZ90" i="9"/>
  <c r="BZ86" i="9"/>
  <c r="EV156" i="5"/>
  <c r="BP13" i="9"/>
  <c r="BS13" i="9"/>
  <c r="BS11" i="9" s="1"/>
  <c r="EO27" i="5" s="1"/>
  <c r="EO34" i="5" s="1"/>
  <c r="BW67" i="9"/>
  <c r="BW9" i="9"/>
  <c r="CE71" i="9" s="1"/>
  <c r="EO170" i="5"/>
  <c r="EO171" i="5" s="1"/>
  <c r="EO158" i="5"/>
  <c r="EO165" i="5"/>
  <c r="EO159" i="5"/>
  <c r="X33" i="7"/>
  <c r="DZ269" i="5"/>
  <c r="EH277" i="5"/>
  <c r="EB170" i="5"/>
  <c r="EB158" i="5"/>
  <c r="EB165" i="5"/>
  <c r="EV313" i="5"/>
  <c r="Z39" i="7"/>
  <c r="EC13" i="5"/>
  <c r="EC14" i="5"/>
  <c r="FF275" i="5"/>
  <c r="AB80" i="8"/>
  <c r="CE67" i="9"/>
  <c r="EI170" i="5"/>
  <c r="EI171" i="5" s="1"/>
  <c r="EI159" i="5"/>
  <c r="EI165" i="5"/>
  <c r="EI158" i="5"/>
  <c r="EA161" i="5"/>
  <c r="EA167" i="5"/>
  <c r="EA168" i="5" s="1"/>
  <c r="X132" i="8"/>
  <c r="X133" i="8" s="1"/>
  <c r="X131" i="8"/>
  <c r="BR21" i="9"/>
  <c r="BR55" i="9"/>
  <c r="FD35" i="5"/>
  <c r="BO77" i="9"/>
  <c r="EK3" i="5"/>
  <c r="BO61" i="9"/>
  <c r="BO71" i="9"/>
  <c r="BO10" i="9"/>
  <c r="BO11" i="9" s="1"/>
  <c r="EK27" i="5" s="1"/>
  <c r="EK34" i="5" s="1"/>
  <c r="BO62" i="9"/>
  <c r="BX12" i="9"/>
  <c r="EN161" i="5"/>
  <c r="EN167" i="5"/>
  <c r="EN168" i="5" s="1"/>
  <c r="EX170" i="5"/>
  <c r="EX171" i="5" s="1"/>
  <c r="EX158" i="5"/>
  <c r="EX165" i="5"/>
  <c r="EX159" i="5"/>
  <c r="CG80" i="9"/>
  <c r="CG83" i="9" s="1"/>
  <c r="CG86" i="9"/>
  <c r="FC156" i="5"/>
  <c r="CG90" i="9"/>
  <c r="EZ3" i="5"/>
  <c r="CD77" i="9"/>
  <c r="CD71" i="9"/>
  <c r="CD62" i="9"/>
  <c r="CD61" i="9"/>
  <c r="CD10" i="9"/>
  <c r="BU74" i="9"/>
  <c r="BU82" i="9"/>
  <c r="BU81" i="9"/>
  <c r="BH82" i="9"/>
  <c r="BH74" i="9"/>
  <c r="BH81" i="9"/>
  <c r="Y132" i="8"/>
  <c r="Y133" i="8" s="1"/>
  <c r="AC119" i="4"/>
  <c r="AA71" i="6"/>
  <c r="DZ260" i="5"/>
  <c r="DX257" i="5"/>
  <c r="DX260" i="5" s="1"/>
  <c r="EJ24" i="5"/>
  <c r="EJ37" i="5" s="1"/>
  <c r="EJ36" i="5" s="1"/>
  <c r="EJ13" i="5"/>
  <c r="EJ14" i="5"/>
  <c r="ER35" i="5"/>
  <c r="CA80" i="9"/>
  <c r="CA83" i="9" s="1"/>
  <c r="CA86" i="9"/>
  <c r="CA90" i="9"/>
  <c r="EW156" i="5"/>
  <c r="EX24" i="5"/>
  <c r="EX37" i="5" s="1"/>
  <c r="EX13" i="5"/>
  <c r="CS19" i="11"/>
  <c r="EV24" i="5"/>
  <c r="EV37" i="5" s="1"/>
  <c r="EV36" i="5" s="1"/>
  <c r="EV14" i="5"/>
  <c r="EV13" i="5"/>
  <c r="CF67" i="9"/>
  <c r="CF9" i="9"/>
  <c r="CF60" i="9" s="1"/>
  <c r="AA112" i="8"/>
  <c r="AA121" i="8" s="1"/>
  <c r="AA11" i="8" s="1"/>
  <c r="AA13" i="3"/>
  <c r="AA24" i="3" s="1"/>
  <c r="AA116" i="8"/>
  <c r="AA126" i="8" s="1"/>
  <c r="AA87" i="8"/>
  <c r="AA108" i="8"/>
  <c r="AA120" i="8" s="1"/>
  <c r="AA11" i="6"/>
  <c r="AB33" i="8"/>
  <c r="AB128" i="8"/>
  <c r="CH90" i="9"/>
  <c r="CH80" i="9"/>
  <c r="CH83" i="9" s="1"/>
  <c r="CH86" i="9"/>
  <c r="FD156" i="5"/>
  <c r="EM167" i="5"/>
  <c r="EM168" i="5" s="1"/>
  <c r="EM161" i="5"/>
  <c r="CD60" i="9"/>
  <c r="Z29" i="7"/>
  <c r="EH269" i="5"/>
  <c r="Y33" i="7"/>
  <c r="EQ17" i="5"/>
  <c r="EQ11" i="5"/>
  <c r="AA86" i="8"/>
  <c r="AC83" i="4"/>
  <c r="FB160" i="5" l="1"/>
  <c r="BN83" i="9"/>
  <c r="BV81" i="9"/>
  <c r="ET160" i="5"/>
  <c r="ER17" i="5"/>
  <c r="BV64" i="9"/>
  <c r="BV74" i="9"/>
  <c r="BV90" i="9" s="1"/>
  <c r="FA177" i="5"/>
  <c r="CD11" i="9"/>
  <c r="EZ27" i="5" s="1"/>
  <c r="EZ34" i="5" s="1"/>
  <c r="FC36" i="5"/>
  <c r="EY34" i="5"/>
  <c r="AC93" i="4"/>
  <c r="FB177" i="5"/>
  <c r="EO36" i="5"/>
  <c r="CE64" i="9"/>
  <c r="BP64" i="9"/>
  <c r="CG54" i="9"/>
  <c r="CG21" i="9" s="1"/>
  <c r="FD275" i="5"/>
  <c r="BO64" i="9"/>
  <c r="EH272" i="5"/>
  <c r="EH322" i="5" s="1"/>
  <c r="EE269" i="5"/>
  <c r="EE272" i="5" s="1"/>
  <c r="EE322" i="5" s="1"/>
  <c r="CD82" i="9"/>
  <c r="CD74" i="9"/>
  <c r="CD81" i="9"/>
  <c r="EX161" i="5"/>
  <c r="EX167" i="5"/>
  <c r="EX168" i="5" s="1"/>
  <c r="Z33" i="7"/>
  <c r="AC33" i="7" s="1"/>
  <c r="EP269" i="5"/>
  <c r="CD64" i="9"/>
  <c r="EW170" i="5"/>
  <c r="EW171" i="5" s="1"/>
  <c r="EW165" i="5"/>
  <c r="EW158" i="5"/>
  <c r="FE161" i="5" s="1"/>
  <c r="EW159" i="5"/>
  <c r="EZ11" i="5"/>
  <c r="EZ17" i="5"/>
  <c r="EE277" i="5"/>
  <c r="EF277" i="5" s="1"/>
  <c r="EH276" i="5"/>
  <c r="EH324" i="5"/>
  <c r="EV158" i="5"/>
  <c r="EV170" i="5"/>
  <c r="EV171" i="5" s="1"/>
  <c r="EV159" i="5"/>
  <c r="EV165" i="5"/>
  <c r="FF171" i="5"/>
  <c r="Z132" i="8"/>
  <c r="Z133" i="8" s="1"/>
  <c r="Z131" i="8"/>
  <c r="EL17" i="5"/>
  <c r="EL11" i="5"/>
  <c r="CH54" i="9"/>
  <c r="EY24" i="5"/>
  <c r="EY37" i="5" s="1"/>
  <c r="EY14" i="5"/>
  <c r="EY13" i="5"/>
  <c r="FD36" i="5"/>
  <c r="EQ13" i="5"/>
  <c r="EQ14" i="5"/>
  <c r="EQ24" i="5"/>
  <c r="EQ37" i="5" s="1"/>
  <c r="EQ36" i="5" s="1"/>
  <c r="FD170" i="5"/>
  <c r="FD159" i="5"/>
  <c r="FD158" i="5"/>
  <c r="FD165" i="5"/>
  <c r="ED156" i="5"/>
  <c r="BH90" i="9"/>
  <c r="BH80" i="9"/>
  <c r="BH83" i="9" s="1"/>
  <c r="BU86" i="9"/>
  <c r="BU80" i="9"/>
  <c r="BU83" i="9" s="1"/>
  <c r="BU90" i="9"/>
  <c r="EQ156" i="5"/>
  <c r="BW13" i="9"/>
  <c r="EK11" i="5"/>
  <c r="EW35" i="5" s="1"/>
  <c r="EK17" i="5"/>
  <c r="EB167" i="5"/>
  <c r="DZ272" i="5"/>
  <c r="DZ322" i="5" s="1"/>
  <c r="EO161" i="5"/>
  <c r="EO167" i="5"/>
  <c r="EO168" i="5" s="1"/>
  <c r="BW60" i="9"/>
  <c r="FA11" i="5"/>
  <c r="CE82" i="9"/>
  <c r="CE74" i="9"/>
  <c r="CE81" i="9"/>
  <c r="ED13" i="5"/>
  <c r="ED14" i="5"/>
  <c r="AB24" i="3"/>
  <c r="DX277" i="5"/>
  <c r="DZ276" i="5"/>
  <c r="DZ324" i="5"/>
  <c r="CJ21" i="9"/>
  <c r="CJ55" i="9"/>
  <c r="EX275" i="5"/>
  <c r="EV275" i="5" s="1"/>
  <c r="AA80" i="8"/>
  <c r="Y34" i="7"/>
  <c r="AA128" i="8"/>
  <c r="AA33" i="8"/>
  <c r="AA30" i="7" s="1"/>
  <c r="EX270" i="5" s="1"/>
  <c r="CF10" i="9"/>
  <c r="CF61" i="9"/>
  <c r="CF62" i="9"/>
  <c r="CF71" i="9"/>
  <c r="FB3" i="5"/>
  <c r="CF77" i="9"/>
  <c r="FC170" i="5"/>
  <c r="FC159" i="5"/>
  <c r="FC165" i="5"/>
  <c r="FC158" i="5"/>
  <c r="BO82" i="9"/>
  <c r="BO74" i="9"/>
  <c r="BO81" i="9"/>
  <c r="EI167" i="5"/>
  <c r="EI168" i="5" s="1"/>
  <c r="EI161" i="5"/>
  <c r="EP277" i="5"/>
  <c r="X34" i="7"/>
  <c r="FE167" i="5"/>
  <c r="EU158" i="5"/>
  <c r="EU165" i="5"/>
  <c r="EU159" i="5"/>
  <c r="EU170" i="5"/>
  <c r="EU171" i="5" s="1"/>
  <c r="AB130" i="8"/>
  <c r="AB111" i="8"/>
  <c r="AA111" i="8"/>
  <c r="BZ52" i="9"/>
  <c r="BZ54" i="9"/>
  <c r="BP82" i="9"/>
  <c r="BP74" i="9"/>
  <c r="BP81" i="9"/>
  <c r="BX10" i="9"/>
  <c r="BX62" i="9"/>
  <c r="BX77" i="9"/>
  <c r="BX61" i="9"/>
  <c r="ET3" i="5"/>
  <c r="BX71" i="9"/>
  <c r="BY55" i="9"/>
  <c r="BY21" i="9"/>
  <c r="EZ35" i="5"/>
  <c r="FF161" i="5"/>
  <c r="FF257" i="5"/>
  <c r="ER24" i="5"/>
  <c r="ER37" i="5" s="1"/>
  <c r="ER36" i="5" s="1"/>
  <c r="ER13" i="5"/>
  <c r="ER14" i="5"/>
  <c r="EC170" i="5"/>
  <c r="EC165" i="5"/>
  <c r="EC158" i="5"/>
  <c r="AA10" i="8"/>
  <c r="AA123" i="8"/>
  <c r="AA14" i="7"/>
  <c r="AB39" i="7"/>
  <c r="ES3" i="5"/>
  <c r="BW61" i="9"/>
  <c r="BW71" i="9"/>
  <c r="BW62" i="9"/>
  <c r="BW10" i="9"/>
  <c r="BW77" i="9"/>
  <c r="CF12" i="9"/>
  <c r="FE159" i="5"/>
  <c r="CE10" i="9"/>
  <c r="BP11" i="9"/>
  <c r="EL27" i="5" s="1"/>
  <c r="EL34" i="5" s="1"/>
  <c r="CC80" i="9"/>
  <c r="CC83" i="9" s="1"/>
  <c r="EY156" i="5"/>
  <c r="CC90" i="9"/>
  <c r="CC86" i="9"/>
  <c r="Y84" i="8"/>
  <c r="Y91" i="8"/>
  <c r="Y81" i="8"/>
  <c r="EJ170" i="5"/>
  <c r="EJ171" i="5" s="1"/>
  <c r="EJ158" i="5"/>
  <c r="EJ159" i="5"/>
  <c r="EJ165" i="5"/>
  <c r="EN257" i="5"/>
  <c r="EN260" i="5" s="1"/>
  <c r="EP260" i="5"/>
  <c r="CI12" i="9"/>
  <c r="ER156" i="5" l="1"/>
  <c r="ER159" i="5" s="1"/>
  <c r="BV86" i="9"/>
  <c r="BV80" i="9"/>
  <c r="BV83" i="9" s="1"/>
  <c r="EY36" i="5"/>
  <c r="CG55" i="9"/>
  <c r="FF168" i="5"/>
  <c r="FD171" i="5"/>
  <c r="BW11" i="9"/>
  <c r="ES27" i="5" s="1"/>
  <c r="ES34" i="5" s="1"/>
  <c r="BX64" i="9"/>
  <c r="FE171" i="5"/>
  <c r="EF269" i="5"/>
  <c r="EF272" i="5" s="1"/>
  <c r="EF322" i="5" s="1"/>
  <c r="AA130" i="8"/>
  <c r="AA132" i="8" s="1"/>
  <c r="AA133" i="8" s="1"/>
  <c r="CF64" i="9"/>
  <c r="EU270" i="5"/>
  <c r="EV270" i="5" s="1"/>
  <c r="EJ167" i="5"/>
  <c r="EJ168" i="5" s="1"/>
  <c r="EJ161" i="5"/>
  <c r="Z79" i="8"/>
  <c r="EC167" i="5"/>
  <c r="ET17" i="5"/>
  <c r="ET11" i="5"/>
  <c r="EY170" i="5"/>
  <c r="EY159" i="5"/>
  <c r="EY165" i="5"/>
  <c r="EY158" i="5"/>
  <c r="FB17" i="5"/>
  <c r="FB11" i="5"/>
  <c r="AA39" i="7"/>
  <c r="FA13" i="5"/>
  <c r="FA14" i="5"/>
  <c r="BX13" i="9"/>
  <c r="BX11" i="9" s="1"/>
  <c r="ET27" i="5" s="1"/>
  <c r="ET34" i="5" s="1"/>
  <c r="CA13" i="9"/>
  <c r="CA11" i="9" s="1"/>
  <c r="EW27" i="5" s="1"/>
  <c r="EW34" i="5" s="1"/>
  <c r="EW36" i="5" s="1"/>
  <c r="ED158" i="5"/>
  <c r="ED165" i="5"/>
  <c r="ED170" i="5"/>
  <c r="FD167" i="5"/>
  <c r="FD161" i="5"/>
  <c r="EF324" i="5"/>
  <c r="EF276" i="5"/>
  <c r="EZ24" i="5"/>
  <c r="EZ37" i="5" s="1"/>
  <c r="EZ36" i="5" s="1"/>
  <c r="EZ14" i="5"/>
  <c r="EZ13" i="5"/>
  <c r="ES11" i="5"/>
  <c r="ES17" i="5"/>
  <c r="CE13" i="9"/>
  <c r="AA29" i="7"/>
  <c r="FD257" i="5"/>
  <c r="FD260" i="5" s="1"/>
  <c r="FF260" i="5"/>
  <c r="BX74" i="9"/>
  <c r="BX82" i="9"/>
  <c r="BX81" i="9"/>
  <c r="BZ21" i="9"/>
  <c r="BZ55" i="9"/>
  <c r="EK156" i="5"/>
  <c r="BO90" i="9"/>
  <c r="BO86" i="9"/>
  <c r="BO80" i="9"/>
  <c r="BO83" i="9" s="1"/>
  <c r="FA17" i="5"/>
  <c r="DX269" i="5"/>
  <c r="DX272" i="5" s="1"/>
  <c r="DX322" i="5" s="1"/>
  <c r="EQ170" i="5"/>
  <c r="EQ171" i="5" s="1"/>
  <c r="EQ165" i="5"/>
  <c r="EQ159" i="5"/>
  <c r="EQ158" i="5"/>
  <c r="EV167" i="5"/>
  <c r="EV168" i="5" s="1"/>
  <c r="EV161" i="5"/>
  <c r="EX257" i="5"/>
  <c r="Y95" i="8"/>
  <c r="Z90" i="8" s="1"/>
  <c r="Y71" i="8"/>
  <c r="FF277" i="5"/>
  <c r="BP86" i="9"/>
  <c r="BP90" i="9"/>
  <c r="BP80" i="9"/>
  <c r="BP83" i="9" s="1"/>
  <c r="EL156" i="5"/>
  <c r="AB131" i="8"/>
  <c r="EU167" i="5"/>
  <c r="EU168" i="5" s="1"/>
  <c r="EU161" i="5"/>
  <c r="EP324" i="5"/>
  <c r="EP276" i="5"/>
  <c r="EM277" i="5"/>
  <c r="EN277" i="5" s="1"/>
  <c r="FC171" i="5"/>
  <c r="CE80" i="9"/>
  <c r="CE83" i="9" s="1"/>
  <c r="FA156" i="5"/>
  <c r="CE90" i="9"/>
  <c r="BW64" i="9"/>
  <c r="EP272" i="5"/>
  <c r="EP322" i="5" s="1"/>
  <c r="EM269" i="5"/>
  <c r="EM272" i="5" s="1"/>
  <c r="EM322" i="5" s="1"/>
  <c r="CD86" i="9"/>
  <c r="CD80" i="9"/>
  <c r="CD83" i="9" s="1"/>
  <c r="CD90" i="9"/>
  <c r="EZ156" i="5"/>
  <c r="BW82" i="9"/>
  <c r="BW74" i="9"/>
  <c r="BW81" i="9"/>
  <c r="FC167" i="5"/>
  <c r="FC161" i="5"/>
  <c r="CF82" i="9"/>
  <c r="CF74" i="9"/>
  <c r="CF81" i="9"/>
  <c r="DX276" i="5"/>
  <c r="DX324" i="5"/>
  <c r="AB29" i="7"/>
  <c r="EK13" i="5"/>
  <c r="EK14" i="5"/>
  <c r="EK24" i="5"/>
  <c r="EK37" i="5" s="1"/>
  <c r="EK36" i="5" s="1"/>
  <c r="ET35" i="5"/>
  <c r="CH55" i="9"/>
  <c r="CH21" i="9"/>
  <c r="EL24" i="5"/>
  <c r="EL37" i="5" s="1"/>
  <c r="EL36" i="5" s="1"/>
  <c r="EL14" i="5"/>
  <c r="EL13" i="5"/>
  <c r="AB30" i="7"/>
  <c r="FF270" i="5" s="1"/>
  <c r="EE324" i="5"/>
  <c r="EE282" i="5"/>
  <c r="EE276" i="5"/>
  <c r="EW161" i="5"/>
  <c r="EW167" i="5"/>
  <c r="EW168" i="5" s="1"/>
  <c r="Z34" i="7"/>
  <c r="ER170" i="5" l="1"/>
  <c r="ER171" i="5" s="1"/>
  <c r="ER158" i="5"/>
  <c r="ER161" i="5" s="1"/>
  <c r="ER165" i="5"/>
  <c r="FC168" i="5"/>
  <c r="AB132" i="8"/>
  <c r="AB133" i="8" s="1"/>
  <c r="EN269" i="5"/>
  <c r="EN272" i="5" s="1"/>
  <c r="EN322" i="5" s="1"/>
  <c r="AA131" i="8"/>
  <c r="BW80" i="9"/>
  <c r="BW83" i="9" s="1"/>
  <c r="BW90" i="9"/>
  <c r="ES156" i="5"/>
  <c r="FA159" i="5" s="1"/>
  <c r="BW86" i="9"/>
  <c r="EM276" i="5"/>
  <c r="EM324" i="5"/>
  <c r="EM282" i="5"/>
  <c r="Y15" i="7"/>
  <c r="EX260" i="5"/>
  <c r="EV257" i="5"/>
  <c r="EV260" i="5" s="1"/>
  <c r="AA33" i="7"/>
  <c r="EX269" i="5"/>
  <c r="FE168" i="5"/>
  <c r="CF86" i="9"/>
  <c r="CF90" i="9"/>
  <c r="CF80" i="9"/>
  <c r="CF83" i="9" s="1"/>
  <c r="FB156" i="5"/>
  <c r="FC270" i="5"/>
  <c r="FD270" i="5" s="1"/>
  <c r="ES14" i="5"/>
  <c r="ES13" i="5"/>
  <c r="ES24" i="5"/>
  <c r="ES37" i="5" s="1"/>
  <c r="ES36" i="5" s="1"/>
  <c r="FB35" i="5"/>
  <c r="FA24" i="5"/>
  <c r="FA37" i="5" s="1"/>
  <c r="EZ159" i="5"/>
  <c r="EZ170" i="5"/>
  <c r="EZ171" i="5" s="1"/>
  <c r="EZ158" i="5"/>
  <c r="EZ165" i="5"/>
  <c r="FA170" i="5"/>
  <c r="FA158" i="5"/>
  <c r="FA165" i="5"/>
  <c r="EL170" i="5"/>
  <c r="EL171" i="5" s="1"/>
  <c r="EL165" i="5"/>
  <c r="EL159" i="5"/>
  <c r="EL158" i="5"/>
  <c r="AB33" i="7"/>
  <c r="FF269" i="5"/>
  <c r="EQ167" i="5"/>
  <c r="EQ168" i="5" s="1"/>
  <c r="EQ161" i="5"/>
  <c r="EK170" i="5"/>
  <c r="EK171" i="5" s="1"/>
  <c r="EK165" i="5"/>
  <c r="EK159" i="5"/>
  <c r="EK158" i="5"/>
  <c r="CF13" i="9"/>
  <c r="CF11" i="9" s="1"/>
  <c r="FB27" i="5" s="1"/>
  <c r="FB34" i="5" s="1"/>
  <c r="CI13" i="9"/>
  <c r="CI11" i="9" s="1"/>
  <c r="FE27" i="5" s="1"/>
  <c r="FE34" i="5" s="1"/>
  <c r="CE11" i="9"/>
  <c r="FA27" i="5" s="1"/>
  <c r="FA34" i="5" s="1"/>
  <c r="FD168" i="5"/>
  <c r="ED167" i="5"/>
  <c r="EX277" i="5"/>
  <c r="FB13" i="5"/>
  <c r="FB14" i="5"/>
  <c r="FB24" i="5"/>
  <c r="FB37" i="5" s="1"/>
  <c r="EY171" i="5"/>
  <c r="ET24" i="5"/>
  <c r="ET37" i="5" s="1"/>
  <c r="ET36" i="5" s="1"/>
  <c r="ET13" i="5"/>
  <c r="ET14" i="5"/>
  <c r="Y97" i="8"/>
  <c r="Y19" i="8" s="1"/>
  <c r="FE35" i="5"/>
  <c r="CE86" i="9"/>
  <c r="EN276" i="5"/>
  <c r="EN324" i="5"/>
  <c r="FC277" i="5"/>
  <c r="FD277" i="5" s="1"/>
  <c r="FF324" i="5"/>
  <c r="FF276" i="5"/>
  <c r="BX80" i="9"/>
  <c r="BX83" i="9" s="1"/>
  <c r="BX90" i="9"/>
  <c r="ET156" i="5"/>
  <c r="BX86" i="9"/>
  <c r="ER167" i="5"/>
  <c r="ER168" i="5" s="1"/>
  <c r="EY161" i="5"/>
  <c r="EY167" i="5"/>
  <c r="Z91" i="8"/>
  <c r="Z84" i="8"/>
  <c r="Z81" i="8"/>
  <c r="EY168" i="5" l="1"/>
  <c r="FD276" i="5"/>
  <c r="FD324" i="5"/>
  <c r="AA79" i="8"/>
  <c r="ET170" i="5"/>
  <c r="ET171" i="5" s="1"/>
  <c r="ET165" i="5"/>
  <c r="ET159" i="5"/>
  <c r="ET158" i="5"/>
  <c r="EU277" i="5"/>
  <c r="EV277" i="5" s="1"/>
  <c r="EX324" i="5"/>
  <c r="EX276" i="5"/>
  <c r="AB34" i="7"/>
  <c r="FA36" i="5"/>
  <c r="EX272" i="5"/>
  <c r="EX322" i="5" s="1"/>
  <c r="EU269" i="5"/>
  <c r="EU272" i="5" s="1"/>
  <c r="EU322" i="5" s="1"/>
  <c r="FC324" i="5"/>
  <c r="FC282" i="5"/>
  <c r="FC276" i="5"/>
  <c r="FB36" i="5"/>
  <c r="EL161" i="5"/>
  <c r="EL167" i="5"/>
  <c r="EL168" i="5" s="1"/>
  <c r="FB170" i="5"/>
  <c r="FB165" i="5"/>
  <c r="FB158" i="5"/>
  <c r="FB159" i="5"/>
  <c r="AA34" i="7"/>
  <c r="ES158" i="5"/>
  <c r="ES159" i="5"/>
  <c r="ES170" i="5"/>
  <c r="ES171" i="5" s="1"/>
  <c r="ES165" i="5"/>
  <c r="Z71" i="8"/>
  <c r="Z95" i="8"/>
  <c r="AA90" i="8" s="1"/>
  <c r="EZ167" i="5"/>
  <c r="EZ168" i="5" s="1"/>
  <c r="EZ161" i="5"/>
  <c r="FE36" i="5"/>
  <c r="EK167" i="5"/>
  <c r="EK168" i="5" s="1"/>
  <c r="EK161" i="5"/>
  <c r="FF272" i="5"/>
  <c r="FF322" i="5" s="1"/>
  <c r="FC269" i="5"/>
  <c r="FC272" i="5" s="1"/>
  <c r="FC322" i="5" s="1"/>
  <c r="FA167" i="5"/>
  <c r="FB171" i="5" l="1"/>
  <c r="FD269" i="5"/>
  <c r="FD272" i="5" s="1"/>
  <c r="FD322" i="5" s="1"/>
  <c r="Z15" i="7"/>
  <c r="ET167" i="5"/>
  <c r="ET168" i="5" s="1"/>
  <c r="ET161" i="5"/>
  <c r="AA91" i="8"/>
  <c r="AA95" i="8" s="1"/>
  <c r="AB90" i="8" s="1"/>
  <c r="AA84" i="8"/>
  <c r="AA81" i="8"/>
  <c r="Z97" i="8"/>
  <c r="Z19" i="8" s="1"/>
  <c r="FB161" i="5"/>
  <c r="FB167" i="5"/>
  <c r="ES167" i="5"/>
  <c r="ES168" i="5" s="1"/>
  <c r="ES161" i="5"/>
  <c r="FA161" i="5"/>
  <c r="EV269" i="5"/>
  <c r="EV272" i="5" s="1"/>
  <c r="EV322" i="5" s="1"/>
  <c r="FA171" i="5"/>
  <c r="EV276" i="5"/>
  <c r="EV324" i="5"/>
  <c r="EU276" i="5"/>
  <c r="EU324" i="5"/>
  <c r="EU282" i="5"/>
  <c r="FB168" i="5" l="1"/>
  <c r="AA97" i="8"/>
  <c r="AA19" i="8" s="1"/>
  <c r="AB79" i="8"/>
  <c r="AA71" i="8"/>
  <c r="FA168" i="5"/>
  <c r="AA15" i="7" l="1"/>
  <c r="AB91" i="8"/>
  <c r="AB84" i="8"/>
  <c r="AB81" i="8"/>
  <c r="AB71" i="8" l="1"/>
  <c r="AB95" i="8"/>
  <c r="AB97" i="8" s="1"/>
  <c r="AB19" i="8" s="1"/>
  <c r="AB15" i="7" l="1"/>
  <c r="W3" i="6"/>
  <c r="W4" i="6" s="1"/>
  <c r="W3" i="7"/>
  <c r="W4" i="7" s="1"/>
  <c r="W3" i="8"/>
  <c r="W4" i="8" s="1"/>
  <c r="X174" i="8"/>
  <c r="X178" i="8" s="1"/>
  <c r="X182" i="8" l="1"/>
  <c r="X184" i="8" s="1"/>
  <c r="X26" i="6" l="1"/>
  <c r="X77" i="6"/>
  <c r="X79" i="6" s="1"/>
  <c r="DZ89" i="5" l="1"/>
  <c r="X23" i="7"/>
  <c r="X179" i="8"/>
  <c r="X29" i="6"/>
  <c r="DZ79" i="5"/>
  <c r="DZ88" i="5" l="1"/>
  <c r="X27" i="7"/>
  <c r="X35" i="8"/>
  <c r="DX79" i="5" l="1"/>
  <c r="DX88" i="5" s="1"/>
  <c r="X38" i="8"/>
  <c r="DX89" i="5"/>
  <c r="X62" i="8" l="1"/>
  <c r="X65" i="8" s="1"/>
  <c r="X72" i="8" s="1"/>
  <c r="X74" i="8" s="1"/>
  <c r="Y103" i="4"/>
  <c r="Y104" i="4" l="1"/>
  <c r="Z102" i="4"/>
  <c r="Y70" i="8"/>
  <c r="W70" i="3"/>
  <c r="W122" i="6" l="1"/>
  <c r="AA102" i="4"/>
  <c r="Z103" i="4"/>
  <c r="W21" i="3"/>
  <c r="W72" i="3"/>
  <c r="W71" i="3"/>
  <c r="W49" i="3"/>
  <c r="X66" i="7"/>
  <c r="W59" i="3"/>
  <c r="DZ297" i="5" l="1"/>
  <c r="AA103" i="4"/>
  <c r="AB102" i="4"/>
  <c r="Z104" i="4"/>
  <c r="X63" i="8"/>
  <c r="DZ333" i="5"/>
  <c r="DX333" i="5"/>
  <c r="W60" i="3"/>
  <c r="W61" i="3" s="1"/>
  <c r="W7" i="3"/>
  <c r="W10" i="3" s="1"/>
  <c r="W50" i="3"/>
  <c r="W51" i="3"/>
  <c r="W75" i="3"/>
  <c r="W76" i="3"/>
  <c r="W132" i="6" s="1"/>
  <c r="W45" i="3"/>
  <c r="DX297" i="5" l="1"/>
  <c r="X64" i="8"/>
  <c r="X40" i="7"/>
  <c r="X68" i="8"/>
  <c r="AB103" i="4"/>
  <c r="AC102" i="4"/>
  <c r="W40" i="3"/>
  <c r="W43" i="3"/>
  <c r="W44" i="3"/>
  <c r="W42" i="3"/>
  <c r="AA104" i="4"/>
  <c r="Y63" i="8"/>
  <c r="W65" i="3"/>
  <c r="W63" i="3"/>
  <c r="X70" i="3" l="1"/>
  <c r="X45" i="7"/>
  <c r="X38" i="7"/>
  <c r="DZ278" i="5"/>
  <c r="Y40" i="7"/>
  <c r="AC103" i="4"/>
  <c r="AD102" i="4"/>
  <c r="AD103" i="4" s="1"/>
  <c r="W66" i="3"/>
  <c r="AB104" i="4"/>
  <c r="Z63" i="8"/>
  <c r="Y62" i="8"/>
  <c r="X76" i="8"/>
  <c r="X20" i="8" s="1"/>
  <c r="X26" i="8" l="1"/>
  <c r="Y70" i="3"/>
  <c r="EH278" i="5"/>
  <c r="Y45" i="7"/>
  <c r="Y38" i="7"/>
  <c r="Y65" i="8"/>
  <c r="Y72" i="8" s="1"/>
  <c r="Y74" i="8" s="1"/>
  <c r="Y64" i="8"/>
  <c r="Z40" i="7"/>
  <c r="AD104" i="4"/>
  <c r="AB63" i="8"/>
  <c r="DX278" i="5"/>
  <c r="DZ323" i="5"/>
  <c r="DZ282" i="5"/>
  <c r="AC104" i="4"/>
  <c r="AA63" i="8"/>
  <c r="D29" i="16"/>
  <c r="D30" i="16" s="1"/>
  <c r="D31" i="16" s="1"/>
  <c r="F29" i="16"/>
  <c r="F30" i="16" s="1"/>
  <c r="F31" i="16" s="1"/>
  <c r="X72" i="3"/>
  <c r="X71" i="3"/>
  <c r="AA40" i="7" l="1"/>
  <c r="DX323" i="5"/>
  <c r="DX282" i="5"/>
  <c r="Z70" i="8"/>
  <c r="EH282" i="5"/>
  <c r="EF278" i="5"/>
  <c r="EH323" i="5"/>
  <c r="AB40" i="7"/>
  <c r="Z70" i="3"/>
  <c r="EP278" i="5"/>
  <c r="Z38" i="7"/>
  <c r="Z45" i="7"/>
  <c r="Y68" i="8"/>
  <c r="Z62" i="8" s="1"/>
  <c r="Y72" i="3"/>
  <c r="Y71" i="3"/>
  <c r="EX278" i="5" l="1"/>
  <c r="AA38" i="7"/>
  <c r="AA45" i="7"/>
  <c r="AA70" i="3"/>
  <c r="EP282" i="5"/>
  <c r="EP323" i="5"/>
  <c r="EN278" i="5"/>
  <c r="Y76" i="8"/>
  <c r="Y20" i="8" s="1"/>
  <c r="Z72" i="3"/>
  <c r="Z71" i="3"/>
  <c r="Z65" i="8"/>
  <c r="Z72" i="8" s="1"/>
  <c r="Z74" i="8" s="1"/>
  <c r="Z64" i="8"/>
  <c r="AB70" i="3"/>
  <c r="AB45" i="7"/>
  <c r="AB38" i="7"/>
  <c r="FF278" i="5"/>
  <c r="EF323" i="5"/>
  <c r="EF282" i="5"/>
  <c r="Z68" i="8" l="1"/>
  <c r="AA62" i="8" s="1"/>
  <c r="AA65" i="8" s="1"/>
  <c r="AA72" i="8" s="1"/>
  <c r="AA70" i="8"/>
  <c r="FD278" i="5"/>
  <c r="FF282" i="5"/>
  <c r="FF323" i="5"/>
  <c r="AB71" i="3"/>
  <c r="AB72" i="3"/>
  <c r="EN282" i="5"/>
  <c r="EN323" i="5"/>
  <c r="AA71" i="3"/>
  <c r="AA72" i="3"/>
  <c r="EX323" i="5"/>
  <c r="EX282" i="5"/>
  <c r="EV278" i="5"/>
  <c r="Y26" i="8"/>
  <c r="AA64" i="8" l="1"/>
  <c r="Z76" i="8"/>
  <c r="Z20" i="8" s="1"/>
  <c r="EV282" i="5"/>
  <c r="EV323" i="5"/>
  <c r="FD323" i="5"/>
  <c r="FD282" i="5"/>
  <c r="AA74" i="8"/>
  <c r="AA68" i="8"/>
  <c r="AB62" i="8" s="1"/>
  <c r="Z26" i="8" l="1"/>
  <c r="AB65" i="8"/>
  <c r="AB72" i="8" s="1"/>
  <c r="AB64" i="8"/>
  <c r="AA76" i="8"/>
  <c r="AA20" i="8" s="1"/>
  <c r="AB70" i="8"/>
  <c r="AB74" i="8" l="1"/>
  <c r="AB68" i="8"/>
  <c r="AA26" i="8"/>
  <c r="AB76" i="8" l="1"/>
  <c r="AB20" i="8" s="1"/>
  <c r="AB26" i="8" l="1"/>
  <c r="BN14" i="11" l="1"/>
  <c r="BV14" i="11"/>
  <c r="AW195" i="9"/>
  <c r="AW196" i="9" s="1"/>
  <c r="BO13" i="11"/>
  <c r="BO14" i="11" l="1"/>
  <c r="AX195" i="9"/>
  <c r="AW187" i="9"/>
  <c r="AX187" i="9" s="1"/>
  <c r="AW150" i="9"/>
  <c r="AW117" i="9" s="1"/>
  <c r="BW14" i="11"/>
  <c r="BT13" i="11"/>
  <c r="BO5" i="11"/>
  <c r="AX139" i="9" l="1"/>
  <c r="AX188" i="9"/>
  <c r="AX150" i="9"/>
  <c r="AX117" i="9" s="1"/>
  <c r="AX121" i="9" s="1"/>
  <c r="AX196" i="9"/>
  <c r="DT173" i="5" s="1"/>
  <c r="EB174" i="5" s="1"/>
  <c r="BF121" i="9"/>
  <c r="EB144" i="5" s="1"/>
  <c r="DT144" i="5"/>
  <c r="BT5" i="11"/>
  <c r="BC195" i="9"/>
  <c r="BT14" i="11"/>
  <c r="CB14" i="11"/>
  <c r="AW121" i="9"/>
  <c r="DS144" i="5" s="1"/>
  <c r="BE121" i="9"/>
  <c r="EA144" i="5" s="1"/>
  <c r="AW97" i="9"/>
  <c r="AX97" i="9" s="1"/>
  <c r="AX103" i="9" s="1"/>
  <c r="AW116" i="9"/>
  <c r="AW139" i="9"/>
  <c r="AW188" i="9"/>
  <c r="BW6" i="11"/>
  <c r="BO6" i="11"/>
  <c r="BO32" i="11" s="1"/>
  <c r="BN5" i="11"/>
  <c r="DS173" i="5"/>
  <c r="DT174" i="5" l="1"/>
  <c r="BN26" i="11"/>
  <c r="AI4" i="10"/>
  <c r="BE120" i="9"/>
  <c r="AW120" i="9"/>
  <c r="BC187" i="9"/>
  <c r="BC196" i="9"/>
  <c r="DY173" i="5" s="1"/>
  <c r="BC150" i="9"/>
  <c r="BC117" i="9" s="1"/>
  <c r="BT6" i="11"/>
  <c r="CB6" i="11"/>
  <c r="DS176" i="5"/>
  <c r="EA174" i="5"/>
  <c r="DS174" i="5"/>
  <c r="BV6" i="11"/>
  <c r="BN6" i="11"/>
  <c r="BN32" i="11" s="1"/>
  <c r="AW96" i="9"/>
  <c r="BE103" i="9"/>
  <c r="AW103" i="9"/>
  <c r="AW91" i="9"/>
  <c r="BF103" i="9"/>
  <c r="BN29" i="11" l="1"/>
  <c r="BO26" i="11"/>
  <c r="BO29" i="11" s="1"/>
  <c r="AW90" i="9"/>
  <c r="BE102" i="9"/>
  <c r="AW102" i="9"/>
  <c r="DS177" i="5"/>
  <c r="EA177" i="5"/>
  <c r="DT157" i="5"/>
  <c r="BF87" i="9"/>
  <c r="AX87" i="9"/>
  <c r="BC121" i="9"/>
  <c r="DY144" i="5" s="1"/>
  <c r="BK121" i="9"/>
  <c r="EG144" i="5" s="1"/>
  <c r="DY174" i="5"/>
  <c r="EG174" i="5"/>
  <c r="BC188" i="9"/>
  <c r="BC139" i="9"/>
  <c r="BC97" i="9" s="1"/>
  <c r="AQ5" i="10"/>
  <c r="AI25" i="10"/>
  <c r="AI6" i="10"/>
  <c r="AI5" i="10"/>
  <c r="AI9" i="10"/>
  <c r="AI26" i="10"/>
  <c r="DT160" i="5" l="1"/>
  <c r="EB160" i="5"/>
  <c r="DT166" i="5"/>
  <c r="DT176" i="5" s="1"/>
  <c r="BC103" i="9"/>
  <c r="BK103" i="9"/>
  <c r="AI24" i="10"/>
  <c r="AW168" i="9"/>
  <c r="EB177" i="5" l="1"/>
  <c r="DT177" i="5"/>
  <c r="AW149" i="9"/>
  <c r="AW151" i="9" s="1"/>
  <c r="AW152" i="9" s="1"/>
  <c r="AW170" i="9"/>
  <c r="AW160" i="9"/>
  <c r="AW138" i="9" l="1"/>
  <c r="AW140" i="9" s="1"/>
  <c r="AW141" i="9" s="1"/>
  <c r="AW162" i="9"/>
  <c r="DT27" i="5" l="1"/>
  <c r="DT34" i="5" s="1"/>
  <c r="BF86" i="9" l="1"/>
  <c r="AX86" i="9"/>
  <c r="DT156" i="5"/>
  <c r="EB159" i="5" l="1"/>
  <c r="DT170" i="5"/>
  <c r="DT158" i="5"/>
  <c r="DT165" i="5"/>
  <c r="DT159" i="5"/>
  <c r="EB161" i="5" l="1"/>
  <c r="DT167" i="5"/>
  <c r="DT161" i="5"/>
  <c r="EB171" i="5"/>
  <c r="DT171" i="5"/>
  <c r="EB168" i="5" l="1"/>
  <c r="DT168" i="5"/>
  <c r="BA7" i="9"/>
  <c r="BA234" i="9" s="1"/>
  <c r="BA6" i="9"/>
  <c r="BA211" i="9" s="1"/>
  <c r="BA5" i="9"/>
  <c r="BA233" i="9" l="1"/>
  <c r="BA242" i="9"/>
  <c r="BA244" i="9"/>
  <c r="BI242" i="9"/>
  <c r="BA210" i="9"/>
  <c r="BA221" i="9"/>
  <c r="AX211" i="9"/>
  <c r="BA219" i="9"/>
  <c r="BI219" i="9"/>
  <c r="BB211" i="9"/>
  <c r="AX5" i="9"/>
  <c r="BA98" i="9"/>
  <c r="BA68" i="9"/>
  <c r="AX6" i="9"/>
  <c r="BA69" i="9"/>
  <c r="AX7" i="9"/>
  <c r="BI67" i="9"/>
  <c r="BA67" i="9"/>
  <c r="BI69" i="9"/>
  <c r="BI68" i="9"/>
  <c r="BA64" i="9"/>
  <c r="BA17" i="9" l="1"/>
  <c r="BB221" i="9"/>
  <c r="AX210" i="9"/>
  <c r="BB210" i="9"/>
  <c r="BI218" i="9"/>
  <c r="BA218" i="9"/>
  <c r="BA91" i="9"/>
  <c r="BA18" i="9"/>
  <c r="BB244" i="9"/>
  <c r="BB6" i="9"/>
  <c r="BJ219" i="9"/>
  <c r="BB219" i="9"/>
  <c r="BF219" i="9"/>
  <c r="AX219" i="9"/>
  <c r="BB233" i="9"/>
  <c r="BA241" i="9"/>
  <c r="BI241" i="9"/>
  <c r="AX233" i="9"/>
  <c r="BF69" i="9"/>
  <c r="AX69" i="9"/>
  <c r="BF68" i="9"/>
  <c r="AX68" i="9"/>
  <c r="BA118" i="9"/>
  <c r="BA96" i="9"/>
  <c r="BA104" i="9"/>
  <c r="BI104" i="9"/>
  <c r="AX9" i="9"/>
  <c r="AX61" i="9" s="1"/>
  <c r="AX98" i="9"/>
  <c r="BF67" i="9"/>
  <c r="AX67" i="9"/>
  <c r="BJ218" i="9" l="1"/>
  <c r="AY210" i="9"/>
  <c r="AZ210" i="9"/>
  <c r="BB218" i="9"/>
  <c r="AX241" i="9"/>
  <c r="AX234" i="9"/>
  <c r="BF241" i="9"/>
  <c r="BB68" i="9"/>
  <c r="BJ68" i="9"/>
  <c r="BB17" i="9"/>
  <c r="BB222" i="9"/>
  <c r="BB241" i="9"/>
  <c r="AY233" i="9"/>
  <c r="BB234" i="9"/>
  <c r="BJ241" i="9"/>
  <c r="BF218" i="9"/>
  <c r="AX218" i="9"/>
  <c r="AX91" i="9"/>
  <c r="BB18" i="9"/>
  <c r="BA16" i="9"/>
  <c r="BA108" i="9" s="1"/>
  <c r="AX104" i="9"/>
  <c r="AX96" i="9"/>
  <c r="BF104" i="9"/>
  <c r="AX10" i="9"/>
  <c r="AX13" i="9" s="1"/>
  <c r="BC13" i="9" s="1"/>
  <c r="AX77" i="9"/>
  <c r="DT3" i="5"/>
  <c r="BF12" i="9"/>
  <c r="BF10" i="9"/>
  <c r="BF13" i="9"/>
  <c r="AX71" i="9"/>
  <c r="BF71" i="9"/>
  <c r="AX118" i="9"/>
  <c r="BA116" i="9"/>
  <c r="BA122" i="9"/>
  <c r="BA266" i="9"/>
  <c r="BI122" i="9"/>
  <c r="AX62" i="9"/>
  <c r="AX60" i="9"/>
  <c r="BA102" i="9"/>
  <c r="BI102" i="9"/>
  <c r="BA90" i="9"/>
  <c r="BB242" i="9" l="1"/>
  <c r="BB7" i="9"/>
  <c r="BJ242" i="9"/>
  <c r="BA126" i="9"/>
  <c r="BA130" i="9" s="1"/>
  <c r="BA112" i="9"/>
  <c r="AZ233" i="9"/>
  <c r="AY241" i="9"/>
  <c r="BG241" i="9"/>
  <c r="AY234" i="9"/>
  <c r="BB245" i="9"/>
  <c r="BC233" i="9"/>
  <c r="BH218" i="9"/>
  <c r="AZ218" i="9"/>
  <c r="BC210" i="9"/>
  <c r="BG218" i="9"/>
  <c r="AY218" i="9"/>
  <c r="AX242" i="9"/>
  <c r="BF242" i="9"/>
  <c r="AX81" i="9"/>
  <c r="AX82" i="9"/>
  <c r="AX80" i="9"/>
  <c r="BA267" i="9"/>
  <c r="BA269" i="9"/>
  <c r="BA277" i="9" s="1"/>
  <c r="BA278" i="9" s="1"/>
  <c r="BI267" i="9"/>
  <c r="AM4" i="10"/>
  <c r="BI120" i="9"/>
  <c r="BA120" i="9"/>
  <c r="AX102" i="9"/>
  <c r="BF102" i="9"/>
  <c r="AX90" i="9"/>
  <c r="DT11" i="5"/>
  <c r="DT17" i="5"/>
  <c r="EB17" i="5"/>
  <c r="AX266" i="9"/>
  <c r="AX122" i="9"/>
  <c r="AX116" i="9"/>
  <c r="BF122" i="9"/>
  <c r="AX64" i="9"/>
  <c r="BF11" i="9"/>
  <c r="EB27" i="5" s="1"/>
  <c r="BK218" i="9" l="1"/>
  <c r="BC218" i="9"/>
  <c r="BC75" i="9"/>
  <c r="BC234" i="9"/>
  <c r="BC241" i="9"/>
  <c r="BK241" i="9"/>
  <c r="BB69" i="9"/>
  <c r="BJ69" i="9"/>
  <c r="AZ241" i="9"/>
  <c r="BH241" i="9"/>
  <c r="AZ234" i="9"/>
  <c r="EB34" i="5"/>
  <c r="AY242" i="9"/>
  <c r="AY7" i="9"/>
  <c r="BG242" i="9"/>
  <c r="AX83" i="9"/>
  <c r="AM5" i="10"/>
  <c r="AM6" i="10"/>
  <c r="AM26" i="10"/>
  <c r="AU5" i="10"/>
  <c r="BB278" i="9"/>
  <c r="DT13" i="5"/>
  <c r="DT14" i="5"/>
  <c r="DT24" i="5"/>
  <c r="DT37" i="5" s="1"/>
  <c r="DT36" i="5" s="1"/>
  <c r="EB35" i="5"/>
  <c r="EB24" i="5"/>
  <c r="EB37" i="5" s="1"/>
  <c r="BA271" i="9"/>
  <c r="BB271" i="9" s="1"/>
  <c r="BB269" i="9"/>
  <c r="AX120" i="9"/>
  <c r="AJ4" i="10"/>
  <c r="BF120" i="9"/>
  <c r="AX267" i="9"/>
  <c r="AX269" i="9"/>
  <c r="AX271" i="9" s="1"/>
  <c r="AX277" i="9"/>
  <c r="AX278" i="9" s="1"/>
  <c r="BG69" i="9" l="1"/>
  <c r="AY69" i="9"/>
  <c r="BC7" i="9"/>
  <c r="BC242" i="9"/>
  <c r="BK242" i="9"/>
  <c r="AZ7" i="9"/>
  <c r="BH242" i="9"/>
  <c r="AZ242" i="9"/>
  <c r="BC87" i="9"/>
  <c r="BK87" i="9"/>
  <c r="BC91" i="9"/>
  <c r="DY157" i="5"/>
  <c r="EB36" i="5"/>
  <c r="BB255" i="9"/>
  <c r="BB256" i="9" s="1"/>
  <c r="BA255" i="9"/>
  <c r="AX255" i="9"/>
  <c r="AJ5" i="10"/>
  <c r="AJ6" i="10"/>
  <c r="AJ26" i="10"/>
  <c r="AR5" i="10"/>
  <c r="AZ69" i="9" l="1"/>
  <c r="BH69" i="9"/>
  <c r="DY160" i="5"/>
  <c r="DY166" i="5"/>
  <c r="DY176" i="5" s="1"/>
  <c r="EG160" i="5"/>
  <c r="BK69" i="9"/>
  <c r="BC69" i="9"/>
  <c r="BJ256" i="9"/>
  <c r="BA293" i="9"/>
  <c r="BA256" i="9"/>
  <c r="BI256" i="9"/>
  <c r="AX256" i="9"/>
  <c r="AX264" i="9"/>
  <c r="AX114" i="9" s="1"/>
  <c r="DY177" i="5" l="1"/>
  <c r="EG177" i="5"/>
  <c r="AG41" i="13"/>
  <c r="AY114" i="9"/>
  <c r="AX293" i="9"/>
  <c r="BB293" i="9"/>
  <c r="AY184" i="9" l="1"/>
  <c r="AH41" i="13"/>
  <c r="AY185" i="9"/>
  <c r="AY136" i="9" s="1"/>
  <c r="AY158" i="9"/>
  <c r="AY186" i="9"/>
  <c r="AY187" i="9"/>
  <c r="AY159" i="9"/>
  <c r="AY135" i="9" s="1"/>
  <c r="AZ114" i="9"/>
  <c r="AY161" i="9"/>
  <c r="AY139" i="9" l="1"/>
  <c r="AZ185" i="9"/>
  <c r="AZ136" i="9" s="1"/>
  <c r="AZ186" i="9"/>
  <c r="AZ161" i="9"/>
  <c r="AI41" i="13"/>
  <c r="AZ158" i="9"/>
  <c r="AZ187" i="9"/>
  <c r="AZ184" i="9"/>
  <c r="AY132" i="9"/>
  <c r="AY137" i="9"/>
  <c r="AY188" i="9"/>
  <c r="AY133" i="9"/>
  <c r="AY97" i="9" l="1"/>
  <c r="AY103" i="9" s="1"/>
  <c r="AZ139" i="9"/>
  <c r="AY134" i="9"/>
  <c r="AZ188" i="9"/>
  <c r="AZ133" i="9"/>
  <c r="AZ132" i="9"/>
  <c r="AZ97" i="9" l="1"/>
  <c r="BH103" i="9" s="1"/>
  <c r="BG103" i="9"/>
  <c r="AY75" i="9"/>
  <c r="AY87" i="9" s="1"/>
  <c r="AZ134" i="9"/>
  <c r="AZ75" i="9" l="1"/>
  <c r="AZ87" i="9" s="1"/>
  <c r="AZ103" i="9"/>
  <c r="BG87" i="9"/>
  <c r="AY91" i="9"/>
  <c r="DU157" i="5"/>
  <c r="DU166" i="5" s="1"/>
  <c r="DU176" i="5" s="1"/>
  <c r="BH87" i="9"/>
  <c r="AZ91" i="9" l="1"/>
  <c r="DV157" i="5"/>
  <c r="DV160" i="5" s="1"/>
  <c r="EC160" i="5"/>
  <c r="DU160" i="5"/>
  <c r="DU177" i="5"/>
  <c r="EC177" i="5"/>
  <c r="ED160" i="5" l="1"/>
  <c r="DV166" i="5"/>
  <c r="DV176" i="5" s="1"/>
  <c r="DV177" i="5"/>
  <c r="ED177" i="5"/>
  <c r="Z18" i="10" l="1"/>
  <c r="X18" i="10" s="1"/>
  <c r="X57" i="10"/>
  <c r="X58" i="10"/>
  <c r="V58" i="10" s="1"/>
  <c r="Z59" i="10"/>
  <c r="Z62" i="10" s="1"/>
  <c r="AH60" i="10" l="1"/>
  <c r="AH63" i="10"/>
  <c r="Z63" i="10"/>
  <c r="X59" i="10"/>
  <c r="DJ198" i="5"/>
  <c r="V57" i="10"/>
  <c r="V59" i="10" s="1"/>
  <c r="Z60" i="10"/>
  <c r="Z73" i="10"/>
  <c r="V18" i="10"/>
  <c r="Z19" i="10"/>
  <c r="X19" i="10" s="1"/>
  <c r="V19" i="10" s="1"/>
  <c r="Z20" i="10" l="1"/>
  <c r="X20" i="10"/>
  <c r="V60" i="10"/>
  <c r="AD60" i="10"/>
  <c r="V62" i="10"/>
  <c r="DF198" i="5"/>
  <c r="AN169" i="9"/>
  <c r="AN161" i="9" s="1"/>
  <c r="AL161" i="9" s="1"/>
  <c r="AJ161" i="9" s="1"/>
  <c r="Z33" i="10"/>
  <c r="Z26" i="10"/>
  <c r="Z9" i="10"/>
  <c r="AL169" i="9"/>
  <c r="X26" i="10"/>
  <c r="X62" i="10"/>
  <c r="AF60" i="10"/>
  <c r="DH198" i="5"/>
  <c r="X60" i="10"/>
  <c r="V20" i="10"/>
  <c r="Z74" i="10"/>
  <c r="X73" i="10"/>
  <c r="Z75" i="10" l="1"/>
  <c r="X74" i="10"/>
  <c r="X9" i="10"/>
  <c r="Z24" i="10"/>
  <c r="Z32" i="10"/>
  <c r="AN168" i="9"/>
  <c r="AJ169" i="9"/>
  <c r="V26" i="10"/>
  <c r="AN177" i="9"/>
  <c r="X33" i="10"/>
  <c r="X63" i="10"/>
  <c r="AF63" i="10"/>
  <c r="AD63" i="10"/>
  <c r="V63" i="10"/>
  <c r="V73" i="10"/>
  <c r="V68" i="10" s="1"/>
  <c r="X68" i="10"/>
  <c r="AN170" i="9" l="1"/>
  <c r="AN160" i="9"/>
  <c r="AN149" i="9"/>
  <c r="AN151" i="9" s="1"/>
  <c r="AN152" i="9" s="1"/>
  <c r="X32" i="10"/>
  <c r="Z34" i="10"/>
  <c r="Z35" i="10" s="1"/>
  <c r="AN176" i="9"/>
  <c r="AN178" i="9" s="1"/>
  <c r="AN124" i="9" s="1"/>
  <c r="X24" i="10"/>
  <c r="V9" i="10"/>
  <c r="AL168" i="9"/>
  <c r="X131" i="10"/>
  <c r="AL177" i="9"/>
  <c r="X75" i="10"/>
  <c r="V74" i="10"/>
  <c r="V75" i="10" s="1"/>
  <c r="AN125" i="9" l="1"/>
  <c r="AL124" i="9"/>
  <c r="AN128" i="9"/>
  <c r="AJ168" i="9"/>
  <c r="V24" i="10"/>
  <c r="X34" i="10"/>
  <c r="X35" i="10" s="1"/>
  <c r="X130" i="10"/>
  <c r="AL176" i="9"/>
  <c r="AL178" i="9" s="1"/>
  <c r="AL160" i="9"/>
  <c r="AN138" i="9"/>
  <c r="AN140" i="9" s="1"/>
  <c r="AN141" i="9" s="1"/>
  <c r="AN162" i="9"/>
  <c r="AL170" i="9"/>
  <c r="AL149" i="9"/>
  <c r="AL151" i="9" s="1"/>
  <c r="AL152" i="9" s="1"/>
  <c r="AN171" i="9"/>
  <c r="BD171" i="9"/>
  <c r="AV171" i="9"/>
  <c r="AJ170" i="9" l="1"/>
  <c r="AJ149" i="9"/>
  <c r="AJ151" i="9" s="1"/>
  <c r="AJ152" i="9" s="1"/>
  <c r="AV163" i="9"/>
  <c r="AN163" i="9"/>
  <c r="AL128" i="9"/>
  <c r="AL138" i="9"/>
  <c r="AL140" i="9" s="1"/>
  <c r="AL141" i="9" s="1"/>
  <c r="AJ160" i="9"/>
  <c r="AL162" i="9"/>
  <c r="AL125" i="9"/>
  <c r="BE41" i="11"/>
  <c r="AN129" i="9"/>
  <c r="BE44" i="11" l="1"/>
  <c r="BE42" i="11"/>
  <c r="BC41" i="11"/>
  <c r="BC42" i="11" s="1"/>
  <c r="AL129" i="9"/>
  <c r="AJ162" i="9"/>
  <c r="AJ138" i="9"/>
  <c r="AJ140" i="9" s="1"/>
  <c r="AJ141" i="9" s="1"/>
  <c r="AL126" i="9"/>
  <c r="AL130" i="9" s="1"/>
  <c r="BE54" i="11" l="1"/>
  <c r="BE55" i="11"/>
  <c r="BC44" i="11"/>
  <c r="AN200" i="9"/>
  <c r="AN204" i="9" s="1"/>
  <c r="AN205" i="9" s="1"/>
  <c r="BE45" i="11"/>
  <c r="BC45" i="11" l="1"/>
  <c r="AL200" i="9"/>
  <c r="AL204" i="9" s="1"/>
  <c r="AL205" i="9" s="1"/>
  <c r="AO185" i="10"/>
  <c r="AO184" i="10" s="1"/>
  <c r="AJ184" i="10"/>
  <c r="AO207" i="10" l="1"/>
  <c r="AW208" i="10" s="1"/>
  <c r="AO209" i="10" l="1"/>
  <c r="AO50" i="10"/>
  <c r="DY196" i="5" s="1"/>
  <c r="AO208" i="10"/>
  <c r="AO51" i="10" l="1"/>
  <c r="AO62" i="10" s="1"/>
  <c r="AO63" i="10" s="1"/>
  <c r="DW196" i="5"/>
  <c r="AM51" i="10"/>
  <c r="AM207" i="10"/>
  <c r="AM12" i="10"/>
  <c r="AJ12" i="10" s="1"/>
  <c r="AO12" i="10" s="1"/>
  <c r="AM62" i="10" l="1"/>
  <c r="AM72" i="10"/>
  <c r="AW63" i="10"/>
  <c r="AO13" i="10"/>
  <c r="BC167" i="9"/>
  <c r="BC146" i="9" s="1"/>
  <c r="AM63" i="10"/>
  <c r="AU63" i="10"/>
  <c r="AX167" i="9"/>
  <c r="AJ13" i="10"/>
  <c r="AM209" i="10"/>
  <c r="AU208" i="10"/>
  <c r="AM208" i="10"/>
  <c r="AN12" i="10"/>
  <c r="BA167" i="9"/>
  <c r="AM31" i="10"/>
  <c r="AM13" i="10"/>
  <c r="AN72" i="10" l="1"/>
  <c r="AJ72" i="10"/>
  <c r="AJ67" i="10" s="1"/>
  <c r="AM74" i="10"/>
  <c r="BC159" i="9"/>
  <c r="BC135" i="9" s="1"/>
  <c r="AJ9" i="10"/>
  <c r="AJ25" i="10"/>
  <c r="AM9" i="10"/>
  <c r="AM25" i="10"/>
  <c r="AX146" i="9"/>
  <c r="AX148" i="9" s="1"/>
  <c r="BA175" i="9"/>
  <c r="AN31" i="10"/>
  <c r="BA159" i="9"/>
  <c r="BA146" i="9"/>
  <c r="BA148" i="9" s="1"/>
  <c r="AL12" i="10"/>
  <c r="AN13" i="10"/>
  <c r="BB167" i="9"/>
  <c r="BC148" i="9"/>
  <c r="AM75" i="10" l="1"/>
  <c r="AJ74" i="10"/>
  <c r="AL72" i="10"/>
  <c r="AL67" i="10" s="1"/>
  <c r="AN74" i="10"/>
  <c r="AN67" i="10"/>
  <c r="AN129" i="10"/>
  <c r="BB175" i="9"/>
  <c r="BC137" i="9"/>
  <c r="AL13" i="10"/>
  <c r="AZ167" i="9"/>
  <c r="AX159" i="9"/>
  <c r="BA135" i="9"/>
  <c r="BA137" i="9" s="1"/>
  <c r="AM32" i="10"/>
  <c r="BA168" i="9"/>
  <c r="AN9" i="10"/>
  <c r="AM24" i="10"/>
  <c r="AX168" i="9"/>
  <c r="AJ24" i="10"/>
  <c r="BB146" i="9"/>
  <c r="AN75" i="10" l="1"/>
  <c r="AL74" i="10"/>
  <c r="AL75" i="10" s="1"/>
  <c r="BA160" i="9"/>
  <c r="BA149" i="9"/>
  <c r="BA151" i="9" s="1"/>
  <c r="BA152" i="9" s="1"/>
  <c r="BA170" i="9"/>
  <c r="AX135" i="9"/>
  <c r="AX137" i="9" s="1"/>
  <c r="AX149" i="9"/>
  <c r="AX151" i="9" s="1"/>
  <c r="AX152" i="9" s="1"/>
  <c r="AX170" i="9"/>
  <c r="BB168" i="9"/>
  <c r="AN4" i="10"/>
  <c r="AK9" i="10"/>
  <c r="AN32" i="10"/>
  <c r="BA176" i="9"/>
  <c r="BA178" i="9" s="1"/>
  <c r="BA124" i="9" s="1"/>
  <c r="AM34" i="10"/>
  <c r="AM35" i="10" s="1"/>
  <c r="BB148" i="9"/>
  <c r="AZ146" i="9"/>
  <c r="AZ159" i="9"/>
  <c r="AY168" i="9" l="1"/>
  <c r="AK4" i="10"/>
  <c r="AO9" i="10"/>
  <c r="AN5" i="10"/>
  <c r="AN26" i="10"/>
  <c r="AV5" i="10"/>
  <c r="AN25" i="10"/>
  <c r="AZ148" i="9"/>
  <c r="BB149" i="9"/>
  <c r="BB170" i="9"/>
  <c r="AZ135" i="9"/>
  <c r="AN24" i="10"/>
  <c r="AL9" i="10"/>
  <c r="BA125" i="9"/>
  <c r="BA128" i="9"/>
  <c r="BA138" i="9"/>
  <c r="BA140" i="9" s="1"/>
  <c r="BA141" i="9" s="1"/>
  <c r="AX160" i="9"/>
  <c r="BA162" i="9"/>
  <c r="AN130" i="10"/>
  <c r="BB176" i="9"/>
  <c r="BB178" i="9" s="1"/>
  <c r="BB124" i="9" s="1"/>
  <c r="AN34" i="10"/>
  <c r="AN35" i="10" s="1"/>
  <c r="BA129" i="9" l="1"/>
  <c r="BR41" i="11"/>
  <c r="BR44" i="11" s="1"/>
  <c r="BB151" i="9"/>
  <c r="BB152" i="9" s="1"/>
  <c r="BB116" i="9"/>
  <c r="AX138" i="9"/>
  <c r="AX140" i="9" s="1"/>
  <c r="AX141" i="9" s="1"/>
  <c r="AX162" i="9"/>
  <c r="AZ137" i="9"/>
  <c r="AL4" i="10"/>
  <c r="AL24" i="10" s="1"/>
  <c r="AZ168" i="9"/>
  <c r="AO4" i="10"/>
  <c r="AO24" i="10" s="1"/>
  <c r="BC168" i="9"/>
  <c r="AK25" i="10"/>
  <c r="AS5" i="10"/>
  <c r="AK26" i="10"/>
  <c r="AK5" i="10"/>
  <c r="AY170" i="9"/>
  <c r="AY160" i="9"/>
  <c r="AY149" i="9"/>
  <c r="AK24" i="10"/>
  <c r="BR45" i="11" l="1"/>
  <c r="BS44" i="11"/>
  <c r="BA200" i="9"/>
  <c r="BA204" i="9" s="1"/>
  <c r="BA205" i="9" s="1"/>
  <c r="BC160" i="9"/>
  <c r="BC149" i="9"/>
  <c r="BC170" i="9"/>
  <c r="AZ149" i="9"/>
  <c r="AZ160" i="9"/>
  <c r="AZ170" i="9"/>
  <c r="BB120" i="9"/>
  <c r="BJ120" i="9"/>
  <c r="BB118" i="9"/>
  <c r="AW5" i="10"/>
  <c r="AO26" i="10"/>
  <c r="AO5" i="10"/>
  <c r="AO25" i="10"/>
  <c r="AY151" i="9"/>
  <c r="AY152" i="9" s="1"/>
  <c r="AY116" i="9"/>
  <c r="AL5" i="10"/>
  <c r="AT5" i="10"/>
  <c r="AL26" i="10"/>
  <c r="AL25" i="10"/>
  <c r="AY162" i="9"/>
  <c r="AY138" i="9"/>
  <c r="BB128" i="9"/>
  <c r="BB200" i="9" l="1"/>
  <c r="BB204" i="9" s="1"/>
  <c r="BB205" i="9" s="1"/>
  <c r="BS45" i="11"/>
  <c r="BS41" i="11"/>
  <c r="BB125" i="9" s="1"/>
  <c r="AZ138" i="9"/>
  <c r="AZ162" i="9"/>
  <c r="AZ151" i="9"/>
  <c r="AZ152" i="9" s="1"/>
  <c r="AZ116" i="9"/>
  <c r="AY120" i="9"/>
  <c r="BG120" i="9"/>
  <c r="AY118" i="9"/>
  <c r="BB122" i="9"/>
  <c r="BJ122" i="9"/>
  <c r="BB266" i="9"/>
  <c r="AN6" i="10"/>
  <c r="BC151" i="9"/>
  <c r="BC152" i="9" s="1"/>
  <c r="BC116" i="9"/>
  <c r="AY140" i="9"/>
  <c r="AY141" i="9" s="1"/>
  <c r="AY96" i="9"/>
  <c r="BC138" i="9"/>
  <c r="BC162" i="9"/>
  <c r="BB129" i="9" l="1"/>
  <c r="BB126" i="9"/>
  <c r="BB130" i="9" s="1"/>
  <c r="BG122" i="9"/>
  <c r="AY122" i="9"/>
  <c r="AK6" i="10"/>
  <c r="BC140" i="9"/>
  <c r="BC141" i="9" s="1"/>
  <c r="BC96" i="9"/>
  <c r="BG102" i="9"/>
  <c r="AY102" i="9"/>
  <c r="AY98" i="9"/>
  <c r="BC118" i="9"/>
  <c r="BC120" i="9"/>
  <c r="BK120" i="9"/>
  <c r="AZ120" i="9"/>
  <c r="AZ118" i="9"/>
  <c r="BH120" i="9"/>
  <c r="BJ267" i="9"/>
  <c r="BB267" i="9"/>
  <c r="BB277" i="9"/>
  <c r="BB264" i="9"/>
  <c r="AZ140" i="9"/>
  <c r="AZ141" i="9" s="1"/>
  <c r="AZ96" i="9"/>
  <c r="AZ102" i="9" l="1"/>
  <c r="BH102" i="9"/>
  <c r="AZ98" i="9"/>
  <c r="AZ5" i="9" s="1"/>
  <c r="BC102" i="9"/>
  <c r="BC98" i="9"/>
  <c r="BK102" i="9"/>
  <c r="AY104" i="9"/>
  <c r="BG104" i="9"/>
  <c r="AY5" i="9"/>
  <c r="AZ42" i="12"/>
  <c r="BB114" i="9"/>
  <c r="BH122" i="9"/>
  <c r="AZ122" i="9"/>
  <c r="AL6" i="10"/>
  <c r="BC122" i="9"/>
  <c r="BK122" i="9"/>
  <c r="AO6" i="10"/>
  <c r="BB186" i="9" l="1"/>
  <c r="BB185" i="9"/>
  <c r="BB136" i="9" s="1"/>
  <c r="AK41" i="13"/>
  <c r="BB184" i="9"/>
  <c r="BB161" i="9"/>
  <c r="BB187" i="9"/>
  <c r="BB158" i="9"/>
  <c r="BB159" i="9"/>
  <c r="BB135" i="9" s="1"/>
  <c r="BB137" i="9" s="1"/>
  <c r="BB160" i="9"/>
  <c r="AZ104" i="9"/>
  <c r="BH104" i="9"/>
  <c r="BH43" i="12"/>
  <c r="AZ43" i="12"/>
  <c r="BC104" i="9"/>
  <c r="BK104" i="9"/>
  <c r="BC5" i="9"/>
  <c r="BG67" i="9"/>
  <c r="AY67" i="9"/>
  <c r="BB138" i="9" l="1"/>
  <c r="BB188" i="9"/>
  <c r="BB133" i="9"/>
  <c r="AZ67" i="9"/>
  <c r="BH67" i="9"/>
  <c r="AK42" i="13"/>
  <c r="AS42" i="13"/>
  <c r="BB162" i="9"/>
  <c r="BB132" i="9"/>
  <c r="BC67" i="9"/>
  <c r="BK67" i="9"/>
  <c r="BB139" i="9"/>
  <c r="BB140" i="9" l="1"/>
  <c r="BB134" i="9"/>
  <c r="BB96" i="9"/>
  <c r="BB97" i="9"/>
  <c r="BB141" i="9" l="1"/>
  <c r="BB75" i="9"/>
  <c r="BJ103" i="9"/>
  <c r="BB103" i="9"/>
  <c r="BB98" i="9"/>
  <c r="BB102" i="9"/>
  <c r="BJ102" i="9"/>
  <c r="BB104" i="9" l="1"/>
  <c r="BJ104" i="9"/>
  <c r="BB5" i="9"/>
  <c r="BB87" i="9"/>
  <c r="BB91" i="9"/>
  <c r="DX157" i="5"/>
  <c r="BJ87" i="9"/>
  <c r="EF160" i="5" l="1"/>
  <c r="DX160" i="5"/>
  <c r="DX166" i="5"/>
  <c r="DX176" i="5" s="1"/>
  <c r="BJ67" i="9"/>
  <c r="BB67" i="9"/>
  <c r="BB9" i="9"/>
  <c r="BJ12" i="9" l="1"/>
  <c r="BJ10" i="9"/>
  <c r="BB61" i="9"/>
  <c r="BB10" i="9"/>
  <c r="BB11" i="9" s="1"/>
  <c r="DX27" i="5" s="1"/>
  <c r="DX34" i="5" s="1"/>
  <c r="BB55" i="9"/>
  <c r="BB47" i="9"/>
  <c r="BJ13" i="9"/>
  <c r="BB29" i="9"/>
  <c r="BJ71" i="9"/>
  <c r="BB71" i="9"/>
  <c r="BB62" i="9"/>
  <c r="BB77" i="9"/>
  <c r="DX3" i="5"/>
  <c r="BB60" i="9"/>
  <c r="EF177" i="5"/>
  <c r="DX177" i="5"/>
  <c r="BJ11" i="9" l="1"/>
  <c r="EF27" i="5" s="1"/>
  <c r="BB64" i="9"/>
  <c r="BB35" i="9"/>
  <c r="BB82" i="9"/>
  <c r="BB74" i="9"/>
  <c r="BB81" i="9"/>
  <c r="DX17" i="5"/>
  <c r="EF17" i="5"/>
  <c r="DX11" i="5"/>
  <c r="EF24" i="5" l="1"/>
  <c r="EF37" i="5" s="1"/>
  <c r="EF35" i="5"/>
  <c r="DX13" i="5"/>
  <c r="DX14" i="5"/>
  <c r="DX24" i="5"/>
  <c r="DX37" i="5" s="1"/>
  <c r="DX36" i="5" s="1"/>
  <c r="BJ86" i="9"/>
  <c r="BB80" i="9"/>
  <c r="BB83" i="9" s="1"/>
  <c r="BB86" i="9"/>
  <c r="DX156" i="5"/>
  <c r="EF34" i="5"/>
  <c r="DX170" i="5" l="1"/>
  <c r="DX159" i="5"/>
  <c r="DX165" i="5"/>
  <c r="EF159" i="5"/>
  <c r="DX158" i="5"/>
  <c r="EF36" i="5"/>
  <c r="DX161" i="5" l="1"/>
  <c r="EF161" i="5"/>
  <c r="DX167" i="5"/>
  <c r="EF171" i="5"/>
  <c r="DX171" i="5"/>
  <c r="EF168" i="5" l="1"/>
  <c r="DX168" i="5"/>
  <c r="DT196" i="5" l="1"/>
  <c r="AJ62" i="10"/>
  <c r="AJ207" i="10"/>
  <c r="AJ208" i="10" s="1"/>
  <c r="AR63" i="10" l="1"/>
  <c r="AJ75" i="10"/>
  <c r="AR208" i="10"/>
  <c r="AJ209" i="10"/>
  <c r="AJ63" i="10"/>
  <c r="AW27" i="11"/>
  <c r="AO27" i="11" s="1"/>
  <c r="BE37" i="11"/>
  <c r="BM27" i="11"/>
  <c r="BU27" i="11" s="1"/>
  <c r="BS27" i="11" s="1"/>
  <c r="BE28" i="11"/>
  <c r="BE38" i="11" s="1"/>
  <c r="BQ27" i="11" l="1"/>
  <c r="CC27" i="11"/>
  <c r="AN27" i="11"/>
  <c r="AW28" i="11"/>
  <c r="BM28" i="11"/>
  <c r="BK27" i="11"/>
  <c r="BS33" i="11" s="1"/>
  <c r="BI27" i="11" l="1"/>
  <c r="BI33" i="11" s="1"/>
  <c r="BK33" i="11"/>
  <c r="BK28" i="11"/>
  <c r="BM26" i="11"/>
  <c r="BU28" i="11"/>
  <c r="BS28" i="11" s="1"/>
  <c r="AW26" i="11"/>
  <c r="AW29" i="11" s="1"/>
  <c r="AO28" i="11"/>
  <c r="AM27" i="11"/>
  <c r="CK27" i="11"/>
  <c r="BS34" i="11" l="1"/>
  <c r="BQ28" i="11"/>
  <c r="BQ33" i="11"/>
  <c r="AN28" i="11"/>
  <c r="AO26" i="11"/>
  <c r="AO29" i="11" s="1"/>
  <c r="CC28" i="11"/>
  <c r="BU26" i="11"/>
  <c r="BS26" i="11" s="1"/>
  <c r="BM29" i="11"/>
  <c r="BK26" i="11"/>
  <c r="BM37" i="11"/>
  <c r="CS27" i="11"/>
  <c r="BI28" i="11"/>
  <c r="BI34" i="11" s="1"/>
  <c r="BK34" i="11"/>
  <c r="BM38" i="11"/>
  <c r="AL27" i="11"/>
  <c r="BQ26" i="11" l="1"/>
  <c r="BQ29" i="11" s="1"/>
  <c r="BS29" i="11"/>
  <c r="BQ34" i="11"/>
  <c r="AK27" i="11"/>
  <c r="BI26" i="11"/>
  <c r="BI29" i="11" s="1"/>
  <c r="BK29" i="11"/>
  <c r="BU32" i="11"/>
  <c r="BU29" i="11"/>
  <c r="BU37" i="11"/>
  <c r="CK28" i="11"/>
  <c r="CC26" i="11"/>
  <c r="BU38" i="11"/>
  <c r="DA27" i="11"/>
  <c r="AM28" i="11"/>
  <c r="AN26" i="11"/>
  <c r="AN29" i="11" s="1"/>
  <c r="CS28" i="11" l="1"/>
  <c r="CK26" i="11"/>
  <c r="AL28" i="11"/>
  <c r="AM26" i="11"/>
  <c r="AM29" i="11" s="1"/>
  <c r="CC29" i="11"/>
  <c r="CC32" i="11"/>
  <c r="CC37" i="11"/>
  <c r="CC38" i="11"/>
  <c r="AK28" i="11" l="1"/>
  <c r="AK26" i="11" s="1"/>
  <c r="AK29" i="11" s="1"/>
  <c r="AL26" i="11"/>
  <c r="AL29" i="11" s="1"/>
  <c r="CK29" i="11"/>
  <c r="CK32" i="11"/>
  <c r="CK37" i="11"/>
  <c r="DA28" i="11"/>
  <c r="CS26" i="11"/>
  <c r="CK38" i="11"/>
  <c r="CS32" i="11" l="1"/>
  <c r="CS29" i="11"/>
  <c r="CS37" i="11"/>
  <c r="CS38" i="11"/>
  <c r="DA26" i="11"/>
  <c r="DA32" i="11" l="1"/>
  <c r="DA29" i="11"/>
  <c r="DA37" i="11"/>
  <c r="DA38" i="11"/>
  <c r="L169" i="12" l="1"/>
  <c r="N271" i="9"/>
  <c r="O272" i="9" s="1"/>
  <c r="O273" i="9" l="1"/>
  <c r="O274" i="9" s="1"/>
  <c r="L172" i="12"/>
  <c r="M177" i="12" s="1"/>
  <c r="L171" i="12"/>
  <c r="M176" i="12" s="1"/>
  <c r="L173" i="12"/>
  <c r="M178" i="12" s="1"/>
  <c r="L174" i="12"/>
  <c r="BD275" i="9" l="1"/>
  <c r="W275" i="9"/>
  <c r="W287" i="9" s="1"/>
  <c r="CB275" i="9"/>
  <c r="S275" i="9"/>
  <c r="S287" i="9" s="1"/>
  <c r="O282" i="9"/>
  <c r="BL275" i="9"/>
  <c r="X275" i="9"/>
  <c r="X287" i="9" s="1"/>
  <c r="U275" i="9"/>
  <c r="U287" i="9" s="1"/>
  <c r="CJ275" i="9"/>
  <c r="AV275" i="9"/>
  <c r="AN275" i="9"/>
  <c r="V275" i="9"/>
  <c r="V287" i="9" s="1"/>
  <c r="O275" i="9"/>
  <c r="O287" i="9" s="1"/>
  <c r="Q275" i="9"/>
  <c r="Q287" i="9" s="1"/>
  <c r="BT275" i="9"/>
  <c r="AF275" i="9"/>
  <c r="P275" i="9"/>
  <c r="P287" i="9" s="1"/>
  <c r="M179" i="12"/>
  <c r="M164" i="12" s="1"/>
  <c r="L183" i="12"/>
  <c r="L187" i="12" s="1"/>
  <c r="BQ275" i="9" l="1"/>
  <c r="BR275" i="9"/>
  <c r="S284" i="9"/>
  <c r="S286" i="9" s="1"/>
  <c r="X284" i="9"/>
  <c r="X286" i="9" s="1"/>
  <c r="BL284" i="9"/>
  <c r="AV284" i="9"/>
  <c r="O283" i="9"/>
  <c r="CJ284" i="9" s="1"/>
  <c r="W284" i="9"/>
  <c r="W286" i="9" s="1"/>
  <c r="O284" i="9"/>
  <c r="O286" i="9" s="1"/>
  <c r="AV287" i="9"/>
  <c r="AS275" i="9"/>
  <c r="AS287" i="9" s="1"/>
  <c r="AF287" i="9"/>
  <c r="AC275" i="9"/>
  <c r="AC287" i="9" s="1"/>
  <c r="BI275" i="9"/>
  <c r="BJ275" i="9" s="1"/>
  <c r="M188" i="12"/>
  <c r="M189" i="12"/>
  <c r="L193" i="12"/>
  <c r="L195" i="12" s="1"/>
  <c r="AK275" i="9"/>
  <c r="AK287" i="9" s="1"/>
  <c r="AN287" i="9"/>
  <c r="BY275" i="9"/>
  <c r="BZ275" i="9" s="1"/>
  <c r="CG275" i="9"/>
  <c r="CH275" i="9" s="1"/>
  <c r="BA275" i="9"/>
  <c r="BA287" i="9" s="1"/>
  <c r="AN284" i="9" l="1"/>
  <c r="AL275" i="9"/>
  <c r="V284" i="9"/>
  <c r="V286" i="9" s="1"/>
  <c r="V288" i="9" s="1"/>
  <c r="M190" i="12"/>
  <c r="Q284" i="9"/>
  <c r="CJ286" i="9"/>
  <c r="CG284" i="9"/>
  <c r="CG286" i="9" s="1"/>
  <c r="Q286" i="9"/>
  <c r="R284" i="9"/>
  <c r="R286" i="9" s="1"/>
  <c r="BI284" i="9"/>
  <c r="BI286" i="9" s="1"/>
  <c r="BL286" i="9"/>
  <c r="AN286" i="9"/>
  <c r="AK284" i="9"/>
  <c r="AL284" i="9"/>
  <c r="Q191" i="12"/>
  <c r="Q70" i="12" s="1"/>
  <c r="Q68" i="12" s="1"/>
  <c r="M191" i="12"/>
  <c r="M70" i="12" s="1"/>
  <c r="M68" i="12" s="1"/>
  <c r="M165" i="12"/>
  <c r="N191" i="12"/>
  <c r="N70" i="12" s="1"/>
  <c r="N68" i="12" s="1"/>
  <c r="O191" i="12"/>
  <c r="O70" i="12" s="1"/>
  <c r="V290" i="9"/>
  <c r="V106" i="9" s="1"/>
  <c r="V291" i="9"/>
  <c r="AV286" i="9"/>
  <c r="AV288" i="9" s="1"/>
  <c r="AS284" i="9"/>
  <c r="AT284" i="9" s="1"/>
  <c r="X290" i="9"/>
  <c r="X106" i="9" s="1"/>
  <c r="O290" i="9"/>
  <c r="O106" i="9" s="1"/>
  <c r="S290" i="9"/>
  <c r="S106" i="9" s="1"/>
  <c r="X288" i="9"/>
  <c r="W290" i="9"/>
  <c r="W106" i="9" s="1"/>
  <c r="O288" i="9"/>
  <c r="W288" i="9"/>
  <c r="S288" i="9"/>
  <c r="P284" i="9"/>
  <c r="P286" i="9" s="1"/>
  <c r="AD275" i="9"/>
  <c r="CB284" i="9"/>
  <c r="BD284" i="9"/>
  <c r="AF284" i="9"/>
  <c r="U284" i="9"/>
  <c r="U286" i="9" s="1"/>
  <c r="BB275" i="9"/>
  <c r="AT275" i="9"/>
  <c r="BT284" i="9"/>
  <c r="W291" i="9" l="1"/>
  <c r="O291" i="9"/>
  <c r="BJ284" i="9"/>
  <c r="BJ286" i="9" s="1"/>
  <c r="S107" i="9"/>
  <c r="S111" i="9" s="1"/>
  <c r="S110" i="9"/>
  <c r="U290" i="9"/>
  <c r="U106" i="9" s="1"/>
  <c r="U291" i="9"/>
  <c r="U288" i="9"/>
  <c r="AG284" i="9"/>
  <c r="AH284" i="9" s="1"/>
  <c r="AH286" i="9" s="1"/>
  <c r="AK286" i="9"/>
  <c r="W107" i="9"/>
  <c r="W111" i="9" s="1"/>
  <c r="W110" i="9"/>
  <c r="P290" i="9"/>
  <c r="P106" i="9" s="1"/>
  <c r="P288" i="9"/>
  <c r="AT286" i="9"/>
  <c r="AQ284" i="9"/>
  <c r="AQ286" i="9" s="1"/>
  <c r="S291" i="9"/>
  <c r="AL286" i="9"/>
  <c r="AI284" i="9"/>
  <c r="AI286" i="9" s="1"/>
  <c r="R288" i="9"/>
  <c r="R290" i="9"/>
  <c r="R291" i="9" s="1"/>
  <c r="V107" i="9"/>
  <c r="V111" i="9" s="1"/>
  <c r="V110" i="9"/>
  <c r="Q290" i="9"/>
  <c r="Q106" i="9" s="1"/>
  <c r="Q288" i="9"/>
  <c r="AC284" i="9"/>
  <c r="AD284" i="9"/>
  <c r="AF286" i="9"/>
  <c r="O107" i="9"/>
  <c r="O111" i="9" s="1"/>
  <c r="O110" i="9"/>
  <c r="O68" i="12"/>
  <c r="P70" i="12"/>
  <c r="P68" i="12" s="1"/>
  <c r="P69" i="12" s="1"/>
  <c r="AN290" i="9"/>
  <c r="AN291" i="9"/>
  <c r="X110" i="9"/>
  <c r="X107" i="9"/>
  <c r="X111" i="9" s="1"/>
  <c r="BL290" i="9"/>
  <c r="AN288" i="9"/>
  <c r="BA284" i="9"/>
  <c r="BD286" i="9"/>
  <c r="X291" i="9"/>
  <c r="M166" i="12"/>
  <c r="M167" i="12" s="1"/>
  <c r="M197" i="12" s="1"/>
  <c r="M69" i="12" s="1"/>
  <c r="CG290" i="9"/>
  <c r="CG106" i="9" s="1"/>
  <c r="CG108" i="9" s="1"/>
  <c r="CB286" i="9"/>
  <c r="BY284" i="9"/>
  <c r="BY286" i="9" s="1"/>
  <c r="AO284" i="9"/>
  <c r="AP284" i="9" s="1"/>
  <c r="AP286" i="9" s="1"/>
  <c r="AS286" i="9"/>
  <c r="BI290" i="9"/>
  <c r="BI106" i="9" s="1"/>
  <c r="BI108" i="9" s="1"/>
  <c r="CJ290" i="9"/>
  <c r="CJ291" i="9" s="1"/>
  <c r="BQ284" i="9"/>
  <c r="BQ286" i="9" s="1"/>
  <c r="BT286" i="9"/>
  <c r="AV290" i="9"/>
  <c r="AV291" i="9" s="1"/>
  <c r="CH284" i="9"/>
  <c r="CH286" i="9" s="1"/>
  <c r="P291" i="9" l="1"/>
  <c r="O167" i="12"/>
  <c r="O197" i="12" s="1"/>
  <c r="AR284" i="9"/>
  <c r="AR286" i="9" s="1"/>
  <c r="AR290" i="9" s="1"/>
  <c r="AR291" i="9" s="1"/>
  <c r="CG287" i="9"/>
  <c r="CG288" i="9" s="1"/>
  <c r="CG16" i="9"/>
  <c r="CG22" i="9" s="1"/>
  <c r="CB290" i="9"/>
  <c r="BI16" i="9"/>
  <c r="BI22" i="9" s="1"/>
  <c r="BI287" i="9"/>
  <c r="BI288" i="9" s="1"/>
  <c r="AF290" i="9"/>
  <c r="AF291" i="9" s="1"/>
  <c r="AF288" i="9"/>
  <c r="AH290" i="9"/>
  <c r="AH291" i="9" s="1"/>
  <c r="AH288" i="9"/>
  <c r="BI291" i="9"/>
  <c r="CG291" i="9"/>
  <c r="AP290" i="9"/>
  <c r="AP291" i="9" s="1"/>
  <c r="AP288" i="9"/>
  <c r="BA286" i="9"/>
  <c r="AW284" i="9"/>
  <c r="AW286" i="9" s="1"/>
  <c r="AN106" i="9"/>
  <c r="AI288" i="9"/>
  <c r="AI290" i="9"/>
  <c r="AI291" i="9" s="1"/>
  <c r="BQ290" i="9"/>
  <c r="BQ106" i="9" s="1"/>
  <c r="BQ108" i="9" s="1"/>
  <c r="AS290" i="9"/>
  <c r="AS106" i="9" s="1"/>
  <c r="AS288" i="9"/>
  <c r="BB284" i="9"/>
  <c r="BB286" i="9" s="1"/>
  <c r="AR288" i="9"/>
  <c r="AV106" i="9"/>
  <c r="AA284" i="9"/>
  <c r="AA286" i="9" s="1"/>
  <c r="AD286" i="9"/>
  <c r="AK290" i="9"/>
  <c r="AK106" i="9" s="1"/>
  <c r="AK288" i="9"/>
  <c r="BD290" i="9"/>
  <c r="BD291" i="9"/>
  <c r="AC286" i="9"/>
  <c r="Y284" i="9"/>
  <c r="Z284" i="9" s="1"/>
  <c r="Z286" i="9" s="1"/>
  <c r="AM284" i="9"/>
  <c r="AM286" i="9" s="1"/>
  <c r="AG286" i="9"/>
  <c r="BT290" i="9"/>
  <c r="BT291" i="9" s="1"/>
  <c r="R106" i="9"/>
  <c r="Q107" i="9"/>
  <c r="Q111" i="9" s="1"/>
  <c r="Q110" i="9"/>
  <c r="AJ284" i="9"/>
  <c r="AJ286" i="9" s="1"/>
  <c r="P107" i="9"/>
  <c r="P111" i="9" s="1"/>
  <c r="P110" i="9"/>
  <c r="BR284" i="9"/>
  <c r="BR286" i="9" s="1"/>
  <c r="AU284" i="9"/>
  <c r="AU286" i="9" s="1"/>
  <c r="AO286" i="9"/>
  <c r="Q167" i="12"/>
  <c r="Q197" i="12" s="1"/>
  <c r="Q69" i="12" s="1"/>
  <c r="O69" i="12"/>
  <c r="Q291" i="9"/>
  <c r="U110" i="9"/>
  <c r="U107" i="9"/>
  <c r="U111" i="9" s="1"/>
  <c r="BY290" i="9"/>
  <c r="BY106" i="9" s="1"/>
  <c r="BY108" i="9" s="1"/>
  <c r="N167" i="12"/>
  <c r="N197" i="12" s="1"/>
  <c r="N69" i="12" s="1"/>
  <c r="BL106" i="9"/>
  <c r="BJ290" i="9"/>
  <c r="BJ291" i="9" s="1"/>
  <c r="CH290" i="9"/>
  <c r="CH291" i="9" s="1"/>
  <c r="CJ106" i="9"/>
  <c r="BZ284" i="9"/>
  <c r="BZ286" i="9" s="1"/>
  <c r="BL291" i="9"/>
  <c r="AQ288" i="9"/>
  <c r="AQ290" i="9"/>
  <c r="AQ291" i="9" s="1"/>
  <c r="AL290" i="9" l="1"/>
  <c r="AL291" i="9" s="1"/>
  <c r="AB284" i="9"/>
  <c r="AB286" i="9" s="1"/>
  <c r="AS291" i="9"/>
  <c r="BY291" i="9"/>
  <c r="Z288" i="9"/>
  <c r="Z290" i="9"/>
  <c r="Z291" i="9" s="1"/>
  <c r="AB288" i="9"/>
  <c r="AB290" i="9"/>
  <c r="AN110" i="9"/>
  <c r="AL106" i="9"/>
  <c r="AL110" i="9" s="1"/>
  <c r="AN107" i="9"/>
  <c r="AC290" i="9"/>
  <c r="AC106" i="9" s="1"/>
  <c r="AC288" i="9"/>
  <c r="R107" i="9"/>
  <c r="R111" i="9" s="1"/>
  <c r="R110" i="9"/>
  <c r="BY287" i="9"/>
  <c r="BY288" i="9" s="1"/>
  <c r="BY16" i="9"/>
  <c r="BY22" i="9" s="1"/>
  <c r="AJ288" i="9"/>
  <c r="AJ290" i="9"/>
  <c r="AJ291" i="9" s="1"/>
  <c r="AE284" i="9"/>
  <c r="AE286" i="9" s="1"/>
  <c r="Y286" i="9"/>
  <c r="BL110" i="9"/>
  <c r="BJ106" i="9"/>
  <c r="BJ108" i="9" s="1"/>
  <c r="BL108" i="9"/>
  <c r="AA290" i="9"/>
  <c r="AA291" i="9"/>
  <c r="AA288" i="9"/>
  <c r="BI31" i="9"/>
  <c r="BI32" i="9" s="1"/>
  <c r="EE51" i="5"/>
  <c r="EE60" i="5" s="1"/>
  <c r="BI26" i="9"/>
  <c r="BI23" i="9"/>
  <c r="AO288" i="9"/>
  <c r="AO290" i="9"/>
  <c r="AU290" i="9" s="1"/>
  <c r="AU291" i="9" s="1"/>
  <c r="AV110" i="9"/>
  <c r="AT106" i="9"/>
  <c r="AT110" i="9" s="1"/>
  <c r="AV107" i="9"/>
  <c r="AS107" i="9"/>
  <c r="AS111" i="9" s="1"/>
  <c r="AS110" i="9"/>
  <c r="AW288" i="9"/>
  <c r="AW290" i="9"/>
  <c r="AW291" i="9" s="1"/>
  <c r="BD106" i="9"/>
  <c r="AT290" i="9"/>
  <c r="AT291" i="9" s="1"/>
  <c r="BQ287" i="9"/>
  <c r="BQ288" i="9" s="1"/>
  <c r="BQ16" i="9"/>
  <c r="BQ22" i="9" s="1"/>
  <c r="AX284" i="9"/>
  <c r="AX286" i="9" s="1"/>
  <c r="BZ290" i="9"/>
  <c r="BZ291" i="9" s="1"/>
  <c r="CB106" i="9"/>
  <c r="CJ110" i="9"/>
  <c r="CH106" i="9"/>
  <c r="CH108" i="9" s="1"/>
  <c r="CJ108" i="9"/>
  <c r="BT106" i="9"/>
  <c r="BR290" i="9"/>
  <c r="BR291" i="9" s="1"/>
  <c r="BQ291" i="9"/>
  <c r="BA290" i="9"/>
  <c r="BA106" i="9" s="1"/>
  <c r="BA288" i="9"/>
  <c r="CB291" i="9"/>
  <c r="AG290" i="9"/>
  <c r="AM290" i="9" s="1"/>
  <c r="AG288" i="9"/>
  <c r="AK110" i="9"/>
  <c r="AK107" i="9"/>
  <c r="AK111" i="9" s="1"/>
  <c r="CG31" i="9"/>
  <c r="CG32" i="9" s="1"/>
  <c r="CG23" i="9"/>
  <c r="CG26" i="9"/>
  <c r="FC51" i="5"/>
  <c r="FC60" i="5" s="1"/>
  <c r="AM291" i="9"/>
  <c r="AK291" i="9"/>
  <c r="AF106" i="9"/>
  <c r="AD290" i="9" l="1"/>
  <c r="AD291" i="9" s="1"/>
  <c r="AG291" i="9"/>
  <c r="AC291" i="9"/>
  <c r="AB291" i="9"/>
  <c r="CH287" i="9"/>
  <c r="CH288" i="9" s="1"/>
  <c r="CH16" i="9"/>
  <c r="CH22" i="9" s="1"/>
  <c r="BB106" i="9"/>
  <c r="BB110" i="9" s="1"/>
  <c r="BD110" i="9"/>
  <c r="BD108" i="9"/>
  <c r="BA110" i="9"/>
  <c r="BA107" i="9"/>
  <c r="BB290" i="9"/>
  <c r="BB291" i="9" s="1"/>
  <c r="AD106" i="9"/>
  <c r="AD110" i="9" s="1"/>
  <c r="AF107" i="9"/>
  <c r="AF110" i="9"/>
  <c r="BA291" i="9"/>
  <c r="Y290" i="9"/>
  <c r="AE290" i="9" s="1"/>
  <c r="AE291" i="9" s="1"/>
  <c r="Y288" i="9"/>
  <c r="Y291" i="9"/>
  <c r="BR106" i="9"/>
  <c r="BR108" i="9" s="1"/>
  <c r="BT110" i="9"/>
  <c r="BT108" i="9"/>
  <c r="AC107" i="9"/>
  <c r="AC111" i="9" s="1"/>
  <c r="AC110" i="9"/>
  <c r="AN111" i="9"/>
  <c r="AL107" i="9"/>
  <c r="AV111" i="9"/>
  <c r="AT107" i="9"/>
  <c r="BZ106" i="9"/>
  <c r="BZ108" i="9" s="1"/>
  <c r="CB110" i="9"/>
  <c r="CB108" i="9"/>
  <c r="AX288" i="9"/>
  <c r="AX290" i="9"/>
  <c r="AX291" i="9" s="1"/>
  <c r="BQ31" i="9"/>
  <c r="BQ32" i="9" s="1"/>
  <c r="EM51" i="5"/>
  <c r="EM60" i="5" s="1"/>
  <c r="BQ26" i="9"/>
  <c r="BQ23" i="9"/>
  <c r="AO291" i="9"/>
  <c r="BL287" i="9"/>
  <c r="BL288" i="9" s="1"/>
  <c r="BL16" i="9"/>
  <c r="BL22" i="9" s="1"/>
  <c r="BL112" i="9"/>
  <c r="CJ112" i="9"/>
  <c r="CJ16" i="9"/>
  <c r="CJ22" i="9" s="1"/>
  <c r="CJ287" i="9"/>
  <c r="CJ288" i="9" s="1"/>
  <c r="BJ287" i="9"/>
  <c r="BJ288" i="9" s="1"/>
  <c r="BJ16" i="9"/>
  <c r="BJ22" i="9" s="1"/>
  <c r="EU51" i="5"/>
  <c r="EU60" i="5" s="1"/>
  <c r="BY26" i="9"/>
  <c r="BY23" i="9"/>
  <c r="BY31" i="9"/>
  <c r="BY32" i="9" s="1"/>
  <c r="BD287" i="9" l="1"/>
  <c r="BD288" i="9" s="1"/>
  <c r="BD16" i="9"/>
  <c r="BD22" i="9" s="1"/>
  <c r="BD112" i="9"/>
  <c r="AD107" i="9"/>
  <c r="AF111" i="9"/>
  <c r="CH26" i="9"/>
  <c r="CH23" i="9"/>
  <c r="FD51" i="5"/>
  <c r="FD60" i="5" s="1"/>
  <c r="AL111" i="9"/>
  <c r="AL108" i="9"/>
  <c r="BA111" i="9"/>
  <c r="BB107" i="9"/>
  <c r="AA38" i="4"/>
  <c r="BL26" i="9"/>
  <c r="BL23" i="9"/>
  <c r="BL31" i="9"/>
  <c r="EF51" i="5"/>
  <c r="EF60" i="5" s="1"/>
  <c r="BJ26" i="9"/>
  <c r="BJ23" i="9"/>
  <c r="CB287" i="9"/>
  <c r="CB288" i="9" s="1"/>
  <c r="CB112" i="9"/>
  <c r="CB16" i="9"/>
  <c r="CB22" i="9" s="1"/>
  <c r="BT287" i="9"/>
  <c r="BT288" i="9" s="1"/>
  <c r="BT112" i="9"/>
  <c r="BT16" i="9"/>
  <c r="BT22" i="9" s="1"/>
  <c r="BZ16" i="9"/>
  <c r="BZ22" i="9" s="1"/>
  <c r="BZ287" i="9"/>
  <c r="BZ288" i="9" s="1"/>
  <c r="CJ23" i="9"/>
  <c r="CJ26" i="9"/>
  <c r="CJ31" i="9"/>
  <c r="AD38" i="4"/>
  <c r="AT108" i="9"/>
  <c r="AT111" i="9"/>
  <c r="BR287" i="9"/>
  <c r="BR288" i="9" s="1"/>
  <c r="BR16" i="9"/>
  <c r="BR22" i="9" s="1"/>
  <c r="BB108" i="9" l="1"/>
  <c r="BB112" i="9" s="1"/>
  <c r="BB111" i="9"/>
  <c r="BL32" i="9"/>
  <c r="BJ31" i="9"/>
  <c r="BJ32" i="9" s="1"/>
  <c r="AT287" i="9"/>
  <c r="AT288" i="9" s="1"/>
  <c r="AT112" i="9"/>
  <c r="CH31" i="9"/>
  <c r="CH32" i="9" s="1"/>
  <c r="CJ32" i="9"/>
  <c r="EH51" i="5"/>
  <c r="EH60" i="5" s="1"/>
  <c r="Y85" i="3"/>
  <c r="Y91" i="3" s="1"/>
  <c r="AA54" i="4"/>
  <c r="Y130" i="6" s="1"/>
  <c r="AA48" i="4"/>
  <c r="AD111" i="9"/>
  <c r="AD108" i="9"/>
  <c r="EV51" i="5"/>
  <c r="EV60" i="5" s="1"/>
  <c r="BZ26" i="9"/>
  <c r="BZ23" i="9"/>
  <c r="AL287" i="9"/>
  <c r="AL288" i="9" s="1"/>
  <c r="AL112" i="9"/>
  <c r="BD31" i="9"/>
  <c r="Z38" i="4"/>
  <c r="BD26" i="9"/>
  <c r="BD23" i="9"/>
  <c r="FF51" i="5"/>
  <c r="FF60" i="5" s="1"/>
  <c r="AD54" i="4"/>
  <c r="AB130" i="6" s="1"/>
  <c r="AB85" i="3"/>
  <c r="AB91" i="3" s="1"/>
  <c r="AD48" i="4"/>
  <c r="CB23" i="9"/>
  <c r="CB26" i="9"/>
  <c r="CB31" i="9"/>
  <c r="AC38" i="4"/>
  <c r="BB16" i="9"/>
  <c r="BB22" i="9" s="1"/>
  <c r="BB287" i="9"/>
  <c r="BB288" i="9" s="1"/>
  <c r="EN51" i="5"/>
  <c r="EN60" i="5" s="1"/>
  <c r="BR23" i="9"/>
  <c r="BR26" i="9"/>
  <c r="BT31" i="9"/>
  <c r="BT23" i="9"/>
  <c r="BT26" i="9"/>
  <c r="AB38" i="4"/>
  <c r="DZ51" i="5" l="1"/>
  <c r="DZ60" i="5" s="1"/>
  <c r="Z48" i="4"/>
  <c r="Z54" i="4"/>
  <c r="X130" i="6" s="1"/>
  <c r="X85" i="3"/>
  <c r="X91" i="3" s="1"/>
  <c r="BB31" i="9"/>
  <c r="BB32" i="9" s="1"/>
  <c r="BD32" i="9"/>
  <c r="AD287" i="9"/>
  <c r="AD288" i="9" s="1"/>
  <c r="AD112" i="9"/>
  <c r="BB23" i="9"/>
  <c r="DX51" i="5"/>
  <c r="BB26" i="9"/>
  <c r="AA51" i="4"/>
  <c r="Y73" i="6" s="1"/>
  <c r="AA62" i="4"/>
  <c r="Y131" i="6" s="1"/>
  <c r="Y20" i="6"/>
  <c r="AD51" i="4"/>
  <c r="AB73" i="6" s="1"/>
  <c r="AD62" i="4"/>
  <c r="AB131" i="6" s="1"/>
  <c r="AB20" i="6"/>
  <c r="AB54" i="4"/>
  <c r="Z130" i="6" s="1"/>
  <c r="E15" i="16"/>
  <c r="Z85" i="3"/>
  <c r="Z91" i="3" s="1"/>
  <c r="EP51" i="5"/>
  <c r="EP60" i="5" s="1"/>
  <c r="AB48" i="4"/>
  <c r="EX51" i="5"/>
  <c r="EX60" i="5" s="1"/>
  <c r="AA85" i="3"/>
  <c r="AA91" i="3" s="1"/>
  <c r="AC54" i="4"/>
  <c r="AA130" i="6" s="1"/>
  <c r="AC48" i="4"/>
  <c r="BZ31" i="9"/>
  <c r="BZ32" i="9" s="1"/>
  <c r="CB32" i="9"/>
  <c r="BR31" i="9"/>
  <c r="BR32" i="9" s="1"/>
  <c r="BT32" i="9"/>
  <c r="AB62" i="4" l="1"/>
  <c r="Z131" i="6" s="1"/>
  <c r="AB51" i="4"/>
  <c r="Z73" i="6" s="1"/>
  <c r="Z20" i="6"/>
  <c r="DX60" i="5"/>
  <c r="Y21" i="6"/>
  <c r="Y12" i="6"/>
  <c r="Y15" i="3"/>
  <c r="Y24" i="6"/>
  <c r="Y13" i="6"/>
  <c r="Y69" i="6"/>
  <c r="Y74" i="6"/>
  <c r="E23" i="16"/>
  <c r="E24" i="16" s="1"/>
  <c r="E16" i="16"/>
  <c r="AB24" i="6"/>
  <c r="AB15" i="3"/>
  <c r="AB21" i="6"/>
  <c r="AB12" i="6"/>
  <c r="AB13" i="6"/>
  <c r="Z62" i="4"/>
  <c r="X131" i="6" s="1"/>
  <c r="X20" i="6"/>
  <c r="X32" i="6" s="1"/>
  <c r="Z51" i="4"/>
  <c r="X73" i="6" s="1"/>
  <c r="AA20" i="6"/>
  <c r="AC51" i="4"/>
  <c r="AA73" i="6" s="1"/>
  <c r="AC62" i="4"/>
  <c r="AA131" i="6" s="1"/>
  <c r="AB74" i="6"/>
  <c r="AB69" i="6"/>
  <c r="Z15" i="3" l="1"/>
  <c r="Z13" i="6"/>
  <c r="Z21" i="6"/>
  <c r="Z12" i="6"/>
  <c r="AC20" i="6"/>
  <c r="Z24" i="6"/>
  <c r="X24" i="6"/>
  <c r="X21" i="6"/>
  <c r="X15" i="3"/>
  <c r="X12" i="6"/>
  <c r="X13" i="6"/>
  <c r="AA12" i="6"/>
  <c r="AA21" i="6"/>
  <c r="AA24" i="6"/>
  <c r="AA13" i="6"/>
  <c r="AA15" i="3"/>
  <c r="AB14" i="6"/>
  <c r="AB14" i="3"/>
  <c r="Z69" i="6"/>
  <c r="Z74" i="6"/>
  <c r="EH39" i="5"/>
  <c r="AA74" i="6"/>
  <c r="AA69" i="6"/>
  <c r="Y16" i="3"/>
  <c r="Y30" i="3"/>
  <c r="FF39" i="5"/>
  <c r="Y70" i="6"/>
  <c r="Y67" i="6"/>
  <c r="AB67" i="6"/>
  <c r="AB70" i="6"/>
  <c r="X69" i="6"/>
  <c r="X80" i="6"/>
  <c r="X74" i="6"/>
  <c r="AB16" i="3"/>
  <c r="AB30" i="3"/>
  <c r="Y14" i="3"/>
  <c r="Y14" i="6"/>
  <c r="Y105" i="8" l="1"/>
  <c r="EH44" i="5"/>
  <c r="EX39" i="5"/>
  <c r="Z14" i="6"/>
  <c r="Z14" i="3"/>
  <c r="X81" i="6"/>
  <c r="X82" i="6"/>
  <c r="X87" i="6" s="1"/>
  <c r="X89" i="6" s="1"/>
  <c r="X55" i="6"/>
  <c r="X33" i="6"/>
  <c r="X36" i="6" s="1"/>
  <c r="X39" i="6" s="1"/>
  <c r="X42" i="6" s="1"/>
  <c r="X56" i="6"/>
  <c r="AA30" i="3"/>
  <c r="AA16" i="3"/>
  <c r="AB31" i="3"/>
  <c r="Z70" i="6"/>
  <c r="Z67" i="6"/>
  <c r="Z16" i="3"/>
  <c r="Z30" i="3"/>
  <c r="X14" i="6"/>
  <c r="X14" i="3"/>
  <c r="Y25" i="3" s="1"/>
  <c r="E28" i="16"/>
  <c r="E30" i="16"/>
  <c r="E31" i="16" s="1"/>
  <c r="AA70" i="6"/>
  <c r="AA67" i="6"/>
  <c r="AA14" i="6"/>
  <c r="AA14" i="3"/>
  <c r="Y29" i="3"/>
  <c r="EE39" i="5"/>
  <c r="EE50" i="5" s="1"/>
  <c r="EH50" i="5"/>
  <c r="AB29" i="3"/>
  <c r="X16" i="3"/>
  <c r="X30" i="3"/>
  <c r="EP39" i="5"/>
  <c r="FC39" i="5"/>
  <c r="FC50" i="5" s="1"/>
  <c r="FF50" i="5"/>
  <c r="X70" i="6"/>
  <c r="X67" i="6"/>
  <c r="DZ39" i="5"/>
  <c r="AB105" i="8"/>
  <c r="FF44" i="5"/>
  <c r="Y31" i="3"/>
  <c r="EF39" i="5" l="1"/>
  <c r="EF50" i="5" s="1"/>
  <c r="FD39" i="5"/>
  <c r="FD50" i="5" s="1"/>
  <c r="FD67" i="5" s="1"/>
  <c r="Z105" i="8"/>
  <c r="Z115" i="8" s="1"/>
  <c r="EP44" i="5"/>
  <c r="X57" i="6"/>
  <c r="Z29" i="3"/>
  <c r="Z25" i="3"/>
  <c r="FC44" i="5"/>
  <c r="FC69" i="5" s="1"/>
  <c r="FC77" i="5" s="1"/>
  <c r="FF69" i="5"/>
  <c r="FF77" i="5" s="1"/>
  <c r="AA25" i="3"/>
  <c r="AA29" i="3"/>
  <c r="X91" i="6"/>
  <c r="X7" i="7"/>
  <c r="X53" i="8"/>
  <c r="X90" i="6"/>
  <c r="X31" i="3"/>
  <c r="DZ44" i="5"/>
  <c r="X105" i="8"/>
  <c r="FD76" i="5"/>
  <c r="EU39" i="5"/>
  <c r="EU50" i="5" s="1"/>
  <c r="EX50" i="5"/>
  <c r="AA31" i="3"/>
  <c r="X46" i="6"/>
  <c r="X18" i="3" s="1"/>
  <c r="X17" i="3"/>
  <c r="X43" i="6"/>
  <c r="X44" i="6" s="1"/>
  <c r="X48" i="6" s="1"/>
  <c r="X53" i="6"/>
  <c r="X50" i="6"/>
  <c r="FF67" i="5"/>
  <c r="FF76" i="5"/>
  <c r="AB25" i="3"/>
  <c r="DZ94" i="5"/>
  <c r="X114" i="6"/>
  <c r="X110" i="6" s="1"/>
  <c r="X29" i="3"/>
  <c r="X25" i="3"/>
  <c r="EH69" i="5"/>
  <c r="EH77" i="5" s="1"/>
  <c r="EE44" i="5"/>
  <c r="EE69" i="5" s="1"/>
  <c r="EE77" i="5" s="1"/>
  <c r="Z31" i="3"/>
  <c r="DX39" i="5"/>
  <c r="DX50" i="5" s="1"/>
  <c r="DZ50" i="5"/>
  <c r="EF67" i="5"/>
  <c r="EF76" i="5"/>
  <c r="FC76" i="5"/>
  <c r="FC67" i="5"/>
  <c r="EH67" i="5"/>
  <c r="EH76" i="5"/>
  <c r="EX44" i="5"/>
  <c r="AA105" i="8"/>
  <c r="EM39" i="5"/>
  <c r="EM50" i="5" s="1"/>
  <c r="EP50" i="5"/>
  <c r="EE76" i="5"/>
  <c r="EE67" i="5"/>
  <c r="X58" i="6"/>
  <c r="X61" i="6" s="1"/>
  <c r="X62" i="6" s="1"/>
  <c r="DZ98" i="5"/>
  <c r="DX98" i="5" s="1"/>
  <c r="X8" i="7"/>
  <c r="X113" i="6"/>
  <c r="Z107" i="8"/>
  <c r="EN39" i="5" l="1"/>
  <c r="EN50" i="5" s="1"/>
  <c r="EN67" i="5" s="1"/>
  <c r="FD44" i="5"/>
  <c r="FD69" i="5" s="1"/>
  <c r="FD77" i="5" s="1"/>
  <c r="DZ256" i="5"/>
  <c r="X9" i="7"/>
  <c r="DZ76" i="5"/>
  <c r="DZ91" i="5" s="1"/>
  <c r="DZ114" i="5" s="1"/>
  <c r="DZ67" i="5"/>
  <c r="AB115" i="8"/>
  <c r="AB107" i="8"/>
  <c r="EU44" i="5"/>
  <c r="EU69" i="5" s="1"/>
  <c r="EU77" i="5" s="1"/>
  <c r="EX69" i="5"/>
  <c r="EX77" i="5" s="1"/>
  <c r="X19" i="3"/>
  <c r="X41" i="3" s="1"/>
  <c r="X51" i="6"/>
  <c r="X102" i="6"/>
  <c r="EP69" i="5"/>
  <c r="EP77" i="5" s="1"/>
  <c r="EM44" i="5"/>
  <c r="EM69" i="5" s="1"/>
  <c r="EM77" i="5" s="1"/>
  <c r="Y107" i="8"/>
  <c r="X115" i="8"/>
  <c r="Y115" i="8"/>
  <c r="X107" i="8"/>
  <c r="X36" i="3"/>
  <c r="X111" i="6"/>
  <c r="DZ303" i="5"/>
  <c r="DX303" i="5" s="1"/>
  <c r="X10" i="7"/>
  <c r="DZ266" i="5" s="1"/>
  <c r="AA107" i="8"/>
  <c r="AA115" i="8"/>
  <c r="X32" i="3"/>
  <c r="DX44" i="5"/>
  <c r="DX69" i="5" s="1"/>
  <c r="DX77" i="5" s="1"/>
  <c r="DX92" i="5" s="1"/>
  <c r="DX115" i="5" s="1"/>
  <c r="DZ69" i="5"/>
  <c r="DZ77" i="5" s="1"/>
  <c r="DZ92" i="5" s="1"/>
  <c r="DZ115" i="5" s="1"/>
  <c r="DZ119" i="5" s="1"/>
  <c r="EP67" i="5"/>
  <c r="EP76" i="5"/>
  <c r="X26" i="3"/>
  <c r="EU76" i="5"/>
  <c r="EU67" i="5"/>
  <c r="DX67" i="5"/>
  <c r="DX76" i="5"/>
  <c r="DX91" i="5" s="1"/>
  <c r="EX76" i="5"/>
  <c r="EX67" i="5"/>
  <c r="X112" i="6"/>
  <c r="X44" i="8" s="1"/>
  <c r="DX94" i="5"/>
  <c r="EV39" i="5"/>
  <c r="EV50" i="5" s="1"/>
  <c r="EM67" i="5"/>
  <c r="EM76" i="5"/>
  <c r="EF44" i="5"/>
  <c r="EF69" i="5" s="1"/>
  <c r="EF77" i="5" s="1"/>
  <c r="X52" i="6"/>
  <c r="X47" i="6"/>
  <c r="X54" i="3"/>
  <c r="X54" i="8"/>
  <c r="EN76" i="5" l="1"/>
  <c r="EV44" i="5"/>
  <c r="EV69" i="5" s="1"/>
  <c r="EV77" i="5" s="1"/>
  <c r="X28" i="7"/>
  <c r="DX100" i="5"/>
  <c r="DZ100" i="5"/>
  <c r="DX119" i="5"/>
  <c r="DX256" i="5"/>
  <c r="X39" i="3"/>
  <c r="X67" i="3"/>
  <c r="DX266" i="5"/>
  <c r="DX267" i="5" s="1"/>
  <c r="DZ267" i="5"/>
  <c r="DZ268" i="5" s="1"/>
  <c r="DZ273" i="5" s="1"/>
  <c r="DZ296" i="5" s="1"/>
  <c r="DZ298" i="5" s="1"/>
  <c r="EN44" i="5"/>
  <c r="EN69" i="5" s="1"/>
  <c r="EN77" i="5" s="1"/>
  <c r="DX114" i="5"/>
  <c r="X11" i="7"/>
  <c r="DZ309" i="5"/>
  <c r="DZ118" i="5"/>
  <c r="X103" i="6"/>
  <c r="X124" i="6"/>
  <c r="X20" i="3"/>
  <c r="X104" i="6"/>
  <c r="X101" i="6"/>
  <c r="Y98" i="6" s="1"/>
  <c r="Y56" i="7" s="1"/>
  <c r="X46" i="8"/>
  <c r="X56" i="8" s="1"/>
  <c r="X57" i="3"/>
  <c r="EV76" i="5"/>
  <c r="EV67" i="5"/>
  <c r="X72" i="7" l="1"/>
  <c r="X35" i="7"/>
  <c r="X64" i="7" s="1"/>
  <c r="X14" i="8" s="1"/>
  <c r="DZ301" i="5"/>
  <c r="EE297" i="5"/>
  <c r="EH297" i="5"/>
  <c r="EH285" i="5"/>
  <c r="Y58" i="7"/>
  <c r="Z132" i="4"/>
  <c r="Z134" i="4" s="1"/>
  <c r="X74" i="7"/>
  <c r="X21" i="3"/>
  <c r="DX320" i="5"/>
  <c r="DX268" i="5"/>
  <c r="DX273" i="5" s="1"/>
  <c r="DX296" i="5" s="1"/>
  <c r="DX298" i="5" s="1"/>
  <c r="DX301" i="5" s="1"/>
  <c r="X46" i="3"/>
  <c r="X34" i="3"/>
  <c r="X33" i="3"/>
  <c r="DX309" i="5"/>
  <c r="DX118" i="5"/>
  <c r="X73" i="7" l="1"/>
  <c r="X67" i="7"/>
  <c r="Y66" i="7" s="1"/>
  <c r="DZ321" i="5"/>
  <c r="DZ325" i="5" s="1"/>
  <c r="DZ332" i="5" s="1"/>
  <c r="DZ334" i="5" s="1"/>
  <c r="EE333" i="5" s="1"/>
  <c r="DX321" i="5"/>
  <c r="DX325" i="5" s="1"/>
  <c r="DX332" i="5" s="1"/>
  <c r="DX334" i="5" s="1"/>
  <c r="EE331" i="5"/>
  <c r="EF331" i="5" s="1"/>
  <c r="X75" i="3"/>
  <c r="X45" i="3"/>
  <c r="X76" i="3"/>
  <c r="X173" i="8"/>
  <c r="Y174" i="8" s="1"/>
  <c r="X15" i="8"/>
  <c r="X28" i="8" s="1"/>
  <c r="X58" i="8" s="1"/>
  <c r="X49" i="3"/>
  <c r="X59" i="3"/>
  <c r="EE285" i="5"/>
  <c r="EE287" i="5" s="1"/>
  <c r="EH287" i="5"/>
  <c r="X70" i="7" l="1"/>
  <c r="EH333" i="5"/>
  <c r="EH326" i="5"/>
  <c r="EH292" i="5"/>
  <c r="Y182" i="8"/>
  <c r="Y184" i="8" s="1"/>
  <c r="Y178" i="8"/>
  <c r="EE292" i="5"/>
  <c r="EE326" i="5"/>
  <c r="X132" i="6"/>
  <c r="X7" i="3"/>
  <c r="X10" i="3" s="1"/>
  <c r="X60" i="3"/>
  <c r="X61" i="3" s="1"/>
  <c r="X50" i="3"/>
  <c r="X51" i="3"/>
  <c r="EF285" i="5"/>
  <c r="EF287" i="5" s="1"/>
  <c r="X3" i="8"/>
  <c r="X4" i="8" s="1"/>
  <c r="X3" i="6"/>
  <c r="X4" i="6" s="1"/>
  <c r="X3" i="7"/>
  <c r="X4" i="7" s="1"/>
  <c r="X63" i="3" l="1"/>
  <c r="X65" i="3"/>
  <c r="Y77" i="6"/>
  <c r="Y79" i="6" s="1"/>
  <c r="Y26" i="6"/>
  <c r="X42" i="3"/>
  <c r="X44" i="3"/>
  <c r="X40" i="3"/>
  <c r="X43" i="3"/>
  <c r="EF292" i="5"/>
  <c r="EF326" i="5"/>
  <c r="Y29" i="6" l="1"/>
  <c r="EH79" i="5"/>
  <c r="Y179" i="8"/>
  <c r="EH89" i="5"/>
  <c r="Y23" i="7"/>
  <c r="Y80" i="6"/>
  <c r="X66" i="3"/>
  <c r="EE89" i="5" l="1"/>
  <c r="EE92" i="5" s="1"/>
  <c r="EH92" i="5"/>
  <c r="EE79" i="5"/>
  <c r="EE88" i="5" s="1"/>
  <c r="EE91" i="5" s="1"/>
  <c r="EH88" i="5"/>
  <c r="EH91" i="5" s="1"/>
  <c r="Y81" i="6"/>
  <c r="Y82" i="6"/>
  <c r="Y87" i="6" s="1"/>
  <c r="Y89" i="6" s="1"/>
  <c r="Y27" i="7"/>
  <c r="Y35" i="8"/>
  <c r="Y32" i="6"/>
  <c r="EF79" i="5" l="1"/>
  <c r="EF88" i="5" s="1"/>
  <c r="EF91" i="5" s="1"/>
  <c r="EF89" i="5"/>
  <c r="EF92" i="5" s="1"/>
  <c r="Y55" i="6"/>
  <c r="Y56" i="6" s="1"/>
  <c r="Y33" i="6"/>
  <c r="Y91" i="6"/>
  <c r="Y90" i="6"/>
  <c r="Y53" i="8"/>
  <c r="Y7" i="7"/>
  <c r="Y113" i="6"/>
  <c r="EH98" i="5"/>
  <c r="EH115" i="5" s="1"/>
  <c r="EH119" i="5" s="1"/>
  <c r="Y8" i="7"/>
  <c r="Y38" i="8"/>
  <c r="Y9" i="7" l="1"/>
  <c r="EH256" i="5"/>
  <c r="Y54" i="8"/>
  <c r="Y54" i="3"/>
  <c r="EH94" i="5"/>
  <c r="Y114" i="6"/>
  <c r="Y110" i="6" s="1"/>
  <c r="Y112" i="6" s="1"/>
  <c r="Y44" i="8" s="1"/>
  <c r="Y58" i="6"/>
  <c r="Y61" i="6" s="1"/>
  <c r="Y62" i="6" s="1"/>
  <c r="Y57" i="6"/>
  <c r="EE98" i="5"/>
  <c r="EE115" i="5" s="1"/>
  <c r="Y36" i="6"/>
  <c r="Y39" i="6" s="1"/>
  <c r="Y42" i="6" s="1"/>
  <c r="EE119" i="5" l="1"/>
  <c r="EE256" i="5"/>
  <c r="EF98" i="5"/>
  <c r="EF115" i="5" s="1"/>
  <c r="Y36" i="3"/>
  <c r="Y10" i="7"/>
  <c r="Y28" i="7" s="1"/>
  <c r="EH303" i="5"/>
  <c r="Y111" i="6"/>
  <c r="EE94" i="5"/>
  <c r="EF94" i="5" s="1"/>
  <c r="EH100" i="5"/>
  <c r="EH114" i="5"/>
  <c r="Y39" i="3"/>
  <c r="Y46" i="8"/>
  <c r="Y56" i="8" s="1"/>
  <c r="Y57" i="3"/>
  <c r="Y46" i="6"/>
  <c r="Y18" i="3" s="1"/>
  <c r="Y43" i="6"/>
  <c r="Y17" i="3"/>
  <c r="Y53" i="6"/>
  <c r="Y50" i="6"/>
  <c r="Y35" i="7" l="1"/>
  <c r="Y64" i="7" s="1"/>
  <c r="Y72" i="7"/>
  <c r="EH309" i="5"/>
  <c r="EH118" i="5"/>
  <c r="Y47" i="6"/>
  <c r="Y52" i="6"/>
  <c r="Y19" i="3"/>
  <c r="Y41" i="3" s="1"/>
  <c r="Y51" i="6"/>
  <c r="Y102" i="6"/>
  <c r="EF119" i="5"/>
  <c r="EF256" i="5"/>
  <c r="Y44" i="6"/>
  <c r="Y48" i="6" s="1"/>
  <c r="EE100" i="5"/>
  <c r="EE114" i="5"/>
  <c r="Y26" i="3"/>
  <c r="EE303" i="5"/>
  <c r="EF303" i="5" s="1"/>
  <c r="Y32" i="3"/>
  <c r="Y67" i="3"/>
  <c r="Y11" i="7"/>
  <c r="EH266" i="5"/>
  <c r="EF100" i="5"/>
  <c r="EF114" i="5"/>
  <c r="EH267" i="5" l="1"/>
  <c r="EH268" i="5" s="1"/>
  <c r="EH273" i="5" s="1"/>
  <c r="EH296" i="5" s="1"/>
  <c r="EH298" i="5" s="1"/>
  <c r="EE266" i="5"/>
  <c r="EE267" i="5" s="1"/>
  <c r="EE268" i="5" s="1"/>
  <c r="EE273" i="5" s="1"/>
  <c r="EE296" i="5" s="1"/>
  <c r="EE298" i="5" s="1"/>
  <c r="Y124" i="6"/>
  <c r="Y20" i="3"/>
  <c r="Y103" i="6"/>
  <c r="Y104" i="6"/>
  <c r="Y101" i="6"/>
  <c r="Z98" i="6" s="1"/>
  <c r="Z56" i="7" s="1"/>
  <c r="EF118" i="5"/>
  <c r="EF309" i="5"/>
  <c r="Y14" i="8"/>
  <c r="Y67" i="7"/>
  <c r="Y21" i="3"/>
  <c r="AA132" i="4"/>
  <c r="AA134" i="4" s="1"/>
  <c r="Y73" i="7"/>
  <c r="Y74" i="7"/>
  <c r="EE118" i="5"/>
  <c r="EE309" i="5"/>
  <c r="EH321" i="5"/>
  <c r="EH325" i="5" s="1"/>
  <c r="EH332" i="5" s="1"/>
  <c r="EH334" i="5" s="1"/>
  <c r="EM333" i="5" l="1"/>
  <c r="EP333" i="5"/>
  <c r="Z66" i="7"/>
  <c r="Y59" i="3"/>
  <c r="Y49" i="3"/>
  <c r="Y70" i="7"/>
  <c r="Y15" i="8"/>
  <c r="Y28" i="8" s="1"/>
  <c r="Y58" i="8" s="1"/>
  <c r="Y173" i="8"/>
  <c r="Z174" i="8" s="1"/>
  <c r="Y76" i="3"/>
  <c r="Y75" i="3"/>
  <c r="Y45" i="3"/>
  <c r="EE301" i="5"/>
  <c r="EF297" i="5"/>
  <c r="EP285" i="5"/>
  <c r="Z58" i="7"/>
  <c r="EE320" i="5"/>
  <c r="EF320" i="5" s="1"/>
  <c r="EF321" i="5" s="1"/>
  <c r="EF325" i="5" s="1"/>
  <c r="EF332" i="5" s="1"/>
  <c r="EM297" i="5"/>
  <c r="EP297" i="5"/>
  <c r="EH301" i="5"/>
  <c r="EF266" i="5"/>
  <c r="EF267" i="5" s="1"/>
  <c r="EF268" i="5" s="1"/>
  <c r="EF273" i="5" s="1"/>
  <c r="EF296" i="5" s="1"/>
  <c r="EF298" i="5" s="1"/>
  <c r="EF301" i="5" s="1"/>
  <c r="Y34" i="3"/>
  <c r="Y46" i="3"/>
  <c r="Y33" i="3"/>
  <c r="EE321" i="5" l="1"/>
  <c r="EE325" i="5" s="1"/>
  <c r="EE332" i="5" s="1"/>
  <c r="EE334" i="5" s="1"/>
  <c r="EF333" i="5" s="1"/>
  <c r="EF334" i="5" s="1"/>
  <c r="Z182" i="8"/>
  <c r="Z184" i="8" s="1"/>
  <c r="Z178" i="8"/>
  <c r="EP287" i="5"/>
  <c r="EM285" i="5"/>
  <c r="EM287" i="5" s="1"/>
  <c r="Y51" i="3"/>
  <c r="Y50" i="3"/>
  <c r="Y7" i="3"/>
  <c r="Y10" i="3" s="1"/>
  <c r="Y60" i="3"/>
  <c r="Y61" i="3" s="1"/>
  <c r="Y3" i="8"/>
  <c r="Y4" i="8" s="1"/>
  <c r="Y3" i="6"/>
  <c r="Y4" i="6" s="1"/>
  <c r="Y3" i="7"/>
  <c r="Y4" i="7" s="1"/>
  <c r="EM331" i="5"/>
  <c r="EN331" i="5" s="1"/>
  <c r="Y132" i="6"/>
  <c r="EM326" i="5" l="1"/>
  <c r="EM292" i="5"/>
  <c r="EN285" i="5"/>
  <c r="EN287" i="5" s="1"/>
  <c r="Z26" i="6"/>
  <c r="Z77" i="6"/>
  <c r="Z79" i="6" s="1"/>
  <c r="Y63" i="3"/>
  <c r="Y65" i="3"/>
  <c r="Y40" i="3"/>
  <c r="Y43" i="3"/>
  <c r="Y44" i="3"/>
  <c r="Y42" i="3"/>
  <c r="EP292" i="5"/>
  <c r="EP326" i="5"/>
  <c r="Y66" i="3" l="1"/>
  <c r="EP89" i="5"/>
  <c r="Z23" i="7"/>
  <c r="Z80" i="6"/>
  <c r="Z29" i="6"/>
  <c r="Z179" i="8"/>
  <c r="EP79" i="5"/>
  <c r="EN292" i="5"/>
  <c r="EN326" i="5"/>
  <c r="EM89" i="5" l="1"/>
  <c r="EM92" i="5" s="1"/>
  <c r="EP92" i="5"/>
  <c r="EM79" i="5"/>
  <c r="EM88" i="5" s="1"/>
  <c r="EM91" i="5" s="1"/>
  <c r="EP88" i="5"/>
  <c r="EP91" i="5" s="1"/>
  <c r="Z32" i="6"/>
  <c r="Z81" i="6"/>
  <c r="Z82" i="6"/>
  <c r="Z27" i="7"/>
  <c r="Z35" i="8"/>
  <c r="EN79" i="5" l="1"/>
  <c r="EN88" i="5" s="1"/>
  <c r="EN91" i="5" s="1"/>
  <c r="Z113" i="6"/>
  <c r="Z8" i="7"/>
  <c r="EP98" i="5"/>
  <c r="EP115" i="5" s="1"/>
  <c r="EP119" i="5" s="1"/>
  <c r="Z87" i="6"/>
  <c r="Z89" i="6" s="1"/>
  <c r="E34" i="16"/>
  <c r="E33" i="16" s="1"/>
  <c r="Z55" i="6"/>
  <c r="Z56" i="6" s="1"/>
  <c r="Z33" i="6"/>
  <c r="Z38" i="8"/>
  <c r="EN89" i="5"/>
  <c r="EN92" i="5" s="1"/>
  <c r="Z57" i="6" l="1"/>
  <c r="EP94" i="5"/>
  <c r="Z114" i="6"/>
  <c r="Z110" i="6" s="1"/>
  <c r="Z36" i="6"/>
  <c r="Z39" i="6" s="1"/>
  <c r="Z42" i="6" s="1"/>
  <c r="EM98" i="5"/>
  <c r="EM115" i="5" s="1"/>
  <c r="F33" i="16"/>
  <c r="F34" i="16" s="1"/>
  <c r="D33" i="16"/>
  <c r="D34" i="16" s="1"/>
  <c r="Z58" i="6"/>
  <c r="Z61" i="6" s="1"/>
  <c r="Z62" i="6" s="1"/>
  <c r="Z53" i="8"/>
  <c r="Z91" i="6"/>
  <c r="Z90" i="6"/>
  <c r="Z7" i="7"/>
  <c r="EN98" i="5" l="1"/>
  <c r="EN115" i="5" s="1"/>
  <c r="E37" i="16"/>
  <c r="Z17" i="3"/>
  <c r="Z43" i="6"/>
  <c r="Z53" i="6"/>
  <c r="Z46" i="6"/>
  <c r="Z18" i="3" s="1"/>
  <c r="Z50" i="6"/>
  <c r="EN119" i="5"/>
  <c r="EN256" i="5"/>
  <c r="Z10" i="7"/>
  <c r="EP303" i="5"/>
  <c r="Z111" i="6"/>
  <c r="Z36" i="3"/>
  <c r="Z112" i="6"/>
  <c r="Z44" i="8" s="1"/>
  <c r="F35" i="16"/>
  <c r="F37" i="16" s="1"/>
  <c r="F39" i="16" s="1"/>
  <c r="F41" i="16" s="1"/>
  <c r="F42" i="16" s="1"/>
  <c r="F44" i="16" s="1"/>
  <c r="Z54" i="8"/>
  <c r="Z54" i="3"/>
  <c r="EM94" i="5"/>
  <c r="EN94" i="5" s="1"/>
  <c r="EP100" i="5"/>
  <c r="EP114" i="5"/>
  <c r="D35" i="16"/>
  <c r="D37" i="16" s="1"/>
  <c r="D39" i="16" s="1"/>
  <c r="D41" i="16" s="1"/>
  <c r="D42" i="16" s="1"/>
  <c r="D44" i="16" s="1"/>
  <c r="EP256" i="5"/>
  <c r="Z9" i="7"/>
  <c r="EM119" i="5"/>
  <c r="EM256" i="5"/>
  <c r="EN100" i="5" l="1"/>
  <c r="EN114" i="5"/>
  <c r="Z26" i="3"/>
  <c r="Z11" i="7"/>
  <c r="EP266" i="5"/>
  <c r="EP118" i="5"/>
  <c r="EP309" i="5"/>
  <c r="EM100" i="5"/>
  <c r="EM114" i="5"/>
  <c r="Z52" i="6"/>
  <c r="Z47" i="6"/>
  <c r="Z57" i="3"/>
  <c r="Z46" i="8"/>
  <c r="Z56" i="8" s="1"/>
  <c r="Z39" i="3"/>
  <c r="E35" i="16"/>
  <c r="E36" i="16" s="1"/>
  <c r="E39" i="16"/>
  <c r="Z28" i="7"/>
  <c r="Z44" i="6"/>
  <c r="Z48" i="6" s="1"/>
  <c r="Z32" i="3"/>
  <c r="Z67" i="3"/>
  <c r="EM303" i="5"/>
  <c r="EN303" i="5" s="1"/>
  <c r="Z102" i="6"/>
  <c r="Z51" i="6"/>
  <c r="Z19" i="3"/>
  <c r="Z41" i="3" s="1"/>
  <c r="EM266" i="5" l="1"/>
  <c r="EM267" i="5" s="1"/>
  <c r="EM268" i="5" s="1"/>
  <c r="EM273" i="5" s="1"/>
  <c r="EM296" i="5" s="1"/>
  <c r="EM298" i="5" s="1"/>
  <c r="EP267" i="5"/>
  <c r="EP268" i="5" s="1"/>
  <c r="EP273" i="5" s="1"/>
  <c r="EP296" i="5" s="1"/>
  <c r="EP298" i="5" s="1"/>
  <c r="Z101" i="6"/>
  <c r="AA98" i="6" s="1"/>
  <c r="AA56" i="7" s="1"/>
  <c r="Z20" i="3"/>
  <c r="Z104" i="6"/>
  <c r="Z124" i="6"/>
  <c r="Z103" i="6"/>
  <c r="Z35" i="7"/>
  <c r="Z64" i="7" s="1"/>
  <c r="Z72" i="7"/>
  <c r="EN309" i="5"/>
  <c r="EN118" i="5"/>
  <c r="EM309" i="5"/>
  <c r="EM118" i="5"/>
  <c r="EN266" i="5" l="1"/>
  <c r="EN267" i="5" s="1"/>
  <c r="EN268" i="5" s="1"/>
  <c r="EN273" i="5" s="1"/>
  <c r="EN296" i="5" s="1"/>
  <c r="Z34" i="3"/>
  <c r="Z46" i="3"/>
  <c r="Z33" i="3"/>
  <c r="EU297" i="5"/>
  <c r="EX297" i="5"/>
  <c r="EP301" i="5"/>
  <c r="AA58" i="7"/>
  <c r="EX285" i="5"/>
  <c r="EN297" i="5"/>
  <c r="EM301" i="5"/>
  <c r="Z21" i="3"/>
  <c r="Z73" i="7"/>
  <c r="AC73" i="7" s="1"/>
  <c r="Z74" i="7"/>
  <c r="AB132" i="4"/>
  <c r="AB134" i="4" s="1"/>
  <c r="AC72" i="7"/>
  <c r="Z14" i="8"/>
  <c r="Z67" i="7"/>
  <c r="EN298" i="5" l="1"/>
  <c r="EN301" i="5" s="1"/>
  <c r="Z49" i="3"/>
  <c r="AA66" i="7"/>
  <c r="Z59" i="3"/>
  <c r="Z70" i="7"/>
  <c r="EU331" i="5"/>
  <c r="EV331" i="5" s="1"/>
  <c r="EM320" i="5"/>
  <c r="EM321" i="5" s="1"/>
  <c r="EM325" i="5" s="1"/>
  <c r="EM332" i="5" s="1"/>
  <c r="EM334" i="5" s="1"/>
  <c r="EN333" i="5" s="1"/>
  <c r="EP321" i="5"/>
  <c r="EP325" i="5" s="1"/>
  <c r="EP332" i="5" s="1"/>
  <c r="EP334" i="5" s="1"/>
  <c r="EU285" i="5"/>
  <c r="EU287" i="5" s="1"/>
  <c r="EX287" i="5"/>
  <c r="Z75" i="3"/>
  <c r="Z45" i="3"/>
  <c r="Z76" i="3"/>
  <c r="Z15" i="8"/>
  <c r="Z28" i="8" s="1"/>
  <c r="Z58" i="8" s="1"/>
  <c r="Z173" i="8"/>
  <c r="AA174" i="8" s="1"/>
  <c r="Z51" i="3" l="1"/>
  <c r="Z50" i="3"/>
  <c r="EX292" i="5"/>
  <c r="EX326" i="5"/>
  <c r="EN320" i="5"/>
  <c r="EN321" i="5" s="1"/>
  <c r="EN325" i="5" s="1"/>
  <c r="EN332" i="5" s="1"/>
  <c r="EN334" i="5" s="1"/>
  <c r="AA182" i="8"/>
  <c r="AA184" i="8" s="1"/>
  <c r="AA178" i="8"/>
  <c r="EU292" i="5"/>
  <c r="EU326" i="5"/>
  <c r="Z3" i="8"/>
  <c r="Z4" i="8" s="1"/>
  <c r="Z3" i="6"/>
  <c r="Z4" i="6" s="1"/>
  <c r="Z3" i="7"/>
  <c r="Z4" i="7" s="1"/>
  <c r="EV285" i="5"/>
  <c r="EV287" i="5" s="1"/>
  <c r="E40" i="16"/>
  <c r="E42" i="16"/>
  <c r="Z7" i="3"/>
  <c r="Z10" i="3" s="1"/>
  <c r="Z60" i="3"/>
  <c r="Z61" i="3" s="1"/>
  <c r="Z132" i="6"/>
  <c r="EU333" i="5"/>
  <c r="EX333" i="5"/>
  <c r="AA77" i="6" l="1"/>
  <c r="AA79" i="6" s="1"/>
  <c r="AA26" i="6"/>
  <c r="EV292" i="5"/>
  <c r="EV326" i="5"/>
  <c r="Z63" i="3"/>
  <c r="Z65" i="3"/>
  <c r="Z44" i="3"/>
  <c r="Z42" i="3"/>
  <c r="Z40" i="3"/>
  <c r="Z43" i="3"/>
  <c r="Z66" i="3" l="1"/>
  <c r="AA179" i="8"/>
  <c r="AA29" i="6"/>
  <c r="EX79" i="5"/>
  <c r="EX89" i="5"/>
  <c r="AA23" i="7"/>
  <c r="AA80" i="6"/>
  <c r="AA27" i="7" l="1"/>
  <c r="AA35" i="8"/>
  <c r="EU79" i="5"/>
  <c r="EU88" i="5" s="1"/>
  <c r="EU91" i="5" s="1"/>
  <c r="EX88" i="5"/>
  <c r="EX91" i="5" s="1"/>
  <c r="AA32" i="6"/>
  <c r="AA81" i="6"/>
  <c r="AA82" i="6"/>
  <c r="AA87" i="6" s="1"/>
  <c r="AA89" i="6" s="1"/>
  <c r="EU89" i="5"/>
  <c r="EU92" i="5" s="1"/>
  <c r="EX92" i="5"/>
  <c r="EV79" i="5" l="1"/>
  <c r="EV88" i="5" s="1"/>
  <c r="EV91" i="5" s="1"/>
  <c r="AA113" i="6"/>
  <c r="AA8" i="7"/>
  <c r="EX98" i="5"/>
  <c r="EX115" i="5" s="1"/>
  <c r="EX119" i="5" s="1"/>
  <c r="EV89" i="5"/>
  <c r="EV92" i="5" s="1"/>
  <c r="AA38" i="8"/>
  <c r="AA90" i="6"/>
  <c r="AA91" i="6"/>
  <c r="AA53" i="8"/>
  <c r="AA7" i="7"/>
  <c r="AA55" i="6"/>
  <c r="AA56" i="6" s="1"/>
  <c r="AA33" i="6"/>
  <c r="AA36" i="6" s="1"/>
  <c r="AA39" i="6" s="1"/>
  <c r="AA42" i="6" s="1"/>
  <c r="AA58" i="6" l="1"/>
  <c r="AA61" i="6" s="1"/>
  <c r="AA62" i="6" s="1"/>
  <c r="EX256" i="5"/>
  <c r="AA9" i="7"/>
  <c r="AA57" i="6"/>
  <c r="AA46" i="6"/>
  <c r="AA18" i="3" s="1"/>
  <c r="AA50" i="6"/>
  <c r="AA17" i="3"/>
  <c r="AA53" i="6"/>
  <c r="AA43" i="6"/>
  <c r="AA114" i="6"/>
  <c r="AA110" i="6" s="1"/>
  <c r="AA112" i="6" s="1"/>
  <c r="AA44" i="8" s="1"/>
  <c r="EX94" i="5"/>
  <c r="AA54" i="3"/>
  <c r="AA54" i="8"/>
  <c r="EU98" i="5"/>
  <c r="EU115" i="5" s="1"/>
  <c r="EV98" i="5" l="1"/>
  <c r="EV115" i="5" s="1"/>
  <c r="EV256" i="5" s="1"/>
  <c r="AA26" i="3"/>
  <c r="AA52" i="6"/>
  <c r="AA47" i="6"/>
  <c r="AA46" i="8"/>
  <c r="AA56" i="8" s="1"/>
  <c r="AA57" i="3"/>
  <c r="AA44" i="6"/>
  <c r="AA48" i="6" s="1"/>
  <c r="AA39" i="3"/>
  <c r="AA32" i="3"/>
  <c r="AA67" i="3"/>
  <c r="EX100" i="5"/>
  <c r="EU94" i="5"/>
  <c r="EX114" i="5"/>
  <c r="AA51" i="6"/>
  <c r="AA19" i="3"/>
  <c r="AA41" i="3" s="1"/>
  <c r="AA102" i="6"/>
  <c r="AA10" i="7"/>
  <c r="AA28" i="7" s="1"/>
  <c r="EX303" i="5"/>
  <c r="AA111" i="6"/>
  <c r="AA36" i="3"/>
  <c r="EU119" i="5"/>
  <c r="EU256" i="5"/>
  <c r="EV119" i="5" l="1"/>
  <c r="AA20" i="3"/>
  <c r="AA124" i="6"/>
  <c r="AA101" i="6"/>
  <c r="AB98" i="6" s="1"/>
  <c r="AB56" i="7" s="1"/>
  <c r="AA104" i="6"/>
  <c r="AA103" i="6"/>
  <c r="EX118" i="5"/>
  <c r="EX309" i="5"/>
  <c r="AA35" i="7"/>
  <c r="AA64" i="7" s="1"/>
  <c r="AA72" i="7"/>
  <c r="EU100" i="5"/>
  <c r="EU114" i="5"/>
  <c r="EU303" i="5"/>
  <c r="EV303" i="5" s="1"/>
  <c r="AA11" i="7"/>
  <c r="EX266" i="5"/>
  <c r="EV94" i="5"/>
  <c r="EV100" i="5" l="1"/>
  <c r="EV114" i="5"/>
  <c r="AB58" i="7"/>
  <c r="FF285" i="5"/>
  <c r="EU266" i="5"/>
  <c r="EU267" i="5" s="1"/>
  <c r="EU268" i="5" s="1"/>
  <c r="EU273" i="5" s="1"/>
  <c r="EU296" i="5" s="1"/>
  <c r="EU298" i="5" s="1"/>
  <c r="EX267" i="5"/>
  <c r="EX268" i="5" s="1"/>
  <c r="EX273" i="5" s="1"/>
  <c r="EX296" i="5" s="1"/>
  <c r="EX298" i="5" s="1"/>
  <c r="EX321" i="5"/>
  <c r="EX325" i="5" s="1"/>
  <c r="EX332" i="5" s="1"/>
  <c r="EX334" i="5" s="1"/>
  <c r="AC132" i="4"/>
  <c r="AC134" i="4" s="1"/>
  <c r="AA74" i="7"/>
  <c r="AA73" i="7"/>
  <c r="AA21" i="3"/>
  <c r="AA14" i="8"/>
  <c r="AA67" i="7"/>
  <c r="AA34" i="3"/>
  <c r="AA46" i="3"/>
  <c r="AA33" i="3"/>
  <c r="EU118" i="5"/>
  <c r="EU309" i="5"/>
  <c r="EV266" i="5" l="1"/>
  <c r="EV267" i="5" s="1"/>
  <c r="EV268" i="5" s="1"/>
  <c r="EV273" i="5" s="1"/>
  <c r="EV296" i="5" s="1"/>
  <c r="EU301" i="5"/>
  <c r="EV297" i="5"/>
  <c r="FF287" i="5"/>
  <c r="FC285" i="5"/>
  <c r="FC287" i="5" s="1"/>
  <c r="FF333" i="5"/>
  <c r="FC333" i="5"/>
  <c r="AA70" i="7"/>
  <c r="AA59" i="3"/>
  <c r="AB66" i="7"/>
  <c r="AA49" i="3"/>
  <c r="AA15" i="8"/>
  <c r="AA28" i="8" s="1"/>
  <c r="AA58" i="8" s="1"/>
  <c r="AA173" i="8"/>
  <c r="AB174" i="8" s="1"/>
  <c r="AA75" i="3"/>
  <c r="AA76" i="3"/>
  <c r="AA45" i="3"/>
  <c r="EU320" i="5"/>
  <c r="EV320" i="5" s="1"/>
  <c r="EV118" i="5"/>
  <c r="EV309" i="5"/>
  <c r="FC331" i="5"/>
  <c r="FD331" i="5" s="1"/>
  <c r="FC297" i="5"/>
  <c r="FF297" i="5"/>
  <c r="EX301" i="5"/>
  <c r="EV298" i="5" l="1"/>
  <c r="EV301" i="5" s="1"/>
  <c r="EU321" i="5"/>
  <c r="EU325" i="5" s="1"/>
  <c r="EU332" i="5" s="1"/>
  <c r="EU334" i="5" s="1"/>
  <c r="EV333" i="5" s="1"/>
  <c r="AB182" i="8"/>
  <c r="AB184" i="8" s="1"/>
  <c r="AB178" i="8"/>
  <c r="AA3" i="8"/>
  <c r="AA4" i="8" s="1"/>
  <c r="AA3" i="7"/>
  <c r="AA4" i="7" s="1"/>
  <c r="AA3" i="6"/>
  <c r="AA4" i="6" s="1"/>
  <c r="AA51" i="3"/>
  <c r="AA50" i="3"/>
  <c r="FD285" i="5"/>
  <c r="FD287" i="5" s="1"/>
  <c r="FC292" i="5"/>
  <c r="FC326" i="5"/>
  <c r="AA132" i="6"/>
  <c r="FF326" i="5"/>
  <c r="FF292" i="5"/>
  <c r="EV321" i="5"/>
  <c r="EV325" i="5" s="1"/>
  <c r="EV332" i="5" s="1"/>
  <c r="AA7" i="3"/>
  <c r="AA10" i="3" s="1"/>
  <c r="AA60" i="3"/>
  <c r="AA61" i="3" s="1"/>
  <c r="EV334" i="5" l="1"/>
  <c r="AA63" i="3"/>
  <c r="AA65" i="3"/>
  <c r="AA44" i="3"/>
  <c r="AA40" i="3"/>
  <c r="AA43" i="3"/>
  <c r="AA42" i="3"/>
  <c r="AB77" i="6"/>
  <c r="AB79" i="6" s="1"/>
  <c r="AB26" i="6"/>
  <c r="FD292" i="5"/>
  <c r="FD326" i="5"/>
  <c r="FF89" i="5" l="1"/>
  <c r="AB23" i="7"/>
  <c r="AB80" i="6"/>
  <c r="AB179" i="8"/>
  <c r="AB29" i="6"/>
  <c r="FF79" i="5"/>
  <c r="AA66" i="3"/>
  <c r="AB27" i="7" l="1"/>
  <c r="AB35" i="8"/>
  <c r="FC89" i="5"/>
  <c r="FC92" i="5" s="1"/>
  <c r="FF92" i="5"/>
  <c r="FC79" i="5"/>
  <c r="FC88" i="5" s="1"/>
  <c r="FC91" i="5" s="1"/>
  <c r="FF88" i="5"/>
  <c r="FF91" i="5" s="1"/>
  <c r="AB32" i="6"/>
  <c r="AB81" i="6"/>
  <c r="AB82" i="6"/>
  <c r="AB87" i="6" s="1"/>
  <c r="AB89" i="6" s="1"/>
  <c r="FD79" i="5" l="1"/>
  <c r="FD88" i="5" s="1"/>
  <c r="FD91" i="5" s="1"/>
  <c r="AB90" i="6"/>
  <c r="AB91" i="6"/>
  <c r="AB53" i="8"/>
  <c r="AB7" i="7"/>
  <c r="AB55" i="6"/>
  <c r="AB56" i="6" s="1"/>
  <c r="AB33" i="6"/>
  <c r="AB36" i="6" s="1"/>
  <c r="AB39" i="6" s="1"/>
  <c r="AB42" i="6" s="1"/>
  <c r="FD89" i="5"/>
  <c r="FD92" i="5" s="1"/>
  <c r="AB8" i="7"/>
  <c r="AB113" i="6"/>
  <c r="FF98" i="5"/>
  <c r="FF115" i="5" s="1"/>
  <c r="FF119" i="5" s="1"/>
  <c r="AB38" i="8"/>
  <c r="AB58" i="6" l="1"/>
  <c r="AB61" i="6" s="1"/>
  <c r="AB62" i="6" s="1"/>
  <c r="AB57" i="6"/>
  <c r="AB54" i="3"/>
  <c r="AB54" i="8"/>
  <c r="FC98" i="5"/>
  <c r="FC115" i="5" s="1"/>
  <c r="FF256" i="5"/>
  <c r="AB9" i="7"/>
  <c r="AB17" i="3"/>
  <c r="AB46" i="6"/>
  <c r="AB18" i="3" s="1"/>
  <c r="AB53" i="6"/>
  <c r="AB50" i="6"/>
  <c r="AB43" i="6"/>
  <c r="FF94" i="5"/>
  <c r="AB114" i="6"/>
  <c r="AB110" i="6" s="1"/>
  <c r="AB112" i="6" s="1"/>
  <c r="AB44" i="8" s="1"/>
  <c r="AB32" i="3" l="1"/>
  <c r="AB67" i="3"/>
  <c r="FC119" i="5"/>
  <c r="FC256" i="5"/>
  <c r="AB57" i="3"/>
  <c r="AB46" i="8"/>
  <c r="AB56" i="8" s="1"/>
  <c r="AB52" i="6"/>
  <c r="AB47" i="6"/>
  <c r="AB44" i="6"/>
  <c r="AB48" i="6" s="1"/>
  <c r="AB51" i="6"/>
  <c r="AB19" i="3"/>
  <c r="AB41" i="3" s="1"/>
  <c r="AB102" i="6"/>
  <c r="AB39" i="3"/>
  <c r="FF303" i="5"/>
  <c r="AB36" i="3"/>
  <c r="AB10" i="7"/>
  <c r="AB111" i="6"/>
  <c r="FC94" i="5"/>
  <c r="FD94" i="5" s="1"/>
  <c r="FF100" i="5"/>
  <c r="FF114" i="5"/>
  <c r="AB26" i="3"/>
  <c r="FD98" i="5"/>
  <c r="FD115" i="5" s="1"/>
  <c r="FD100" i="5" l="1"/>
  <c r="FD114" i="5"/>
  <c r="FD256" i="5"/>
  <c r="FD119" i="5"/>
  <c r="AB11" i="7"/>
  <c r="FF266" i="5"/>
  <c r="FC303" i="5"/>
  <c r="FD303" i="5" s="1"/>
  <c r="FF309" i="5"/>
  <c r="FF118" i="5"/>
  <c r="FC100" i="5"/>
  <c r="FC114" i="5"/>
  <c r="AB28" i="7"/>
  <c r="AB20" i="3"/>
  <c r="AB101" i="6"/>
  <c r="AB104" i="6"/>
  <c r="AB124" i="6"/>
  <c r="AB103" i="6"/>
  <c r="FC266" i="5" l="1"/>
  <c r="FC267" i="5" s="1"/>
  <c r="FC268" i="5" s="1"/>
  <c r="FC273" i="5" s="1"/>
  <c r="FC296" i="5" s="1"/>
  <c r="FC298" i="5" s="1"/>
  <c r="FF267" i="5"/>
  <c r="FF268" i="5" s="1"/>
  <c r="FF273" i="5" s="1"/>
  <c r="FF296" i="5" s="1"/>
  <c r="FF298" i="5" s="1"/>
  <c r="FF301" i="5" s="1"/>
  <c r="FD309" i="5"/>
  <c r="FD118" i="5"/>
  <c r="AB35" i="7"/>
  <c r="AB64" i="7" s="1"/>
  <c r="AB72" i="7"/>
  <c r="FC118" i="5"/>
  <c r="FC309" i="5"/>
  <c r="AB34" i="3"/>
  <c r="AB46" i="3"/>
  <c r="AB33" i="3"/>
  <c r="FD266" i="5" l="1"/>
  <c r="FD267" i="5" s="1"/>
  <c r="FD268" i="5" s="1"/>
  <c r="FD273" i="5" s="1"/>
  <c r="FD296" i="5" s="1"/>
  <c r="AB21" i="3"/>
  <c r="AD132" i="4"/>
  <c r="AD134" i="4" s="1"/>
  <c r="AB74" i="7"/>
  <c r="AB73" i="7"/>
  <c r="AB14" i="8"/>
  <c r="AB67" i="7"/>
  <c r="FD297" i="5"/>
  <c r="FC301" i="5"/>
  <c r="FD298" i="5" l="1"/>
  <c r="FD301" i="5" s="1"/>
  <c r="AB75" i="3"/>
  <c r="AB76" i="3"/>
  <c r="AB45" i="3"/>
  <c r="AB49" i="3"/>
  <c r="AB59" i="3"/>
  <c r="AB70" i="7"/>
  <c r="AB15" i="8"/>
  <c r="AB28" i="8" s="1"/>
  <c r="AB58" i="8" s="1"/>
  <c r="AB173" i="8"/>
  <c r="FC320" i="5"/>
  <c r="FC321" i="5" s="1"/>
  <c r="FC325" i="5" s="1"/>
  <c r="FC332" i="5" s="1"/>
  <c r="FC334" i="5" s="1"/>
  <c r="FD333" i="5" s="1"/>
  <c r="FF321" i="5"/>
  <c r="FF325" i="5" s="1"/>
  <c r="FF332" i="5" s="1"/>
  <c r="FF334" i="5" s="1"/>
  <c r="FD320" i="5" l="1"/>
  <c r="FD321" i="5" s="1"/>
  <c r="FD325" i="5" s="1"/>
  <c r="FD332" i="5" s="1"/>
  <c r="FD334" i="5" s="1"/>
  <c r="AB3" i="6"/>
  <c r="AB4" i="6" s="1"/>
  <c r="AB3" i="8"/>
  <c r="AB4" i="8" s="1"/>
  <c r="AB3" i="7"/>
  <c r="AB4" i="7" s="1"/>
  <c r="AB132" i="6"/>
  <c r="AB7" i="3"/>
  <c r="AB10" i="3" s="1"/>
  <c r="AB60" i="3"/>
  <c r="AB61" i="3" s="1"/>
  <c r="AB50" i="3"/>
  <c r="AB51" i="3"/>
  <c r="AB63" i="3" l="1"/>
  <c r="AB66" i="3" s="1"/>
  <c r="AB65" i="3"/>
  <c r="AB43" i="3"/>
  <c r="AB40" i="3"/>
  <c r="AB44" i="3"/>
  <c r="AB42" i="3"/>
  <c r="E44" i="16" l="1"/>
  <c r="AY217" i="9" l="1"/>
  <c r="BJ217" i="9"/>
  <c r="BB90" i="9"/>
  <c r="BA226" i="9"/>
  <c r="BB228" i="9"/>
  <c r="BB226" i="9" s="1"/>
  <c r="BB209" i="9"/>
  <c r="BB217" i="9" s="1"/>
  <c r="BG217" i="9"/>
  <c r="AY211" i="9"/>
  <c r="AZ211" i="9" s="1"/>
  <c r="AZ219" i="9" l="1"/>
  <c r="AZ6" i="9"/>
  <c r="BH219" i="9"/>
  <c r="BC209" i="9"/>
  <c r="BG219" i="9"/>
  <c r="BC211" i="9"/>
  <c r="AY226" i="9"/>
  <c r="AZ209" i="9"/>
  <c r="AY219" i="9"/>
  <c r="AY6" i="9"/>
  <c r="BH217" i="9" l="1"/>
  <c r="AZ217" i="9"/>
  <c r="AZ226" i="9"/>
  <c r="BC6" i="9"/>
  <c r="BK219" i="9"/>
  <c r="BC219" i="9"/>
  <c r="BC217" i="9"/>
  <c r="BK217" i="9"/>
  <c r="AY9" i="9"/>
  <c r="AY61" i="9" s="1"/>
  <c r="AY68" i="9"/>
  <c r="BG68" i="9"/>
  <c r="AZ68" i="9"/>
  <c r="AZ9" i="9"/>
  <c r="AZ61" i="9" s="1"/>
  <c r="BH68" i="9"/>
  <c r="AZ71" i="9" l="1"/>
  <c r="AZ60" i="9"/>
  <c r="AZ62" i="9"/>
  <c r="BH71" i="9"/>
  <c r="AZ77" i="9"/>
  <c r="DV3" i="5"/>
  <c r="AZ10" i="9"/>
  <c r="AZ11" i="9" s="1"/>
  <c r="DV27" i="5" s="1"/>
  <c r="DV34" i="5" s="1"/>
  <c r="BH10" i="9"/>
  <c r="BC9" i="9"/>
  <c r="BC61" i="9" s="1"/>
  <c r="BK68" i="9"/>
  <c r="BC68" i="9"/>
  <c r="AY10" i="9"/>
  <c r="AY11" i="9" s="1"/>
  <c r="DU27" i="5" s="1"/>
  <c r="DU34" i="5" s="1"/>
  <c r="AY62" i="9"/>
  <c r="AY71" i="9"/>
  <c r="DU3" i="5"/>
  <c r="AY60" i="9"/>
  <c r="BG71" i="9"/>
  <c r="AY77" i="9"/>
  <c r="BH12" i="9"/>
  <c r="BG10" i="9"/>
  <c r="BK12" i="9" l="1"/>
  <c r="DU17" i="5"/>
  <c r="EC17" i="5"/>
  <c r="BG13" i="9"/>
  <c r="BG11" i="9" s="1"/>
  <c r="EC27" i="5" s="1"/>
  <c r="DU11" i="5"/>
  <c r="DV17" i="5"/>
  <c r="ED17" i="5"/>
  <c r="DV11" i="5"/>
  <c r="AZ74" i="9"/>
  <c r="AZ81" i="9"/>
  <c r="AZ82" i="9"/>
  <c r="AY82" i="9"/>
  <c r="AY81" i="9"/>
  <c r="AY74" i="9"/>
  <c r="AZ64" i="9"/>
  <c r="AY64" i="9"/>
  <c r="DY3" i="5"/>
  <c r="BC71" i="9"/>
  <c r="BC60" i="9"/>
  <c r="BC77" i="9"/>
  <c r="BK71" i="9"/>
  <c r="BC62" i="9"/>
  <c r="BC10" i="9"/>
  <c r="BC11" i="9" s="1"/>
  <c r="DY27" i="5" s="1"/>
  <c r="DY34" i="5" s="1"/>
  <c r="BK10" i="9"/>
  <c r="EC34" i="5" l="1"/>
  <c r="BC64" i="9"/>
  <c r="DY11" i="5"/>
  <c r="DY17" i="5"/>
  <c r="EG17" i="5"/>
  <c r="DU13" i="5"/>
  <c r="DU24" i="5"/>
  <c r="DU37" i="5" s="1"/>
  <c r="DU36" i="5" s="1"/>
  <c r="ED35" i="5"/>
  <c r="DU14" i="5"/>
  <c r="EC24" i="5"/>
  <c r="EC37" i="5" s="1"/>
  <c r="BH86" i="9"/>
  <c r="AZ86" i="9"/>
  <c r="DV156" i="5"/>
  <c r="AZ80" i="9"/>
  <c r="AZ83" i="9" s="1"/>
  <c r="AZ90" i="9"/>
  <c r="BH13" i="9"/>
  <c r="BH11" i="9" s="1"/>
  <c r="ED27" i="5" s="1"/>
  <c r="ED34" i="5" s="1"/>
  <c r="BK13" i="9"/>
  <c r="BK11" i="9" s="1"/>
  <c r="EG27" i="5" s="1"/>
  <c r="DU156" i="5"/>
  <c r="AY86" i="9"/>
  <c r="BG86" i="9"/>
  <c r="AY80" i="9"/>
  <c r="AY83" i="9" s="1"/>
  <c r="AY90" i="9"/>
  <c r="DV24" i="5"/>
  <c r="DV37" i="5" s="1"/>
  <c r="DV36" i="5" s="1"/>
  <c r="ED24" i="5"/>
  <c r="ED37" i="5" s="1"/>
  <c r="DV14" i="5"/>
  <c r="DV13" i="5"/>
  <c r="BC82" i="9"/>
  <c r="BC74" i="9"/>
  <c r="BC81" i="9"/>
  <c r="EC36" i="5" l="1"/>
  <c r="ED36" i="5"/>
  <c r="EG34" i="5"/>
  <c r="EC159" i="5"/>
  <c r="DU159" i="5"/>
  <c r="DU170" i="5"/>
  <c r="DU165" i="5"/>
  <c r="DU158" i="5"/>
  <c r="DY14" i="5"/>
  <c r="DY24" i="5"/>
  <c r="DY37" i="5" s="1"/>
  <c r="DY36" i="5" s="1"/>
  <c r="DY13" i="5"/>
  <c r="EG24" i="5"/>
  <c r="EG37" i="5" s="1"/>
  <c r="BC86" i="9"/>
  <c r="DY156" i="5"/>
  <c r="BC90" i="9"/>
  <c r="BK86" i="9"/>
  <c r="BC80" i="9"/>
  <c r="BC83" i="9" s="1"/>
  <c r="ED159" i="5"/>
  <c r="DV165" i="5"/>
  <c r="DV158" i="5"/>
  <c r="DV170" i="5"/>
  <c r="DV159" i="5"/>
  <c r="EG35" i="5"/>
  <c r="DU161" i="5" l="1"/>
  <c r="DU167" i="5"/>
  <c r="EC161" i="5"/>
  <c r="DU171" i="5"/>
  <c r="EC171" i="5"/>
  <c r="DY165" i="5"/>
  <c r="DY159" i="5"/>
  <c r="DY158" i="5"/>
  <c r="DY170" i="5"/>
  <c r="EG159" i="5"/>
  <c r="ED171" i="5"/>
  <c r="DV171" i="5"/>
  <c r="ED161" i="5"/>
  <c r="DV167" i="5"/>
  <c r="DV161" i="5"/>
  <c r="EG36" i="5"/>
  <c r="EG161" i="5" l="1"/>
  <c r="DY161" i="5"/>
  <c r="DY167" i="5"/>
  <c r="DV168" i="5"/>
  <c r="ED168" i="5"/>
  <c r="DU168" i="5"/>
  <c r="EC168" i="5"/>
  <c r="DY171" i="5"/>
  <c r="EG171" i="5"/>
  <c r="EG168" i="5" l="1"/>
  <c r="DY16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Humphrey, Andrew (Research)</author>
    <author>ackerlej</author>
    <author>royanirb</author>
    <author>Magajwala, Vatsal (Research)</author>
    <author>Law, Ross (Research)</author>
    <author>K M, Giridhar (Research)</author>
    <author>vigrupi</author>
    <author>izabelac</author>
    <author>Nicolas, Alexane (Research)</author>
    <author>Ayoola, Joseph (Research)</author>
  </authors>
  <commentList>
    <comment ref="T5" authorId="0" shapeId="0" xr:uid="{F40802A7-AA88-45DE-9322-CA57B3334B92}">
      <text>
        <r>
          <rPr>
            <b/>
            <sz val="9"/>
            <color indexed="81"/>
            <rFont val="Tahoma"/>
            <family val="2"/>
          </rPr>
          <t>Humphrey, Andrew (Research):</t>
        </r>
        <r>
          <rPr>
            <sz val="9"/>
            <color indexed="81"/>
            <rFont val="Tahoma"/>
            <family val="2"/>
          </rPr>
          <t xml:space="preserve">
Guidance for flattish in Dec-19
</t>
        </r>
      </text>
    </comment>
    <comment ref="T6" authorId="0" shapeId="0" xr:uid="{6727966E-AB62-4FBF-A754-30B86751FE06}">
      <text>
        <r>
          <rPr>
            <b/>
            <sz val="9"/>
            <color indexed="81"/>
            <rFont val="Tahoma"/>
            <family val="2"/>
          </rPr>
          <t>Humphrey, Andrew (Research):</t>
        </r>
        <r>
          <rPr>
            <sz val="9"/>
            <color indexed="81"/>
            <rFont val="Tahoma"/>
            <family val="2"/>
          </rPr>
          <t xml:space="preserve">
Lag effect of non-offerability of seats</t>
        </r>
      </text>
    </comment>
    <comment ref="A8" authorId="1" shapeId="0" xr:uid="{BF1F02BA-393E-4A7A-9383-5F83F8BD7210}">
      <text>
        <r>
          <rPr>
            <b/>
            <sz val="8"/>
            <color indexed="81"/>
            <rFont val="Tahoma"/>
            <family val="2"/>
          </rPr>
          <t>ackerlej:</t>
        </r>
        <r>
          <rPr>
            <sz val="8"/>
            <color indexed="81"/>
            <rFont val="Tahoma"/>
            <family val="2"/>
          </rPr>
          <t xml:space="preserve">
Defence and Secuity up to FY2009
</t>
        </r>
      </text>
    </comment>
    <comment ref="F8" authorId="2" shapeId="0" xr:uid="{5DE7B2BB-C22B-4627-B4BF-238EA10556A7}">
      <text>
        <r>
          <rPr>
            <b/>
            <sz val="8"/>
            <color indexed="81"/>
            <rFont val="Tahoma"/>
            <family val="2"/>
          </rPr>
          <t>royanirb:</t>
        </r>
        <r>
          <rPr>
            <sz val="8"/>
            <color indexed="81"/>
            <rFont val="Tahoma"/>
            <family val="2"/>
          </rPr>
          <t xml:space="preserve">
Security includes €40 mn payment for Monetic activity disposed off on 1 Apr 2008</t>
        </r>
      </text>
    </comment>
    <comment ref="X13" authorId="3" shapeId="0" xr:uid="{5F4E0ABB-278D-45E4-9B15-79AE2732AD9C}">
      <text>
        <r>
          <rPr>
            <b/>
            <sz val="9"/>
            <color indexed="81"/>
            <rFont val="Tahoma"/>
            <family val="2"/>
          </rPr>
          <t xml:space="preserve">Magajwala, Vatsal (Research):
</t>
        </r>
        <r>
          <rPr>
            <sz val="9"/>
            <color indexed="81"/>
            <rFont val="Tahoma"/>
            <family val="2"/>
          </rPr>
          <t>Guidance (3Q24): Around 27.1bn
Guidance (FY23): Around 27.4bn</t>
        </r>
      </text>
    </comment>
    <comment ref="Z13" authorId="4" shapeId="0" xr:uid="{0B126C08-130C-46CB-944E-66DAD52A4A7A}">
      <text>
        <r>
          <rPr>
            <b/>
            <sz val="9"/>
            <color indexed="81"/>
            <rFont val="Tahoma"/>
            <family val="2"/>
          </rPr>
          <t>Law, Ross (Research):</t>
        </r>
        <r>
          <rPr>
            <sz val="9"/>
            <color indexed="81"/>
            <rFont val="Tahoma"/>
            <family val="2"/>
          </rPr>
          <t xml:space="preserve">
1H26: mid-teens growth, above 36bn</t>
        </r>
      </text>
    </comment>
    <comment ref="Y14" authorId="4" shapeId="0" xr:uid="{4C3D697A-08C2-43D3-AB3C-BBE9FF14C185}">
      <text>
        <r>
          <rPr>
            <b/>
            <sz val="9"/>
            <color indexed="81"/>
            <rFont val="Tahoma"/>
            <family val="2"/>
          </rPr>
          <t>Law, Ross (Research):</t>
        </r>
        <r>
          <rPr>
            <sz val="9"/>
            <color indexed="81"/>
            <rFont val="Tahoma"/>
            <family val="2"/>
          </rPr>
          <t xml:space="preserve">
Assume same as 9M</t>
        </r>
      </text>
    </comment>
    <comment ref="Z14" authorId="5" shapeId="0" xr:uid="{DFAB66CF-A48D-4E66-8661-51A53E558704}">
      <text>
        <r>
          <rPr>
            <b/>
            <sz val="9"/>
            <color indexed="81"/>
            <rFont val="Tahoma"/>
            <family val="2"/>
          </rPr>
          <t>K M, Giridhar (Research):</t>
        </r>
        <r>
          <rPr>
            <sz val="9"/>
            <color indexed="81"/>
            <rFont val="Tahoma"/>
            <family val="2"/>
          </rPr>
          <t xml:space="preserve">
Assumed same as 1H26</t>
        </r>
      </text>
    </comment>
    <comment ref="A15" authorId="2" shapeId="0" xr:uid="{0356F760-0F4E-4B86-8132-9DB77EC210C2}">
      <text>
        <r>
          <rPr>
            <b/>
            <sz val="8"/>
            <color indexed="81"/>
            <rFont val="Tahoma"/>
            <family val="2"/>
          </rPr>
          <t>royanirb:</t>
        </r>
        <r>
          <rPr>
            <sz val="8"/>
            <color indexed="81"/>
            <rFont val="Tahoma"/>
            <family val="2"/>
          </rPr>
          <t xml:space="preserve">
Adjustments to historical (till 2007) to align with 2009 reporting change</t>
        </r>
      </text>
    </comment>
    <comment ref="Y23" authorId="4" shapeId="0" xr:uid="{4BED2B76-C94E-4CF3-95B5-62F1B4811157}">
      <text>
        <r>
          <rPr>
            <b/>
            <sz val="9"/>
            <color indexed="81"/>
            <rFont val="Tahoma"/>
            <family val="2"/>
          </rPr>
          <t>Law, Ross (Research):</t>
        </r>
        <r>
          <rPr>
            <sz val="9"/>
            <color indexed="81"/>
            <rFont val="Tahoma"/>
            <family val="2"/>
          </rPr>
          <t xml:space="preserve">
CMD24 25 guidance: +~10%</t>
        </r>
      </text>
    </comment>
    <comment ref="Z23" authorId="4" shapeId="0" xr:uid="{2B96D533-D78F-46FF-BF86-D8B63A3CEE66}">
      <text>
        <r>
          <rPr>
            <b/>
            <sz val="9"/>
            <color indexed="81"/>
            <rFont val="Tahoma"/>
            <family val="2"/>
          </rPr>
          <t>Law, Ross (Research):</t>
        </r>
        <r>
          <rPr>
            <sz val="9"/>
            <color indexed="81"/>
            <rFont val="Tahoma"/>
            <family val="2"/>
          </rPr>
          <t xml:space="preserve">
Guidance (1H26): up mid-teens</t>
        </r>
      </text>
    </comment>
    <comment ref="S32" authorId="0" shapeId="0" xr:uid="{22C4513C-DDE3-4B0C-B22F-0473306579E6}">
      <text>
        <r>
          <rPr>
            <b/>
            <sz val="9"/>
            <color indexed="81"/>
            <rFont val="Tahoma"/>
            <family val="2"/>
          </rPr>
          <t>Humphrey, Andrew (Research):</t>
        </r>
        <r>
          <rPr>
            <sz val="9"/>
            <color indexed="81"/>
            <rFont val="Tahoma"/>
            <family val="2"/>
          </rPr>
          <t xml:space="preserve">
Organic revenue growth of "around 10%"</t>
        </r>
      </text>
    </comment>
    <comment ref="S35" authorId="0" shapeId="0" xr:uid="{3618D61C-0F20-403D-833A-2B596CA2A115}">
      <text>
        <r>
          <rPr>
            <b/>
            <sz val="9"/>
            <color indexed="81"/>
            <rFont val="Tahoma"/>
            <family val="2"/>
          </rPr>
          <t>Humphrey, Andrew (Research):</t>
        </r>
        <r>
          <rPr>
            <sz val="9"/>
            <color indexed="81"/>
            <rFont val="Tahoma"/>
            <family val="2"/>
          </rPr>
          <t xml:space="preserve">
"adjusted revenue expected to grow by around 15%"</t>
        </r>
      </text>
    </comment>
    <comment ref="G41" authorId="2" shapeId="0" xr:uid="{73D7E4AD-7637-4392-99D3-9D300863C0FF}">
      <text>
        <r>
          <rPr>
            <b/>
            <sz val="8"/>
            <color indexed="81"/>
            <rFont val="Tahoma"/>
            <family val="2"/>
          </rPr>
          <t>royanirb:</t>
        </r>
        <r>
          <rPr>
            <sz val="8"/>
            <color indexed="81"/>
            <rFont val="Tahoma"/>
            <family val="2"/>
          </rPr>
          <t xml:space="preserve">
Excludes €71 mn impairment charges on B787 landing systems</t>
        </r>
      </text>
    </comment>
    <comment ref="F42" authorId="6" shapeId="0" xr:uid="{43B1F243-17D3-4BAA-9B8A-062BF6918AD3}">
      <text>
        <r>
          <rPr>
            <b/>
            <sz val="8"/>
            <color indexed="81"/>
            <rFont val="Tahoma"/>
            <family val="2"/>
          </rPr>
          <t>vigrupi:</t>
        </r>
        <r>
          <rPr>
            <sz val="8"/>
            <color indexed="81"/>
            <rFont val="Tahoma"/>
            <family val="2"/>
          </rPr>
          <t xml:space="preserve">
Excludes €146 mn gain from Ingenico sale</t>
        </r>
      </text>
    </comment>
    <comment ref="Y47" authorId="5" shapeId="0" xr:uid="{BB9B9E90-DD36-4848-B011-A2B165DBAE72}">
      <text>
        <r>
          <rPr>
            <b/>
            <sz val="9"/>
            <color indexed="81"/>
            <rFont val="Tahoma"/>
            <family val="2"/>
          </rPr>
          <t>K M, Giridhar (Research):</t>
        </r>
        <r>
          <rPr>
            <sz val="9"/>
            <color indexed="81"/>
            <rFont val="Tahoma"/>
            <family val="2"/>
          </rPr>
          <t xml:space="preserve">
Rounding to match reported numbers</t>
        </r>
      </text>
    </comment>
    <comment ref="T48" authorId="0" shapeId="0" xr:uid="{77C03611-C812-4BF0-931E-60A06D8F7D7F}">
      <text>
        <r>
          <rPr>
            <b/>
            <sz val="9"/>
            <color indexed="81"/>
            <rFont val="Tahoma"/>
            <family val="2"/>
          </rPr>
          <t>Humphrey, Andrew (Research):</t>
        </r>
        <r>
          <rPr>
            <sz val="9"/>
            <color indexed="81"/>
            <rFont val="Tahoma"/>
            <family val="2"/>
          </rPr>
          <t xml:space="preserve">
Guidance €1.6bn EBITA</t>
        </r>
      </text>
    </comment>
    <comment ref="X48" authorId="3" shapeId="0" xr:uid="{49E251DD-50BE-4C7D-844E-6391D8DBE110}">
      <text>
        <r>
          <rPr>
            <b/>
            <sz val="9"/>
            <color indexed="81"/>
            <rFont val="Tahoma"/>
            <family val="2"/>
          </rPr>
          <t xml:space="preserve">Magajwala, Vatsal (Research):
</t>
        </r>
        <r>
          <rPr>
            <sz val="9"/>
            <color indexed="81"/>
            <rFont val="Tahoma"/>
            <family val="2"/>
          </rPr>
          <t>Guidance (3Q24): close to 4.1bn
Guidance (FY23): close to 4.0bn</t>
        </r>
      </text>
    </comment>
    <comment ref="Y48" authorId="3" shapeId="0" xr:uid="{49F77DE1-7341-4CDD-99DD-8E0B62B17A38}">
      <text>
        <r>
          <rPr>
            <b/>
            <sz val="9"/>
            <color indexed="81"/>
            <rFont val="Tahoma"/>
            <family val="2"/>
          </rPr>
          <t>Magajwala, Vatsal (Research):</t>
        </r>
        <r>
          <rPr>
            <sz val="9"/>
            <color indexed="81"/>
            <rFont val="Tahoma"/>
            <family val="2"/>
          </rPr>
          <t xml:space="preserve">
Guidance (1H25): €5.0-5.1bn
Guidance (FY24): €4.8-4.9bn</t>
        </r>
      </text>
    </comment>
    <comment ref="Z48" authorId="4" shapeId="0" xr:uid="{83CAC4E9-FB3A-4593-BBE5-EA3E5C8E6827}">
      <text>
        <r>
          <rPr>
            <b/>
            <sz val="9"/>
            <color indexed="81"/>
            <rFont val="Tahoma"/>
            <family val="2"/>
          </rPr>
          <t>Law, Ross (Research):</t>
        </r>
        <r>
          <rPr>
            <sz val="9"/>
            <color indexed="81"/>
            <rFont val="Tahoma"/>
            <family val="2"/>
          </rPr>
          <t xml:space="preserve">
Guidance (1H26): 6.4-6.5bn
</t>
        </r>
      </text>
    </comment>
    <comment ref="A50" authorId="2" shapeId="0" xr:uid="{0A2325DF-6BFD-42C2-B87F-CA98D05F186C}">
      <text>
        <r>
          <rPr>
            <b/>
            <sz val="8"/>
            <color indexed="81"/>
            <rFont val="Tahoma"/>
            <family val="2"/>
          </rPr>
          <t>royanirb:</t>
        </r>
        <r>
          <rPr>
            <sz val="8"/>
            <color indexed="81"/>
            <rFont val="Tahoma"/>
            <family val="2"/>
          </rPr>
          <t xml:space="preserve">
Adjustments to historical (till 2007) to align with 2009 reporting change</t>
        </r>
      </text>
    </comment>
    <comment ref="S52" authorId="0" shapeId="0" xr:uid="{B07F01D4-70D4-4F02-8DAB-E005A26032CC}">
      <text>
        <r>
          <rPr>
            <b/>
            <sz val="9"/>
            <color indexed="81"/>
            <rFont val="Tahoma"/>
            <family val="2"/>
          </rPr>
          <t>Humphrey, Andrew (Research):</t>
        </r>
        <r>
          <rPr>
            <sz val="9"/>
            <color indexed="81"/>
            <rFont val="Tahoma"/>
            <family val="2"/>
          </rPr>
          <t xml:space="preserve">
Guidance "comfortably above 20%"</t>
        </r>
      </text>
    </comment>
    <comment ref="X54" authorId="0" shapeId="0" xr:uid="{378D194F-52DB-417C-94CC-16173374D2D8}">
      <text>
        <r>
          <rPr>
            <b/>
            <sz val="9"/>
            <color indexed="81"/>
            <rFont val="Tahoma"/>
            <family val="2"/>
          </rPr>
          <t>Humphrey, Andrew (Research):</t>
        </r>
        <r>
          <rPr>
            <sz val="9"/>
            <color indexed="81"/>
            <rFont val="Tahoma"/>
            <family val="2"/>
          </rPr>
          <t xml:space="preserve">
100bps per year of annual margin gain in Propulsion, according to 2021 CMD. </t>
        </r>
      </text>
    </comment>
    <comment ref="X55" authorId="0" shapeId="0" xr:uid="{7F86D20E-8C6E-48E2-8237-B2660EFBD4FC}">
      <text>
        <r>
          <rPr>
            <b/>
            <sz val="9"/>
            <color indexed="81"/>
            <rFont val="Tahoma"/>
            <family val="2"/>
          </rPr>
          <t>Humphrey, Andrew (Research):</t>
        </r>
        <r>
          <rPr>
            <sz val="9"/>
            <color indexed="81"/>
            <rFont val="Tahoma"/>
            <family val="2"/>
          </rPr>
          <t xml:space="preserve">
100bps per year of annual margin gain in Equipment according to 2021 CMD. </t>
        </r>
      </text>
    </comment>
    <comment ref="T56" authorId="0" shapeId="0" xr:uid="{385F8A32-50BB-43B1-9395-8DB1E2559938}">
      <text>
        <r>
          <rPr>
            <b/>
            <sz val="9"/>
            <color indexed="81"/>
            <rFont val="Tahoma"/>
            <family val="2"/>
          </rPr>
          <t>Humphrey, Andrew (Research):</t>
        </r>
        <r>
          <rPr>
            <sz val="9"/>
            <color indexed="81"/>
            <rFont val="Tahoma"/>
            <family val="2"/>
          </rPr>
          <t xml:space="preserve">
Guidance is that Interiors will not be profitable in 2020, either in 1H or 2H. </t>
        </r>
      </text>
    </comment>
    <comment ref="O72" authorId="0" shapeId="0" xr:uid="{2F66C9AE-2EF9-4F9A-BB9F-BD04FF9A9990}">
      <text>
        <r>
          <rPr>
            <b/>
            <sz val="8"/>
            <color indexed="81"/>
            <rFont val="Tahoma"/>
            <family val="2"/>
          </rPr>
          <t>Humphrey, Andrew (Research):</t>
        </r>
        <r>
          <rPr>
            <sz val="8"/>
            <color indexed="81"/>
            <rFont val="Tahoma"/>
            <family val="2"/>
          </rPr>
          <t xml:space="preserve">
a reduction of the self-funded R&amp;D in the order of EUR100 million with less spending on the big programs such as the A320neo for equipment of the LEAP program.</t>
        </r>
      </text>
    </comment>
    <comment ref="S72" authorId="0" shapeId="0" xr:uid="{451817A0-3C86-4045-B0B5-FB8438DD9408}">
      <text>
        <r>
          <rPr>
            <b/>
            <sz val="9"/>
            <color indexed="81"/>
            <rFont val="Tahoma"/>
            <family val="2"/>
          </rPr>
          <t>Humphrey, Andrew (Research):</t>
        </r>
        <r>
          <rPr>
            <sz val="9"/>
            <color indexed="81"/>
            <rFont val="Tahoma"/>
            <family val="2"/>
          </rPr>
          <t xml:space="preserve">
Guidance is for €150-200m increase in R&amp;D</t>
        </r>
      </text>
    </comment>
    <comment ref="Y72" authorId="4" shapeId="0" xr:uid="{673B80E7-96DD-4DD1-94A2-25F2312B3C60}">
      <text>
        <r>
          <rPr>
            <b/>
            <sz val="9"/>
            <color indexed="81"/>
            <rFont val="Tahoma"/>
            <family val="2"/>
          </rPr>
          <t>Law, Ross (Research):</t>
        </r>
        <r>
          <rPr>
            <sz val="9"/>
            <color indexed="81"/>
            <rFont val="Tahoma"/>
            <family val="2"/>
          </rPr>
          <t xml:space="preserve">
CMD24: ~1.5bn</t>
        </r>
      </text>
    </comment>
    <comment ref="O82" authorId="0" shapeId="0" xr:uid="{17920FF0-EF60-4444-ADBD-9D52F76C3A0C}">
      <text>
        <r>
          <rPr>
            <b/>
            <sz val="8"/>
            <color indexed="81"/>
            <rFont val="Tahoma"/>
            <family val="2"/>
          </rPr>
          <t>Humphrey, Andrew (Research):</t>
        </r>
        <r>
          <rPr>
            <sz val="8"/>
            <color indexed="81"/>
            <rFont val="Tahoma"/>
            <family val="2"/>
          </rPr>
          <t xml:space="preserve">
falling capitalization, rising amortization of capitalized R&amp;D. The impact of all of this in our recurring operating income is in the range of EUR50 million to EUR100 million.</t>
        </r>
      </text>
    </comment>
    <comment ref="Y93" authorId="0" shapeId="0" xr:uid="{780BF9C6-EB31-485F-A7A6-744D7CD60341}">
      <text>
        <r>
          <rPr>
            <b/>
            <sz val="9"/>
            <color indexed="81"/>
            <rFont val="Tahoma"/>
            <family val="2"/>
          </rPr>
          <t>Humphrey, Andrew (Research):</t>
        </r>
        <r>
          <rPr>
            <sz val="9"/>
            <color indexed="81"/>
            <rFont val="Tahoma"/>
            <family val="2"/>
          </rPr>
          <t xml:space="preserve">
Target 4.5% of sales 2021-25</t>
        </r>
      </text>
    </comment>
    <comment ref="I102" authorId="7" shapeId="0" xr:uid="{BDD3887F-76FD-47B5-AF52-CC2511823078}">
      <text>
        <r>
          <rPr>
            <b/>
            <sz val="8"/>
            <color indexed="81"/>
            <rFont val="Tahoma"/>
            <family val="2"/>
          </rPr>
          <t>izabelac:</t>
        </r>
        <r>
          <rPr>
            <sz val="8"/>
            <color indexed="81"/>
            <rFont val="Tahoma"/>
            <family val="2"/>
          </rPr>
          <t xml:space="preserve">
holding</t>
        </r>
      </text>
    </comment>
    <comment ref="J103" authorId="6" shapeId="0" xr:uid="{A3884DB4-2628-4910-AC15-B8790B113750}">
      <text>
        <r>
          <rPr>
            <b/>
            <sz val="8"/>
            <color indexed="81"/>
            <rFont val="Tahoma"/>
            <family val="2"/>
          </rPr>
          <t>vigrupi:</t>
        </r>
        <r>
          <rPr>
            <sz val="8"/>
            <color indexed="81"/>
            <rFont val="Tahoma"/>
            <family val="2"/>
          </rPr>
          <t xml:space="preserve">
confirmed by IR - 21/02/13</t>
        </r>
      </text>
    </comment>
    <comment ref="K103" authorId="6" shapeId="0" xr:uid="{F041C89F-7B01-4E7E-BA44-7618F0BBBDC5}">
      <text>
        <r>
          <rPr>
            <b/>
            <sz val="8"/>
            <color indexed="81"/>
            <rFont val="Tahoma"/>
            <family val="2"/>
          </rPr>
          <t>vigrupi:</t>
        </r>
        <r>
          <rPr>
            <sz val="8"/>
            <color indexed="81"/>
            <rFont val="Tahoma"/>
            <family val="2"/>
          </rPr>
          <t xml:space="preserve">
guidance of 200mm increase in 2013</t>
        </r>
      </text>
    </comment>
    <comment ref="O103" authorId="0" shapeId="0" xr:uid="{C2149512-D864-45D6-BA49-FFFDCD9F46E7}">
      <text>
        <r>
          <rPr>
            <b/>
            <sz val="8"/>
            <color indexed="81"/>
            <rFont val="Tahoma"/>
            <family val="2"/>
          </rPr>
          <t>Humphrey, Andrew (Research):</t>
        </r>
        <r>
          <rPr>
            <sz val="8"/>
            <color indexed="81"/>
            <rFont val="Tahoma"/>
            <family val="2"/>
          </rPr>
          <t xml:space="preserve">
Tangible capex guide €850m</t>
        </r>
      </text>
    </comment>
    <comment ref="T103" authorId="8" shapeId="0" xr:uid="{54106CFC-7BA6-4A21-B295-AE8CA9E23F8F}">
      <text>
        <r>
          <rPr>
            <b/>
            <sz val="9"/>
            <color indexed="81"/>
            <rFont val="Tahoma"/>
            <family val="2"/>
          </rPr>
          <t>Nicolas, Alexane (Research):</t>
        </r>
        <r>
          <rPr>
            <sz val="9"/>
            <color indexed="81"/>
            <rFont val="Tahoma"/>
            <family val="2"/>
          </rPr>
          <t xml:space="preserve">
Capex = 0.6*2019</t>
        </r>
      </text>
    </comment>
    <comment ref="U103" authorId="9" shapeId="0" xr:uid="{ACC3BB28-6A1F-4056-89C9-1AC1ACD4B3E4}">
      <text>
        <r>
          <rPr>
            <b/>
            <sz val="9"/>
            <color indexed="81"/>
            <rFont val="Tahoma"/>
            <family val="2"/>
          </rPr>
          <t>Ayoola, Joseph (Research):</t>
        </r>
        <r>
          <rPr>
            <sz val="9"/>
            <color indexed="81"/>
            <rFont val="Tahoma"/>
            <family val="2"/>
          </rPr>
          <t xml:space="preserve">
stable capex guided</t>
        </r>
      </text>
    </comment>
    <comment ref="Y104" authorId="0" shapeId="0" xr:uid="{6665A6DD-154F-4641-8602-0887942AE8EB}">
      <text>
        <r>
          <rPr>
            <b/>
            <sz val="9"/>
            <color indexed="81"/>
            <rFont val="Tahoma"/>
            <family val="2"/>
          </rPr>
          <t>Humphrey, Andrew (Research):</t>
        </r>
        <r>
          <rPr>
            <sz val="9"/>
            <color indexed="81"/>
            <rFont val="Tahoma"/>
            <family val="2"/>
          </rPr>
          <t xml:space="preserve">
Long-term guide 3-3.5% of sales</t>
        </r>
      </text>
    </comment>
    <comment ref="X132" authorId="3" shapeId="0" xr:uid="{05901456-4FB6-460F-A442-3BF55D3F54DA}">
      <text>
        <r>
          <rPr>
            <b/>
            <sz val="9"/>
            <color indexed="81"/>
            <rFont val="Tahoma"/>
            <family val="2"/>
          </rPr>
          <t>Magajwala, Vatsal (Research):</t>
        </r>
        <r>
          <rPr>
            <sz val="9"/>
            <color indexed="81"/>
            <rFont val="Tahoma"/>
            <family val="2"/>
          </rPr>
          <t xml:space="preserve">
Guidance (FY23): Around 3.0bn</t>
        </r>
      </text>
    </comment>
    <comment ref="Y132" authorId="3" shapeId="0" xr:uid="{012153BC-B4E9-4D96-9EB1-26D9CD03D7E7}">
      <text>
        <r>
          <rPr>
            <b/>
            <sz val="9"/>
            <color indexed="81"/>
            <rFont val="Tahoma"/>
            <family val="2"/>
          </rPr>
          <t>Magajwala, Vatsal (Research):</t>
        </r>
        <r>
          <rPr>
            <sz val="9"/>
            <color indexed="81"/>
            <rFont val="Tahoma"/>
            <family val="2"/>
          </rPr>
          <t xml:space="preserve">
Guidance (1H25): €3.4 –3.6bn
Guidance (FY24): €3.0 –3.2bn
(including €(380) –(400)m of estimated French corporate surtax and subject to payment schedule of some advance payments and the rhythm of payments by state-clients)</t>
        </r>
      </text>
    </comment>
    <comment ref="A134" authorId="0" shapeId="0" xr:uid="{B665F528-A680-49AB-8DB8-3B08B97CFC3D}">
      <text>
        <r>
          <rPr>
            <b/>
            <sz val="9"/>
            <color indexed="81"/>
            <rFont val="Tahoma"/>
            <family val="2"/>
          </rPr>
          <t>Humphrey, Andrew (Research):</t>
        </r>
        <r>
          <rPr>
            <sz val="9"/>
            <color indexed="81"/>
            <rFont val="Tahoma"/>
            <family val="2"/>
          </rPr>
          <t xml:space="preserve">
Company definition: FCF/EBITA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Ayoola, Joseph (Research)</author>
    <author>Humphrey, Andrew (Research)</author>
    <author>Magajwala, Vatsal (Research)</author>
    <author>Law, Ross (Research)</author>
    <author>K M, Giridhar (Research)</author>
    <author>Rowbotham, Jaime (Research)</author>
    <author>Nicolas, Alexane (Research)</author>
  </authors>
  <commentList>
    <comment ref="J1" authorId="0" shapeId="0" xr:uid="{7F2AA1A8-0163-41F2-925E-706D8F57AFB7}">
      <text>
        <r>
          <rPr>
            <b/>
            <sz val="9"/>
            <color indexed="81"/>
            <rFont val="Tahoma"/>
            <family val="2"/>
          </rPr>
          <t>Ayoola, Joseph (Research):</t>
        </r>
        <r>
          <rPr>
            <sz val="9"/>
            <color indexed="81"/>
            <rFont val="Tahoma"/>
            <family val="2"/>
          </rPr>
          <t xml:space="preserve">
Restated for IFRS 11 adoption</t>
        </r>
      </text>
    </comment>
    <comment ref="O1" authorId="0" shapeId="0" xr:uid="{BB22E8E2-A741-41AC-99FE-F0D5688065CF}">
      <text>
        <r>
          <rPr>
            <b/>
            <sz val="9"/>
            <color indexed="81"/>
            <rFont val="Tahoma"/>
            <family val="2"/>
          </rPr>
          <t>Ayoola, Joseph (Research):</t>
        </r>
        <r>
          <rPr>
            <sz val="9"/>
            <color indexed="81"/>
            <rFont val="Tahoma"/>
            <family val="2"/>
          </rPr>
          <t xml:space="preserve">
1H restated for adoption of IFRIC21 - no change to FY14 income statement</t>
        </r>
      </text>
    </comment>
    <comment ref="AE3" authorId="1" shapeId="0" xr:uid="{1531149D-BCE8-407D-B3A7-D1B71D4DA153}">
      <text>
        <r>
          <rPr>
            <b/>
            <sz val="8"/>
            <color indexed="81"/>
            <rFont val="Tahoma"/>
            <family val="2"/>
          </rPr>
          <t>Humphrey, Andrew (Research):</t>
        </r>
        <r>
          <rPr>
            <sz val="8"/>
            <color indexed="81"/>
            <rFont val="Tahoma"/>
            <family val="2"/>
          </rPr>
          <t xml:space="preserve">
Includes €312m contribution from Ariane launchers.</t>
        </r>
      </text>
    </comment>
    <comment ref="AY6" authorId="0" shapeId="0" xr:uid="{FE48CBEC-6922-40E0-B2DE-C1AE511FE370}">
      <text>
        <r>
          <rPr>
            <b/>
            <sz val="9"/>
            <color indexed="81"/>
            <rFont val="Tahoma"/>
            <family val="2"/>
          </rPr>
          <t>Ayoola, Joseph (Research):</t>
        </r>
        <r>
          <rPr>
            <sz val="9"/>
            <color indexed="81"/>
            <rFont val="Tahoma"/>
            <family val="2"/>
          </rPr>
          <t xml:space="preserve">
Zodiac fully consolidated from 1st March.
€369 revenue contribution.</t>
        </r>
      </text>
    </comment>
    <comment ref="BC7" authorId="0" shapeId="0" xr:uid="{AB577ECC-3835-41F0-934C-819EE3CCA66F}">
      <text>
        <r>
          <rPr>
            <b/>
            <sz val="9"/>
            <color indexed="81"/>
            <rFont val="Tahoma"/>
            <family val="2"/>
          </rPr>
          <t>Ayoola, Joseph (Research):</t>
        </r>
        <r>
          <rPr>
            <sz val="9"/>
            <color indexed="81"/>
            <rFont val="Tahoma"/>
            <family val="2"/>
          </rPr>
          <t xml:space="preserve">
4mth contribution</t>
        </r>
      </text>
    </comment>
    <comment ref="AI9" authorId="0" shapeId="0" xr:uid="{2F87A958-2ED3-42BC-B4C1-7B5482A9DDC7}">
      <text>
        <r>
          <rPr>
            <b/>
            <sz val="9"/>
            <color indexed="81"/>
            <rFont val="Tahoma"/>
            <family val="2"/>
          </rPr>
          <t>Ayoola, Joseph (Research):</t>
        </r>
        <r>
          <rPr>
            <sz val="9"/>
            <color indexed="81"/>
            <rFont val="Tahoma"/>
            <family val="2"/>
          </rPr>
          <t xml:space="preserve">
€467m discontinued operations</t>
        </r>
      </text>
    </comment>
    <comment ref="BO27" authorId="0" shapeId="0" xr:uid="{699B96C8-8F6E-4F03-9FBD-EFDB8EBC397A}">
      <text>
        <r>
          <rPr>
            <b/>
            <sz val="9"/>
            <color indexed="81"/>
            <rFont val="Tahoma"/>
            <family val="2"/>
          </rPr>
          <t>Ayoola, Joseph (Research):</t>
        </r>
        <r>
          <rPr>
            <sz val="9"/>
            <color indexed="81"/>
            <rFont val="Tahoma"/>
            <family val="2"/>
          </rPr>
          <t xml:space="preserve">
Reported Q1 organic growth in propulsion (pre segment changes)</t>
        </r>
      </text>
    </comment>
    <comment ref="BW27" authorId="1" shapeId="0" xr:uid="{7C77571F-2582-40FE-857D-7E0AA8609854}">
      <text>
        <r>
          <rPr>
            <b/>
            <sz val="9"/>
            <color indexed="81"/>
            <rFont val="Tahoma"/>
            <family val="2"/>
          </rPr>
          <t>Humphrey, Andrew (Research):</t>
        </r>
        <r>
          <rPr>
            <sz val="9"/>
            <color indexed="81"/>
            <rFont val="Tahoma"/>
            <family val="2"/>
          </rPr>
          <t xml:space="preserve">
OE -30%
AM - LSD%
Helis -30%</t>
        </r>
      </text>
    </comment>
    <comment ref="BO28" authorId="0" shapeId="0" xr:uid="{43B3783D-7FFA-4496-8CF3-19FFACDEC371}">
      <text>
        <r>
          <rPr>
            <b/>
            <sz val="9"/>
            <color indexed="81"/>
            <rFont val="Tahoma"/>
            <family val="2"/>
          </rPr>
          <t>Ayoola, Joseph (Research):</t>
        </r>
        <r>
          <rPr>
            <sz val="9"/>
            <color indexed="81"/>
            <rFont val="Tahoma"/>
            <family val="2"/>
          </rPr>
          <t xml:space="preserve">
backed out based on assumed growth in other divisions</t>
        </r>
      </text>
    </comment>
    <comment ref="BO29" authorId="0" shapeId="0" xr:uid="{B6FCD37C-8389-49E4-9935-AFC2CE640ECC}">
      <text>
        <r>
          <rPr>
            <b/>
            <sz val="9"/>
            <color indexed="81"/>
            <rFont val="Tahoma"/>
            <family val="2"/>
          </rPr>
          <t>Ayoola, Joseph (Research):</t>
        </r>
        <r>
          <rPr>
            <sz val="9"/>
            <color indexed="81"/>
            <rFont val="Tahoma"/>
            <family val="2"/>
          </rPr>
          <t xml:space="preserve">
organic growth for all of Zodiac (pre segment changes)</t>
        </r>
      </text>
    </comment>
    <comment ref="DJ34" authorId="2" shapeId="0" xr:uid="{A9563C9A-A8C4-40B5-BAD8-0C2A54B40F3B}">
      <text>
        <r>
          <rPr>
            <b/>
            <sz val="9"/>
            <color indexed="81"/>
            <rFont val="Tahoma"/>
            <family val="2"/>
          </rPr>
          <t>Magajwala, Vatsal (Research):</t>
        </r>
        <r>
          <rPr>
            <sz val="9"/>
            <color indexed="81"/>
            <rFont val="Tahoma"/>
            <family val="2"/>
          </rPr>
          <t xml:space="preserve">
Strong growth in OE (+17.2%)
Services up across the board (+17.0%)</t>
        </r>
      </text>
    </comment>
    <comment ref="DK34" authorId="2" shapeId="0" xr:uid="{BC9857CE-8059-45E8-92C4-81D49E08FFAA}">
      <text>
        <r>
          <rPr>
            <b/>
            <sz val="9"/>
            <color indexed="81"/>
            <rFont val="Tahoma"/>
            <family val="2"/>
          </rPr>
          <t>Magajwala, Vatsal (Research):</t>
        </r>
        <r>
          <rPr>
            <sz val="9"/>
            <color indexed="81"/>
            <rFont val="Tahoma"/>
            <family val="2"/>
          </rPr>
          <t xml:space="preserve">
Services (+19.5%)
OE (+8.2%)</t>
        </r>
      </text>
    </comment>
    <comment ref="DC35" authorId="3" shapeId="0" xr:uid="{45096E72-EB5A-4C0A-8285-8AFE06FEED1E}">
      <text>
        <r>
          <rPr>
            <b/>
            <sz val="9"/>
            <color indexed="81"/>
            <rFont val="Tahoma"/>
            <family val="2"/>
          </rPr>
          <t>Law, Ross (Research):</t>
        </r>
        <r>
          <rPr>
            <sz val="9"/>
            <color indexed="81"/>
            <rFont val="Tahoma"/>
            <family val="2"/>
          </rPr>
          <t xml:space="preserve">
Disposal of Cargo and Catering activities in May 2023 (from Aircraft Interiors)May 2023 (from Aircraft Interiors)

Acquisition of Acquisition of Thales Aeronautical Thales Aeronautical Electrical Electrical Systems Systems activities in activities in October 2023 (within October 2023 (within Equipment &amp; Equipment &amp; Defense)Defense)

Air Air Liquide aeronautical oxygen and Liquide aeronautical oxygen and nitrogen nitrogen activities acquired in February activities acquired in February 2024 to be consolidated within Equipment 2024 to be consolidated within Equipment &amp; Defense&amp; Defense</t>
        </r>
      </text>
    </comment>
    <comment ref="DE35" authorId="2" shapeId="0" xr:uid="{60D71007-C63E-45F2-A4A1-C2993210E7A3}">
      <text>
        <r>
          <rPr>
            <b/>
            <sz val="9"/>
            <color indexed="81"/>
            <rFont val="Tahoma"/>
            <family val="2"/>
          </rPr>
          <t>Magajwala, Vatsal (Research):</t>
        </r>
        <r>
          <rPr>
            <sz val="9"/>
            <color indexed="81"/>
            <rFont val="Tahoma"/>
            <family val="2"/>
          </rPr>
          <t xml:space="preserve">
Disposal of Cargo and Catering activities in May 2023 (from Aircraft Interiors)
Acquisition of Thales Aeronautical Electrical Systems activities in October 2023 (within Equipment &amp; Defense)
Air Liquide aeronautical oxygen and nitrogen activities acquired in February 2024 (within Equipment &amp; Defense)</t>
        </r>
      </text>
    </comment>
    <comment ref="DJ35" authorId="2" shapeId="0" xr:uid="{8C6D391D-BA54-4CC8-A7F1-C67A8323C232}">
      <text>
        <r>
          <rPr>
            <b/>
            <sz val="9"/>
            <color indexed="81"/>
            <rFont val="Tahoma"/>
            <family val="2"/>
          </rPr>
          <t>Magajwala, Vatsal (Research):</t>
        </r>
        <r>
          <rPr>
            <sz val="9"/>
            <color indexed="81"/>
            <rFont val="Tahoma"/>
            <family val="2"/>
          </rPr>
          <t xml:space="preserve">
Cargo and Catering divestment (May 2023)
Thales Avionics Electrical Systems acquired in
October 2023
Air Liquide aeronautical oxygen and nitrogen
activities acquired in February 2024
Preligens, acquired in September 2024</t>
        </r>
      </text>
    </comment>
    <comment ref="DK35" authorId="2" shapeId="0" xr:uid="{521BFC10-E42E-4560-A973-B04946E0C63E}">
      <text>
        <r>
          <rPr>
            <b/>
            <sz val="9"/>
            <color indexed="81"/>
            <rFont val="Tahoma"/>
            <family val="2"/>
          </rPr>
          <t>Magajwala, Vatsal (Research):</t>
        </r>
        <r>
          <rPr>
            <sz val="9"/>
            <color indexed="81"/>
            <rFont val="Tahoma"/>
            <family val="2"/>
          </rPr>
          <t xml:space="preserve">
Acquisition of Preligens in September 2024
Acquisition of Air Liquide aeronautical oxygen and
nitrogen activities in February 2024</t>
        </r>
      </text>
    </comment>
    <comment ref="DM35" authorId="4" shapeId="0" xr:uid="{D23652A0-504A-4388-8264-B72BC03B2243}">
      <text>
        <r>
          <rPr>
            <b/>
            <sz val="9"/>
            <color indexed="81"/>
            <rFont val="Tahoma"/>
            <family val="2"/>
          </rPr>
          <t>K M, Giridhar (Research):</t>
        </r>
        <r>
          <rPr>
            <sz val="9"/>
            <color indexed="81"/>
            <rFont val="Tahoma"/>
            <family val="2"/>
          </rPr>
          <t xml:space="preserve">
Scope: Including 2 months contribution of actuation and 
flight controls business</t>
        </r>
      </text>
    </comment>
    <comment ref="O39" authorId="0" shapeId="0" xr:uid="{5452C171-C33B-46DD-8FF1-C1FB98CB30A8}">
      <text>
        <r>
          <rPr>
            <b/>
            <sz val="9"/>
            <color indexed="81"/>
            <rFont val="Tahoma"/>
            <family val="2"/>
          </rPr>
          <t>Ayoola, Joseph (Research):</t>
        </r>
        <r>
          <rPr>
            <sz val="9"/>
            <color indexed="81"/>
            <rFont val="Tahoma"/>
            <family val="2"/>
          </rPr>
          <t xml:space="preserve">
€25m IFRIC impact on taxes</t>
        </r>
      </text>
    </comment>
    <comment ref="DG58" authorId="3" shapeId="0" xr:uid="{D510B852-58D7-4608-AE0C-FD4281051424}">
      <text>
        <r>
          <rPr>
            <b/>
            <sz val="9"/>
            <color indexed="81"/>
            <rFont val="Tahoma"/>
            <family val="2"/>
          </rPr>
          <t>Law, Ross (Research):</t>
        </r>
        <r>
          <rPr>
            <sz val="9"/>
            <color indexed="81"/>
            <rFont val="Tahoma"/>
            <family val="2"/>
          </rPr>
          <t xml:space="preserve">
Cost of long-term incentive plans which have been reevaluated according ot the share price, and re-invoiced from holding to the three divisions. Timing. No impact on FY basis.</t>
        </r>
      </text>
    </comment>
    <comment ref="CZ67" authorId="3" shapeId="0" xr:uid="{0BCDAEBE-01B0-4D28-AFDD-67A98C48787E}">
      <text>
        <r>
          <rPr>
            <b/>
            <sz val="9"/>
            <color indexed="81"/>
            <rFont val="Tahoma"/>
            <family val="2"/>
          </rPr>
          <t>Law, Ross (Research):</t>
        </r>
        <r>
          <rPr>
            <sz val="9"/>
            <color indexed="81"/>
            <rFont val="Tahoma"/>
            <family val="2"/>
          </rPr>
          <t xml:space="preserve">
Guidance (H1 2023): improvement in margin yoy for both H1 and H2</t>
        </r>
      </text>
    </comment>
    <comment ref="R71" authorId="0" shapeId="0" xr:uid="{A4C3E988-E3F9-4D3E-8338-D0ED433DCC8F}">
      <text>
        <r>
          <rPr>
            <b/>
            <sz val="9"/>
            <color indexed="81"/>
            <rFont val="Tahoma"/>
            <family val="2"/>
          </rPr>
          <t>Ayoola, Joseph (Research):</t>
        </r>
        <r>
          <rPr>
            <sz val="9"/>
            <color indexed="81"/>
            <rFont val="Tahoma"/>
            <family val="2"/>
          </rPr>
          <t xml:space="preserve">
impairment net -€45m, other infrequent / non-operating items -€63m. Includes -€52m related to Learjet 85</t>
        </r>
      </text>
    </comment>
    <comment ref="O94" authorId="0" shapeId="0" xr:uid="{B523701E-556F-4AF7-BD10-128AFD8929F4}">
      <text>
        <r>
          <rPr>
            <b/>
            <sz val="9"/>
            <color indexed="81"/>
            <rFont val="Tahoma"/>
            <family val="2"/>
          </rPr>
          <t>Ayoola, Joseph (Research):</t>
        </r>
        <r>
          <rPr>
            <sz val="9"/>
            <color indexed="81"/>
            <rFont val="Tahoma"/>
            <family val="2"/>
          </rPr>
          <t xml:space="preserve">
€9m impact from IFRIC 21</t>
        </r>
      </text>
    </comment>
    <comment ref="AU114" authorId="0" shapeId="0" xr:uid="{64D37FDE-9B9B-4B43-97BA-CDE8FBF5B37D}">
      <text>
        <r>
          <rPr>
            <b/>
            <sz val="9"/>
            <color indexed="81"/>
            <rFont val="Tahoma"/>
            <family val="2"/>
          </rPr>
          <t>Ayoola, Joseph (Research):</t>
        </r>
        <r>
          <rPr>
            <sz val="9"/>
            <color indexed="81"/>
            <rFont val="Tahoma"/>
            <family val="2"/>
          </rPr>
          <t xml:space="preserve">
€716m continuing ops</t>
        </r>
      </text>
    </comment>
    <comment ref="BC117" authorId="0" shapeId="0" xr:uid="{356F748C-41E2-4B72-AA11-20BFE7F8E5DE}">
      <text>
        <r>
          <rPr>
            <b/>
            <sz val="9"/>
            <color indexed="81"/>
            <rFont val="Tahoma"/>
            <family val="2"/>
          </rPr>
          <t>Ayoola, Joseph (Research):</t>
        </r>
        <r>
          <rPr>
            <sz val="9"/>
            <color indexed="81"/>
            <rFont val="Tahoma"/>
            <family val="2"/>
          </rPr>
          <t xml:space="preserve">
diluted share count 441.2m</t>
        </r>
      </text>
    </comment>
    <comment ref="BF117" authorId="0" shapeId="0" xr:uid="{1AFE9E96-B09F-441C-B6F9-D29CD0BDBE17}">
      <text>
        <r>
          <rPr>
            <b/>
            <sz val="9"/>
            <color indexed="81"/>
            <rFont val="Tahoma"/>
            <family val="2"/>
          </rPr>
          <t>Ayoola, Joseph (Research):</t>
        </r>
        <r>
          <rPr>
            <sz val="9"/>
            <color indexed="81"/>
            <rFont val="Tahoma"/>
            <family val="2"/>
          </rPr>
          <t xml:space="preserve">
diluted share count 441.2m</t>
        </r>
      </text>
    </comment>
    <comment ref="BS117" authorId="0" shapeId="0" xr:uid="{2179C02F-3705-4C2B-9F2F-B80148A1CF1A}">
      <text>
        <r>
          <rPr>
            <b/>
            <sz val="9"/>
            <color indexed="81"/>
            <rFont val="Tahoma"/>
            <family val="2"/>
          </rPr>
          <t>Ayoola, Joseph (Research):</t>
        </r>
        <r>
          <rPr>
            <sz val="9"/>
            <color indexed="81"/>
            <rFont val="Tahoma"/>
            <family val="2"/>
          </rPr>
          <t xml:space="preserve">
diluted = 437.834m</t>
        </r>
      </text>
    </comment>
    <comment ref="AC140" authorId="0" shapeId="0" xr:uid="{64A54203-884F-4C13-B425-20269679B2BD}">
      <text>
        <r>
          <rPr>
            <b/>
            <sz val="9"/>
            <color indexed="81"/>
            <rFont val="Tahoma"/>
            <family val="2"/>
          </rPr>
          <t>Ayoola, Joseph (Research):</t>
        </r>
        <r>
          <rPr>
            <sz val="9"/>
            <color indexed="81"/>
            <rFont val="Tahoma"/>
            <family val="2"/>
          </rPr>
          <t xml:space="preserve">
ASL JV accounted</t>
        </r>
      </text>
    </comment>
    <comment ref="AI140" authorId="0" shapeId="0" xr:uid="{2E321495-38CB-41B5-874B-F25C9A93B5C5}">
      <text>
        <r>
          <rPr>
            <b/>
            <sz val="9"/>
            <color indexed="81"/>
            <rFont val="Tahoma"/>
            <family val="2"/>
          </rPr>
          <t>Ayoola, Joseph (Research):</t>
        </r>
        <r>
          <rPr>
            <sz val="9"/>
            <color indexed="81"/>
            <rFont val="Tahoma"/>
            <family val="2"/>
          </rPr>
          <t xml:space="preserve">
ASL JV accounted</t>
        </r>
      </text>
    </comment>
    <comment ref="BO144" authorId="0" shapeId="0" xr:uid="{5FFA25AB-4DCD-49A6-AEA1-5CD9A95A0E58}">
      <text>
        <r>
          <rPr>
            <b/>
            <sz val="9"/>
            <color indexed="81"/>
            <rFont val="Tahoma"/>
            <family val="2"/>
          </rPr>
          <t>Ayoola, Joseph (Research):</t>
        </r>
        <r>
          <rPr>
            <sz val="9"/>
            <color indexed="81"/>
            <rFont val="Tahoma"/>
            <family val="2"/>
          </rPr>
          <t xml:space="preserve">
12.5% spares, 5% services</t>
        </r>
      </text>
    </comment>
    <comment ref="BQ144" authorId="0" shapeId="0" xr:uid="{067F8D8C-ADB3-4E4F-AB38-D7E3BFD919D5}">
      <text>
        <r>
          <rPr>
            <b/>
            <sz val="9"/>
            <color indexed="81"/>
            <rFont val="Tahoma"/>
            <family val="2"/>
          </rPr>
          <t>Ayoola, Joseph (Research):</t>
        </r>
        <r>
          <rPr>
            <sz val="9"/>
            <color indexed="81"/>
            <rFont val="Tahoma"/>
            <family val="2"/>
          </rPr>
          <t xml:space="preserve">
toughest comp is Q3</t>
        </r>
      </text>
    </comment>
    <comment ref="CD144" authorId="1" shapeId="0" xr:uid="{7AE594B6-1246-4D8E-AFBC-8B787E03A249}">
      <text>
        <r>
          <rPr>
            <b/>
            <sz val="9"/>
            <color indexed="81"/>
            <rFont val="Tahoma"/>
            <family val="2"/>
          </rPr>
          <t>Humphrey, Andrew (Research):</t>
        </r>
        <r>
          <rPr>
            <sz val="9"/>
            <color indexed="81"/>
            <rFont val="Tahoma"/>
            <family val="2"/>
          </rPr>
          <t xml:space="preserve">
Guidance is for FY -45-50%</t>
        </r>
      </text>
    </comment>
    <comment ref="CE168" authorId="1" shapeId="0" xr:uid="{5F790C02-D0A2-4610-97BB-520EAF8387EA}">
      <text>
        <r>
          <rPr>
            <b/>
            <sz val="9"/>
            <color indexed="81"/>
            <rFont val="Tahoma"/>
            <family val="2"/>
          </rPr>
          <t>Humphrey, Andrew (Research):</t>
        </r>
        <r>
          <rPr>
            <sz val="9"/>
            <color indexed="81"/>
            <rFont val="Tahoma"/>
            <family val="2"/>
          </rPr>
          <t xml:space="preserve">
-34.2%</t>
        </r>
      </text>
    </comment>
    <comment ref="CM173" authorId="1" shapeId="0" xr:uid="{2A2FFD08-1E82-42E3-94DB-7AA3BDBF3C2C}">
      <text>
        <r>
          <rPr>
            <b/>
            <sz val="9"/>
            <color indexed="81"/>
            <rFont val="Tahoma"/>
            <family val="2"/>
          </rPr>
          <t>Humphrey, Andrew (Research):</t>
        </r>
        <r>
          <rPr>
            <sz val="9"/>
            <color indexed="81"/>
            <rFont val="Tahoma"/>
            <family val="2"/>
          </rPr>
          <t xml:space="preserve">
Preclose commentary indicates +50%, but short of 1Q20 level</t>
        </r>
      </text>
    </comment>
    <comment ref="CU173" authorId="2" shapeId="0" xr:uid="{26FEF6C0-90F1-433D-BE1B-3BAB5810B34D}">
      <text>
        <r>
          <rPr>
            <b/>
            <sz val="9"/>
            <color indexed="81"/>
            <rFont val="Tahoma"/>
            <family val="2"/>
          </rPr>
          <t>Magajwala, Vatsal (Research):</t>
        </r>
        <r>
          <rPr>
            <sz val="9"/>
            <color indexed="81"/>
            <rFont val="Tahoma"/>
            <family val="2"/>
          </rPr>
          <t xml:space="preserve">
Civil aftermarket up +38.1% y-o-y driven by a strong increase in CFM56 spare parts and to a lesser extent high thrust engines spare parts and services contracts</t>
        </r>
      </text>
    </comment>
    <comment ref="BZ174" authorId="1" shapeId="0" xr:uid="{A2B4E089-CDA8-415B-9897-1A065CC35EFA}">
      <text>
        <r>
          <rPr>
            <b/>
            <sz val="9"/>
            <color indexed="81"/>
            <rFont val="Tahoma"/>
            <family val="2"/>
          </rPr>
          <t>Humphrey, Andrew (Research):</t>
        </r>
        <r>
          <rPr>
            <sz val="9"/>
            <color indexed="81"/>
            <rFont val="Tahoma"/>
            <family val="2"/>
          </rPr>
          <t xml:space="preserve">
-47% actual</t>
        </r>
      </text>
    </comment>
    <comment ref="CI174" authorId="1" shapeId="0" xr:uid="{843CF31C-78C5-4388-BE9C-11FBC9170E06}">
      <text>
        <r>
          <rPr>
            <b/>
            <sz val="9"/>
            <color indexed="81"/>
            <rFont val="Tahoma"/>
            <family val="2"/>
          </rPr>
          <t>Humphrey, Andrew (Research):</t>
        </r>
        <r>
          <rPr>
            <sz val="9"/>
            <color indexed="81"/>
            <rFont val="Tahoma"/>
            <family val="2"/>
          </rPr>
          <t xml:space="preserve">
-25.5% actual</t>
        </r>
      </text>
    </comment>
    <comment ref="CT174" authorId="1" shapeId="0" xr:uid="{8111FBBF-8014-40AB-9315-885765A14EE0}">
      <text>
        <r>
          <rPr>
            <b/>
            <sz val="9"/>
            <color indexed="81"/>
            <rFont val="Tahoma"/>
            <family val="2"/>
          </rPr>
          <t>Humphrey, Andrew (Research):</t>
        </r>
        <r>
          <rPr>
            <sz val="9"/>
            <color indexed="81"/>
            <rFont val="Tahoma"/>
            <family val="2"/>
          </rPr>
          <t xml:space="preserve">
Guidance 25-30%</t>
        </r>
      </text>
    </comment>
    <comment ref="DC174" authorId="2" shapeId="0" xr:uid="{EAB87F7F-6E64-458C-BA79-6E4A93F2F9AC}">
      <text>
        <r>
          <rPr>
            <b/>
            <sz val="9"/>
            <color indexed="81"/>
            <rFont val="Tahoma"/>
            <family val="2"/>
          </rPr>
          <t>Magajwala, Vatsal (Research):</t>
        </r>
        <r>
          <rPr>
            <sz val="9"/>
            <color indexed="81"/>
            <rFont val="Tahoma"/>
            <family val="2"/>
          </rPr>
          <t xml:space="preserve">
Civil aftermarket up 27.3% y-o-y; up 12% sequentially
and consistent with FY outlook (around 20%)
</t>
        </r>
      </text>
    </comment>
    <comment ref="DD174" authorId="2" shapeId="0" xr:uid="{B7B05A58-AE9D-4B0F-B948-72333557B9CB}">
      <text>
        <r>
          <rPr>
            <b/>
            <sz val="9"/>
            <color indexed="81"/>
            <rFont val="Tahoma"/>
            <family val="2"/>
          </rPr>
          <t>Magajwala, Vatsal (Research):</t>
        </r>
        <r>
          <rPr>
            <sz val="9"/>
            <color indexed="81"/>
            <rFont val="Tahoma"/>
            <family val="2"/>
          </rPr>
          <t xml:space="preserve">
Reported 32.3%</t>
        </r>
      </text>
    </comment>
    <comment ref="DE174" authorId="2" shapeId="0" xr:uid="{3B226CF6-BC59-46E0-812B-0D6C5299E4B6}">
      <text>
        <r>
          <rPr>
            <b/>
            <sz val="9"/>
            <color indexed="81"/>
            <rFont val="Tahoma"/>
            <family val="2"/>
          </rPr>
          <t>Magajwala, Vatsal (Research):</t>
        </r>
        <r>
          <rPr>
            <sz val="9"/>
            <color indexed="81"/>
            <rFont val="Tahoma"/>
            <family val="2"/>
          </rPr>
          <t xml:space="preserve">
Reported 20.5%</t>
        </r>
      </text>
    </comment>
    <comment ref="DF174" authorId="2" shapeId="0" xr:uid="{4AB6AAE9-B3B1-4D97-AB2F-E6477AB7087D}">
      <text>
        <r>
          <rPr>
            <b/>
            <sz val="9"/>
            <color indexed="81"/>
            <rFont val="Tahoma"/>
            <family val="2"/>
          </rPr>
          <t>Magajwala, Vatsal (Research):</t>
        </r>
        <r>
          <rPr>
            <sz val="9"/>
            <color indexed="81"/>
            <rFont val="Tahoma"/>
            <family val="2"/>
          </rPr>
          <t xml:space="preserve">
Reported 21.1%</t>
        </r>
      </text>
    </comment>
    <comment ref="DG174" authorId="2" shapeId="0" xr:uid="{BAC9EA41-8E9A-4776-B8BB-2831FB0CFA16}">
      <text>
        <r>
          <rPr>
            <b/>
            <sz val="9"/>
            <color indexed="81"/>
            <rFont val="Tahoma"/>
            <family val="2"/>
          </rPr>
          <t>Magajwala, Vatsal (Research):</t>
        </r>
        <r>
          <rPr>
            <sz val="9"/>
            <color indexed="81"/>
            <rFont val="Tahoma"/>
            <family val="2"/>
          </rPr>
          <t xml:space="preserve">
Reported 29.9%</t>
        </r>
      </text>
    </comment>
    <comment ref="DI174" authorId="2" shapeId="0" xr:uid="{45728876-122B-4E9F-A12F-A5F6601C5537}">
      <text>
        <r>
          <rPr>
            <b/>
            <sz val="9"/>
            <color indexed="81"/>
            <rFont val="Tahoma"/>
            <family val="2"/>
          </rPr>
          <t>Magajwala, Vatsal (Research):</t>
        </r>
        <r>
          <rPr>
            <sz val="9"/>
            <color indexed="81"/>
            <rFont val="Tahoma"/>
            <family val="2"/>
          </rPr>
          <t xml:space="preserve">
Reported 26.2%</t>
        </r>
      </text>
    </comment>
    <comment ref="DJ174" authorId="2" shapeId="0" xr:uid="{DE6957D0-0CA5-4793-B51D-82E10F7F2652}">
      <text>
        <r>
          <rPr>
            <b/>
            <sz val="9"/>
            <color indexed="81"/>
            <rFont val="Tahoma"/>
            <family val="2"/>
          </rPr>
          <t>Magajwala, Vatsal (Research):</t>
        </r>
        <r>
          <rPr>
            <sz val="9"/>
            <color indexed="81"/>
            <rFont val="Tahoma"/>
            <family val="2"/>
          </rPr>
          <t xml:space="preserve">
Reported: 24.9%</t>
        </r>
      </text>
    </comment>
    <comment ref="DM174" authorId="2" shapeId="0" xr:uid="{40F6F762-0CAC-4005-8ABD-574DF8A0AEAD}">
      <text>
        <r>
          <rPr>
            <b/>
            <sz val="9"/>
            <color indexed="81"/>
            <rFont val="Tahoma"/>
            <family val="2"/>
          </rPr>
          <t>Magajwala, Vatsal (Research):</t>
        </r>
        <r>
          <rPr>
            <sz val="9"/>
            <color indexed="81"/>
            <rFont val="Tahoma"/>
            <family val="2"/>
          </rPr>
          <t xml:space="preserve">
Reported 20.5%</t>
        </r>
      </text>
    </comment>
    <comment ref="DQ174" authorId="2" shapeId="0" xr:uid="{D5291A7C-459E-4299-A183-D83F995126A4}">
      <text>
        <r>
          <rPr>
            <b/>
            <sz val="9"/>
            <color indexed="81"/>
            <rFont val="Tahoma"/>
            <family val="2"/>
          </rPr>
          <t>Magajwala, Vatsal (Research):</t>
        </r>
        <r>
          <rPr>
            <sz val="9"/>
            <color indexed="81"/>
            <rFont val="Tahoma"/>
            <family val="2"/>
          </rPr>
          <t xml:space="preserve">
Reported 26.2%</t>
        </r>
      </text>
    </comment>
    <comment ref="DR174" authorId="2" shapeId="0" xr:uid="{9C2C2386-1A1D-4DE0-87CE-D58A4F0F233F}">
      <text>
        <r>
          <rPr>
            <b/>
            <sz val="9"/>
            <color indexed="81"/>
            <rFont val="Tahoma"/>
            <family val="2"/>
          </rPr>
          <t>Magajwala, Vatsal (Research):</t>
        </r>
        <r>
          <rPr>
            <sz val="9"/>
            <color indexed="81"/>
            <rFont val="Tahoma"/>
            <family val="2"/>
          </rPr>
          <t xml:space="preserve">
Reported: 24.9%</t>
        </r>
      </text>
    </comment>
    <comment ref="BP176" authorId="1" shapeId="0" xr:uid="{6B9039DD-D92D-4BC3-B989-A6AEEE1D1727}">
      <text>
        <r>
          <rPr>
            <b/>
            <sz val="9"/>
            <color indexed="81"/>
            <rFont val="Tahoma"/>
            <family val="2"/>
          </rPr>
          <t>Humphrey, Andrew (Research):</t>
        </r>
        <r>
          <rPr>
            <sz val="9"/>
            <color indexed="81"/>
            <rFont val="Tahoma"/>
            <family val="2"/>
          </rPr>
          <t xml:space="preserve">
Positive one-off revenue contribution from Rafale services renewal</t>
        </r>
      </text>
    </comment>
    <comment ref="CI176" authorId="1" shapeId="0" xr:uid="{2C6307F9-03DB-4107-81FE-D8CE775A6F08}">
      <text>
        <r>
          <rPr>
            <b/>
            <sz val="9"/>
            <color indexed="81"/>
            <rFont val="Tahoma"/>
            <family val="2"/>
          </rPr>
          <t>Humphrey, Andrew (Research):</t>
        </r>
        <r>
          <rPr>
            <sz val="9"/>
            <color indexed="81"/>
            <rFont val="Tahoma"/>
            <family val="2"/>
          </rPr>
          <t xml:space="preserve">
Military activities down y/y</t>
        </r>
      </text>
    </comment>
    <comment ref="B196" authorId="1" shapeId="0" xr:uid="{1FEF9820-46EB-4AB3-B979-1A213C2CD960}">
      <text>
        <r>
          <rPr>
            <b/>
            <sz val="9"/>
            <color indexed="81"/>
            <rFont val="Tahoma"/>
            <family val="2"/>
          </rPr>
          <t>Humphrey, Andrew (Research):</t>
        </r>
        <r>
          <rPr>
            <sz val="9"/>
            <color indexed="81"/>
            <rFont val="Tahoma"/>
            <family val="2"/>
          </rPr>
          <t xml:space="preserve">
Total CFM deliveries
</t>
        </r>
      </text>
    </comment>
    <comment ref="CL196" authorId="1" shapeId="0" xr:uid="{7357131B-B7BB-4822-AE9F-9061C5AB4FFD}">
      <text>
        <r>
          <rPr>
            <b/>
            <sz val="9"/>
            <color indexed="81"/>
            <rFont val="Tahoma"/>
            <family val="2"/>
          </rPr>
          <t>Humphrey, Andrew (Research):</t>
        </r>
        <r>
          <rPr>
            <sz val="9"/>
            <color indexed="81"/>
            <rFont val="Tahoma"/>
            <family val="2"/>
          </rPr>
          <t xml:space="preserve">
Company has indicated will be similar LEAP deliveries to 2020</t>
        </r>
      </text>
    </comment>
    <comment ref="B197" authorId="1" shapeId="0" xr:uid="{3C4F7C29-C9CD-40CB-B108-C66BA3533E6E}">
      <text>
        <r>
          <rPr>
            <b/>
            <sz val="9"/>
            <color indexed="81"/>
            <rFont val="Tahoma"/>
            <family val="2"/>
          </rPr>
          <t>Humphrey, Andrew (Research):</t>
        </r>
        <r>
          <rPr>
            <sz val="9"/>
            <color indexed="81"/>
            <rFont val="Tahoma"/>
            <family val="2"/>
          </rPr>
          <t xml:space="preserve">
Total CFM deliveries
</t>
        </r>
      </text>
    </comment>
    <comment ref="BC203" authorId="0" shapeId="0" xr:uid="{36BD9FEB-8441-46EF-A894-A68AE84E6935}">
      <text>
        <r>
          <rPr>
            <b/>
            <sz val="9"/>
            <color indexed="81"/>
            <rFont val="Tahoma"/>
            <family val="2"/>
          </rPr>
          <t>Ayoola, Joseph (Research):</t>
        </r>
        <r>
          <rPr>
            <sz val="9"/>
            <color indexed="81"/>
            <rFont val="Tahoma"/>
            <family val="2"/>
          </rPr>
          <t xml:space="preserve">
1H = 4 months under SAF control
(March to June)</t>
        </r>
      </text>
    </comment>
    <comment ref="BE203" authorId="0" shapeId="0" xr:uid="{62381EE1-C5EE-455D-A578-ECD362ED748E}">
      <text>
        <r>
          <rPr>
            <b/>
            <sz val="9"/>
            <color indexed="81"/>
            <rFont val="Tahoma"/>
            <family val="2"/>
          </rPr>
          <t>Ayoola, Joseph (Research):</t>
        </r>
        <r>
          <rPr>
            <sz val="9"/>
            <color indexed="81"/>
            <rFont val="Tahoma"/>
            <family val="2"/>
          </rPr>
          <t xml:space="preserve">
7 months
(March to Sept. 18)</t>
        </r>
      </text>
    </comment>
    <comment ref="BC206" authorId="0" shapeId="0" xr:uid="{255C4ADE-662E-4989-81C9-0578FC19B057}">
      <text>
        <r>
          <rPr>
            <b/>
            <sz val="9"/>
            <color indexed="81"/>
            <rFont val="Tahoma"/>
            <family val="2"/>
          </rPr>
          <t>Ayoola, Joseph (Research):</t>
        </r>
        <r>
          <rPr>
            <sz val="9"/>
            <color indexed="81"/>
            <rFont val="Tahoma"/>
            <family val="2"/>
          </rPr>
          <t xml:space="preserve">
1H = 4 months under SAF control
(March to June)</t>
        </r>
      </text>
    </comment>
    <comment ref="BE206" authorId="0" shapeId="0" xr:uid="{00F0B88E-CBB5-4568-B279-DA2D50FC4159}">
      <text>
        <r>
          <rPr>
            <b/>
            <sz val="9"/>
            <color indexed="81"/>
            <rFont val="Tahoma"/>
            <family val="2"/>
          </rPr>
          <t>Ayoola, Joseph (Research):</t>
        </r>
        <r>
          <rPr>
            <sz val="9"/>
            <color indexed="81"/>
            <rFont val="Tahoma"/>
            <family val="2"/>
          </rPr>
          <t xml:space="preserve">
7 months
(March to Sept. 18)</t>
        </r>
      </text>
    </comment>
    <comment ref="BC208" authorId="0" shapeId="0" xr:uid="{23EE1D93-B049-484E-B6FF-56F063321EEA}">
      <text>
        <r>
          <rPr>
            <b/>
            <sz val="9"/>
            <color indexed="81"/>
            <rFont val="Tahoma"/>
            <family val="2"/>
          </rPr>
          <t>Ayoola, Joseph (Research):</t>
        </r>
        <r>
          <rPr>
            <sz val="9"/>
            <color indexed="81"/>
            <rFont val="Tahoma"/>
            <family val="2"/>
          </rPr>
          <t xml:space="preserve">
1H = 4 months under SAF control
(March to June)</t>
        </r>
      </text>
    </comment>
    <comment ref="BE208" authorId="0" shapeId="0" xr:uid="{DE31E788-E459-4372-96CA-A55E5BE8C029}">
      <text>
        <r>
          <rPr>
            <b/>
            <sz val="9"/>
            <color indexed="81"/>
            <rFont val="Tahoma"/>
            <family val="2"/>
          </rPr>
          <t>Ayoola, Joseph (Research):</t>
        </r>
        <r>
          <rPr>
            <sz val="9"/>
            <color indexed="81"/>
            <rFont val="Tahoma"/>
            <family val="2"/>
          </rPr>
          <t xml:space="preserve">
7 months
(March to Sept. 18)</t>
        </r>
      </text>
    </comment>
    <comment ref="BC210" authorId="0" shapeId="0" xr:uid="{674ED7B1-4C54-4CCA-893A-BE627FD724D3}">
      <text>
        <r>
          <rPr>
            <b/>
            <sz val="9"/>
            <color indexed="81"/>
            <rFont val="Tahoma"/>
            <family val="2"/>
          </rPr>
          <t>Ayoola, Joseph (Research):</t>
        </r>
        <r>
          <rPr>
            <sz val="9"/>
            <color indexed="81"/>
            <rFont val="Tahoma"/>
            <family val="2"/>
          </rPr>
          <t xml:space="preserve">
1H = 4 months under SAF control
(March to June)</t>
        </r>
      </text>
    </comment>
    <comment ref="BE210" authorId="0" shapeId="0" xr:uid="{874E2A69-02D3-4CE7-BC46-ED7FA6ACED59}">
      <text>
        <r>
          <rPr>
            <b/>
            <sz val="9"/>
            <color indexed="81"/>
            <rFont val="Tahoma"/>
            <family val="2"/>
          </rPr>
          <t>Ayoola, Joseph (Research):</t>
        </r>
        <r>
          <rPr>
            <sz val="9"/>
            <color indexed="81"/>
            <rFont val="Tahoma"/>
            <family val="2"/>
          </rPr>
          <t xml:space="preserve">
7 months
(March to Sept. 18)</t>
        </r>
      </text>
    </comment>
    <comment ref="BC230" authorId="0" shapeId="0" xr:uid="{C6B43D0A-0D58-4CA2-81E5-5F570A7E2D29}">
      <text>
        <r>
          <rPr>
            <b/>
            <sz val="9"/>
            <color indexed="81"/>
            <rFont val="Tahoma"/>
            <family val="2"/>
          </rPr>
          <t>Ayoola, Joseph (Research):</t>
        </r>
        <r>
          <rPr>
            <sz val="9"/>
            <color indexed="81"/>
            <rFont val="Tahoma"/>
            <family val="2"/>
          </rPr>
          <t xml:space="preserve">
1H = 4 months under SAF control
(March to June)</t>
        </r>
      </text>
    </comment>
    <comment ref="BE230" authorId="0" shapeId="0" xr:uid="{986324E6-9E81-4866-929A-F6E7B0162F1D}">
      <text>
        <r>
          <rPr>
            <b/>
            <sz val="9"/>
            <color indexed="81"/>
            <rFont val="Tahoma"/>
            <family val="2"/>
          </rPr>
          <t>Ayoola, Joseph (Research):</t>
        </r>
        <r>
          <rPr>
            <sz val="9"/>
            <color indexed="81"/>
            <rFont val="Tahoma"/>
            <family val="2"/>
          </rPr>
          <t xml:space="preserve">
7 months
(March to Sept. 18)</t>
        </r>
      </text>
    </comment>
    <comment ref="W257" authorId="0" shapeId="0" xr:uid="{4D3A4247-6C68-4593-853F-F5280EEF6A2E}">
      <text>
        <r>
          <rPr>
            <b/>
            <sz val="9"/>
            <color indexed="81"/>
            <rFont val="Tahoma"/>
            <family val="2"/>
          </rPr>
          <t>Ayoola, Joseph (Research):</t>
        </r>
        <r>
          <rPr>
            <sz val="9"/>
            <color indexed="81"/>
            <rFont val="Tahoma"/>
            <family val="2"/>
          </rPr>
          <t xml:space="preserve">
€224m intangibles amortisation, €209m PPE depreciation</t>
        </r>
      </text>
    </comment>
    <comment ref="G262" authorId="0" shapeId="0" xr:uid="{10F5AB4E-E370-4859-8972-120E3A4AE819}">
      <text>
        <r>
          <rPr>
            <b/>
            <sz val="9"/>
            <color indexed="81"/>
            <rFont val="Tahoma"/>
            <family val="2"/>
          </rPr>
          <t>Ayoola, Joseph (Research):</t>
        </r>
        <r>
          <rPr>
            <sz val="9"/>
            <color indexed="81"/>
            <rFont val="Tahoma"/>
            <family val="2"/>
          </rPr>
          <t xml:space="preserve">
includes €131m capital loss on Ingenico</t>
        </r>
      </text>
    </comment>
    <comment ref="B266" authorId="0" shapeId="0" xr:uid="{1446F40E-C300-4AD0-B1ED-557AF4205A5D}">
      <text>
        <r>
          <rPr>
            <b/>
            <sz val="9"/>
            <color indexed="81"/>
            <rFont val="Tahoma"/>
            <family val="2"/>
          </rPr>
          <t>Ayoola, Joseph (Research):</t>
        </r>
        <r>
          <rPr>
            <sz val="9"/>
            <color indexed="81"/>
            <rFont val="Tahoma"/>
            <family val="2"/>
          </rPr>
          <t xml:space="preserve">
includes tax</t>
        </r>
      </text>
    </comment>
    <comment ref="AM266" authorId="0" shapeId="0" xr:uid="{6B321EBE-7593-4633-999F-E897A19773C5}">
      <text>
        <r>
          <rPr>
            <b/>
            <sz val="9"/>
            <color indexed="81"/>
            <rFont val="Tahoma"/>
            <family val="2"/>
          </rPr>
          <t>Ayoola, Joseph (Research):</t>
        </r>
        <r>
          <rPr>
            <sz val="9"/>
            <color indexed="81"/>
            <rFont val="Tahoma"/>
            <family val="2"/>
          </rPr>
          <t xml:space="preserve">
Including in first-half 2017: deferred tax of €954 million arising on the change in fair value of currency derivatives</t>
        </r>
      </text>
    </comment>
    <comment ref="O275" authorId="0" shapeId="0" xr:uid="{150E2466-AA4F-4BF9-BD5E-4E27F91A002A}">
      <text>
        <r>
          <rPr>
            <b/>
            <sz val="9"/>
            <color indexed="81"/>
            <rFont val="Tahoma"/>
            <family val="2"/>
          </rPr>
          <t>Ayoola, Joseph (Research):</t>
        </r>
        <r>
          <rPr>
            <sz val="9"/>
            <color indexed="81"/>
            <rFont val="Tahoma"/>
            <family val="2"/>
          </rPr>
          <t xml:space="preserve">
includes €19m of capitalised interest</t>
        </r>
      </text>
    </comment>
    <comment ref="W275" authorId="0" shapeId="0" xr:uid="{1B703CDF-750B-4106-88D8-3E425134E60B}">
      <text>
        <r>
          <rPr>
            <b/>
            <sz val="9"/>
            <color indexed="81"/>
            <rFont val="Tahoma"/>
            <family val="2"/>
          </rPr>
          <t>Ayoola, Joseph (Research):</t>
        </r>
        <r>
          <rPr>
            <sz val="9"/>
            <color indexed="81"/>
            <rFont val="Tahoma"/>
            <family val="2"/>
          </rPr>
          <t xml:space="preserve">
includes €16m of capitalised interest</t>
        </r>
      </text>
    </comment>
    <comment ref="AE275" authorId="0" shapeId="0" xr:uid="{BC72FBEF-44C6-4B1F-9F4F-520D905117A9}">
      <text>
        <r>
          <rPr>
            <b/>
            <sz val="9"/>
            <color indexed="81"/>
            <rFont val="Tahoma"/>
            <family val="2"/>
          </rPr>
          <t>Ayoola, Joseph (Research):</t>
        </r>
        <r>
          <rPr>
            <sz val="9"/>
            <color indexed="81"/>
            <rFont val="Tahoma"/>
            <family val="2"/>
          </rPr>
          <t xml:space="preserve">
€13m of capitalised interest</t>
        </r>
      </text>
    </comment>
    <comment ref="AE279" authorId="5" shapeId="0" xr:uid="{18C5F0A3-FA98-48C4-A803-4A535B8EFB74}">
      <text>
        <r>
          <rPr>
            <b/>
            <sz val="9"/>
            <color indexed="81"/>
            <rFont val="Tahoma"/>
            <family val="2"/>
          </rPr>
          <t>Rowbotham, Jaime (Research):</t>
        </r>
        <r>
          <rPr>
            <sz val="9"/>
            <color indexed="81"/>
            <rFont val="Tahoma"/>
            <family val="2"/>
          </rPr>
          <t xml:space="preserve">
€470m for SAF launchers</t>
        </r>
      </text>
    </comment>
    <comment ref="AM297" authorId="0" shapeId="0" xr:uid="{8239213A-3222-46F3-B314-9AE37304C673}">
      <text>
        <r>
          <rPr>
            <b/>
            <sz val="9"/>
            <color indexed="81"/>
            <rFont val="Tahoma"/>
            <family val="2"/>
          </rPr>
          <t>Ayoola, Joseph (Research):</t>
        </r>
        <r>
          <rPr>
            <sz val="9"/>
            <color indexed="81"/>
            <rFont val="Tahoma"/>
            <family val="2"/>
          </rPr>
          <t xml:space="preserve">
includes €180m cash of discontinued ops</t>
        </r>
      </text>
    </comment>
    <comment ref="AE298" authorId="0" shapeId="0" xr:uid="{558DE08D-8022-476A-A147-F9DB492F6F9F}">
      <text>
        <r>
          <rPr>
            <b/>
            <sz val="9"/>
            <color indexed="81"/>
            <rFont val="Tahoma"/>
            <family val="2"/>
          </rPr>
          <t>Ayoola, Joseph (Research):</t>
        </r>
        <r>
          <rPr>
            <sz val="9"/>
            <color indexed="81"/>
            <rFont val="Tahoma"/>
            <family val="2"/>
          </rPr>
          <t xml:space="preserve">
€18m cash and cash equivalents held for sale</t>
        </r>
      </text>
    </comment>
    <comment ref="CB299" authorId="6" shapeId="0" xr:uid="{CBE80493-E3CD-47C7-A0F1-E76BAC40433B}">
      <text>
        <r>
          <rPr>
            <b/>
            <sz val="9"/>
            <color indexed="81"/>
            <rFont val="Tahoma"/>
            <family val="2"/>
          </rPr>
          <t>Nicolas, Alexane (Research):</t>
        </r>
        <r>
          <rPr>
            <sz val="9"/>
            <color indexed="81"/>
            <rFont val="Tahoma"/>
            <family val="2"/>
          </rPr>
          <t xml:space="preserve">
2 bonds scheduled to mature in July 2020 - 500+99mn</t>
        </r>
      </text>
    </comment>
    <comment ref="CJ299" authorId="6" shapeId="0" xr:uid="{7D689220-2C52-426F-BD57-0F7E1EEFB3DD}">
      <text>
        <r>
          <rPr>
            <b/>
            <sz val="9"/>
            <color indexed="81"/>
            <rFont val="Tahoma"/>
            <family val="2"/>
          </rPr>
          <t>Nicolas, Alexane (Research):</t>
        </r>
        <r>
          <rPr>
            <sz val="9"/>
            <color indexed="81"/>
            <rFont val="Tahoma"/>
            <family val="2"/>
          </rPr>
          <t xml:space="preserve">
2 bonds scheduled to mature in July 2020 - 500+99mn</t>
        </r>
      </text>
    </comment>
    <comment ref="CR299" authorId="6" shapeId="0" xr:uid="{2F227FFE-38FE-46F1-A689-815BC36234A2}">
      <text>
        <r>
          <rPr>
            <b/>
            <sz val="9"/>
            <color indexed="81"/>
            <rFont val="Tahoma"/>
            <family val="2"/>
          </rPr>
          <t>Nicolas, Alexane (Research):</t>
        </r>
        <r>
          <rPr>
            <sz val="9"/>
            <color indexed="81"/>
            <rFont val="Tahoma"/>
            <family val="2"/>
          </rPr>
          <t xml:space="preserve">
2 bonds scheduled to mature in July 2020 - 500+99mn</t>
        </r>
      </text>
    </comment>
    <comment ref="DJ304" authorId="2" shapeId="0" xr:uid="{BE794D92-118C-4C91-A2F3-3F945F512535}">
      <text>
        <r>
          <rPr>
            <b/>
            <sz val="9"/>
            <color indexed="81"/>
            <rFont val="Tahoma"/>
            <family val="2"/>
          </rPr>
          <t>Magajwala, Vatsal (Research):</t>
        </r>
        <r>
          <rPr>
            <sz val="9"/>
            <color indexed="81"/>
            <rFont val="Tahoma"/>
            <family val="2"/>
          </rPr>
          <t xml:space="preserve">
Not reported</t>
        </r>
      </text>
    </comment>
    <comment ref="DO304" authorId="2" shapeId="0" xr:uid="{0C447DE7-9BA9-474E-A9CF-8D233312B5ED}">
      <text>
        <r>
          <rPr>
            <b/>
            <sz val="9"/>
            <color indexed="81"/>
            <rFont val="Tahoma"/>
            <family val="2"/>
          </rPr>
          <t>Magajwala, Vatsal (Research):</t>
        </r>
        <r>
          <rPr>
            <sz val="9"/>
            <color indexed="81"/>
            <rFont val="Tahoma"/>
            <family val="2"/>
          </rPr>
          <t xml:space="preserve">
Not reported</t>
        </r>
      </text>
    </comment>
    <comment ref="DJ305" authorId="2" shapeId="0" xr:uid="{77D21EFE-DB80-4CB1-9E54-FD18572E4F95}">
      <text>
        <r>
          <rPr>
            <b/>
            <sz val="9"/>
            <color indexed="81"/>
            <rFont val="Tahoma"/>
            <family val="2"/>
          </rPr>
          <t>Magajwala, Vatsal (Research):</t>
        </r>
        <r>
          <rPr>
            <sz val="9"/>
            <color indexed="81"/>
            <rFont val="Tahoma"/>
            <family val="2"/>
          </rPr>
          <t xml:space="preserve">
Not reported</t>
        </r>
      </text>
    </comment>
    <comment ref="DO305" authorId="2" shapeId="0" xr:uid="{1F808D5D-F41C-44E4-AC34-86B1F8BEA712}">
      <text>
        <r>
          <rPr>
            <b/>
            <sz val="9"/>
            <color indexed="81"/>
            <rFont val="Tahoma"/>
            <family val="2"/>
          </rPr>
          <t>Magajwala, Vatsal (Research):</t>
        </r>
        <r>
          <rPr>
            <sz val="9"/>
            <color indexed="81"/>
            <rFont val="Tahoma"/>
            <family val="2"/>
          </rPr>
          <t xml:space="preserve">
Not reported</t>
        </r>
      </text>
    </comment>
    <comment ref="AM309" authorId="0" shapeId="0" xr:uid="{DD33782D-6070-4250-BDE3-65F063C035FA}">
      <text>
        <r>
          <rPr>
            <b/>
            <sz val="9"/>
            <color indexed="81"/>
            <rFont val="Tahoma"/>
            <family val="2"/>
          </rPr>
          <t>Ayoola, Joseph (Research):</t>
        </r>
        <r>
          <rPr>
            <sz val="9"/>
            <color indexed="81"/>
            <rFont val="Tahoma"/>
            <family val="2"/>
          </rPr>
          <t xml:space="preserve">
excluding post tax capital gain on Security of €766m</t>
        </r>
      </text>
    </comment>
    <comment ref="AM330" authorId="0" shapeId="0" xr:uid="{7D4858D0-0609-4238-8F0E-A3AF8612EFFB}">
      <text>
        <r>
          <rPr>
            <b/>
            <sz val="9"/>
            <color indexed="81"/>
            <rFont val="Tahoma"/>
            <family val="2"/>
          </rPr>
          <t>Ayoola, Joseph (Research):</t>
        </r>
        <r>
          <rPr>
            <sz val="9"/>
            <color indexed="81"/>
            <rFont val="Tahoma"/>
            <family val="2"/>
          </rPr>
          <t xml:space="preserve">
6.4m shares bought back</t>
        </r>
      </text>
    </comment>
    <comment ref="BC330" authorId="0" shapeId="0" xr:uid="{4DBECD86-AD09-49FC-9F00-F580227FC7FA}">
      <text>
        <r>
          <rPr>
            <b/>
            <sz val="9"/>
            <color indexed="81"/>
            <rFont val="Tahoma"/>
            <family val="2"/>
          </rPr>
          <t>Ayoola, Joseph (Research):</t>
        </r>
        <r>
          <rPr>
            <sz val="9"/>
            <color indexed="81"/>
            <rFont val="Tahoma"/>
            <family val="2"/>
          </rPr>
          <t xml:space="preserve">
includes €1034m zodiac net debt</t>
        </r>
      </text>
    </comment>
    <comment ref="W331" authorId="0" shapeId="0" xr:uid="{901D42EF-31EE-49D3-84DA-3E51CF74EAB7}">
      <text>
        <r>
          <rPr>
            <b/>
            <sz val="8"/>
            <color indexed="81"/>
            <rFont val="Tahoma"/>
            <family val="2"/>
          </rPr>
          <t>Ayoola, Joseph (Research):</t>
        </r>
        <r>
          <rPr>
            <sz val="8"/>
            <color indexed="81"/>
            <rFont val="Tahoma"/>
            <family val="2"/>
          </rPr>
          <t xml:space="preserve">
includes €364m of Ingenico shares sales receipts &amp; €(84)m of FX differences on USPP</t>
        </r>
      </text>
    </comment>
    <comment ref="BC331" authorId="0" shapeId="0" xr:uid="{5581B06E-2DF7-4173-BB31-287C2CA5B0BF}">
      <text>
        <r>
          <rPr>
            <b/>
            <sz val="9"/>
            <color indexed="81"/>
            <rFont val="Tahoma"/>
            <family val="2"/>
          </rPr>
          <t>Ayoola, Joseph (Research):</t>
        </r>
        <r>
          <rPr>
            <sz val="9"/>
            <color indexed="81"/>
            <rFont val="Tahoma"/>
            <family val="2"/>
          </rPr>
          <t xml:space="preserve">
+€2000m release of securities pledged,  - €1,034m Zodiac net debt assumed, -€4,474m Zodiac acquisiton,- €122m buyback</t>
        </r>
      </text>
    </comment>
    <comment ref="DJ331" authorId="2" shapeId="0" xr:uid="{4044F745-4028-4E1D-ABDC-316B34C838CA}">
      <text>
        <r>
          <rPr>
            <b/>
            <sz val="9"/>
            <color indexed="81"/>
            <rFont val="Tahoma"/>
            <family val="2"/>
          </rPr>
          <t>Magajwala, Vatsal (Research):</t>
        </r>
        <r>
          <rPr>
            <sz val="9"/>
            <color indexed="81"/>
            <rFont val="Tahoma"/>
            <family val="2"/>
          </rPr>
          <t xml:space="preserve">
304: M&amp;A
192: Others
961: Early redemption OCEANE 2027</t>
        </r>
      </text>
    </comment>
    <comment ref="DO331" authorId="2" shapeId="0" xr:uid="{4D802187-050A-40D1-822C-DD307D738A23}">
      <text>
        <r>
          <rPr>
            <b/>
            <sz val="9"/>
            <color indexed="81"/>
            <rFont val="Tahoma"/>
            <family val="2"/>
          </rPr>
          <t>Magajwala, Vatsal (Research):</t>
        </r>
        <r>
          <rPr>
            <sz val="9"/>
            <color indexed="81"/>
            <rFont val="Tahoma"/>
            <family val="2"/>
          </rPr>
          <t xml:space="preserve">
133: M&amp;A
267 Others
673: Early redemption OCEANE 2028</t>
        </r>
      </text>
    </comment>
    <comment ref="DR331" authorId="4" shapeId="0" xr:uid="{60E16A19-B790-43F4-A703-46A968D3A135}">
      <text>
        <r>
          <rPr>
            <b/>
            <sz val="9"/>
            <color indexed="81"/>
            <rFont val="Tahoma"/>
            <family val="2"/>
          </rPr>
          <t>K M, Giridhar (Research):</t>
        </r>
        <r>
          <rPr>
            <sz val="9"/>
            <color indexed="81"/>
            <rFont val="Tahoma"/>
            <family val="2"/>
          </rPr>
          <t xml:space="preserve">
1,584: M&amp;A
395: Others
673: Early redemption OCEANE 2028</t>
        </r>
      </text>
    </comment>
    <comment ref="DW331" authorId="2" shapeId="0" xr:uid="{BC5B3695-0466-41FA-9CDE-486B4408F69E}">
      <text>
        <r>
          <rPr>
            <b/>
            <sz val="9"/>
            <color indexed="81"/>
            <rFont val="Tahoma"/>
            <family val="2"/>
          </rPr>
          <t>Magajwala, Vatsal (Research):</t>
        </r>
        <r>
          <rPr>
            <sz val="9"/>
            <color indexed="81"/>
            <rFont val="Tahoma"/>
            <family val="2"/>
          </rPr>
          <t xml:space="preserve">
133: M&amp;A
267 Others
673: Early redemption OCEANE 2028</t>
        </r>
      </text>
    </comment>
    <comment ref="BS333" authorId="0" shapeId="0" xr:uid="{5F4937B5-EAE8-40A4-A9BF-08F02B058898}">
      <text>
        <r>
          <rPr>
            <b/>
            <sz val="9"/>
            <color indexed="81"/>
            <rFont val="Tahoma"/>
            <family val="2"/>
          </rPr>
          <t>Ayoola, Joseph (Research):</t>
        </r>
        <r>
          <rPr>
            <sz val="9"/>
            <color indexed="81"/>
            <rFont val="Tahoma"/>
            <family val="2"/>
          </rPr>
          <t xml:space="preserve">
€529m IFRS 16 impact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Magajwala, Vatsal (Research)</author>
    <author>Law, Ross (Research)</author>
    <author>K M, Giridhar (Research)</author>
    <author>Rowbotham, Jaime (Research)</author>
    <author>Humphrey, Andrew (Research)</author>
    <author>Ayoola, Joseph (Research)</author>
    <author>royanirb</author>
  </authors>
  <commentList>
    <comment ref="V8" authorId="0" shapeId="0" xr:uid="{43E60487-02F2-4DC6-B6B9-940F9F67297C}">
      <text>
        <r>
          <rPr>
            <b/>
            <sz val="9"/>
            <color indexed="81"/>
            <rFont val="Tahoma"/>
            <family val="2"/>
          </rPr>
          <t xml:space="preserve">Magajwala, Vatsal (Research):
</t>
        </r>
        <r>
          <rPr>
            <sz val="9"/>
            <color indexed="81"/>
            <rFont val="Tahoma"/>
            <family val="2"/>
          </rPr>
          <t>Guidance (3Q24): Around 27.1bn
Guidance (FY23): Around 27.4bn</t>
        </r>
      </text>
    </comment>
    <comment ref="W8" authorId="0" shapeId="0" xr:uid="{A18575DD-4ED1-46F6-AD65-CE3A45AD5262}">
      <text>
        <r>
          <rPr>
            <b/>
            <sz val="9"/>
            <color indexed="81"/>
            <rFont val="Tahoma"/>
            <family val="2"/>
          </rPr>
          <t>Magajwala, Vatsal (Research):</t>
        </r>
        <r>
          <rPr>
            <sz val="9"/>
            <color indexed="81"/>
            <rFont val="Tahoma"/>
            <family val="2"/>
          </rPr>
          <t xml:space="preserve">
Guidance (3Q25): up 11-13%
Guidance (1H25): up low-teens
Guidance (FY24): up around 10%</t>
        </r>
      </text>
    </comment>
    <comment ref="AC8" authorId="1" shapeId="0" xr:uid="{150ADE1A-0E88-4276-8FBF-EC8BF7699644}">
      <text>
        <r>
          <rPr>
            <b/>
            <sz val="9"/>
            <color indexed="81"/>
            <rFont val="Tahoma"/>
            <family val="2"/>
          </rPr>
          <t>Law, Ross (Research):</t>
        </r>
        <r>
          <rPr>
            <sz val="9"/>
            <color indexed="81"/>
            <rFont val="Tahoma"/>
            <family val="2"/>
          </rPr>
          <t xml:space="preserve">
FY25: c10%
Guidance (CMD24): HSD CAGR assuming EUR/USD 1.10 in 2025 and 1.15 afterwards. Hedge rate 1.12
Guidance (FY25): ~10% CAGR 2024-28
€/$ spot rate: 1.15 in 2026 &amp; 2027 (unchanged), and 1.20 in 2028
(€/$ hedge rate unchanged at 1.12 over the period)</t>
        </r>
      </text>
    </comment>
    <comment ref="AC13" authorId="1" shapeId="0" xr:uid="{D8F70794-287E-4B1F-9466-9F0294C4DFEF}">
      <text>
        <r>
          <rPr>
            <b/>
            <sz val="9"/>
            <color indexed="81"/>
            <rFont val="Tahoma"/>
            <family val="2"/>
          </rPr>
          <t>Law, Ross (Research):</t>
        </r>
        <r>
          <rPr>
            <sz val="9"/>
            <color indexed="81"/>
            <rFont val="Tahoma"/>
            <family val="2"/>
          </rPr>
          <t xml:space="preserve">
EBITDA c2x 21-25
</t>
        </r>
      </text>
    </comment>
    <comment ref="U20" authorId="1" shapeId="0" xr:uid="{9DD8A505-D0BD-476E-8340-9873F68E3520}">
      <text>
        <r>
          <rPr>
            <b/>
            <sz val="9"/>
            <color indexed="81"/>
            <rFont val="Tahoma"/>
            <family val="2"/>
          </rPr>
          <t>Law, Ross (Research):</t>
        </r>
        <r>
          <rPr>
            <sz val="9"/>
            <color indexed="81"/>
            <rFont val="Tahoma"/>
            <family val="2"/>
          </rPr>
          <t xml:space="preserve">
Inflation impact close to 1bn - expected to half in FY24</t>
        </r>
      </text>
    </comment>
    <comment ref="V20" authorId="1" shapeId="0" xr:uid="{A09D67F8-33DA-4B4B-8C0C-F7AFDB7F3890}">
      <text>
        <r>
          <rPr>
            <b/>
            <sz val="9"/>
            <color indexed="81"/>
            <rFont val="Tahoma"/>
            <family val="2"/>
          </rPr>
          <t xml:space="preserve">Law, Ross (Research):
</t>
        </r>
        <r>
          <rPr>
            <sz val="9"/>
            <color indexed="81"/>
            <rFont val="Tahoma"/>
            <family val="2"/>
          </rPr>
          <t>Guidance (3Q24): close to 4.1bn
Guidance (FY23): close to 4.0bn
Inflation 500m gross impact, from almost 1bn in FY23</t>
        </r>
      </text>
    </comment>
    <comment ref="X20" authorId="2" shapeId="0" xr:uid="{92BF5CAD-C19B-445F-80EB-191C63CE35BA}">
      <text>
        <r>
          <rPr>
            <b/>
            <sz val="9"/>
            <color indexed="81"/>
            <rFont val="Tahoma"/>
            <family val="2"/>
          </rPr>
          <t>K M, Giridhar (Research):</t>
        </r>
        <r>
          <rPr>
            <sz val="9"/>
            <color indexed="81"/>
            <rFont val="Tahoma"/>
            <family val="2"/>
          </rPr>
          <t xml:space="preserve">
Guidance (FY25): €6.1 - 6.2bn
(1H26): €6.4 - 6.5bn
</t>
        </r>
      </text>
    </comment>
    <comment ref="Z20" authorId="1" shapeId="0" xr:uid="{09BAE1FA-A62A-44DA-80F3-1106F331D0FB}">
      <text>
        <r>
          <rPr>
            <b/>
            <sz val="9"/>
            <color indexed="81"/>
            <rFont val="Tahoma"/>
            <family val="2"/>
          </rPr>
          <t>Law, Ross (Research):</t>
        </r>
        <r>
          <rPr>
            <sz val="9"/>
            <color indexed="81"/>
            <rFont val="Tahoma"/>
            <family val="2"/>
          </rPr>
          <t xml:space="preserve">
Guidance (CMD24): 6-6.5bn. 
LDD CAGR
Guidance (FY25): €7-7.5bn
Mid-teens CAGR</t>
        </r>
      </text>
    </comment>
    <comment ref="AC20" authorId="1" shapeId="0" xr:uid="{F01A8A08-6E68-4471-A08F-C34EDE4EDA36}">
      <text>
        <r>
          <rPr>
            <b/>
            <sz val="9"/>
            <color indexed="81"/>
            <rFont val="Tahoma"/>
            <family val="2"/>
          </rPr>
          <t>Law, Ross (Research):</t>
        </r>
        <r>
          <rPr>
            <sz val="9"/>
            <color indexed="81"/>
            <rFont val="Tahoma"/>
            <family val="2"/>
          </rPr>
          <t xml:space="preserve">
LDD CAGR 24-28. </t>
        </r>
      </text>
    </comment>
    <comment ref="AC21" authorId="1" shapeId="0" xr:uid="{CC46E518-941E-4A4B-A881-D78F1F480934}">
      <text>
        <r>
          <rPr>
            <b/>
            <sz val="9"/>
            <color indexed="81"/>
            <rFont val="Tahoma"/>
            <family val="2"/>
          </rPr>
          <t>Law, Ross (Research):</t>
        </r>
        <r>
          <rPr>
            <sz val="9"/>
            <color indexed="81"/>
            <rFont val="Tahoma"/>
            <family val="2"/>
          </rPr>
          <t xml:space="preserve">
500bp+ margin improvement 2021-2025</t>
        </r>
      </text>
    </comment>
    <comment ref="M23" authorId="3" shapeId="0" xr:uid="{31B7E858-2344-471E-BEBB-17F1B9C23E38}">
      <text>
        <r>
          <rPr>
            <b/>
            <sz val="9"/>
            <color indexed="81"/>
            <rFont val="Tahoma"/>
            <family val="2"/>
          </rPr>
          <t>Rowbotham, Jaime (Research):</t>
        </r>
        <r>
          <rPr>
            <sz val="9"/>
            <color indexed="81"/>
            <rFont val="Tahoma"/>
            <family val="2"/>
          </rPr>
          <t xml:space="preserve">
Silvercrest</t>
        </r>
      </text>
    </comment>
    <comment ref="P23" authorId="4" shapeId="0" xr:uid="{5EAC6EBD-BA92-4B48-8439-1D60AE5043D6}">
      <text>
        <r>
          <rPr>
            <b/>
            <sz val="9"/>
            <color indexed="81"/>
            <rFont val="Tahoma"/>
            <family val="2"/>
          </rPr>
          <t>Humphrey, Andrew (Research):</t>
        </r>
        <r>
          <rPr>
            <sz val="9"/>
            <color indexed="81"/>
            <rFont val="Tahoma"/>
            <family val="2"/>
          </rPr>
          <t xml:space="preserve">
Zodiac cost to achieve synergies</t>
        </r>
      </text>
    </comment>
    <comment ref="Q23" authorId="4" shapeId="0" xr:uid="{896B41E1-D248-4215-A907-C6F01EA237DE}">
      <text>
        <r>
          <rPr>
            <b/>
            <sz val="9"/>
            <color indexed="81"/>
            <rFont val="Tahoma"/>
            <family val="2"/>
          </rPr>
          <t>Humphrey, Andrew (Research):</t>
        </r>
        <r>
          <rPr>
            <sz val="9"/>
            <color indexed="81"/>
            <rFont val="Tahoma"/>
            <family val="2"/>
          </rPr>
          <t xml:space="preserve">
Zodiac cost to achieve synergies</t>
        </r>
      </text>
    </comment>
    <comment ref="X34" authorId="1" shapeId="0" xr:uid="{85B1CF57-C341-4F24-8E03-F45D89FEA1E8}">
      <text>
        <r>
          <rPr>
            <b/>
            <sz val="9"/>
            <color indexed="81"/>
            <rFont val="Tahoma"/>
            <family val="2"/>
          </rPr>
          <t>Law, Ross (Research):</t>
        </r>
        <r>
          <rPr>
            <sz val="9"/>
            <color indexed="81"/>
            <rFont val="Tahoma"/>
            <family val="2"/>
          </rPr>
          <t xml:space="preserve">
Includes France surtax</t>
        </r>
      </text>
    </comment>
    <comment ref="Y34" authorId="1" shapeId="0" xr:uid="{0F269064-90B8-4520-9BB0-2B2CA8A3520D}">
      <text>
        <r>
          <rPr>
            <b/>
            <sz val="9"/>
            <color indexed="81"/>
            <rFont val="Tahoma"/>
            <family val="2"/>
          </rPr>
          <t>Law, Ross (Research):</t>
        </r>
        <r>
          <rPr>
            <sz val="9"/>
            <color indexed="81"/>
            <rFont val="Tahoma"/>
            <family val="2"/>
          </rPr>
          <t xml:space="preserve">
Assumes no French surtax</t>
        </r>
      </text>
    </comment>
    <comment ref="K35" authorId="5" shapeId="0" xr:uid="{0E53A21A-C527-446C-A486-3E7EB2118FB0}">
      <text>
        <r>
          <rPr>
            <b/>
            <sz val="9"/>
            <color indexed="81"/>
            <rFont val="Tahoma"/>
            <family val="2"/>
          </rPr>
          <t>Ayoola, Joseph (Research):</t>
        </r>
        <r>
          <rPr>
            <sz val="9"/>
            <color indexed="81"/>
            <rFont val="Tahoma"/>
            <family val="2"/>
          </rPr>
          <t xml:space="preserve">
disposal of Ingenico shares</t>
        </r>
      </text>
    </comment>
    <comment ref="A75" authorId="6" shapeId="0" xr:uid="{573C6058-B94B-4F6D-94FC-26CCEFB78E9B}">
      <text>
        <r>
          <rPr>
            <b/>
            <sz val="8"/>
            <color indexed="81"/>
            <rFont val="Tahoma"/>
            <family val="2"/>
          </rPr>
          <t>royanirb:</t>
        </r>
        <r>
          <rPr>
            <sz val="8"/>
            <color indexed="81"/>
            <rFont val="Tahoma"/>
            <family val="2"/>
          </rPr>
          <t xml:space="preserve">
Treated as non-operating for MW as it's not included in EBITA (recurring profit per Co.)</t>
        </r>
      </text>
    </comment>
    <comment ref="A79" authorId="6" shapeId="0" xr:uid="{1265C7A0-F48C-45AA-9720-C43A7B0B33CF}">
      <text>
        <r>
          <rPr>
            <b/>
            <sz val="8"/>
            <color indexed="81"/>
            <rFont val="Tahoma"/>
            <family val="2"/>
          </rPr>
          <t>royanirb:</t>
        </r>
        <r>
          <rPr>
            <sz val="8"/>
            <color indexed="81"/>
            <rFont val="Tahoma"/>
            <family val="2"/>
          </rPr>
          <t xml:space="preserve">
Projections (2010e onwards) exclude FX gains/losses</t>
        </r>
      </text>
    </comment>
    <comment ref="V84" authorId="0" shapeId="0" xr:uid="{F0419418-1E1D-4B50-8C29-B8BA60340982}">
      <text>
        <r>
          <rPr>
            <b/>
            <sz val="9"/>
            <color indexed="81"/>
            <rFont val="Tahoma"/>
            <family val="2"/>
          </rPr>
          <t>Magajwala, Vatsal (Research):</t>
        </r>
        <r>
          <rPr>
            <sz val="9"/>
            <color indexed="81"/>
            <rFont val="Tahoma"/>
            <family val="2"/>
          </rPr>
          <t xml:space="preserve">
The French government has confirmed its intention to implement a temporary increase in the
corporate income tax rate. A 41.2% surtax could apply in 2024, resulting in an overall rate of 36.13%
(instead of the current 25.83%), and a 20.6% surtax could apply in 2025, resulting in an overall rate
of 30.98%. If such a measure was to be implemented, Safran estimates that the additional current
tax expense for 2024 would be in the range of €320-340 million, with the related cash outflow in
2025</t>
        </r>
      </text>
    </comment>
    <comment ref="K85" authorId="5" shapeId="0" xr:uid="{56886893-48D7-4398-8DD7-6AC322D1D5A8}">
      <text>
        <r>
          <rPr>
            <b/>
            <sz val="9"/>
            <color indexed="81"/>
            <rFont val="Tahoma"/>
            <family val="2"/>
          </rPr>
          <t>Ayoola, Joseph (Research):</t>
        </r>
        <r>
          <rPr>
            <sz val="9"/>
            <color indexed="81"/>
            <rFont val="Tahoma"/>
            <family val="2"/>
          </rPr>
          <t xml:space="preserve">
gain on disposal of Ingenico shares</t>
        </r>
      </text>
    </comment>
    <comment ref="U91" authorId="0" shapeId="0" xr:uid="{83AE54A6-5196-4E0F-8EB9-F359C431D345}">
      <text>
        <r>
          <rPr>
            <b/>
            <sz val="9"/>
            <color indexed="81"/>
            <rFont val="Tahoma"/>
            <family val="2"/>
          </rPr>
          <t>Magajwala, Vatsal (Research):</t>
        </r>
        <r>
          <rPr>
            <sz val="9"/>
            <color indexed="81"/>
            <rFont val="Tahoma"/>
            <family val="2"/>
          </rPr>
          <t xml:space="preserve">
Reported 8.07. Difference is due to reporting of diluted profit attributable to owners of the parent 3,480mn </t>
        </r>
      </text>
    </comment>
    <comment ref="R102" authorId="5" shapeId="0" xr:uid="{6A65E3AF-FD21-4FE4-8822-85E2AE82A71D}">
      <text>
        <r>
          <rPr>
            <b/>
            <sz val="9"/>
            <color indexed="81"/>
            <rFont val="Tahoma"/>
            <family val="2"/>
          </rPr>
          <t>Ayoola, Joseph (Research):</t>
        </r>
        <r>
          <rPr>
            <sz val="9"/>
            <color indexed="81"/>
            <rFont val="Tahoma"/>
            <family val="2"/>
          </rPr>
          <t xml:space="preserve">
assume won't cut divi</t>
        </r>
      </text>
    </comment>
    <comment ref="U106" authorId="1" shapeId="0" xr:uid="{107B215B-407C-4C5F-83B4-2B5D9C32D6B6}">
      <text>
        <r>
          <rPr>
            <b/>
            <sz val="9"/>
            <color indexed="81"/>
            <rFont val="Tahoma"/>
            <family val="2"/>
          </rPr>
          <t>Law, Ross (Research):</t>
        </r>
        <r>
          <rPr>
            <sz val="9"/>
            <color indexed="81"/>
            <rFont val="Tahoma"/>
            <family val="2"/>
          </rPr>
          <t xml:space="preserve">
40% dividend payout ratio</t>
        </r>
      </text>
    </comment>
    <comment ref="T107" authorId="1" shapeId="0" xr:uid="{5087D9A8-46B6-4FF2-B57E-0CD08F098FDA}">
      <text>
        <r>
          <rPr>
            <b/>
            <sz val="9"/>
            <color indexed="81"/>
            <rFont val="Tahoma"/>
            <family val="2"/>
          </rPr>
          <t>Law, Ross (Research):</t>
        </r>
        <r>
          <rPr>
            <sz val="9"/>
            <color indexed="81"/>
            <rFont val="Tahoma"/>
            <family val="2"/>
          </rPr>
          <t xml:space="preserve">
Repurchase of 9.4m shares to hedge potential dilution of 2027 convertible bond does not reduce share count (shares not cancelled)</t>
        </r>
      </text>
    </comment>
    <comment ref="U107" authorId="1" shapeId="0" xr:uid="{096C4C3A-148C-4408-8554-A1B6B9C69FD7}">
      <text>
        <r>
          <rPr>
            <b/>
            <sz val="9"/>
            <color indexed="81"/>
            <rFont val="Tahoma"/>
            <family val="2"/>
          </rPr>
          <t>Law, Ross (Research):</t>
        </r>
        <r>
          <rPr>
            <sz val="9"/>
            <color indexed="81"/>
            <rFont val="Tahoma"/>
            <family val="2"/>
          </rPr>
          <t xml:space="preserve">
Repurchase of following shares reduces shares calculation as shares bought and held in Treasury not included in share count (as will be used for convertibles / employee profit sharing).
1. 9m shares to hedge potential dilution of 2027 convertible bond. 1.2bn euro. Completed Oct 2022-May 2023.
2. 4m shares to hedge potential dilution of 2028 convertible bond. Targeted for H2 2023.
3. 2m employee profit sharing scheme. Targeted for H2 2023.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izabelac</author>
    <author>Ayoola, Joseph (Research)</author>
    <author>Humphrey, Andrew (Research)</author>
    <author>Magajwala, Vatsal (Research)</author>
    <author>Law, Ross (Research)</author>
    <author>Rowbotham, Jaime (Research)</author>
    <author>K M, Giridhar (Research)</author>
    <author>vigrupi</author>
  </authors>
  <commentList>
    <comment ref="G27" authorId="0" shapeId="0" xr:uid="{585AFDD2-CC01-4BB9-B1C4-35389FEF4469}">
      <text>
        <r>
          <rPr>
            <b/>
            <sz val="8"/>
            <color indexed="81"/>
            <rFont val="Tahoma"/>
            <family val="2"/>
          </rPr>
          <t>izabelac:</t>
        </r>
        <r>
          <rPr>
            <sz val="8"/>
            <color indexed="81"/>
            <rFont val="Tahoma"/>
            <family val="2"/>
          </rPr>
          <t xml:space="preserve">
proceeds from sale of financing assets</t>
        </r>
      </text>
    </comment>
    <comment ref="S29" authorId="1" shapeId="0" xr:uid="{B5A9D4D9-713C-49D8-97C1-D778091D2717}">
      <text>
        <r>
          <rPr>
            <b/>
            <sz val="9"/>
            <color indexed="81"/>
            <rFont val="Tahoma"/>
            <family val="2"/>
          </rPr>
          <t>Ayoola, Joseph (Research):</t>
        </r>
        <r>
          <rPr>
            <sz val="9"/>
            <color indexed="81"/>
            <rFont val="Tahoma"/>
            <family val="2"/>
          </rPr>
          <t xml:space="preserve">
will reduce inventories</t>
        </r>
      </text>
    </comment>
    <comment ref="A31" authorId="2" shapeId="0" xr:uid="{C8E1B0B5-8374-441E-A3BA-DF2FE0BCF61D}">
      <text>
        <r>
          <rPr>
            <b/>
            <sz val="8"/>
            <color indexed="81"/>
            <rFont val="Tahoma"/>
            <family val="2"/>
          </rPr>
          <t>Humphrey, Andrew (Research):</t>
        </r>
        <r>
          <rPr>
            <sz val="8"/>
            <color indexed="81"/>
            <rFont val="Tahoma"/>
            <family val="2"/>
          </rPr>
          <t xml:space="preserve">
Movement in asset related to LTSAs</t>
        </r>
      </text>
    </comment>
    <comment ref="Q31" authorId="1" shapeId="0" xr:uid="{257AED4F-22B6-47F8-A078-BE522A0DB167}">
      <text>
        <r>
          <rPr>
            <b/>
            <sz val="9"/>
            <color indexed="81"/>
            <rFont val="Tahoma"/>
            <family val="2"/>
          </rPr>
          <t>Ayoola, Joseph (Research):</t>
        </r>
        <r>
          <rPr>
            <sz val="9"/>
            <color indexed="81"/>
            <rFont val="Tahoma"/>
            <family val="2"/>
          </rPr>
          <t xml:space="preserve">
€11M Change in contract costs
€218M Change in contract assets and liabilities
€27M Change in other receivables and payables</t>
        </r>
      </text>
    </comment>
    <comment ref="V31" authorId="3" shapeId="0" xr:uid="{B16072F3-B8FF-4155-82CA-09A8B1CD2A4E}">
      <text>
        <r>
          <rPr>
            <b/>
            <sz val="9"/>
            <color indexed="81"/>
            <rFont val="Tahoma"/>
            <family val="2"/>
          </rPr>
          <t>Magajwala, Vatsal (Research):</t>
        </r>
        <r>
          <rPr>
            <sz val="9"/>
            <color indexed="81"/>
            <rFont val="Tahoma"/>
            <family val="2"/>
          </rPr>
          <t xml:space="preserve">
-89: Change in contract costs
1004: Change in contract assets and liabilities
-5: Change in other receivables and payables</t>
        </r>
      </text>
    </comment>
    <comment ref="X31" authorId="4" shapeId="0" xr:uid="{B9307178-B471-47F5-B9A1-311E1DCB55E0}">
      <text>
        <r>
          <rPr>
            <b/>
            <sz val="9"/>
            <color indexed="81"/>
            <rFont val="Tahoma"/>
            <family val="2"/>
          </rPr>
          <t>Law, Ross (Research):</t>
        </r>
        <r>
          <rPr>
            <sz val="9"/>
            <color indexed="81"/>
            <rFont val="Tahoma"/>
            <family val="2"/>
          </rPr>
          <t xml:space="preserve">
Balancing fig to prevent BS item (row 45) from going negative</t>
        </r>
      </text>
    </comment>
    <comment ref="Y31" authorId="4" shapeId="0" xr:uid="{6548EF07-DC1F-46F3-8A7E-4475D2CA8EF0}">
      <text>
        <r>
          <rPr>
            <b/>
            <sz val="9"/>
            <color indexed="81"/>
            <rFont val="Tahoma"/>
            <family val="2"/>
          </rPr>
          <t>Law, Ross (Research):</t>
        </r>
        <r>
          <rPr>
            <sz val="9"/>
            <color indexed="81"/>
            <rFont val="Tahoma"/>
            <family val="2"/>
          </rPr>
          <t xml:space="preserve">
Balancing fig to prevent BS item (row 45) from going negative</t>
        </r>
      </text>
    </comment>
    <comment ref="Z31" authorId="4" shapeId="0" xr:uid="{CBB8987D-FFEC-4E8E-9341-B745DC1FA236}">
      <text>
        <r>
          <rPr>
            <b/>
            <sz val="9"/>
            <color indexed="81"/>
            <rFont val="Tahoma"/>
            <family val="2"/>
          </rPr>
          <t>Law, Ross (Research):</t>
        </r>
        <r>
          <rPr>
            <sz val="9"/>
            <color indexed="81"/>
            <rFont val="Tahoma"/>
            <family val="2"/>
          </rPr>
          <t xml:space="preserve">
Balancing fig to prevent BS item (row 45) from going negative</t>
        </r>
      </text>
    </comment>
    <comment ref="AA31" authorId="4" shapeId="0" xr:uid="{C6EC533D-5991-4D41-B347-5348EFD2D731}">
      <text>
        <r>
          <rPr>
            <b/>
            <sz val="9"/>
            <color indexed="81"/>
            <rFont val="Tahoma"/>
            <family val="2"/>
          </rPr>
          <t>Law, Ross (Research):</t>
        </r>
        <r>
          <rPr>
            <sz val="9"/>
            <color indexed="81"/>
            <rFont val="Tahoma"/>
            <family val="2"/>
          </rPr>
          <t xml:space="preserve">
Balancing fig to prevent BS item (row 45) from going negative</t>
        </r>
      </text>
    </comment>
    <comment ref="AB31" authorId="4" shapeId="0" xr:uid="{03F11825-2973-4455-9CF9-8EBC07F1ADF1}">
      <text>
        <r>
          <rPr>
            <b/>
            <sz val="9"/>
            <color indexed="81"/>
            <rFont val="Tahoma"/>
            <family val="2"/>
          </rPr>
          <t>Law, Ross (Research):</t>
        </r>
        <r>
          <rPr>
            <sz val="9"/>
            <color indexed="81"/>
            <rFont val="Tahoma"/>
            <family val="2"/>
          </rPr>
          <t xml:space="preserve">
Balancing fig to prevent BS item (row 45) from going negative</t>
        </r>
      </text>
    </comment>
    <comment ref="E32" authorId="4" shapeId="0" xr:uid="{68FB044F-041E-4B59-A4BD-EE8B6BF16241}">
      <text>
        <r>
          <rPr>
            <b/>
            <sz val="9"/>
            <color indexed="81"/>
            <rFont val="Tahoma"/>
            <family val="2"/>
          </rPr>
          <t>Law, Ross (Research):</t>
        </r>
        <r>
          <rPr>
            <sz val="9"/>
            <color indexed="81"/>
            <rFont val="Tahoma"/>
            <family val="2"/>
          </rPr>
          <t xml:space="preserve">
Intercompany change in working capital from discontinued ops</t>
        </r>
      </text>
    </comment>
    <comment ref="F32" authorId="4" shapeId="0" xr:uid="{8D31EC9B-08EC-425F-8C94-FE77613C16FF}">
      <text>
        <r>
          <rPr>
            <b/>
            <sz val="9"/>
            <color indexed="81"/>
            <rFont val="Tahoma"/>
            <family val="2"/>
          </rPr>
          <t>Law, Ross (Research):</t>
        </r>
        <r>
          <rPr>
            <sz val="9"/>
            <color indexed="81"/>
            <rFont val="Tahoma"/>
            <family val="2"/>
          </rPr>
          <t xml:space="preserve">
Intercompany change in working capital from discontinued ops</t>
        </r>
      </text>
    </comment>
    <comment ref="G32" authorId="4" shapeId="0" xr:uid="{0E9B5463-8035-4CFD-8B80-F7C3F7F29069}">
      <text>
        <r>
          <rPr>
            <b/>
            <sz val="9"/>
            <color indexed="81"/>
            <rFont val="Tahoma"/>
            <family val="2"/>
          </rPr>
          <t>Law, Ross (Research):</t>
        </r>
        <r>
          <rPr>
            <sz val="9"/>
            <color indexed="81"/>
            <rFont val="Tahoma"/>
            <family val="2"/>
          </rPr>
          <t xml:space="preserve">
Intercompany change in working capital from discontinued ops</t>
        </r>
      </text>
    </comment>
    <comment ref="AC33" authorId="4" shapeId="0" xr:uid="{35C44D7F-106A-46B2-8F9A-8E86EC2E8E86}">
      <text>
        <r>
          <rPr>
            <b/>
            <sz val="9"/>
            <color indexed="81"/>
            <rFont val="Tahoma"/>
            <family val="2"/>
          </rPr>
          <t>Law, Ross (Research):</t>
        </r>
        <r>
          <rPr>
            <sz val="9"/>
            <color indexed="81"/>
            <rFont val="Tahoma"/>
            <family val="2"/>
          </rPr>
          <t xml:space="preserve">
CMD24 slide 76: small down 24-28 cum</t>
        </r>
      </text>
    </comment>
    <comment ref="V38" authorId="4" shapeId="0" xr:uid="{3243493A-7BB9-408B-9D5F-0A0ACA7BA993}">
      <text>
        <r>
          <rPr>
            <b/>
            <sz val="9"/>
            <color indexed="81"/>
            <rFont val="Tahoma"/>
            <family val="2"/>
          </rPr>
          <t>Law, Ross (Research):</t>
        </r>
        <r>
          <rPr>
            <sz val="9"/>
            <color indexed="81"/>
            <rFont val="Tahoma"/>
            <family val="2"/>
          </rPr>
          <t xml:space="preserve">
CMD24: implied ~1.7</t>
        </r>
      </text>
    </comment>
    <comment ref="Z38" authorId="4" shapeId="0" xr:uid="{F03E8DD1-414E-4FAF-AA40-CC1245CD59E3}">
      <text>
        <r>
          <rPr>
            <b/>
            <sz val="9"/>
            <color indexed="81"/>
            <rFont val="Tahoma"/>
            <family val="2"/>
          </rPr>
          <t>Law, Ross (Research):</t>
        </r>
        <r>
          <rPr>
            <sz val="9"/>
            <color indexed="81"/>
            <rFont val="Tahoma"/>
            <family val="2"/>
          </rPr>
          <t xml:space="preserve">
CMD24: implied 1.8</t>
        </r>
      </text>
    </comment>
    <comment ref="N41" authorId="5" shapeId="0" xr:uid="{72A4EC7F-A5DA-40AC-9DD5-3D14FC0B4BB8}">
      <text>
        <r>
          <rPr>
            <b/>
            <sz val="9"/>
            <color indexed="81"/>
            <rFont val="Tahoma"/>
            <family val="2"/>
          </rPr>
          <t>Rowbotham, Jaime (Research):</t>
        </r>
        <r>
          <rPr>
            <sz val="9"/>
            <color indexed="81"/>
            <rFont val="Tahoma"/>
            <family val="2"/>
          </rPr>
          <t xml:space="preserve">
€750m is economic compensation paid to Airbus to get 50% of Launchers JV</t>
        </r>
      </text>
    </comment>
    <comment ref="O41" authorId="1" shapeId="0" xr:uid="{F6C83AFD-6D48-4DC4-B188-0B7A582ADA6C}">
      <text>
        <r>
          <rPr>
            <b/>
            <sz val="9"/>
            <color indexed="81"/>
            <rFont val="Tahoma"/>
            <family val="2"/>
          </rPr>
          <t>Ayoola, Joseph (Research):</t>
        </r>
        <r>
          <rPr>
            <sz val="9"/>
            <color indexed="81"/>
            <rFont val="Tahoma"/>
            <family val="2"/>
          </rPr>
          <t xml:space="preserve">
half year M&amp;A proceeds from Security</t>
        </r>
      </text>
    </comment>
    <comment ref="P41" authorId="1" shapeId="0" xr:uid="{728FDB0C-5ED8-4734-B1EC-DBA8D477A317}">
      <text>
        <r>
          <rPr>
            <b/>
            <sz val="9"/>
            <color indexed="81"/>
            <rFont val="Tahoma"/>
            <family val="2"/>
          </rPr>
          <t>Ayoola, Joseph (Research):</t>
        </r>
        <r>
          <rPr>
            <sz val="9"/>
            <color indexed="81"/>
            <rFont val="Tahoma"/>
            <family val="2"/>
          </rPr>
          <t xml:space="preserve">
Zodiac acquisition net of €2bn securities already pledged in 2017.</t>
        </r>
      </text>
    </comment>
    <comment ref="V41" authorId="4" shapeId="0" xr:uid="{AC975092-BB93-4222-B17A-DE511153C3D7}">
      <text>
        <r>
          <rPr>
            <b/>
            <sz val="9"/>
            <color indexed="81"/>
            <rFont val="Tahoma"/>
            <family val="2"/>
          </rPr>
          <t>Law, Ross (Research):</t>
        </r>
        <r>
          <rPr>
            <sz val="9"/>
            <color indexed="81"/>
            <rFont val="Tahoma"/>
            <family val="2"/>
          </rPr>
          <t xml:space="preserve">
Includes 220m for acquisition of Preligens (signed 2 Sept 24) but not Collins ($1.8bn)
344: Payments for the acquisition of investments or businesses, net
113: Proceeds arising from the sale of investments or businesses, net</t>
        </r>
      </text>
    </comment>
    <comment ref="X43" authorId="6" shapeId="0" xr:uid="{DF9DB523-A949-4BF8-AA61-5E9DD2CB485A}">
      <text>
        <r>
          <rPr>
            <b/>
            <sz val="9"/>
            <color indexed="81"/>
            <rFont val="Tahoma"/>
            <family val="2"/>
          </rPr>
          <t>K M, Giridhar (Research):</t>
        </r>
        <r>
          <rPr>
            <sz val="9"/>
            <color indexed="81"/>
            <rFont val="Tahoma"/>
            <family val="2"/>
          </rPr>
          <t xml:space="preserve">
Balancing number for Balance Sheet</t>
        </r>
      </text>
    </comment>
    <comment ref="O49" authorId="1" shapeId="0" xr:uid="{DA8A4442-0068-43B7-AA86-9A0F352CA61E}">
      <text>
        <r>
          <rPr>
            <b/>
            <sz val="9"/>
            <color indexed="81"/>
            <rFont val="Tahoma"/>
            <family val="2"/>
          </rPr>
          <t>Ayoola, Joseph (Research):</t>
        </r>
        <r>
          <rPr>
            <sz val="9"/>
            <color indexed="81"/>
            <rFont val="Tahoma"/>
            <family val="2"/>
          </rPr>
          <t xml:space="preserve">
buyback to neutralise the dilutive effect of equity-related instruments on Safran balance sheet, completed June 2017. 6.4m shares bought back.</t>
        </r>
      </text>
    </comment>
    <comment ref="P49" authorId="1" shapeId="0" xr:uid="{F298D689-16DA-46A6-B189-9B6BDFCCCC1F}">
      <text>
        <r>
          <rPr>
            <b/>
            <sz val="9"/>
            <color indexed="81"/>
            <rFont val="Tahoma"/>
            <family val="2"/>
          </rPr>
          <t>Ayoola, Joseph (Research):</t>
        </r>
        <r>
          <rPr>
            <sz val="9"/>
            <color indexed="81"/>
            <rFont val="Tahoma"/>
            <family val="2"/>
          </rPr>
          <t xml:space="preserve">
€2.3bn share buyback related to Zodiac deal</t>
        </r>
      </text>
    </comment>
    <comment ref="Q49" authorId="1" shapeId="0" xr:uid="{2C217B01-F4E3-454A-9CE2-9068C05B5EF6}">
      <text>
        <r>
          <rPr>
            <b/>
            <sz val="9"/>
            <color indexed="81"/>
            <rFont val="Tahoma"/>
            <family val="2"/>
          </rPr>
          <t>Ayoola, Joseph (Research):</t>
        </r>
        <r>
          <rPr>
            <sz val="9"/>
            <color indexed="81"/>
            <rFont val="Tahoma"/>
            <family val="2"/>
          </rPr>
          <t xml:space="preserve">
€2.3bn share buyback related to Zodiac deal</t>
        </r>
      </text>
    </comment>
    <comment ref="V49" authorId="4" shapeId="0" xr:uid="{150FD709-D51B-475D-AA82-43F4032C7348}">
      <text>
        <r>
          <rPr>
            <b/>
            <sz val="9"/>
            <color indexed="81"/>
            <rFont val="Tahoma"/>
            <family val="2"/>
          </rPr>
          <t>Law, Ross (Research):</t>
        </r>
        <r>
          <rPr>
            <sz val="9"/>
            <color indexed="81"/>
            <rFont val="Tahoma"/>
            <family val="2"/>
          </rPr>
          <t xml:space="preserve">
574m in H1 (450m to complete hedging of the 2028 convertible bond?).
1H24: expect 500m in H2. Did 250 in July/Aug. New tranche 500m by Dec. So 750 total.
750m of 1bn buyback targetted over 2024-25. Authorisation limit of E175 raised to E300 at 2024 AGM.</t>
        </r>
      </text>
    </comment>
    <comment ref="G51" authorId="7" shapeId="0" xr:uid="{8C26962E-F8F2-4D19-BCDC-63E9873BF3C2}">
      <text>
        <r>
          <rPr>
            <b/>
            <sz val="8"/>
            <color indexed="81"/>
            <rFont val="Tahoma"/>
            <family val="2"/>
          </rPr>
          <t>vigrupi:</t>
        </r>
        <r>
          <rPr>
            <sz val="8"/>
            <color indexed="81"/>
            <rFont val="Tahoma"/>
            <family val="2"/>
          </rPr>
          <t xml:space="preserve">
Excludes 11mm of cash for discontinued ops</t>
        </r>
      </text>
    </comment>
    <comment ref="Y52" authorId="4" shapeId="0" xr:uid="{4B1A7B11-5E82-4964-B5C1-A4FB1D33257F}">
      <text>
        <r>
          <rPr>
            <b/>
            <sz val="9"/>
            <color indexed="81"/>
            <rFont val="Tahoma"/>
            <family val="2"/>
          </rPr>
          <t>Law, Ross (Research):</t>
        </r>
        <r>
          <rPr>
            <sz val="9"/>
            <color indexed="81"/>
            <rFont val="Tahoma"/>
            <family val="2"/>
          </rPr>
          <t xml:space="preserve">
Convertible bond (1bn)</t>
        </r>
      </text>
    </comment>
    <comment ref="Z52" authorId="4" shapeId="0" xr:uid="{3278C452-BA01-4202-A8F6-A0B3C4F2C536}">
      <text>
        <r>
          <rPr>
            <b/>
            <sz val="9"/>
            <color indexed="81"/>
            <rFont val="Tahoma"/>
            <family val="2"/>
          </rPr>
          <t>Law, Ross (Research):</t>
        </r>
        <r>
          <rPr>
            <sz val="9"/>
            <color indexed="81"/>
            <rFont val="Tahoma"/>
            <family val="2"/>
          </rPr>
          <t xml:space="preserve">
Convertible bond 730m</t>
        </r>
      </text>
    </comment>
    <comment ref="K66" authorId="1" shapeId="0" xr:uid="{14683D02-1F36-4FAB-8766-F908A7CC8EF5}">
      <text>
        <r>
          <rPr>
            <b/>
            <sz val="9"/>
            <color indexed="81"/>
            <rFont val="Tahoma"/>
            <family val="2"/>
          </rPr>
          <t>Ayoola, Joseph (Research):</t>
        </r>
        <r>
          <rPr>
            <sz val="9"/>
            <color indexed="81"/>
            <rFont val="Tahoma"/>
            <family val="2"/>
          </rPr>
          <t xml:space="preserve">
restated for IFRS 11 impact</t>
        </r>
      </text>
    </comment>
    <comment ref="J70" authorId="1" shapeId="0" xr:uid="{6BEDD570-64C5-4A51-A98B-E4AEB3B6BD50}">
      <text>
        <r>
          <rPr>
            <b/>
            <sz val="9"/>
            <color indexed="81"/>
            <rFont val="Tahoma"/>
            <family val="2"/>
          </rPr>
          <t>Ayoola, Joseph (Research):</t>
        </r>
        <r>
          <rPr>
            <sz val="9"/>
            <color indexed="81"/>
            <rFont val="Tahoma"/>
            <family val="2"/>
          </rPr>
          <t xml:space="preserve">
restated for IFRS 11 impact </t>
        </r>
      </text>
    </comment>
    <comment ref="V70" authorId="4" shapeId="0" xr:uid="{0C45697F-01C8-474F-BB44-935C09D8C840}">
      <text>
        <r>
          <rPr>
            <b/>
            <sz val="9"/>
            <color indexed="81"/>
            <rFont val="Tahoma"/>
            <family val="2"/>
          </rPr>
          <t>Law, Ross (Research):</t>
        </r>
        <r>
          <rPr>
            <sz val="9"/>
            <color indexed="81"/>
            <rFont val="Tahoma"/>
            <family val="2"/>
          </rPr>
          <t xml:space="preserve">
Would be net debt if close Collins deal </t>
        </r>
      </text>
    </comment>
    <comment ref="T72" authorId="4" shapeId="0" xr:uid="{2C3839F9-B65B-4A22-94B2-6152FA011C5A}">
      <text>
        <r>
          <rPr>
            <b/>
            <sz val="9"/>
            <color indexed="81"/>
            <rFont val="Tahoma"/>
            <family val="2"/>
          </rPr>
          <t>Law, Ross (Research):</t>
        </r>
        <r>
          <rPr>
            <sz val="9"/>
            <color indexed="81"/>
            <rFont val="Tahoma"/>
            <family val="2"/>
          </rPr>
          <t xml:space="preserve">
Guidance upgraded at H1 22 to 2.4bn from 2bn due to Rafale advance payments</t>
        </r>
      </text>
    </comment>
    <comment ref="U72" authorId="3" shapeId="0" xr:uid="{A4BD1298-D236-4AB2-B3D0-658EBC3E4C1B}">
      <text>
        <r>
          <rPr>
            <b/>
            <sz val="9"/>
            <color indexed="81"/>
            <rFont val="Tahoma"/>
            <family val="2"/>
          </rPr>
          <t>Magajwala, Vatsal (Research):</t>
        </r>
        <r>
          <rPr>
            <sz val="9"/>
            <color indexed="81"/>
            <rFont val="Tahoma"/>
            <family val="2"/>
          </rPr>
          <t xml:space="preserve">
Guidance (3Q23): At least 2.7bn</t>
        </r>
      </text>
    </comment>
    <comment ref="V72" authorId="3" shapeId="0" xr:uid="{43AE8C43-72E0-4356-9076-64C2947EA7B0}">
      <text>
        <r>
          <rPr>
            <b/>
            <sz val="9"/>
            <color indexed="81"/>
            <rFont val="Tahoma"/>
            <family val="2"/>
          </rPr>
          <t>Magajwala, Vatsal (Research):</t>
        </r>
        <r>
          <rPr>
            <sz val="9"/>
            <color indexed="81"/>
            <rFont val="Tahoma"/>
            <family val="2"/>
          </rPr>
          <t xml:space="preserve">
Guidance (FY23): around €3.0bn subject to payment schedule of some advance payments</t>
        </r>
      </text>
    </comment>
    <comment ref="X72" authorId="6" shapeId="0" xr:uid="{C4E5B8BA-DA42-45AE-9790-D5F11A12C461}">
      <text>
        <r>
          <rPr>
            <b/>
            <sz val="9"/>
            <color indexed="81"/>
            <rFont val="Tahoma"/>
            <family val="2"/>
          </rPr>
          <t>K M, Giridhar (Research):</t>
        </r>
        <r>
          <rPr>
            <sz val="9"/>
            <color indexed="81"/>
            <rFont val="Tahoma"/>
            <family val="2"/>
          </rPr>
          <t xml:space="preserve">
Guidance (FY25): €4.4 - 4.6bn
1H26: €4.7bn–€4.9bn
</t>
        </r>
      </text>
    </comment>
    <comment ref="AC72" authorId="4" shapeId="0" xr:uid="{FF007CB3-2735-45E2-ABA0-CD8B43709E84}">
      <text>
        <r>
          <rPr>
            <b/>
            <sz val="9"/>
            <color indexed="81"/>
            <rFont val="Tahoma"/>
            <family val="2"/>
          </rPr>
          <t>Law, Ross (Research):</t>
        </r>
        <r>
          <rPr>
            <sz val="9"/>
            <color indexed="81"/>
            <rFont val="Tahoma"/>
            <family val="2"/>
          </rPr>
          <t xml:space="preserve">
FY25: 21bn
CMD24: 15-17bn 
Guidance (Fy25): ~€21bn (2024-2028e)</t>
        </r>
      </text>
    </comment>
    <comment ref="Q73" authorId="1" shapeId="0" xr:uid="{F6A52395-1AD5-4024-897B-C4F7BBCFBF58}">
      <text>
        <r>
          <rPr>
            <b/>
            <sz val="9"/>
            <color indexed="81"/>
            <rFont val="Tahoma"/>
            <family val="2"/>
          </rPr>
          <t>Ayoola, Joseph (Research):</t>
        </r>
        <r>
          <rPr>
            <sz val="9"/>
            <color indexed="81"/>
            <rFont val="Tahoma"/>
            <family val="2"/>
          </rPr>
          <t xml:space="preserve">
guide ~50%</t>
        </r>
      </text>
    </comment>
    <comment ref="AC73" authorId="4" shapeId="0" xr:uid="{F1A7486E-ADF8-40D3-B8C2-C3AC4796FAAF}">
      <text>
        <r>
          <rPr>
            <b/>
            <sz val="9"/>
            <color indexed="81"/>
            <rFont val="Tahoma"/>
            <family val="2"/>
          </rPr>
          <t>Law, Ross (Research):</t>
        </r>
        <r>
          <rPr>
            <sz val="9"/>
            <color indexed="81"/>
            <rFont val="Tahoma"/>
            <family val="2"/>
          </rPr>
          <t xml:space="preserve">
FY25: slightly below 70% in later years
CMD24: 65-70% conversion aveage 
Guidance (FY25): 70% 2024-28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Ayoola, Joseph (Research)</author>
    <author>Magajwala, Vatsal (Research)</author>
    <author>royanirb</author>
    <author>Rawat, Vinayak (Research)</author>
    <author>Humphrey, Andrew (Research)</author>
    <author>muirrob</author>
    <author>vigrupi</author>
    <author>Nicolas, Alexane (Research)</author>
    <author>Law, Ross (Research)</author>
  </authors>
  <commentList>
    <comment ref="Q11" authorId="0" shapeId="0" xr:uid="{30A36058-7DA2-4E6A-8EA4-D631B8BA08E3}">
      <text>
        <r>
          <rPr>
            <b/>
            <sz val="9"/>
            <color indexed="81"/>
            <rFont val="Tahoma"/>
            <family val="2"/>
          </rPr>
          <t>Ayoola, Joseph (Research):</t>
        </r>
        <r>
          <rPr>
            <sz val="9"/>
            <color indexed="81"/>
            <rFont val="Tahoma"/>
            <family val="2"/>
          </rPr>
          <t xml:space="preserve">
471 Contract costs
7,639 Trade and other receivables
1,743 Contract assets</t>
        </r>
      </text>
    </comment>
    <comment ref="V25" authorId="1" shapeId="0" xr:uid="{E32550F3-4DE4-4D19-ABD3-DE04073CCD9A}">
      <text>
        <r>
          <rPr>
            <b/>
            <sz val="9"/>
            <color indexed="81"/>
            <rFont val="Tahoma"/>
            <family val="2"/>
          </rPr>
          <t>Magajwala, Vatsal (Research):</t>
        </r>
        <r>
          <rPr>
            <sz val="9"/>
            <color indexed="81"/>
            <rFont val="Tahoma"/>
            <family val="2"/>
          </rPr>
          <t xml:space="preserve">
3: Other non-current financial assets
4: Non-current derivatives (positive fair value)</t>
        </r>
      </text>
    </comment>
    <comment ref="J30" authorId="0" shapeId="0" xr:uid="{C8409C05-0B92-4F2F-8678-114723F00A19}">
      <text>
        <r>
          <rPr>
            <b/>
            <sz val="9"/>
            <color indexed="81"/>
            <rFont val="Tahoma"/>
            <family val="2"/>
          </rPr>
          <t>Ayoola, Joseph (Research):</t>
        </r>
        <r>
          <rPr>
            <sz val="9"/>
            <color indexed="81"/>
            <rFont val="Tahoma"/>
            <family val="2"/>
          </rPr>
          <t xml:space="preserve">
includes pensions
</t>
        </r>
      </text>
    </comment>
    <comment ref="K30" authorId="0" shapeId="0" xr:uid="{48FE08C8-00C2-4A19-84E9-87DD4901B54D}">
      <text>
        <r>
          <rPr>
            <b/>
            <sz val="9"/>
            <color indexed="81"/>
            <rFont val="Tahoma"/>
            <family val="2"/>
          </rPr>
          <t>Ayoola, Joseph (Research):</t>
        </r>
        <r>
          <rPr>
            <sz val="9"/>
            <color indexed="81"/>
            <rFont val="Tahoma"/>
            <family val="2"/>
          </rPr>
          <t xml:space="preserve">
includes pensions</t>
        </r>
      </text>
    </comment>
    <comment ref="L30" authorId="0" shapeId="0" xr:uid="{C28E9209-7D75-47C9-9C18-B8F2ADCA58B1}">
      <text>
        <r>
          <rPr>
            <b/>
            <sz val="9"/>
            <color indexed="81"/>
            <rFont val="Tahoma"/>
            <family val="2"/>
          </rPr>
          <t>Ayoola, Joseph (Research):</t>
        </r>
        <r>
          <rPr>
            <sz val="9"/>
            <color indexed="81"/>
            <rFont val="Tahoma"/>
            <family val="2"/>
          </rPr>
          <t xml:space="preserve">
includes pensions</t>
        </r>
      </text>
    </comment>
    <comment ref="B31" authorId="2" shapeId="0" xr:uid="{092D5F60-DC4F-4056-99EA-A1C5DE832302}">
      <text>
        <r>
          <rPr>
            <b/>
            <sz val="8"/>
            <color indexed="81"/>
            <rFont val="Tahoma"/>
            <family val="2"/>
          </rPr>
          <t>royanirb:</t>
        </r>
        <r>
          <rPr>
            <sz val="8"/>
            <color indexed="81"/>
            <rFont val="Tahoma"/>
            <family val="2"/>
          </rPr>
          <t xml:space="preserve">
Not available</t>
        </r>
      </text>
    </comment>
    <comment ref="P33" authorId="0" shapeId="0" xr:uid="{0C6ECAD5-39B5-4003-9A2A-AEA1FD95C1F1}">
      <text>
        <r>
          <rPr>
            <b/>
            <sz val="9"/>
            <color indexed="81"/>
            <rFont val="Tahoma"/>
            <family val="2"/>
          </rPr>
          <t>Ayoola, Joseph (Research):</t>
        </r>
        <r>
          <rPr>
            <sz val="9"/>
            <color indexed="81"/>
            <rFont val="Tahoma"/>
            <family val="2"/>
          </rPr>
          <t xml:space="preserve">
includes €10.5bn contract liabilities</t>
        </r>
      </text>
    </comment>
    <comment ref="Q33" authorId="0" shapeId="0" xr:uid="{62A578A9-1F53-4128-A5CC-82173CD47CEB}">
      <text>
        <r>
          <rPr>
            <b/>
            <sz val="9"/>
            <color indexed="81"/>
            <rFont val="Tahoma"/>
            <family val="2"/>
          </rPr>
          <t>Ayoola, Joseph (Research):</t>
        </r>
        <r>
          <rPr>
            <sz val="9"/>
            <color indexed="81"/>
            <rFont val="Tahoma"/>
            <family val="2"/>
          </rPr>
          <t xml:space="preserve">
6,164 Trade and other payables
10,923 Contract liabilities</t>
        </r>
      </text>
    </comment>
    <comment ref="N37" authorId="0" shapeId="0" xr:uid="{4B2300C3-B4AC-41BF-8539-2421B9856129}">
      <text>
        <r>
          <rPr>
            <b/>
            <sz val="9"/>
            <color indexed="81"/>
            <rFont val="Tahoma"/>
            <family val="2"/>
          </rPr>
          <t>Ayoola, Joseph (Research):</t>
        </r>
        <r>
          <rPr>
            <sz val="9"/>
            <color indexed="81"/>
            <rFont val="Tahoma"/>
            <family val="2"/>
          </rPr>
          <t xml:space="preserve">
€794m discontinued ops / held for sale</t>
        </r>
      </text>
    </comment>
    <comment ref="T37" authorId="3" shapeId="0" xr:uid="{5E62B60E-4EBC-4BBA-A6AC-AF9130B325A7}">
      <text>
        <r>
          <rPr>
            <b/>
            <sz val="9"/>
            <color indexed="81"/>
            <rFont val="Tahoma"/>
            <family val="2"/>
          </rPr>
          <t>Rawat, Vinayak (Research):</t>
        </r>
        <r>
          <rPr>
            <sz val="9"/>
            <color indexed="81"/>
            <rFont val="Tahoma"/>
            <family val="2"/>
          </rPr>
          <t xml:space="preserve">
Adjusted the amount of Liabilities held for sale.</t>
        </r>
      </text>
    </comment>
    <comment ref="J41" authorId="0" shapeId="0" xr:uid="{C6600287-E790-4CC4-8C6A-309527DF1A6F}">
      <text>
        <r>
          <rPr>
            <b/>
            <sz val="9"/>
            <color indexed="81"/>
            <rFont val="Tahoma"/>
            <family val="2"/>
          </rPr>
          <t>Ayoola, Joseph (Research):</t>
        </r>
        <r>
          <rPr>
            <sz val="9"/>
            <color indexed="81"/>
            <rFont val="Tahoma"/>
            <family val="2"/>
          </rPr>
          <t xml:space="preserve">
incl. pensions</t>
        </r>
      </text>
    </comment>
    <comment ref="K41" authorId="0" shapeId="0" xr:uid="{099FF5F6-F2F5-467E-8262-5B6F710BB29B}">
      <text>
        <r>
          <rPr>
            <b/>
            <sz val="9"/>
            <color indexed="81"/>
            <rFont val="Tahoma"/>
            <family val="2"/>
          </rPr>
          <t>Ayoola, Joseph (Research):</t>
        </r>
        <r>
          <rPr>
            <sz val="9"/>
            <color indexed="81"/>
            <rFont val="Tahoma"/>
            <family val="2"/>
          </rPr>
          <t xml:space="preserve">
incl. pensions
</t>
        </r>
      </text>
    </comment>
    <comment ref="L41" authorId="0" shapeId="0" xr:uid="{BDB2CFBA-9C66-4C7A-9F15-B1D37E0BF4C4}">
      <text>
        <r>
          <rPr>
            <b/>
            <sz val="9"/>
            <color indexed="81"/>
            <rFont val="Tahoma"/>
            <family val="2"/>
          </rPr>
          <t>Ayoola, Joseph (Research):</t>
        </r>
        <r>
          <rPr>
            <sz val="9"/>
            <color indexed="81"/>
            <rFont val="Tahoma"/>
            <family val="2"/>
          </rPr>
          <t xml:space="preserve">
incl. pensions
</t>
        </r>
      </text>
    </comment>
    <comment ref="A45" authorId="4" shapeId="0" xr:uid="{1C38AB85-57B3-49C2-BA7C-757E8CC433DF}">
      <text>
        <r>
          <rPr>
            <b/>
            <sz val="8"/>
            <color indexed="81"/>
            <rFont val="Tahoma"/>
            <family val="2"/>
          </rPr>
          <t>Humphrey, Andrew (Research):</t>
        </r>
        <r>
          <rPr>
            <sz val="8"/>
            <color indexed="81"/>
            <rFont val="Tahoma"/>
            <family val="2"/>
          </rPr>
          <t xml:space="preserve">
This line becomes the net creditor resulting from LTSAs</t>
        </r>
      </text>
    </comment>
    <comment ref="V45" authorId="1" shapeId="0" xr:uid="{3D9FA054-5E3D-447C-8F98-6A8251C3CED7}">
      <text>
        <r>
          <rPr>
            <b/>
            <sz val="9"/>
            <color indexed="81"/>
            <rFont val="Tahoma"/>
            <family val="2"/>
          </rPr>
          <t>Magajwala, Vatsal (Research):</t>
        </r>
        <r>
          <rPr>
            <sz val="9"/>
            <color indexed="81"/>
            <rFont val="Tahoma"/>
            <family val="2"/>
          </rPr>
          <t xml:space="preserve">
11: Other non-current financial liabilities
15: Non-current derivatives (negative fair value)</t>
        </r>
      </text>
    </comment>
    <comment ref="C67" authorId="5" shapeId="0" xr:uid="{6000052D-06ED-4EA6-B0C7-900031868EEB}">
      <text>
        <r>
          <rPr>
            <b/>
            <sz val="8"/>
            <color indexed="81"/>
            <rFont val="Tahoma"/>
            <family val="2"/>
          </rPr>
          <t>muirrob:</t>
        </r>
        <r>
          <rPr>
            <sz val="8"/>
            <color indexed="81"/>
            <rFont val="Tahoma"/>
            <family val="2"/>
          </rPr>
          <t xml:space="preserve">
includes €3807 changes in scope of consolidation</t>
        </r>
      </text>
    </comment>
    <comment ref="I67" authorId="6" shapeId="0" xr:uid="{B397812A-0A74-4AD6-A875-696422CBB733}">
      <text>
        <r>
          <rPr>
            <b/>
            <sz val="8"/>
            <color indexed="81"/>
            <rFont val="Tahoma"/>
            <family val="2"/>
          </rPr>
          <t>vigrupi:</t>
        </r>
        <r>
          <rPr>
            <sz val="8"/>
            <color indexed="81"/>
            <rFont val="Tahoma"/>
            <family val="2"/>
          </rPr>
          <t xml:space="preserve">
L-1 acqusition</t>
        </r>
      </text>
    </comment>
    <comment ref="Q67" authorId="0" shapeId="0" xr:uid="{34E58E35-057B-48D8-9F8D-074C54D3D211}">
      <text>
        <r>
          <rPr>
            <b/>
            <sz val="9"/>
            <color indexed="81"/>
            <rFont val="Tahoma"/>
            <family val="2"/>
          </rPr>
          <t>Ayoola, Joseph (Research):</t>
        </r>
        <r>
          <rPr>
            <sz val="9"/>
            <color indexed="81"/>
            <rFont val="Tahoma"/>
            <family val="2"/>
          </rPr>
          <t xml:space="preserve">
includes €327M negative from IFRS 16</t>
        </r>
      </text>
    </comment>
    <comment ref="C73" authorId="5" shapeId="0" xr:uid="{E3ECE077-DCFB-4DFE-BF36-808461B828B5}">
      <text>
        <r>
          <rPr>
            <b/>
            <sz val="8"/>
            <color indexed="81"/>
            <rFont val="Tahoma"/>
            <family val="2"/>
          </rPr>
          <t>muirrob:</t>
        </r>
        <r>
          <rPr>
            <sz val="8"/>
            <color indexed="81"/>
            <rFont val="Tahoma"/>
            <family val="2"/>
          </rPr>
          <t xml:space="preserve">
includes €2310 changes in scope of consolidation</t>
        </r>
      </text>
    </comment>
    <comment ref="Q73" authorId="0" shapeId="0" xr:uid="{6E0B03A8-5B13-45C8-9B59-CBCA1A2F925D}">
      <text>
        <r>
          <rPr>
            <b/>
            <sz val="9"/>
            <color indexed="81"/>
            <rFont val="Tahoma"/>
            <family val="2"/>
          </rPr>
          <t>Ayoola, Joseph (Research):</t>
        </r>
        <r>
          <rPr>
            <sz val="9"/>
            <color indexed="81"/>
            <rFont val="Tahoma"/>
            <family val="2"/>
          </rPr>
          <t xml:space="preserve">
includes €119m positive from IFRS 16</t>
        </r>
      </text>
    </comment>
    <comment ref="A80" authorId="2" shapeId="0" xr:uid="{BA10CEE6-6ECA-40D0-8FB0-D369C584478B}">
      <text>
        <r>
          <rPr>
            <b/>
            <sz val="8"/>
            <color indexed="81"/>
            <rFont val="Tahoma"/>
            <family val="2"/>
          </rPr>
          <t>royanirb:</t>
        </r>
        <r>
          <rPr>
            <sz val="8"/>
            <color indexed="81"/>
            <rFont val="Tahoma"/>
            <family val="2"/>
          </rPr>
          <t xml:space="preserve">
Capitalised R&amp;D</t>
        </r>
      </text>
    </comment>
    <comment ref="L86" authorId="0" shapeId="0" xr:uid="{28CE4E19-87B6-4044-B86B-E35A4D15FD8A}">
      <text>
        <r>
          <rPr>
            <b/>
            <sz val="9"/>
            <color indexed="81"/>
            <rFont val="Tahoma"/>
            <family val="2"/>
          </rPr>
          <t>Ayoola, Joseph (Research):</t>
        </r>
        <r>
          <rPr>
            <sz val="9"/>
            <color indexed="81"/>
            <rFont val="Tahoma"/>
            <family val="2"/>
          </rPr>
          <t xml:space="preserve">
includes €32m of capitalised interest</t>
        </r>
      </text>
    </comment>
    <comment ref="M86" authorId="0" shapeId="0" xr:uid="{17A134F2-C757-4C08-875A-B3D102D91B7C}">
      <text>
        <r>
          <rPr>
            <b/>
            <sz val="9"/>
            <color indexed="81"/>
            <rFont val="Tahoma"/>
            <family val="2"/>
          </rPr>
          <t>Ayoola, Joseph (Research):</t>
        </r>
        <r>
          <rPr>
            <sz val="9"/>
            <color indexed="81"/>
            <rFont val="Tahoma"/>
            <family val="2"/>
          </rPr>
          <t xml:space="preserve">
includes €26m of capitalised interest</t>
        </r>
      </text>
    </comment>
    <comment ref="N86" authorId="0" shapeId="0" xr:uid="{4D2D3DC5-8ED3-49C7-8CC0-D55AC15426D8}">
      <text>
        <r>
          <rPr>
            <b/>
            <sz val="9"/>
            <color indexed="81"/>
            <rFont val="Tahoma"/>
            <family val="2"/>
          </rPr>
          <t>Ayoola, Joseph (Research):</t>
        </r>
        <r>
          <rPr>
            <sz val="9"/>
            <color indexed="81"/>
            <rFont val="Tahoma"/>
            <family val="2"/>
          </rPr>
          <t xml:space="preserve">
includes €20m capitalised interest
</t>
        </r>
      </text>
    </comment>
    <comment ref="R87" authorId="7" shapeId="0" xr:uid="{3B4AE375-648A-44C9-9BA6-FBD0B991B2AB}">
      <text>
        <r>
          <rPr>
            <b/>
            <sz val="9"/>
            <color indexed="81"/>
            <rFont val="Tahoma"/>
            <family val="2"/>
          </rPr>
          <t>Nicolas, Alexane (Research):</t>
        </r>
        <r>
          <rPr>
            <sz val="9"/>
            <color indexed="81"/>
            <rFont val="Tahoma"/>
            <family val="2"/>
          </rPr>
          <t xml:space="preserve">
0.6*2019 level</t>
        </r>
      </text>
    </comment>
    <comment ref="C94" authorId="5" shapeId="0" xr:uid="{04C17ED4-E5D7-4934-8885-912DD68D084A}">
      <text>
        <r>
          <rPr>
            <b/>
            <sz val="8"/>
            <color indexed="81"/>
            <rFont val="Tahoma"/>
            <family val="2"/>
          </rPr>
          <t>muirrob:</t>
        </r>
        <r>
          <rPr>
            <sz val="8"/>
            <color indexed="81"/>
            <rFont val="Tahoma"/>
            <family val="2"/>
          </rPr>
          <t xml:space="preserve">
includes €2310 changes in scope of consolidation</t>
        </r>
      </text>
    </comment>
    <comment ref="X107" authorId="8" shapeId="0" xr:uid="{94078D4C-5322-4122-B689-7A7D1368F499}">
      <text>
        <r>
          <rPr>
            <b/>
            <sz val="9"/>
            <color indexed="81"/>
            <rFont val="Tahoma"/>
            <family val="2"/>
          </rPr>
          <t>Law, Ross (Research):</t>
        </r>
        <r>
          <rPr>
            <sz val="9"/>
            <color indexed="81"/>
            <rFont val="Tahoma"/>
            <family val="2"/>
          </rPr>
          <t xml:space="preserve">
1H25: targetting 10 day reduction in inventory DSO </t>
        </r>
      </text>
    </comment>
    <comment ref="Q108" authorId="4" shapeId="0" xr:uid="{FD99DC77-6F34-4657-82B7-EE71616ADE34}">
      <text>
        <r>
          <rPr>
            <b/>
            <sz val="9"/>
            <color indexed="81"/>
            <rFont val="Tahoma"/>
            <family val="2"/>
          </rPr>
          <t>Humphrey, Andrew (Research):</t>
        </r>
        <r>
          <rPr>
            <sz val="9"/>
            <color indexed="81"/>
            <rFont val="Tahoma"/>
            <family val="2"/>
          </rPr>
          <t xml:space="preserve">
Inventory impact of MAX grounding should be 100m x 2 assuming airlines stopped paying PDPs during 2H.</t>
        </r>
      </text>
    </comment>
    <comment ref="R108" authorId="4" shapeId="0" xr:uid="{188EF727-3550-4895-9D01-2F621C6C769F}">
      <text>
        <r>
          <rPr>
            <b/>
            <sz val="9"/>
            <color indexed="81"/>
            <rFont val="Tahoma"/>
            <family val="2"/>
          </rPr>
          <t>Humphrey, Andrew (Research):</t>
        </r>
        <r>
          <rPr>
            <sz val="9"/>
            <color indexed="81"/>
            <rFont val="Tahoma"/>
            <family val="2"/>
          </rPr>
          <t xml:space="preserve">
Inventories should increase again by 400-500m
Post 737 announcement End of July ~550-650 impact
</t>
        </r>
      </text>
    </comment>
    <comment ref="Q112" authorId="4" shapeId="0" xr:uid="{ABB2AFBC-ED79-4209-A563-C3B2C3394405}">
      <text>
        <r>
          <rPr>
            <b/>
            <sz val="9"/>
            <color indexed="81"/>
            <rFont val="Tahoma"/>
            <family val="2"/>
          </rPr>
          <t>Humphrey, Andrew (Research):</t>
        </r>
        <r>
          <rPr>
            <sz val="9"/>
            <color indexed="81"/>
            <rFont val="Tahoma"/>
            <family val="2"/>
          </rPr>
          <t xml:space="preserve">
Receivables increase should reflect 200m x 3, which is the impact of final payments for LEAP 1-B engines note received during MAX grounding. </t>
        </r>
      </text>
    </comment>
    <comment ref="R112" authorId="4" shapeId="0" xr:uid="{6943ED3F-EA5F-4597-A9B9-64282FBBB3DF}">
      <text>
        <r>
          <rPr>
            <b/>
            <sz val="9"/>
            <color indexed="81"/>
            <rFont val="Tahoma"/>
            <family val="2"/>
          </rPr>
          <t>Humphrey, Andrew (Research):</t>
        </r>
        <r>
          <rPr>
            <sz val="9"/>
            <color indexed="81"/>
            <rFont val="Tahoma"/>
            <family val="2"/>
          </rPr>
          <t xml:space="preserve">
Receivables should build again, by 400-500m
Post MAX mid July - btw 550-650mn</t>
        </r>
      </text>
    </comment>
    <comment ref="V182" authorId="1" shapeId="0" xr:uid="{B717AF52-194A-40B3-99FA-9BE46BA86478}">
      <text>
        <r>
          <rPr>
            <b/>
            <sz val="9"/>
            <color indexed="81"/>
            <rFont val="Tahoma"/>
            <family val="2"/>
          </rPr>
          <t>Magajwala, Vatsal (Research):</t>
        </r>
        <r>
          <rPr>
            <sz val="9"/>
            <color indexed="81"/>
            <rFont val="Tahoma"/>
            <family val="2"/>
          </rPr>
          <t xml:space="preserve">
Not reported in financial report hence retained the formula as it is</t>
        </r>
      </text>
    </comment>
    <comment ref="V183" authorId="1" shapeId="0" xr:uid="{81F97BAD-340D-4A2C-A077-CA1B93DBBFA1}">
      <text>
        <r>
          <rPr>
            <b/>
            <sz val="9"/>
            <color indexed="81"/>
            <rFont val="Tahoma"/>
            <family val="2"/>
          </rPr>
          <t>Magajwala, Vatsal (Research):</t>
        </r>
        <r>
          <rPr>
            <sz val="9"/>
            <color indexed="81"/>
            <rFont val="Tahoma"/>
            <family val="2"/>
          </rPr>
          <t xml:space="preserve">
Not reported in financial report hence retained the formula as it is</t>
        </r>
      </text>
    </comment>
    <comment ref="N188" authorId="0" shapeId="0" xr:uid="{DBC89843-D895-4DC7-8EEA-58A9F40D6C6C}">
      <text>
        <r>
          <rPr>
            <b/>
            <sz val="9"/>
            <color indexed="81"/>
            <rFont val="Tahoma"/>
            <family val="2"/>
          </rPr>
          <t>Ayoola, Joseph (Research):</t>
        </r>
        <r>
          <rPr>
            <sz val="9"/>
            <color indexed="81"/>
            <rFont val="Tahoma"/>
            <family val="2"/>
          </rPr>
          <t xml:space="preserve">
ASL €1,484m
Other €691m</t>
        </r>
      </text>
    </comment>
    <comment ref="O188" authorId="0" shapeId="0" xr:uid="{40F520BD-7CC9-4736-9495-A530603A443F}">
      <text>
        <r>
          <rPr>
            <b/>
            <sz val="9"/>
            <color indexed="81"/>
            <rFont val="Tahoma"/>
            <family val="2"/>
          </rPr>
          <t>Ayoola, Joseph (Research):</t>
        </r>
        <r>
          <rPr>
            <sz val="9"/>
            <color indexed="81"/>
            <rFont val="Tahoma"/>
            <family val="2"/>
          </rPr>
          <t xml:space="preserve">
ow/ ArianeGrup €1,550m</t>
        </r>
      </text>
    </comment>
    <comment ref="N193" authorId="0" shapeId="0" xr:uid="{DFD8E873-C70E-4858-97AF-7E80401C49B3}">
      <text>
        <r>
          <rPr>
            <b/>
            <sz val="9"/>
            <color indexed="81"/>
            <rFont val="Tahoma"/>
            <family val="2"/>
          </rPr>
          <t>Ayoola, Joseph (Research):</t>
        </r>
        <r>
          <rPr>
            <sz val="9"/>
            <color indexed="81"/>
            <rFont val="Tahoma"/>
            <family val="2"/>
          </rPr>
          <t xml:space="preserve">
€38m ASL, €49m other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Law, Ross (Research)</author>
    <author>Magajwala, Vatsal (Research)</author>
    <author>vigrupi</author>
    <author>Nicolas, Alexane (Research)</author>
    <author>Ayoola, Joseph (Research)</author>
    <author>Humphrey, Andrew (Research)</author>
  </authors>
  <commentList>
    <comment ref="AF9" authorId="0" shapeId="0" xr:uid="{CDFAFEB5-78FF-4172-BFB7-28FCEA2F2A19}">
      <text>
        <r>
          <rPr>
            <b/>
            <sz val="9"/>
            <color indexed="81"/>
            <rFont val="Tahoma"/>
            <family val="2"/>
          </rPr>
          <t>Law, Ross (Research):</t>
        </r>
        <r>
          <rPr>
            <sz val="9"/>
            <color indexed="81"/>
            <rFont val="Tahoma"/>
            <family val="2"/>
          </rPr>
          <t xml:space="preserve">
interesting disclosure in the annual report. Pg 73. Split out of total CFM56 and LEAP revenues.
“In 2023, the CFM56 and LEAP engine programs (including spare parts, maintenance and repair sales) generated 67% of Safran’s Aerospace Propulsion revenue
</t>
        </r>
      </text>
    </comment>
    <comment ref="CK9" authorId="0" shapeId="0" xr:uid="{72D61111-7976-4C2E-8EF7-E6AB24FA0BD0}">
      <text>
        <r>
          <rPr>
            <b/>
            <sz val="9"/>
            <color indexed="81"/>
            <rFont val="Tahoma"/>
            <family val="2"/>
          </rPr>
          <t>Law, Ross (Research):</t>
        </r>
        <r>
          <rPr>
            <sz val="9"/>
            <color indexed="81"/>
            <rFont val="Tahoma"/>
            <family val="2"/>
          </rPr>
          <t xml:space="preserve">
CMD: MSD-HSD</t>
        </r>
      </text>
    </comment>
    <comment ref="L11" authorId="1" shapeId="0" xr:uid="{87943D09-BAD9-499F-9787-55C7B8E198CD}">
      <text>
        <r>
          <rPr>
            <b/>
            <sz val="9"/>
            <color indexed="81"/>
            <rFont val="Tahoma"/>
            <family val="2"/>
          </rPr>
          <t>Magajwala, Vatsal (Research):</t>
        </r>
        <r>
          <rPr>
            <sz val="9"/>
            <color indexed="81"/>
            <rFont val="Tahoma"/>
            <family val="2"/>
          </rPr>
          <t xml:space="preserve">
FY13 revenue restated, hence not captured</t>
        </r>
      </text>
    </comment>
    <comment ref="M11" authorId="1" shapeId="0" xr:uid="{F30B0553-EF61-4ABD-B4B3-40196EC4B968}">
      <text>
        <r>
          <rPr>
            <b/>
            <sz val="9"/>
            <color indexed="81"/>
            <rFont val="Tahoma"/>
            <family val="2"/>
          </rPr>
          <t>Magajwala, Vatsal (Research):</t>
        </r>
        <r>
          <rPr>
            <sz val="9"/>
            <color indexed="81"/>
            <rFont val="Tahoma"/>
            <family val="2"/>
          </rPr>
          <t xml:space="preserve">
FY13 revenue restated, hence not captured</t>
        </r>
      </text>
    </comment>
    <comment ref="AI11" authorId="1" shapeId="0" xr:uid="{7B49EFD6-312A-4496-8EA3-ED94D2F5556D}">
      <text>
        <r>
          <rPr>
            <b/>
            <sz val="9"/>
            <color indexed="81"/>
            <rFont val="Tahoma"/>
            <family val="2"/>
          </rPr>
          <t>Magajwala, Vatsal (Research):</t>
        </r>
        <r>
          <rPr>
            <sz val="9"/>
            <color indexed="81"/>
            <rFont val="Tahoma"/>
            <family val="2"/>
          </rPr>
          <t xml:space="preserve">
Propulsion was up by 9.2% driven by services growth</t>
        </r>
      </text>
    </comment>
    <comment ref="AN19" authorId="1" shapeId="0" xr:uid="{DCA55D04-9347-4AAF-A9E6-0D131C8B6804}">
      <text>
        <r>
          <rPr>
            <b/>
            <sz val="9"/>
            <color indexed="81"/>
            <rFont val="Tahoma"/>
            <family val="2"/>
          </rPr>
          <t>Magajwala, Vatsal (Research):</t>
        </r>
        <r>
          <rPr>
            <sz val="9"/>
            <color indexed="81"/>
            <rFont val="Tahoma"/>
            <family val="2"/>
          </rPr>
          <t xml:space="preserve">
Retained assumption</t>
        </r>
      </text>
    </comment>
    <comment ref="AN23" authorId="0" shapeId="0" xr:uid="{7763BEE5-10B1-48F6-8D09-4572632E4E6C}">
      <text>
        <r>
          <rPr>
            <b/>
            <sz val="9"/>
            <color indexed="81"/>
            <rFont val="Tahoma"/>
            <family val="2"/>
          </rPr>
          <t>Law, Ross (Research):</t>
        </r>
        <r>
          <rPr>
            <sz val="9"/>
            <color indexed="81"/>
            <rFont val="Tahoma"/>
            <family val="2"/>
          </rPr>
          <t xml:space="preserve">
Expect margin to be flat yoy at ~20%: fewer LEAP spares, higher LEAP RPFH volumes
</t>
        </r>
        <r>
          <rPr>
            <b/>
            <sz val="9"/>
            <color indexed="81"/>
            <rFont val="Tahoma"/>
            <family val="2"/>
          </rPr>
          <t xml:space="preserve">Magajwala, Vatsal (Research):
</t>
        </r>
        <r>
          <rPr>
            <sz val="9"/>
            <color indexed="81"/>
            <rFont val="Tahoma"/>
            <family val="2"/>
          </rPr>
          <t>Operating margin stood at 20.6% of sales, up by 0.5pt, supported by strong civil aftermarket activity benefitting from higher spare parts sales for CFM56</t>
        </r>
      </text>
    </comment>
    <comment ref="BT23" authorId="0" shapeId="0" xr:uid="{DF15D0EB-3A34-46BF-8B89-1E2777F082C3}">
      <text>
        <r>
          <rPr>
            <b/>
            <sz val="9"/>
            <color indexed="81"/>
            <rFont val="Tahoma"/>
            <family val="2"/>
          </rPr>
          <t>Law, Ross (Research):</t>
        </r>
        <r>
          <rPr>
            <sz val="9"/>
            <color indexed="81"/>
            <rFont val="Tahoma"/>
            <family val="2"/>
          </rPr>
          <t xml:space="preserve">
FY25: 22-24%</t>
        </r>
      </text>
    </comment>
    <comment ref="J25" authorId="2" shapeId="0" xr:uid="{3510CDC3-9032-4748-9B1B-A40E5E23D90F}">
      <text>
        <r>
          <rPr>
            <b/>
            <sz val="8"/>
            <color indexed="81"/>
            <rFont val="Tahoma"/>
            <family val="2"/>
          </rPr>
          <t>vigrupi:</t>
        </r>
        <r>
          <rPr>
            <sz val="8"/>
            <color indexed="81"/>
            <rFont val="Tahoma"/>
            <family val="2"/>
          </rPr>
          <t xml:space="preserve">
page 7 of financial statement</t>
        </r>
      </text>
    </comment>
    <comment ref="AC28" authorId="1" shapeId="0" xr:uid="{79526727-B1D9-4AC3-882B-BD55F18E077C}">
      <text>
        <r>
          <rPr>
            <b/>
            <sz val="9"/>
            <color indexed="81"/>
            <rFont val="Tahoma"/>
            <family val="2"/>
          </rPr>
          <t>Magajwala, Vatsal (Research):</t>
        </r>
        <r>
          <rPr>
            <sz val="9"/>
            <color indexed="81"/>
            <rFont val="Tahoma"/>
            <family val="2"/>
          </rPr>
          <t xml:space="preserve">
Taken it as balancing as company is not reporting divisional breakup</t>
        </r>
      </text>
    </comment>
    <comment ref="AK28" authorId="1" shapeId="0" xr:uid="{A7AC39F7-0B4F-4160-ABC1-37D8E9D8EAC5}">
      <text>
        <r>
          <rPr>
            <b/>
            <sz val="9"/>
            <color indexed="81"/>
            <rFont val="Tahoma"/>
            <family val="2"/>
          </rPr>
          <t>Magajwala, Vatsal (Research):</t>
        </r>
        <r>
          <rPr>
            <sz val="9"/>
            <color indexed="81"/>
            <rFont val="Tahoma"/>
            <family val="2"/>
          </rPr>
          <t xml:space="preserve">
Taken it as balancing as company is not reporting divisional breakup</t>
        </r>
      </text>
    </comment>
    <comment ref="AS28" authorId="1" shapeId="0" xr:uid="{C34E3B5D-B670-4F71-932F-66AD796AAA2A}">
      <text>
        <r>
          <rPr>
            <b/>
            <sz val="9"/>
            <color indexed="81"/>
            <rFont val="Tahoma"/>
            <family val="2"/>
          </rPr>
          <t>Magajwala, Vatsal (Research):</t>
        </r>
        <r>
          <rPr>
            <sz val="9"/>
            <color indexed="81"/>
            <rFont val="Tahoma"/>
            <family val="2"/>
          </rPr>
          <t xml:space="preserve">
Taken it as balancing as company is not reporting divisional breakup</t>
        </r>
      </text>
    </comment>
    <comment ref="V34" authorId="3" shapeId="0" xr:uid="{756426C9-7694-4F59-B68B-FBDD8056CCCD}">
      <text>
        <r>
          <rPr>
            <b/>
            <sz val="9"/>
            <color indexed="81"/>
            <rFont val="Tahoma"/>
            <family val="2"/>
          </rPr>
          <t>Nicolas, Alexane (Research):</t>
        </r>
        <r>
          <rPr>
            <sz val="9"/>
            <color indexed="81"/>
            <rFont val="Tahoma"/>
            <family val="2"/>
          </rPr>
          <t xml:space="preserve">
Capex cut to 60% of 2019</t>
        </r>
      </text>
    </comment>
    <comment ref="O42" authorId="4" shapeId="0" xr:uid="{B2FC6C00-0FEB-421D-B907-970E0414209E}">
      <text>
        <r>
          <rPr>
            <b/>
            <sz val="9"/>
            <color indexed="81"/>
            <rFont val="Tahoma"/>
            <family val="2"/>
          </rPr>
          <t>Ayoola, Joseph (Research):</t>
        </r>
        <r>
          <rPr>
            <sz val="9"/>
            <color indexed="81"/>
            <rFont val="Tahoma"/>
            <family val="2"/>
          </rPr>
          <t xml:space="preserve">
Restated: €36,675m</t>
        </r>
      </text>
    </comment>
    <comment ref="A59" authorId="0" shapeId="0" xr:uid="{8ECC6D17-D8E0-47C5-936E-3B9FD2D57B38}">
      <text>
        <r>
          <rPr>
            <b/>
            <sz val="9"/>
            <color indexed="81"/>
            <rFont val="Tahoma"/>
            <family val="2"/>
          </rPr>
          <t>Law, Ross (Research):</t>
        </r>
        <r>
          <rPr>
            <sz val="9"/>
            <color indexed="81"/>
            <rFont val="Tahoma"/>
            <family val="2"/>
          </rPr>
          <t xml:space="preserve">
Source: AR ("% of business line revenue")</t>
        </r>
      </text>
    </comment>
    <comment ref="Y60" authorId="0" shapeId="0" xr:uid="{1B49DEB8-E5A1-4AB5-B462-F956F3B68A23}">
      <text>
        <r>
          <rPr>
            <b/>
            <sz val="9"/>
            <color indexed="81"/>
            <rFont val="Tahoma"/>
            <family val="2"/>
          </rPr>
          <t>Law, Ross (Research):</t>
        </r>
        <r>
          <rPr>
            <sz val="9"/>
            <color indexed="81"/>
            <rFont val="Tahoma"/>
            <family val="2"/>
          </rPr>
          <t xml:space="preserve">
"growth in military and helcopters in Propulsion not signfiicant which supports this split</t>
        </r>
      </text>
    </comment>
    <comment ref="AN60" authorId="0" shapeId="0" xr:uid="{2D79165D-D8F8-40BF-9FA4-186362E10CBD}">
      <text>
        <r>
          <rPr>
            <b/>
            <sz val="9"/>
            <color indexed="81"/>
            <rFont val="Tahoma"/>
            <family val="2"/>
          </rPr>
          <t>Law, Ross (Research):</t>
        </r>
        <r>
          <rPr>
            <sz val="9"/>
            <color indexed="81"/>
            <rFont val="Tahoma"/>
            <family val="2"/>
          </rPr>
          <t xml:space="preserve">
Not disclosed. IR: split roughly the same as 2023</t>
        </r>
      </text>
    </comment>
    <comment ref="AV60" authorId="0" shapeId="0" xr:uid="{9555F8FA-480F-4316-9CDF-B6A4C27BE9CD}">
      <text>
        <r>
          <rPr>
            <b/>
            <sz val="9"/>
            <color indexed="81"/>
            <rFont val="Tahoma"/>
            <family val="2"/>
          </rPr>
          <t>Law, Ross (Research):</t>
        </r>
        <r>
          <rPr>
            <sz val="9"/>
            <color indexed="81"/>
            <rFont val="Tahoma"/>
            <family val="2"/>
          </rPr>
          <t xml:space="preserve">
IR (26/08/26): we are still at 80% civil, 10% military aviation, 10% helicopters (including military and missile propulsion).</t>
        </r>
      </text>
    </comment>
    <comment ref="AN61" authorId="0" shapeId="0" xr:uid="{1DA0F83B-4FE0-49F4-8495-4B2F39BEDDF9}">
      <text>
        <r>
          <rPr>
            <b/>
            <sz val="9"/>
            <color indexed="81"/>
            <rFont val="Tahoma"/>
            <family val="2"/>
          </rPr>
          <t>Law, Ross (Research):</t>
        </r>
        <r>
          <rPr>
            <sz val="9"/>
            <color indexed="81"/>
            <rFont val="Tahoma"/>
            <family val="2"/>
          </rPr>
          <t xml:space="preserve">
Not disclosed. IR: split roughly the same as 2023</t>
        </r>
      </text>
    </comment>
    <comment ref="AV61" authorId="0" shapeId="0" xr:uid="{D2068D13-EFE2-472B-8E31-CA49D7DBC384}">
      <text>
        <r>
          <rPr>
            <b/>
            <sz val="9"/>
            <color indexed="81"/>
            <rFont val="Tahoma"/>
            <family val="2"/>
          </rPr>
          <t>Law, Ross (Research):</t>
        </r>
        <r>
          <rPr>
            <sz val="9"/>
            <color indexed="81"/>
            <rFont val="Tahoma"/>
            <family val="2"/>
          </rPr>
          <t xml:space="preserve">
IR (26/08/26): we are still at 80% civil, 10% military aviation, 10% helicopters (including military and missile propulsion).</t>
        </r>
      </text>
    </comment>
    <comment ref="AN62" authorId="0" shapeId="0" xr:uid="{EB37D2BC-958C-4648-9A28-2D52C1A97FAD}">
      <text>
        <r>
          <rPr>
            <b/>
            <sz val="9"/>
            <color indexed="81"/>
            <rFont val="Tahoma"/>
            <family val="2"/>
          </rPr>
          <t>Law, Ross (Research):</t>
        </r>
        <r>
          <rPr>
            <sz val="9"/>
            <color indexed="81"/>
            <rFont val="Tahoma"/>
            <family val="2"/>
          </rPr>
          <t xml:space="preserve">
Not disclosed. IR: split roughly the same as 2023</t>
        </r>
      </text>
    </comment>
    <comment ref="AV62" authorId="0" shapeId="0" xr:uid="{529E5BC5-F767-4CBA-AD35-47F2B91DB959}">
      <text>
        <r>
          <rPr>
            <b/>
            <sz val="9"/>
            <color indexed="81"/>
            <rFont val="Tahoma"/>
            <family val="2"/>
          </rPr>
          <t>Law, Ross (Research):</t>
        </r>
        <r>
          <rPr>
            <sz val="9"/>
            <color indexed="81"/>
            <rFont val="Tahoma"/>
            <family val="2"/>
          </rPr>
          <t xml:space="preserve">
IR (26/08/26): we are still at 80% civil, 10% military aviation, 10% helicopters (including military and missile propulsion).</t>
        </r>
      </text>
    </comment>
    <comment ref="V74" authorId="1" shapeId="0" xr:uid="{C20EC429-F918-4055-A9D7-C0AA5F25D454}">
      <text>
        <r>
          <rPr>
            <b/>
            <sz val="9"/>
            <color indexed="81"/>
            <rFont val="Tahoma"/>
            <family val="2"/>
          </rPr>
          <t>Magajwala, Vatsal (Research):</t>
        </r>
        <r>
          <rPr>
            <sz val="9"/>
            <color indexed="81"/>
            <rFont val="Tahoma"/>
            <family val="2"/>
          </rPr>
          <t xml:space="preserve">
Original equipment and related products and services 2,859
Sales of studies 85
Other 51
Source: AR 2020</t>
        </r>
      </text>
    </comment>
    <comment ref="AQ74" authorId="0" shapeId="0" xr:uid="{8DDC6AE7-2540-428B-B293-7705FD5E1E97}">
      <text>
        <r>
          <rPr>
            <b/>
            <sz val="9"/>
            <color indexed="81"/>
            <rFont val="Tahoma"/>
            <family val="2"/>
          </rPr>
          <t>Law, Ross (Research):</t>
        </r>
        <r>
          <rPr>
            <sz val="9"/>
            <color indexed="81"/>
            <rFont val="Tahoma"/>
            <family val="2"/>
          </rPr>
          <t xml:space="preserve">
-1 to match disclosure</t>
        </r>
      </text>
    </comment>
    <comment ref="U83" authorId="5" shapeId="0" xr:uid="{0BD10509-4B56-4D9F-8EC3-0731ADB95733}">
      <text>
        <r>
          <rPr>
            <b/>
            <sz val="9"/>
            <color indexed="81"/>
            <rFont val="Tahoma"/>
            <family val="2"/>
          </rPr>
          <t>Humphrey, Andrew (Research):</t>
        </r>
        <r>
          <rPr>
            <sz val="9"/>
            <color indexed="81"/>
            <rFont val="Tahoma"/>
            <family val="2"/>
          </rPr>
          <t xml:space="preserve">
Conversation with IR indicates ~60% of revenue comes from aftermarket</t>
        </r>
      </text>
    </comment>
    <comment ref="CK97" authorId="0" shapeId="0" xr:uid="{F0591531-DEAD-4470-9171-69EE0E19C851}">
      <text>
        <r>
          <rPr>
            <b/>
            <sz val="9"/>
            <color indexed="81"/>
            <rFont val="Tahoma"/>
            <family val="2"/>
          </rPr>
          <t>Law, Ross (Research):</t>
        </r>
        <r>
          <rPr>
            <sz val="9"/>
            <color indexed="81"/>
            <rFont val="Tahoma"/>
            <family val="2"/>
          </rPr>
          <t xml:space="preserve">
Guidance (CMD21): c15% assuming EUR/USD spot 1.20</t>
        </r>
      </text>
    </comment>
    <comment ref="P106" authorId="4" shapeId="0" xr:uid="{792A022F-C5E8-4DEF-89CE-75DA6C4A9FB7}">
      <text>
        <r>
          <rPr>
            <b/>
            <sz val="9"/>
            <color indexed="81"/>
            <rFont val="Tahoma"/>
            <family val="2"/>
          </rPr>
          <t>Ayoola, Joseph (Research):</t>
        </r>
        <r>
          <rPr>
            <sz val="9"/>
            <color indexed="81"/>
            <rFont val="Tahoma"/>
            <family val="2"/>
          </rPr>
          <t xml:space="preserve">
company disclosed headwind of €215m from CFM/LEAP transition</t>
        </r>
      </text>
    </comment>
    <comment ref="Q106" authorId="4" shapeId="0" xr:uid="{053FCAC9-28AE-40C8-B6C5-3CF4D3AF3DBB}">
      <text>
        <r>
          <rPr>
            <b/>
            <sz val="9"/>
            <color indexed="81"/>
            <rFont val="Tahoma"/>
            <family val="2"/>
          </rPr>
          <t>Ayoola, Joseph (Research):</t>
        </r>
        <r>
          <rPr>
            <sz val="9"/>
            <color indexed="81"/>
            <rFont val="Tahoma"/>
            <family val="2"/>
          </rPr>
          <t xml:space="preserve">
€350-400m headwind guided to, per 9M17.
At this point, aggregate profitability of CFM56/LEAP should have been around €100m, so Civil OE EBITA may have been close to zero (given assumed OE losses on other programmes).</t>
        </r>
      </text>
    </comment>
    <comment ref="S106" authorId="5" shapeId="0" xr:uid="{A12F521B-A7F6-4C71-8DA6-A4BC1152CCFF}">
      <text>
        <r>
          <rPr>
            <b/>
            <sz val="9"/>
            <color indexed="81"/>
            <rFont val="Tahoma"/>
            <family val="2"/>
          </rPr>
          <t>Humphrey, Andrew (Research):</t>
        </r>
        <r>
          <rPr>
            <sz val="9"/>
            <color indexed="81"/>
            <rFont val="Tahoma"/>
            <family val="2"/>
          </rPr>
          <t xml:space="preserve">
€15m tailwind</t>
        </r>
      </text>
    </comment>
    <comment ref="U106" authorId="4" shapeId="0" xr:uid="{152330F7-374A-4364-9D9E-3832C3A9BCAE}">
      <text>
        <r>
          <rPr>
            <b/>
            <sz val="9"/>
            <color indexed="81"/>
            <rFont val="Tahoma"/>
            <family val="2"/>
          </rPr>
          <t>Ayoola, Joseph (Research):</t>
        </r>
        <r>
          <rPr>
            <sz val="9"/>
            <color indexed="81"/>
            <rFont val="Tahoma"/>
            <family val="2"/>
          </rPr>
          <t xml:space="preserve">
€98m of CFM56-LEAP headwind</t>
        </r>
      </text>
    </comment>
    <comment ref="X117" authorId="0" shapeId="0" xr:uid="{C576B36D-203F-45A0-9E5A-D5039AD93973}">
      <text>
        <r>
          <rPr>
            <b/>
            <sz val="9"/>
            <color indexed="81"/>
            <rFont val="Tahoma"/>
            <family val="2"/>
          </rPr>
          <t>Law, Ross (Research):</t>
        </r>
        <r>
          <rPr>
            <sz val="9"/>
            <color indexed="81"/>
            <rFont val="Tahoma"/>
            <family val="2"/>
          </rPr>
          <t xml:space="preserve">
c4500m USD</t>
        </r>
      </text>
    </comment>
    <comment ref="Y121" authorId="1" shapeId="0" xr:uid="{355D3573-3A68-41DE-84BE-966B885418EB}">
      <text>
        <r>
          <rPr>
            <b/>
            <sz val="9"/>
            <color indexed="81"/>
            <rFont val="Tahoma"/>
            <family val="2"/>
          </rPr>
          <t>Magajwala, Vatsal (Research):</t>
        </r>
        <r>
          <rPr>
            <sz val="9"/>
            <color indexed="81"/>
            <rFont val="Tahoma"/>
            <family val="2"/>
          </rPr>
          <t xml:space="preserve">
Civil aftermarket up +38.1% y-o-y driven by a strong increase in CFM56 spare parts and to a lesser extent high thrust engines spare parts and services contracts</t>
        </r>
      </text>
    </comment>
    <comment ref="AI121" authorId="1" shapeId="0" xr:uid="{3B1E2E9B-09FD-47D4-9207-4BDE598A91A9}">
      <text>
        <r>
          <rPr>
            <b/>
            <sz val="9"/>
            <color indexed="81"/>
            <rFont val="Tahoma"/>
            <family val="2"/>
          </rPr>
          <t>Magajwala, Vatsal (Research):</t>
        </r>
        <r>
          <rPr>
            <sz val="9"/>
            <color indexed="81"/>
            <rFont val="Tahoma"/>
            <family val="2"/>
          </rPr>
          <t xml:space="preserve">
Reported 20.5%</t>
        </r>
      </text>
    </comment>
    <comment ref="AM121" authorId="1" shapeId="0" xr:uid="{B2C938F8-7DD8-49EB-B161-A290AC3D3884}">
      <text>
        <r>
          <rPr>
            <b/>
            <sz val="9"/>
            <color indexed="81"/>
            <rFont val="Tahoma"/>
            <family val="2"/>
          </rPr>
          <t>Magajwala, Vatsal (Research):</t>
        </r>
        <r>
          <rPr>
            <sz val="9"/>
            <color indexed="81"/>
            <rFont val="Tahoma"/>
            <family val="2"/>
          </rPr>
          <t xml:space="preserve">
Reported 26.2%</t>
        </r>
      </text>
    </comment>
    <comment ref="AN121" authorId="1" shapeId="0" xr:uid="{117681D0-C902-4A9F-B8AD-C85298C6668C}">
      <text>
        <r>
          <rPr>
            <b/>
            <sz val="9"/>
            <color indexed="81"/>
            <rFont val="Tahoma"/>
            <family val="2"/>
          </rPr>
          <t xml:space="preserve">Magajwala, Vatsal (Research):
</t>
        </r>
        <r>
          <rPr>
            <sz val="9"/>
            <color indexed="81"/>
            <rFont val="Tahoma"/>
            <family val="2"/>
          </rPr>
          <t>Guidance (3Q24): Up mid-twenties</t>
        </r>
        <r>
          <rPr>
            <b/>
            <sz val="9"/>
            <color indexed="81"/>
            <rFont val="Tahoma"/>
            <family val="2"/>
          </rPr>
          <t xml:space="preserve">
</t>
        </r>
        <r>
          <rPr>
            <sz val="9"/>
            <color indexed="81"/>
            <rFont val="Tahoma"/>
            <family val="2"/>
          </rPr>
          <t>Guidance (1H24): Up mid-twenties
Guidance (FY23): Civil aftermarket revenue up by around 20% (in $)</t>
        </r>
      </text>
    </comment>
    <comment ref="Q170" authorId="5" shapeId="0" xr:uid="{91355DB5-3741-4EFD-99EA-3D64793604C1}">
      <text>
        <r>
          <rPr>
            <b/>
            <sz val="8"/>
            <color indexed="81"/>
            <rFont val="Tahoma"/>
            <family val="2"/>
          </rPr>
          <t>Humphrey, Andrew (Research):</t>
        </r>
        <r>
          <rPr>
            <sz val="8"/>
            <color indexed="81"/>
            <rFont val="Tahoma"/>
            <family val="2"/>
          </rPr>
          <t xml:space="preserve">
OE revenue declined y/y in 1H - 176 unit decline in CFM56 vs 136 unit increase in number of LEAP.</t>
        </r>
      </text>
    </comment>
    <comment ref="Q171" authorId="4" shapeId="0" xr:uid="{4FEA04AE-2017-432F-86D3-5A60D4A72914}">
      <text>
        <r>
          <rPr>
            <b/>
            <sz val="9"/>
            <color indexed="81"/>
            <rFont val="Tahoma"/>
            <family val="2"/>
          </rPr>
          <t>Ayoola, Joseph (Research):</t>
        </r>
        <r>
          <rPr>
            <sz val="9"/>
            <color indexed="81"/>
            <rFont val="Tahoma"/>
            <family val="2"/>
          </rPr>
          <t xml:space="preserve">
OE sales from civil aircraft engines grew organically in the high single digits (8%).</t>
        </r>
      </text>
    </comment>
    <comment ref="S171" authorId="4" shapeId="0" xr:uid="{DB81B392-FB3C-40C3-80F5-B9BD87D82B07}">
      <text>
        <r>
          <rPr>
            <b/>
            <sz val="9"/>
            <color indexed="81"/>
            <rFont val="Tahoma"/>
            <family val="2"/>
          </rPr>
          <t>Ayoola, Joseph (Research):</t>
        </r>
        <r>
          <rPr>
            <sz val="9"/>
            <color indexed="81"/>
            <rFont val="Tahoma"/>
            <family val="2"/>
          </rPr>
          <t xml:space="preserve">
OE sales from civil aircraft engines grew organically in the high single digits (8%).</t>
        </r>
      </text>
    </comment>
    <comment ref="P178" authorId="4" shapeId="0" xr:uid="{EF8331C6-AB0C-4DF9-AD54-671C327C5C63}">
      <text>
        <r>
          <rPr>
            <b/>
            <sz val="9"/>
            <color indexed="81"/>
            <rFont val="Tahoma"/>
            <family val="2"/>
          </rPr>
          <t>Ayoola, Joseph (Research):</t>
        </r>
        <r>
          <rPr>
            <sz val="9"/>
            <color indexed="81"/>
            <rFont val="Tahoma"/>
            <family val="2"/>
          </rPr>
          <t xml:space="preserve">
company disclosed headwind of €215m from CFM/LEAP transition</t>
        </r>
      </text>
    </comment>
    <comment ref="Q178" authorId="4" shapeId="0" xr:uid="{899D6C57-7603-48B9-9F2F-58D3286222B9}">
      <text>
        <r>
          <rPr>
            <b/>
            <sz val="9"/>
            <color indexed="81"/>
            <rFont val="Tahoma"/>
            <family val="2"/>
          </rPr>
          <t>Ayoola, Joseph (Research):</t>
        </r>
        <r>
          <rPr>
            <sz val="9"/>
            <color indexed="81"/>
            <rFont val="Tahoma"/>
            <family val="2"/>
          </rPr>
          <t xml:space="preserve">
€350-400m headwind guided to, per 9M17.
Overall schematic suggests that at this point, combined CFM56/LEAP profitability would be ~€100m, with Civil OE profitability close to zero (given likely losses on other OE programmes).</t>
        </r>
      </text>
    </comment>
    <comment ref="S178" authorId="5" shapeId="0" xr:uid="{8CE0ECDF-6C4B-49EE-AF1E-BFA73A80502F}">
      <text>
        <r>
          <rPr>
            <b/>
            <sz val="9"/>
            <color indexed="81"/>
            <rFont val="Tahoma"/>
            <family val="2"/>
          </rPr>
          <t>Humphrey, Andrew (Research):</t>
        </r>
        <r>
          <rPr>
            <sz val="9"/>
            <color indexed="81"/>
            <rFont val="Tahoma"/>
            <family val="2"/>
          </rPr>
          <t xml:space="preserve">
€15m tailwind</t>
        </r>
      </text>
    </comment>
    <comment ref="Q197" authorId="5" shapeId="0" xr:uid="{D4DD3308-13B5-4E84-83DC-1E34CB0788B2}">
      <text>
        <r>
          <rPr>
            <b/>
            <sz val="8"/>
            <color indexed="81"/>
            <rFont val="Tahoma"/>
            <family val="2"/>
          </rPr>
          <t>Humphrey, Andrew (Research):</t>
        </r>
        <r>
          <rPr>
            <sz val="8"/>
            <color indexed="81"/>
            <rFont val="Tahoma"/>
            <family val="2"/>
          </rPr>
          <t xml:space="preserve">
USD aftermarket growth was 8.4% in 1H</t>
        </r>
      </text>
    </comment>
    <comment ref="S197" authorId="5" shapeId="0" xr:uid="{A6D248BA-73A3-415C-B26D-97E2D7ED4C10}">
      <text>
        <r>
          <rPr>
            <b/>
            <sz val="9"/>
            <color indexed="81"/>
            <rFont val="Tahoma"/>
            <family val="2"/>
          </rPr>
          <t>Humphrey, Andrew (Research):</t>
        </r>
        <r>
          <rPr>
            <sz val="9"/>
            <color indexed="81"/>
            <rFont val="Tahoma"/>
            <family val="2"/>
          </rPr>
          <t xml:space="preserve">
Guide is for 10-12%</t>
        </r>
      </text>
    </comment>
    <comment ref="U197" authorId="5" shapeId="0" xr:uid="{750433ED-6150-49A8-93F1-DC759F38074C}">
      <text>
        <r>
          <rPr>
            <b/>
            <sz val="9"/>
            <color indexed="81"/>
            <rFont val="Tahoma"/>
            <family val="2"/>
          </rPr>
          <t>Humphrey, Andrew (Research):</t>
        </r>
        <r>
          <rPr>
            <sz val="9"/>
            <color indexed="81"/>
            <rFont val="Tahoma"/>
            <family val="2"/>
          </rPr>
          <t xml:space="preserve">
Guidance ~10%</t>
        </r>
      </text>
    </comment>
    <comment ref="AF197" authorId="0" shapeId="0" xr:uid="{97DF930C-2C35-462C-A733-4E1139BACBC4}">
      <text>
        <r>
          <rPr>
            <b/>
            <sz val="9"/>
            <color indexed="81"/>
            <rFont val="Tahoma"/>
            <family val="2"/>
          </rPr>
          <t>Law, Ross (Research):</t>
        </r>
        <r>
          <rPr>
            <sz val="9"/>
            <color indexed="81"/>
            <rFont val="Tahoma"/>
            <family val="2"/>
          </rPr>
          <t xml:space="preserve">
Guidance (3Q23): Up low thirties
Cons (16/01/24): 32%</t>
        </r>
      </text>
    </comment>
    <comment ref="AN197" authorId="1" shapeId="0" xr:uid="{4C7B9519-795A-4616-8B92-D936B2C00206}">
      <text>
        <r>
          <rPr>
            <b/>
            <sz val="9"/>
            <color indexed="81"/>
            <rFont val="Tahoma"/>
            <family val="2"/>
          </rPr>
          <t xml:space="preserve">Magajwala, Vatsal (Research):
</t>
        </r>
        <r>
          <rPr>
            <sz val="9"/>
            <color indexed="81"/>
            <rFont val="Tahoma"/>
            <family val="2"/>
          </rPr>
          <t>Guidance (1H24): Up mid-twenties
Guidance (FY23): Up by around 20% (in $)</t>
        </r>
      </text>
    </comment>
    <comment ref="P210" authorId="0" shapeId="0" xr:uid="{5A1E4EF7-2485-4E12-8331-C87F4413A3ED}">
      <text>
        <r>
          <rPr>
            <b/>
            <sz val="9"/>
            <color indexed="81"/>
            <rFont val="Tahoma"/>
            <family val="2"/>
          </rPr>
          <t>Law, Ross (Research):</t>
        </r>
        <r>
          <rPr>
            <sz val="9"/>
            <color indexed="81"/>
            <rFont val="Tahoma"/>
            <family val="2"/>
          </rPr>
          <t xml:space="preserve">
Helicopter turbine services declined by around 5%, impacted by a fall in flight hours particularly at oil and gas
customers, and the grounding of part of the H225 Super Puma fleet</t>
        </r>
      </text>
    </comment>
    <comment ref="Q210" authorId="0" shapeId="0" xr:uid="{7464CA06-E1BD-455C-BA47-F623C5B2E176}">
      <text>
        <r>
          <rPr>
            <b/>
            <sz val="9"/>
            <color indexed="81"/>
            <rFont val="Tahoma"/>
            <family val="2"/>
          </rPr>
          <t>Law, Ross (Research):</t>
        </r>
        <r>
          <rPr>
            <sz val="9"/>
            <color indexed="81"/>
            <rFont val="Tahoma"/>
            <family val="2"/>
          </rPr>
          <t xml:space="preserve">
Turbine services down y/y</t>
        </r>
      </text>
    </comment>
    <comment ref="S210" authorId="0" shapeId="0" xr:uid="{46EBF2DC-7333-4FC1-A859-F2441FA43E40}">
      <text>
        <r>
          <rPr>
            <b/>
            <sz val="9"/>
            <color indexed="81"/>
            <rFont val="Tahoma"/>
            <family val="2"/>
          </rPr>
          <t>Law, Ross (Research):</t>
        </r>
        <r>
          <rPr>
            <sz val="9"/>
            <color indexed="81"/>
            <rFont val="Tahoma"/>
            <family val="2"/>
          </rPr>
          <t xml:space="preserve">
Helicopter Services revenues up low teens</t>
        </r>
      </text>
    </comment>
    <comment ref="AO210" authorId="1" shapeId="0" xr:uid="{385B5F2F-1005-47C0-B172-5FE98E9172EA}">
      <text>
        <r>
          <rPr>
            <b/>
            <sz val="9"/>
            <color indexed="81"/>
            <rFont val="Tahoma"/>
            <family val="2"/>
          </rPr>
          <t>Magajwala, Vatsal (Research):</t>
        </r>
        <r>
          <rPr>
            <sz val="9"/>
            <color indexed="81"/>
            <rFont val="Tahoma"/>
            <family val="2"/>
          </rPr>
          <t xml:space="preserve">
Helicopter turbines services increased as well, supported by both growth volume and pricing
Source: 1Q25 transcript</t>
        </r>
      </text>
    </comment>
    <comment ref="S211" authorId="5" shapeId="0" xr:uid="{D51DCC2A-9403-4006-9BB4-D1E5C34F3EF7}">
      <text>
        <r>
          <rPr>
            <b/>
            <sz val="9"/>
            <color indexed="81"/>
            <rFont val="Tahoma"/>
            <family val="2"/>
          </rPr>
          <t>Humphrey, Andrew (Research):</t>
        </r>
        <r>
          <rPr>
            <sz val="9"/>
            <color indexed="81"/>
            <rFont val="Tahoma"/>
            <family val="2"/>
          </rPr>
          <t xml:space="preserve">
Current disclosure (3Q19) is that two thirds of the Helicopters business is in services</t>
        </r>
      </text>
    </comment>
    <comment ref="U211" authorId="5" shapeId="0" xr:uid="{3FBFFECA-22AE-4D20-9A55-806DC8C77EC9}">
      <text>
        <r>
          <rPr>
            <b/>
            <sz val="9"/>
            <color indexed="81"/>
            <rFont val="Tahoma"/>
            <family val="2"/>
          </rPr>
          <t>Humphrey, Andrew (Research):</t>
        </r>
        <r>
          <rPr>
            <sz val="9"/>
            <color indexed="81"/>
            <rFont val="Tahoma"/>
            <family val="2"/>
          </rPr>
          <t xml:space="preserve">
Current disclosure (3Q19) is that two thirds of the Helicopters business is in services</t>
        </r>
      </text>
    </comment>
    <comment ref="AG211" authorId="0" shapeId="0" xr:uid="{7131EA15-3E81-48B8-8018-F3EDFB554AFF}">
      <text>
        <r>
          <rPr>
            <b/>
            <sz val="9"/>
            <color indexed="81"/>
            <rFont val="Tahoma"/>
            <family val="2"/>
          </rPr>
          <t>Law, Ross (Research):</t>
        </r>
        <r>
          <rPr>
            <sz val="9"/>
            <color indexed="81"/>
            <rFont val="Tahoma"/>
            <family val="2"/>
          </rPr>
          <t xml:space="preserve">
Helicopter turbine activities grew slightly thanks to OE and to a lesser extent to services, both still penalized by supply chain difficulties.</t>
        </r>
      </text>
    </comment>
    <comment ref="AI211" authorId="1" shapeId="0" xr:uid="{5B1010EB-E57C-4441-9D72-B7B5D399D218}">
      <text>
        <r>
          <rPr>
            <b/>
            <sz val="9"/>
            <color indexed="81"/>
            <rFont val="Tahoma"/>
            <family val="2"/>
          </rPr>
          <t>Magajwala, Vatsal (Research):</t>
        </r>
        <r>
          <rPr>
            <sz val="9"/>
            <color indexed="81"/>
            <rFont val="Tahoma"/>
            <family val="2"/>
          </rPr>
          <t xml:space="preserve">
Helicopter engine revenue growth was driven by OE with increased turbine deliveries (notably Arriel). </t>
        </r>
      </text>
    </comment>
    <comment ref="AK211" authorId="1" shapeId="0" xr:uid="{5D41AC1E-71F3-4FAE-8A31-3943D43C48D8}">
      <text>
        <r>
          <rPr>
            <b/>
            <sz val="9"/>
            <color indexed="81"/>
            <rFont val="Tahoma"/>
            <family val="2"/>
          </rPr>
          <t>Magajwala, Vatsal (Research):</t>
        </r>
        <r>
          <rPr>
            <sz val="9"/>
            <color indexed="81"/>
            <rFont val="Tahoma"/>
            <family val="2"/>
          </rPr>
          <t xml:space="preserve">
Services activity up despite supply chain constraints</t>
        </r>
      </text>
    </comment>
    <comment ref="AN211" authorId="1" shapeId="0" xr:uid="{15FCDA38-2905-4C83-9C49-8A0D2E96C6B9}">
      <text>
        <r>
          <rPr>
            <b/>
            <sz val="9"/>
            <color indexed="81"/>
            <rFont val="Tahoma"/>
            <family val="2"/>
          </rPr>
          <t>Magajwala, Vatsal (Research):</t>
        </r>
        <r>
          <rPr>
            <sz val="9"/>
            <color indexed="81"/>
            <rFont val="Tahoma"/>
            <family val="2"/>
          </rPr>
          <t xml:space="preserve">
Helicopter engine revenue growth was led by higher turbine deliveries (notably Arriel) and service by the hour contracts</t>
        </r>
      </text>
    </comment>
    <comment ref="AO211" authorId="1" shapeId="0" xr:uid="{91433F65-5F53-4A6A-BECB-BC84E95A80BE}">
      <text>
        <r>
          <rPr>
            <b/>
            <sz val="9"/>
            <color indexed="81"/>
            <rFont val="Tahoma"/>
            <family val="2"/>
          </rPr>
          <t>Magajwala, Vatsal (Research):</t>
        </r>
        <r>
          <rPr>
            <sz val="9"/>
            <color indexed="81"/>
            <rFont val="Tahoma"/>
            <family val="2"/>
          </rPr>
          <t xml:space="preserve">
Military and helicopter engine revenues were up compared to Q1 2024, driven by a high level of
services.</t>
        </r>
      </text>
    </comment>
    <comment ref="AQ211" authorId="0" shapeId="0" xr:uid="{0D274B27-E9E7-41E3-A434-326A8174FE05}">
      <text>
        <r>
          <rPr>
            <b/>
            <sz val="9"/>
            <color indexed="81"/>
            <rFont val="Tahoma"/>
            <family val="2"/>
          </rPr>
          <t>Law, Ross (Research):</t>
        </r>
        <r>
          <rPr>
            <sz val="9"/>
            <color indexed="81"/>
            <rFont val="Tahoma"/>
            <family val="2"/>
          </rPr>
          <t xml:space="preserve">
Helicopter engine revenue growth was mostly driven by a higher level of services. Though to</t>
        </r>
      </text>
    </comment>
    <comment ref="A215" authorId="0" shapeId="0" xr:uid="{BA2B2C0C-0735-49D9-8188-70DB0CE27C06}">
      <text>
        <r>
          <rPr>
            <b/>
            <sz val="9"/>
            <color indexed="81"/>
            <rFont val="Tahoma"/>
            <family val="2"/>
          </rPr>
          <t>Law, Ross (Research):</t>
        </r>
        <r>
          <rPr>
            <sz val="9"/>
            <color indexed="81"/>
            <rFont val="Tahoma"/>
            <family val="2"/>
          </rPr>
          <t xml:space="preserve">
OE/AM split 33/66 for division. Propulsion in-line, Helicopter more services, Military more OE</t>
        </r>
      </text>
    </comment>
    <comment ref="S218" authorId="0" shapeId="0" xr:uid="{5AE83D2E-1274-4A6E-A8C3-DFC68C2D599C}">
      <text>
        <r>
          <rPr>
            <b/>
            <sz val="9"/>
            <color indexed="81"/>
            <rFont val="Tahoma"/>
            <family val="2"/>
          </rPr>
          <t>Law, Ross (Research):</t>
        </r>
        <r>
          <rPr>
            <sz val="9"/>
            <color indexed="81"/>
            <rFont val="Tahoma"/>
            <family val="2"/>
          </rPr>
          <t xml:space="preserve">
Helicopter turbines services also up in the low teens FY 2018</t>
        </r>
      </text>
    </comment>
    <comment ref="U218" authorId="0" shapeId="0" xr:uid="{EEE1680F-0052-4921-BAC7-A861A6287F94}">
      <text>
        <r>
          <rPr>
            <b/>
            <sz val="9"/>
            <color indexed="81"/>
            <rFont val="Tahoma"/>
            <family val="2"/>
          </rPr>
          <t>Law, Ross (Research):</t>
        </r>
        <r>
          <rPr>
            <sz val="9"/>
            <color indexed="81"/>
            <rFont val="Tahoma"/>
            <family val="2"/>
          </rPr>
          <t xml:space="preserve">
high-teens growth for helicopter maintenance Q3 2019</t>
        </r>
      </text>
    </comment>
    <comment ref="V218" authorId="0" shapeId="0" xr:uid="{411559BC-7C76-4285-923E-292FE5D03CFD}">
      <text>
        <r>
          <rPr>
            <b/>
            <sz val="9"/>
            <color indexed="81"/>
            <rFont val="Tahoma"/>
            <family val="2"/>
          </rPr>
          <t>Law, Ross (Research):</t>
        </r>
        <r>
          <rPr>
            <sz val="9"/>
            <color indexed="81"/>
            <rFont val="Tahoma"/>
            <family val="2"/>
          </rPr>
          <t xml:space="preserve">
Now going forward, in 2020 I expect that helicopter services business will continue to grow between 3%, 4%, 5% every year, including pricing and volumes. Q3 2019</t>
        </r>
      </text>
    </comment>
    <comment ref="Q221" authorId="5" shapeId="0" xr:uid="{1B0A8D54-154A-4452-8949-4964B5593EBA}">
      <text>
        <r>
          <rPr>
            <b/>
            <sz val="9"/>
            <color indexed="81"/>
            <rFont val="Tahoma"/>
            <family val="2"/>
          </rPr>
          <t>Humphrey, Andrew (Research):</t>
        </r>
        <r>
          <rPr>
            <sz val="9"/>
            <color indexed="81"/>
            <rFont val="Tahoma"/>
            <family val="2"/>
          </rPr>
          <t xml:space="preserve">
"Helicopter turbine situation" highlighted as a negative for margin</t>
        </r>
      </text>
    </comment>
    <comment ref="R221" authorId="5" shapeId="0" xr:uid="{916A256A-C168-447E-8D4E-D5CF26883E11}">
      <text>
        <r>
          <rPr>
            <b/>
            <sz val="9"/>
            <color indexed="81"/>
            <rFont val="Tahoma"/>
            <family val="2"/>
          </rPr>
          <t>Humphrey, Andrew (Research):</t>
        </r>
        <r>
          <rPr>
            <sz val="9"/>
            <color indexed="81"/>
            <rFont val="Tahoma"/>
            <family val="2"/>
          </rPr>
          <t xml:space="preserve">
"Helicopter turbine situation" highlighted as a negative for margin</t>
        </r>
      </text>
    </comment>
    <comment ref="U222" authorId="3" shapeId="0" xr:uid="{4D000705-94E7-4EC6-9117-9D7393B75D7D}">
      <text>
        <r>
          <rPr>
            <b/>
            <sz val="9"/>
            <color indexed="81"/>
            <rFont val="Tahoma"/>
            <family val="2"/>
          </rPr>
          <t>Nicolas, Alexane (Research):</t>
        </r>
        <r>
          <rPr>
            <sz val="9"/>
            <color indexed="81"/>
            <rFont val="Tahoma"/>
            <family val="2"/>
          </rPr>
          <t xml:space="preserve">
Call 09-01 15% margins " you are not far from that"</t>
        </r>
      </text>
    </comment>
    <comment ref="AF222" authorId="0" shapeId="0" xr:uid="{86902A87-0066-46B9-BA0D-44CFEDCDE088}">
      <text>
        <r>
          <rPr>
            <b/>
            <sz val="9"/>
            <color indexed="81"/>
            <rFont val="Tahoma"/>
            <family val="2"/>
          </rPr>
          <t>Law, Ross (Research):</t>
        </r>
        <r>
          <rPr>
            <sz val="9"/>
            <color indexed="81"/>
            <rFont val="Tahoma"/>
            <family val="2"/>
          </rPr>
          <t xml:space="preserve">
AR pg 115: Hleicopter engine profitability was slightly down in 2023.</t>
        </r>
      </text>
    </comment>
    <comment ref="U225" authorId="4" shapeId="0" xr:uid="{9293EE53-6973-4640-AD9C-58011CD2E8C0}">
      <text>
        <r>
          <rPr>
            <b/>
            <sz val="9"/>
            <color indexed="81"/>
            <rFont val="Tahoma"/>
            <family val="2"/>
          </rPr>
          <t>Ayoola, Joseph (Research):</t>
        </r>
        <r>
          <rPr>
            <sz val="9"/>
            <color indexed="81"/>
            <rFont val="Tahoma"/>
            <family val="2"/>
          </rPr>
          <t xml:space="preserve">
</t>
        </r>
      </text>
    </comment>
    <comment ref="O228" authorId="4" shapeId="0" xr:uid="{4A602D34-8F71-4C34-A30E-563A81F571A3}">
      <text>
        <r>
          <rPr>
            <b/>
            <sz val="9"/>
            <color indexed="81"/>
            <rFont val="Tahoma"/>
            <family val="2"/>
          </rPr>
          <t>Ayoola, Joseph (Research):</t>
        </r>
        <r>
          <rPr>
            <sz val="9"/>
            <color indexed="81"/>
            <rFont val="Tahoma"/>
            <family val="2"/>
          </rPr>
          <t xml:space="preserve">
Volumes down 25%; revenue affected less due to currency, mix and pricing</t>
        </r>
      </text>
    </comment>
    <comment ref="P228" authorId="4" shapeId="0" xr:uid="{EC706200-335E-4F92-81E6-DCF641C089E4}">
      <text>
        <r>
          <rPr>
            <b/>
            <sz val="9"/>
            <color indexed="81"/>
            <rFont val="Tahoma"/>
            <family val="2"/>
          </rPr>
          <t>Ayoola, Joseph (Research):</t>
        </r>
        <r>
          <rPr>
            <sz val="9"/>
            <color indexed="81"/>
            <rFont val="Tahoma"/>
            <family val="2"/>
          </rPr>
          <t xml:space="preserve">
OE helicopter turbine revenue
declined by around 8%, affected by a decrease in volumes of
heavy helicopter turbines, partially offset by increased deliveries
of lower-unit-value, light helicopter turbines.</t>
        </r>
      </text>
    </comment>
    <comment ref="Q232" authorId="5" shapeId="0" xr:uid="{3F1220CE-A783-4304-BB7E-C8FC40DC7574}">
      <text>
        <r>
          <rPr>
            <b/>
            <sz val="9"/>
            <color indexed="81"/>
            <rFont val="Tahoma"/>
            <family val="2"/>
          </rPr>
          <t>Humphrey, Andrew (Research):</t>
        </r>
        <r>
          <rPr>
            <sz val="9"/>
            <color indexed="81"/>
            <rFont val="Tahoma"/>
            <family val="2"/>
          </rPr>
          <t xml:space="preserve">
Positive growth contribution from military OE</t>
        </r>
      </text>
    </comment>
    <comment ref="S232" authorId="5" shapeId="0" xr:uid="{15DF81C3-C604-4588-A872-324BBED09AD9}">
      <text>
        <r>
          <rPr>
            <b/>
            <sz val="9"/>
            <color indexed="81"/>
            <rFont val="Tahoma"/>
            <family val="2"/>
          </rPr>
          <t>Humphrey, Andrew (Research):</t>
        </r>
        <r>
          <rPr>
            <sz val="9"/>
            <color indexed="81"/>
            <rFont val="Tahoma"/>
            <family val="2"/>
          </rPr>
          <t xml:space="preserve">
Military OE revenue down y/y reflecting lower engine shipments</t>
        </r>
      </text>
    </comment>
    <comment ref="U232" authorId="5" shapeId="0" xr:uid="{09BD9FBD-508C-489F-9DBE-526B7105E9EA}">
      <text>
        <r>
          <rPr>
            <b/>
            <sz val="9"/>
            <color indexed="81"/>
            <rFont val="Tahoma"/>
            <family val="2"/>
          </rPr>
          <t>Humphrey, Andrew (Research):</t>
        </r>
        <r>
          <rPr>
            <sz val="9"/>
            <color indexed="81"/>
            <rFont val="Tahoma"/>
            <family val="2"/>
          </rPr>
          <t xml:space="preserve">
Estimate €400-450m increase in Military OE y/y reflecting 17 additional M88 shipments</t>
        </r>
      </text>
    </comment>
    <comment ref="V232" authorId="5" shapeId="0" xr:uid="{0D67D417-15B9-4673-AC2E-5042D2A110F2}">
      <text>
        <r>
          <rPr>
            <b/>
            <sz val="9"/>
            <color indexed="81"/>
            <rFont val="Tahoma"/>
            <family val="2"/>
          </rPr>
          <t>Humphrey, Andrew (Research):</t>
        </r>
        <r>
          <rPr>
            <sz val="9"/>
            <color indexed="81"/>
            <rFont val="Tahoma"/>
            <family val="2"/>
          </rPr>
          <t xml:space="preserve">
Higher level of M88 shipments does not repeat in 2020</t>
        </r>
      </text>
    </comment>
    <comment ref="Q233" authorId="5" shapeId="0" xr:uid="{673D0AA6-F76F-4619-A29E-59CA8A8AA57F}">
      <text>
        <r>
          <rPr>
            <b/>
            <sz val="9"/>
            <color indexed="81"/>
            <rFont val="Tahoma"/>
            <family val="2"/>
          </rPr>
          <t>Humphrey, Andrew (Research):</t>
        </r>
        <r>
          <rPr>
            <sz val="9"/>
            <color indexed="81"/>
            <rFont val="Tahoma"/>
            <family val="2"/>
          </rPr>
          <t xml:space="preserve">
Military services slightly down</t>
        </r>
      </text>
    </comment>
    <comment ref="S233" authorId="5" shapeId="0" xr:uid="{B6CB63FC-D786-4FA9-ACE4-FCE1DC3C2CEB}">
      <text>
        <r>
          <rPr>
            <b/>
            <sz val="9"/>
            <color indexed="81"/>
            <rFont val="Tahoma"/>
            <family val="2"/>
          </rPr>
          <t>Humphrey, Andrew (Research):</t>
        </r>
        <r>
          <rPr>
            <sz val="9"/>
            <color indexed="81"/>
            <rFont val="Tahoma"/>
            <family val="2"/>
          </rPr>
          <t xml:space="preserve">
Military services down mid single-digit</t>
        </r>
      </text>
    </comment>
    <comment ref="AG234" authorId="0" shapeId="0" xr:uid="{E3B9BB49-8330-4ED5-B674-953135D7C31C}">
      <text>
        <r>
          <rPr>
            <b/>
            <sz val="9"/>
            <color indexed="81"/>
            <rFont val="Tahoma"/>
            <family val="2"/>
          </rPr>
          <t>Law, Ross (Research):</t>
        </r>
        <r>
          <rPr>
            <sz val="9"/>
            <color indexed="81"/>
            <rFont val="Tahoma"/>
            <family val="2"/>
          </rPr>
          <t xml:space="preserve">
Military activities were down compared to Q1 2023 with notably fewer M88 deliveries related to contract phasing.</t>
        </r>
      </text>
    </comment>
    <comment ref="AI234" authorId="1" shapeId="0" xr:uid="{8EE8B7F0-0926-43BA-BCA4-22A8ECC0DE55}">
      <text>
        <r>
          <rPr>
            <b/>
            <sz val="9"/>
            <color indexed="81"/>
            <rFont val="Tahoma"/>
            <family val="2"/>
          </rPr>
          <t>Magajwala, Vatsal (Research):</t>
        </r>
        <r>
          <rPr>
            <sz val="9"/>
            <color indexed="81"/>
            <rFont val="Tahoma"/>
            <family val="2"/>
          </rPr>
          <t xml:space="preserve">
Military engine revenues rose year-over-year, driven by a higher level of services and Original
Equipment (OE) benefiting from a favorable mix and higher M88 deliveries</t>
        </r>
      </text>
    </comment>
    <comment ref="AK234" authorId="1" shapeId="0" xr:uid="{1DDADE7B-C15E-43D0-92AF-CF41BDACCBCC}">
      <text>
        <r>
          <rPr>
            <b/>
            <sz val="9"/>
            <color indexed="81"/>
            <rFont val="Tahoma"/>
            <family val="2"/>
          </rPr>
          <t>Magajwala, Vatsal (Research):</t>
        </r>
        <r>
          <rPr>
            <sz val="9"/>
            <color indexed="81"/>
            <rFont val="Tahoma"/>
            <family val="2"/>
          </rPr>
          <t xml:space="preserve">
Lower M88 deliveries, services up</t>
        </r>
      </text>
    </comment>
    <comment ref="AN234" authorId="1" shapeId="0" xr:uid="{7942A10E-3446-4C57-82B7-185D17A71C62}">
      <text>
        <r>
          <rPr>
            <b/>
            <sz val="9"/>
            <color indexed="81"/>
            <rFont val="Tahoma"/>
            <family val="2"/>
          </rPr>
          <t>Magajwala, Vatsal (Research):</t>
        </r>
        <r>
          <rPr>
            <sz val="9"/>
            <color indexed="81"/>
            <rFont val="Tahoma"/>
            <family val="2"/>
          </rPr>
          <t xml:space="preserve">
Military engine revenue increased year-over-year, reflecting a higher level of services and a favorable OE customer mix, while M88 deliveries remained stable, with 40 deliveries compared to 42 in 2023</t>
        </r>
      </text>
    </comment>
    <comment ref="AO234" authorId="1" shapeId="0" xr:uid="{50824B6C-2545-4F68-A428-AD22FD12125C}">
      <text>
        <r>
          <rPr>
            <b/>
            <sz val="9"/>
            <color indexed="81"/>
            <rFont val="Tahoma"/>
            <family val="2"/>
          </rPr>
          <t>Magajwala, Vatsal (Research):</t>
        </r>
        <r>
          <rPr>
            <sz val="9"/>
            <color indexed="81"/>
            <rFont val="Tahoma"/>
            <family val="2"/>
          </rPr>
          <t xml:space="preserve">
Military and helicopter engine revenues were up compared to Q1 2024, driven by a high level of
services.</t>
        </r>
      </text>
    </comment>
    <comment ref="AQ234" authorId="0" shapeId="0" xr:uid="{06DE4925-1F45-4CFD-8A3B-DAA77114239D}">
      <text>
        <r>
          <rPr>
            <b/>
            <sz val="9"/>
            <color indexed="81"/>
            <rFont val="Tahoma"/>
            <family val="2"/>
          </rPr>
          <t>Law, Ross (Research):</t>
        </r>
        <r>
          <rPr>
            <sz val="9"/>
            <color indexed="81"/>
            <rFont val="Tahoma"/>
            <family val="2"/>
          </rPr>
          <t xml:space="preserve">
Military aircraft engine revenue declined year-over-year, notably due to a softer level of aftermarket activity and slightly fewer M88 deliveries to end customers.</t>
        </r>
      </text>
    </comment>
    <comment ref="A238" authorId="0" shapeId="0" xr:uid="{2168E744-0E84-4C15-BF6F-C090F17BD986}">
      <text>
        <r>
          <rPr>
            <b/>
            <sz val="9"/>
            <color indexed="81"/>
            <rFont val="Tahoma"/>
            <family val="2"/>
          </rPr>
          <t>Law, Ross (Research):</t>
        </r>
        <r>
          <rPr>
            <sz val="9"/>
            <color indexed="81"/>
            <rFont val="Tahoma"/>
            <family val="2"/>
          </rPr>
          <t xml:space="preserve">
OE/AM split 33/66 for division. Propulsion in-line, Helicopter more services, Military more OE</t>
        </r>
      </text>
    </comment>
    <comment ref="P241" authorId="5" shapeId="0" xr:uid="{40D235D8-22B9-4350-B94A-94FE1B2E85AC}">
      <text>
        <r>
          <rPr>
            <b/>
            <sz val="9"/>
            <color indexed="81"/>
            <rFont val="Tahoma"/>
            <family val="2"/>
          </rPr>
          <t>Humphrey, Andrew (Research):</t>
        </r>
        <r>
          <rPr>
            <sz val="9"/>
            <color indexed="81"/>
            <rFont val="Tahoma"/>
            <family val="2"/>
          </rPr>
          <t xml:space="preserve">
"strong" services growth in military engines highlighted on conf call
</t>
        </r>
      </text>
    </comment>
    <comment ref="S241" authorId="3" shapeId="0" xr:uid="{D47DE769-EB59-4840-99FF-F2CBBDF62A20}">
      <text>
        <r>
          <rPr>
            <b/>
            <sz val="9"/>
            <color indexed="81"/>
            <rFont val="Tahoma"/>
            <family val="2"/>
          </rPr>
          <t>Nicolas, Alexane (Research):</t>
        </r>
        <r>
          <rPr>
            <sz val="9"/>
            <color indexed="81"/>
            <rFont val="Tahoma"/>
            <family val="2"/>
          </rPr>
          <t xml:space="preserve">
And military services down mid-single digit. FY2018</t>
        </r>
      </text>
    </comment>
    <comment ref="V241" authorId="3" shapeId="0" xr:uid="{63D82DBB-A273-49E3-B546-87EF2C0893C7}">
      <text>
        <r>
          <rPr>
            <b/>
            <sz val="9"/>
            <color indexed="81"/>
            <rFont val="Tahoma"/>
            <family val="2"/>
          </rPr>
          <t>Nicolas, Alexane (Research):</t>
        </r>
        <r>
          <rPr>
            <sz val="9"/>
            <color indexed="81"/>
            <rFont val="Tahoma"/>
            <family val="2"/>
          </rPr>
          <t xml:space="preserve">
So you should expect military services to be down at least in H1 next year versus H1 this year. Q3 2019</t>
        </r>
      </text>
    </comment>
    <comment ref="U244" authorId="5" shapeId="0" xr:uid="{E4484402-D43D-4E12-906D-E76297E8AA9C}">
      <text>
        <r>
          <rPr>
            <b/>
            <sz val="9"/>
            <color indexed="81"/>
            <rFont val="Tahoma"/>
            <family val="2"/>
          </rPr>
          <t>Humphrey, Andrew (Research):</t>
        </r>
        <r>
          <rPr>
            <sz val="9"/>
            <color indexed="81"/>
            <rFont val="Tahoma"/>
            <family val="2"/>
          </rPr>
          <t xml:space="preserve">
Heavier weighting towards OE is dilutive to margin</t>
        </r>
      </text>
    </comment>
    <comment ref="AF245" authorId="0" shapeId="0" xr:uid="{EB2DCB48-8895-4CA3-8E0F-F9AA21804D40}">
      <text>
        <r>
          <rPr>
            <b/>
            <sz val="9"/>
            <color indexed="81"/>
            <rFont val="Tahoma"/>
            <family val="2"/>
          </rPr>
          <t>Law, Ross (Research):</t>
        </r>
        <r>
          <rPr>
            <sz val="9"/>
            <color indexed="81"/>
            <rFont val="Tahoma"/>
            <family val="2"/>
          </rPr>
          <t xml:space="preserve">
Helicopter margin (blended OE and AM) positive.</t>
        </r>
      </text>
    </comment>
    <comment ref="N249" authorId="4" shapeId="0" xr:uid="{065EAC5F-BDF4-4A69-A01F-66185F7183D1}">
      <text>
        <r>
          <rPr>
            <b/>
            <sz val="9"/>
            <color indexed="81"/>
            <rFont val="Tahoma"/>
            <family val="2"/>
          </rPr>
          <t>Ayoola, Joseph (Research):</t>
        </r>
        <r>
          <rPr>
            <sz val="9"/>
            <color indexed="81"/>
            <rFont val="Tahoma"/>
            <family val="2"/>
          </rPr>
          <t xml:space="preserve">
backlog 621 engines at year end</t>
        </r>
      </text>
    </comment>
    <comment ref="N250" authorId="4" shapeId="0" xr:uid="{17E0F378-64EB-4D2D-91ED-47B5E9263501}">
      <text>
        <r>
          <rPr>
            <b/>
            <sz val="9"/>
            <color indexed="81"/>
            <rFont val="Tahoma"/>
            <family val="2"/>
          </rPr>
          <t>Ayoola, Joseph (Research):</t>
        </r>
        <r>
          <rPr>
            <sz val="9"/>
            <color indexed="81"/>
            <rFont val="Tahoma"/>
            <family val="2"/>
          </rPr>
          <t xml:space="preserve">
backlog 34 engines at year end</t>
        </r>
      </text>
    </comment>
    <comment ref="Y261" authorId="0" shapeId="0" xr:uid="{2E5482B6-5D3F-4A67-9EE9-35C30B6D51F6}">
      <text>
        <r>
          <rPr>
            <b/>
            <sz val="9"/>
            <color indexed="81"/>
            <rFont val="Tahoma"/>
            <family val="2"/>
          </rPr>
          <t>Law, Ross (Research):</t>
        </r>
        <r>
          <rPr>
            <sz val="9"/>
            <color indexed="81"/>
            <rFont val="Tahoma"/>
            <family val="2"/>
          </rPr>
          <t xml:space="preserve">
2c better yoy vs 1.15 in Q1 2022</t>
        </r>
      </text>
    </comment>
    <comment ref="Y262" authorId="0" shapeId="0" xr:uid="{FBFAFFDE-493E-4B3C-8C9D-242BC67AD79D}">
      <text>
        <r>
          <rPr>
            <b/>
            <sz val="9"/>
            <color indexed="81"/>
            <rFont val="Tahoma"/>
            <family val="2"/>
          </rPr>
          <t>Law, Ross (Research):</t>
        </r>
        <r>
          <rPr>
            <sz val="9"/>
            <color indexed="81"/>
            <rFont val="Tahoma"/>
            <family val="2"/>
          </rPr>
          <t xml:space="preserve">
5c improved yoy vs 1.12 in Q1 2022</t>
        </r>
      </text>
    </comment>
    <comment ref="BT264" authorId="0" shapeId="0" xr:uid="{CAF3A0D3-2FCD-4CE0-89D7-49103830B8EC}">
      <text>
        <r>
          <rPr>
            <b/>
            <sz val="9"/>
            <color indexed="81"/>
            <rFont val="Tahoma"/>
            <family val="2"/>
          </rPr>
          <t>Law, Ross (Research):</t>
        </r>
        <r>
          <rPr>
            <sz val="9"/>
            <color indexed="81"/>
            <rFont val="Tahoma"/>
            <family val="2"/>
          </rPr>
          <t xml:space="preserve">
FY28 guidance assumes 1.15 spot, 1.12 hedge</t>
        </r>
      </text>
    </comment>
    <comment ref="U300" authorId="4" shapeId="0" xr:uid="{707E0425-4B57-4108-85C5-15D6D41B2CBB}">
      <text>
        <r>
          <rPr>
            <b/>
            <sz val="9"/>
            <color indexed="81"/>
            <rFont val="Tahoma"/>
            <family val="2"/>
          </rPr>
          <t>Ayoola, Joseph (Research):</t>
        </r>
        <r>
          <rPr>
            <sz val="9"/>
            <color indexed="81"/>
            <rFont val="Tahoma"/>
            <family val="2"/>
          </rPr>
          <t xml:space="preserve">
€69m profit from ArianeGroup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Humphrey, Andrew (Research)</author>
    <author>Ayoola, Joseph (Research)</author>
    <author>Law, Ross (Research)</author>
    <author>K M, Giridhar (Research)</author>
    <author>Magajwala, Vatsal (Research)</author>
    <author>Nicolas, Alexane (Research)</author>
  </authors>
  <commentList>
    <comment ref="E2" authorId="0" shapeId="0" xr:uid="{79C96AA1-F0C1-41D9-B270-E0002AABC1E9}">
      <text>
        <r>
          <rPr>
            <b/>
            <sz val="9"/>
            <color indexed="81"/>
            <rFont val="Tahoma"/>
            <family val="2"/>
          </rPr>
          <t>Humphrey, Andrew (Research):</t>
        </r>
        <r>
          <rPr>
            <sz val="9"/>
            <color indexed="81"/>
            <rFont val="Tahoma"/>
            <family val="2"/>
          </rPr>
          <t xml:space="preserve">
IFRS15 basis</t>
        </r>
      </text>
    </comment>
    <comment ref="F2" authorId="0" shapeId="0" xr:uid="{64DA6C82-9961-48F4-9796-7BE9A15A5BDB}">
      <text>
        <r>
          <rPr>
            <b/>
            <sz val="9"/>
            <color indexed="81"/>
            <rFont val="Tahoma"/>
            <family val="2"/>
          </rPr>
          <t>Humphrey, Andrew (Research):</t>
        </r>
        <r>
          <rPr>
            <sz val="9"/>
            <color indexed="81"/>
            <rFont val="Tahoma"/>
            <family val="2"/>
          </rPr>
          <t xml:space="preserve">
IFRS15 basis</t>
        </r>
      </text>
    </comment>
    <comment ref="G9" authorId="1" shapeId="0" xr:uid="{610AE8E8-54CA-4665-A1D2-63DDD8A0D83F}">
      <text>
        <r>
          <rPr>
            <b/>
            <sz val="9"/>
            <color indexed="81"/>
            <rFont val="Tahoma"/>
            <family val="2"/>
          </rPr>
          <t>Ayoola, Joseph (Research):</t>
        </r>
        <r>
          <rPr>
            <sz val="9"/>
            <color indexed="81"/>
            <rFont val="Tahoma"/>
            <family val="2"/>
          </rPr>
          <t xml:space="preserve">
note that given segment transfers will also include ~€120m+ of revenue from transmission business</t>
        </r>
      </text>
    </comment>
    <comment ref="R26" authorId="2" shapeId="0" xr:uid="{6876631B-1B8C-421F-9012-A14C66534CF8}">
      <text>
        <r>
          <rPr>
            <b/>
            <sz val="9"/>
            <color indexed="81"/>
            <rFont val="Tahoma"/>
            <family val="2"/>
          </rPr>
          <t>Law, Ross (Research):</t>
        </r>
        <r>
          <rPr>
            <sz val="9"/>
            <color indexed="81"/>
            <rFont val="Tahoma"/>
            <family val="2"/>
          </rPr>
          <t xml:space="preserve">
WB share in Propulsion is c10%. Spares c15%. OE below 10%.</t>
        </r>
      </text>
    </comment>
    <comment ref="F34" authorId="0" shapeId="0" xr:uid="{571848C6-DA59-47CD-B109-7A4EBC5189C6}">
      <text>
        <r>
          <rPr>
            <b/>
            <sz val="9"/>
            <color indexed="81"/>
            <rFont val="Tahoma"/>
            <family val="2"/>
          </rPr>
          <t>Humphrey, Andrew (Research):</t>
        </r>
        <r>
          <rPr>
            <sz val="9"/>
            <color indexed="81"/>
            <rFont val="Tahoma"/>
            <family val="2"/>
          </rPr>
          <t xml:space="preserve">
€15m tailwind from LEAP transition</t>
        </r>
      </text>
    </comment>
    <comment ref="G34" authorId="0" shapeId="0" xr:uid="{E2772930-D408-40A3-8CBC-D54B7E703A72}">
      <text>
        <r>
          <rPr>
            <b/>
            <sz val="9"/>
            <color indexed="81"/>
            <rFont val="Tahoma"/>
            <family val="2"/>
          </rPr>
          <t>Humphrey, Andrew (Research):</t>
        </r>
        <r>
          <rPr>
            <sz val="9"/>
            <color indexed="81"/>
            <rFont val="Tahoma"/>
            <family val="2"/>
          </rPr>
          <t xml:space="preserve">
€98m earnings headwnid from CFM/LEAP transition y/y</t>
        </r>
      </text>
    </comment>
    <comment ref="A40" authorId="2" shapeId="0" xr:uid="{1854E0C8-2347-4A25-81DC-DE72C6BCEEE7}">
      <text>
        <r>
          <rPr>
            <b/>
            <sz val="9"/>
            <color indexed="81"/>
            <rFont val="Tahoma"/>
            <family val="2"/>
          </rPr>
          <t>Law, Ross (Research):</t>
        </r>
        <r>
          <rPr>
            <sz val="9"/>
            <color indexed="81"/>
            <rFont val="Tahoma"/>
            <family val="2"/>
          </rPr>
          <t xml:space="preserve">
PowerJet SaM146 is a turbofan engine produced by the PowerJet JV between Snecma (Safran) and NPO Saturn of Russia</t>
        </r>
      </text>
    </comment>
    <comment ref="B40" authorId="1" shapeId="0" xr:uid="{5AB0B155-95E3-4588-A76F-561A498F442E}">
      <text>
        <r>
          <rPr>
            <b/>
            <sz val="9"/>
            <color indexed="81"/>
            <rFont val="Tahoma"/>
            <family val="2"/>
          </rPr>
          <t>Ayoola, Joseph (Research):</t>
        </r>
        <r>
          <rPr>
            <sz val="9"/>
            <color indexed="81"/>
            <rFont val="Tahoma"/>
            <family val="2"/>
          </rPr>
          <t xml:space="preserve">
backlog of 158 engines at year end</t>
        </r>
      </text>
    </comment>
    <comment ref="R40" authorId="2" shapeId="0" xr:uid="{3EABCE1D-2A65-4A5E-93E9-CA1969099A99}">
      <text>
        <r>
          <rPr>
            <b/>
            <sz val="9"/>
            <color indexed="81"/>
            <rFont val="Tahoma"/>
            <family val="2"/>
          </rPr>
          <t>Law, Ross (Research):</t>
        </r>
        <r>
          <rPr>
            <sz val="9"/>
            <color indexed="81"/>
            <rFont val="Tahoma"/>
            <family val="2"/>
          </rPr>
          <t xml:space="preserve">
Assume no deliveries going forward due to sanctions</t>
        </r>
      </text>
    </comment>
    <comment ref="A41" authorId="2" shapeId="0" xr:uid="{8DDAB3B9-4A08-4F5A-A890-36A2A9A50EE4}">
      <text>
        <r>
          <rPr>
            <b/>
            <sz val="9"/>
            <color indexed="81"/>
            <rFont val="Tahoma"/>
            <family val="2"/>
          </rPr>
          <t>Law, Ross (Research):</t>
        </r>
        <r>
          <rPr>
            <sz val="9"/>
            <color indexed="81"/>
            <rFont val="Tahoma"/>
            <family val="2"/>
          </rPr>
          <t xml:space="preserve">
SMA Engines (Société de Motorisations Aéronautiques) is a French manufacturer of diesel engines for light aircraft, located in Bourges. A subsidiary of Safran.</t>
        </r>
      </text>
    </comment>
    <comment ref="B41" authorId="1" shapeId="0" xr:uid="{7D9768BC-2559-490D-A1FE-AA2C25E8188B}">
      <text>
        <r>
          <rPr>
            <b/>
            <sz val="9"/>
            <color indexed="81"/>
            <rFont val="Tahoma"/>
            <family val="2"/>
          </rPr>
          <t>Ayoola, Joseph (Research):</t>
        </r>
        <r>
          <rPr>
            <sz val="9"/>
            <color indexed="81"/>
            <rFont val="Tahoma"/>
            <family val="2"/>
          </rPr>
          <t xml:space="preserve">
backlog of 232 engines at year end</t>
        </r>
      </text>
    </comment>
    <comment ref="I49" authorId="1" shapeId="0" xr:uid="{392417FC-CE06-432B-8F79-F5BEE04BB4B2}">
      <text>
        <r>
          <rPr>
            <b/>
            <sz val="9"/>
            <color indexed="81"/>
            <rFont val="Tahoma"/>
            <family val="2"/>
          </rPr>
          <t>Ayoola, Joseph (Research):</t>
        </r>
        <r>
          <rPr>
            <sz val="9"/>
            <color indexed="81"/>
            <rFont val="Tahoma"/>
            <family val="2"/>
          </rPr>
          <t xml:space="preserve">
to halve</t>
        </r>
      </text>
    </comment>
    <comment ref="AH49" authorId="3" shapeId="0" xr:uid="{09E996E1-F515-4B63-B278-CF4F6C392A5C}">
      <text>
        <r>
          <rPr>
            <b/>
            <sz val="9"/>
            <color indexed="81"/>
            <rFont val="Tahoma"/>
            <family val="2"/>
          </rPr>
          <t>K M, Giridhar (Research):</t>
        </r>
        <r>
          <rPr>
            <sz val="9"/>
            <color indexed="81"/>
            <rFont val="Tahoma"/>
            <family val="2"/>
          </rPr>
          <t xml:space="preserve">
FY25 report</t>
        </r>
      </text>
    </comment>
    <comment ref="F50" authorId="1" shapeId="0" xr:uid="{05F3D42F-83E4-413D-BA94-E8B2E538D56C}">
      <text>
        <r>
          <rPr>
            <b/>
            <sz val="9"/>
            <color indexed="81"/>
            <rFont val="Tahoma"/>
            <family val="2"/>
          </rPr>
          <t>Ayoola, Joseph (Research):</t>
        </r>
        <r>
          <rPr>
            <sz val="9"/>
            <color indexed="81"/>
            <rFont val="Tahoma"/>
            <family val="2"/>
          </rPr>
          <t xml:space="preserve">
target 1100-1200 engines</t>
        </r>
      </text>
    </comment>
    <comment ref="G50" authorId="1" shapeId="0" xr:uid="{281E03D1-C830-48DE-AFD3-180D4C472756}">
      <text>
        <r>
          <rPr>
            <b/>
            <sz val="9"/>
            <color indexed="81"/>
            <rFont val="Tahoma"/>
            <family val="2"/>
          </rPr>
          <t>Ayoola, Joseph (Research):</t>
        </r>
        <r>
          <rPr>
            <sz val="9"/>
            <color indexed="81"/>
            <rFont val="Tahoma"/>
            <family val="2"/>
          </rPr>
          <t xml:space="preserve">
target 1800-1900 engines</t>
        </r>
      </text>
    </comment>
    <comment ref="I50" authorId="1" shapeId="0" xr:uid="{B642AEA4-8942-4ABD-BE2F-2E6086F9FFFC}">
      <text>
        <r>
          <rPr>
            <b/>
            <sz val="9"/>
            <color indexed="81"/>
            <rFont val="Tahoma"/>
            <family val="2"/>
          </rPr>
          <t>Ayoola, Joseph (Research):</t>
        </r>
        <r>
          <rPr>
            <sz val="9"/>
            <color indexed="81"/>
            <rFont val="Tahoma"/>
            <family val="2"/>
          </rPr>
          <t xml:space="preserve">
800+</t>
        </r>
      </text>
    </comment>
    <comment ref="U50" authorId="4" shapeId="0" xr:uid="{D1BCA035-5852-45B2-9E55-C6BD4D8EDBA8}">
      <text>
        <r>
          <rPr>
            <b/>
            <sz val="9"/>
            <color indexed="81"/>
            <rFont val="Tahoma"/>
            <family val="2"/>
          </rPr>
          <t>Magajwala, Vatsal (Research):</t>
        </r>
        <r>
          <rPr>
            <sz val="9"/>
            <color indexed="81"/>
            <rFont val="Tahoma"/>
            <family val="2"/>
          </rPr>
          <t xml:space="preserve">
LEAP engine deliveries were up sequentially with 365 units in Q3 2024 (297 units in Q2 2024) but were down 6% compared to Q3 2023 (389 units) as supply chain performance still requires
enhancement.</t>
        </r>
      </text>
    </comment>
    <comment ref="Y50" authorId="4" shapeId="0" xr:uid="{DAAA8A0B-889B-415A-A17C-2B6340D6C468}">
      <text>
        <r>
          <rPr>
            <b/>
            <sz val="9"/>
            <color indexed="81"/>
            <rFont val="Tahoma"/>
            <family val="2"/>
          </rPr>
          <t>Magajwala, Vatsal (Research):</t>
        </r>
        <r>
          <rPr>
            <sz val="9"/>
            <color indexed="81"/>
            <rFont val="Tahoma"/>
            <family val="2"/>
          </rPr>
          <t xml:space="preserve">
1029</t>
        </r>
      </text>
    </comment>
    <comment ref="Z50" authorId="4" shapeId="0" xr:uid="{9D3F1E74-6816-4735-8CA1-192591CC7464}">
      <text>
        <r>
          <rPr>
            <b/>
            <sz val="9"/>
            <color indexed="81"/>
            <rFont val="Tahoma"/>
            <family val="2"/>
          </rPr>
          <t xml:space="preserve">Magajwala, Vatsal (Research):
</t>
        </r>
        <r>
          <rPr>
            <sz val="9"/>
            <color indexed="81"/>
            <rFont val="Tahoma"/>
            <family val="2"/>
          </rPr>
          <t>Guidance (3Q24): ~ -10%</t>
        </r>
        <r>
          <rPr>
            <b/>
            <sz val="9"/>
            <color indexed="81"/>
            <rFont val="Tahoma"/>
            <family val="2"/>
          </rPr>
          <t xml:space="preserve">
</t>
        </r>
        <r>
          <rPr>
            <sz val="9"/>
            <color indexed="81"/>
            <rFont val="Tahoma"/>
            <family val="2"/>
          </rPr>
          <t>Guidance (1H24): LEAP engine deliveries up by 0% to 5%
Guidance (1Q24): LEAP engine deliveries up by 10% to 15%</t>
        </r>
      </text>
    </comment>
    <comment ref="AA50" authorId="4" shapeId="0" xr:uid="{CD3BC207-49B5-48AA-9C0C-6130110F2C71}">
      <text>
        <r>
          <rPr>
            <b/>
            <sz val="9"/>
            <color indexed="81"/>
            <rFont val="Tahoma"/>
            <family val="2"/>
          </rPr>
          <t>Magajwala, Vatsal (Research):</t>
        </r>
        <r>
          <rPr>
            <sz val="9"/>
            <color indexed="81"/>
            <rFont val="Tahoma"/>
            <family val="2"/>
          </rPr>
          <t xml:space="preserve">
319 LEAP engines were delivered compared to 367 in Q1 2024, reflecting the soft production at the start of the year. Lower volume was more than offset by favorable customer mix.</t>
        </r>
      </text>
    </comment>
    <comment ref="AH50" authorId="4" shapeId="0" xr:uid="{9B215BF4-5C8E-401C-864D-E24E9B408C3C}">
      <text>
        <r>
          <rPr>
            <b/>
            <sz val="9"/>
            <color indexed="81"/>
            <rFont val="Tahoma"/>
            <family val="2"/>
          </rPr>
          <t>Magajwala, Vatsal (Research):</t>
        </r>
        <r>
          <rPr>
            <sz val="9"/>
            <color indexed="81"/>
            <rFont val="Tahoma"/>
            <family val="2"/>
          </rPr>
          <t xml:space="preserve">
Guidance (FY24): up 15% to 20% compared to 2024</t>
        </r>
      </text>
    </comment>
    <comment ref="J51" authorId="0" shapeId="0" xr:uid="{610E2466-8D87-4599-A4D5-DAABD98A4A6A}">
      <text>
        <r>
          <rPr>
            <b/>
            <sz val="9"/>
            <color indexed="81"/>
            <rFont val="Tahoma"/>
            <family val="2"/>
          </rPr>
          <t>Humphrey, Andrew (Research):</t>
        </r>
        <r>
          <rPr>
            <sz val="9"/>
            <color indexed="81"/>
            <rFont val="Tahoma"/>
            <family val="2"/>
          </rPr>
          <t xml:space="preserve">
Guidance 1,400-1,500</t>
        </r>
      </text>
    </comment>
    <comment ref="Z51" authorId="2" shapeId="0" xr:uid="{5F1BB194-B337-4448-9991-D93F5BEDEB57}">
      <text>
        <r>
          <rPr>
            <b/>
            <sz val="9"/>
            <color indexed="81"/>
            <rFont val="Tahoma"/>
            <family val="2"/>
          </rPr>
          <t>Law, Ross (Research):</t>
        </r>
        <r>
          <rPr>
            <sz val="9"/>
            <color indexed="81"/>
            <rFont val="Tahoma"/>
            <family val="2"/>
          </rPr>
          <t xml:space="preserve">
Guidance c2,000</t>
        </r>
      </text>
    </comment>
    <comment ref="Z54" authorId="2" shapeId="0" xr:uid="{C7659831-D4B6-402C-AF4F-24B1E3B7BF2F}">
      <text>
        <r>
          <rPr>
            <b/>
            <sz val="9"/>
            <color indexed="81"/>
            <rFont val="Tahoma"/>
            <family val="2"/>
          </rPr>
          <t>Law, Ross (Research):</t>
        </r>
        <r>
          <rPr>
            <sz val="9"/>
            <color indexed="81"/>
            <rFont val="Tahoma"/>
            <family val="2"/>
          </rPr>
          <t xml:space="preserve">
14 aircraft delivered + spares</t>
        </r>
      </text>
    </comment>
    <comment ref="E57" authorId="0" shapeId="0" xr:uid="{F4937749-5938-4CB8-B710-76B790FDB1F6}">
      <text>
        <r>
          <rPr>
            <b/>
            <sz val="8"/>
            <color indexed="81"/>
            <rFont val="Tahoma"/>
            <family val="2"/>
          </rPr>
          <t>Humphrey, Andrew (Research):</t>
        </r>
        <r>
          <rPr>
            <sz val="8"/>
            <color indexed="81"/>
            <rFont val="Tahoma"/>
            <family val="2"/>
          </rPr>
          <t xml:space="preserve">
Boeing model has 20% growth over 3 years in 787 units</t>
        </r>
      </text>
    </comment>
    <comment ref="R57" authorId="2" shapeId="0" xr:uid="{598EC98A-AF6E-4573-82D2-34EB350D4594}">
      <text>
        <r>
          <rPr>
            <b/>
            <sz val="9"/>
            <color indexed="81"/>
            <rFont val="Tahoma"/>
            <family val="2"/>
          </rPr>
          <t>Law, Ross (Research):</t>
        </r>
        <r>
          <rPr>
            <sz val="9"/>
            <color indexed="81"/>
            <rFont val="Tahoma"/>
            <family val="2"/>
          </rPr>
          <t xml:space="preserve">
Assumes 4pm + 10% spares (Boeing officially moved to 4pm in May) and 70% mkt share.</t>
        </r>
      </text>
    </comment>
    <comment ref="Z57" authorId="2" shapeId="0" xr:uid="{B0096914-7DD3-4129-85CC-05BC50CE48BE}">
      <text>
        <r>
          <rPr>
            <b/>
            <sz val="9"/>
            <color indexed="81"/>
            <rFont val="Tahoma"/>
            <family val="2"/>
          </rPr>
          <t>Law, Ross (Research):</t>
        </r>
        <r>
          <rPr>
            <sz val="9"/>
            <color indexed="81"/>
            <rFont val="Tahoma"/>
            <family val="2"/>
          </rPr>
          <t xml:space="preserve">
Assumes 5pm + 10% spares (Boeing aims to reach 5pm by end-2023) and 70% mkt share.</t>
        </r>
      </text>
    </comment>
    <comment ref="AA59" authorId="4" shapeId="0" xr:uid="{BE4F0591-7B42-4C0D-B7F4-851CD4D699B5}">
      <text>
        <r>
          <rPr>
            <b/>
            <sz val="9"/>
            <color indexed="81"/>
            <rFont val="Tahoma"/>
            <family val="2"/>
          </rPr>
          <t>Magajwala, Vatsal (Research):</t>
        </r>
        <r>
          <rPr>
            <sz val="9"/>
            <color indexed="81"/>
            <rFont val="Tahoma"/>
            <family val="2"/>
          </rPr>
          <t xml:space="preserve">
Reported 48</t>
        </r>
      </text>
    </comment>
    <comment ref="AE59" authorId="4" shapeId="0" xr:uid="{69EA341A-9C63-449C-9302-B4D06704B883}">
      <text>
        <r>
          <rPr>
            <b/>
            <sz val="9"/>
            <color indexed="81"/>
            <rFont val="Tahoma"/>
            <family val="2"/>
          </rPr>
          <t>Magajwala, Vatsal (Research):</t>
        </r>
        <r>
          <rPr>
            <sz val="9"/>
            <color indexed="81"/>
            <rFont val="Tahoma"/>
            <family val="2"/>
          </rPr>
          <t xml:space="preserve">
Reported: 107</t>
        </r>
      </text>
    </comment>
    <comment ref="AH59" authorId="3" shapeId="0" xr:uid="{D5D33C47-2AD9-47BD-BC75-7E4082CCF6A5}">
      <text>
        <r>
          <rPr>
            <b/>
            <sz val="9"/>
            <color indexed="81"/>
            <rFont val="Tahoma"/>
            <family val="2"/>
          </rPr>
          <t>K M, Giridhar (Research):</t>
        </r>
        <r>
          <rPr>
            <sz val="9"/>
            <color indexed="81"/>
            <rFont val="Tahoma"/>
            <family val="2"/>
          </rPr>
          <t xml:space="preserve">
FY25 report</t>
        </r>
      </text>
    </comment>
    <comment ref="J67" authorId="2" shapeId="0" xr:uid="{0C58B860-C68A-4F46-A0DA-0A647A3E690C}">
      <text>
        <r>
          <rPr>
            <b/>
            <sz val="9"/>
            <color indexed="81"/>
            <rFont val="Tahoma"/>
            <family val="2"/>
          </rPr>
          <t>Law, Ross (Research):</t>
        </r>
        <r>
          <rPr>
            <sz val="9"/>
            <color indexed="81"/>
            <rFont val="Tahoma"/>
            <family val="2"/>
          </rPr>
          <t xml:space="preserve">
To suppport airlines with LEAP durability issues</t>
        </r>
      </text>
    </comment>
    <comment ref="R67" authorId="2" shapeId="0" xr:uid="{BD83711C-EF10-4039-B4C1-16E096ABFB8E}">
      <text>
        <r>
          <rPr>
            <b/>
            <sz val="9"/>
            <color indexed="81"/>
            <rFont val="Tahoma"/>
            <family val="2"/>
          </rPr>
          <t>Law, Ross (Research):</t>
        </r>
        <r>
          <rPr>
            <sz val="9"/>
            <color indexed="81"/>
            <rFont val="Tahoma"/>
            <family val="2"/>
          </rPr>
          <t xml:space="preserve">
To suppport airlines with LEAP durability issues</t>
        </r>
      </text>
    </comment>
    <comment ref="U67" authorId="2" shapeId="0" xr:uid="{029AEFB0-F34C-4800-9815-68A6E9E3048F}">
      <text>
        <r>
          <rPr>
            <b/>
            <sz val="9"/>
            <color indexed="81"/>
            <rFont val="Tahoma"/>
            <family val="2"/>
          </rPr>
          <t>Law, Ross (Research):</t>
        </r>
        <r>
          <rPr>
            <sz val="9"/>
            <color indexed="81"/>
            <rFont val="Tahoma"/>
            <family val="2"/>
          </rPr>
          <t xml:space="preserve">
3Q24: LDD share of overall deliveries</t>
        </r>
      </text>
    </comment>
    <comment ref="Z67" authorId="2" shapeId="0" xr:uid="{4F20EABE-2EFD-4F48-81B2-150D411496AE}">
      <text>
        <r>
          <rPr>
            <b/>
            <sz val="9"/>
            <color indexed="81"/>
            <rFont val="Tahoma"/>
            <family val="2"/>
          </rPr>
          <t>Law, Ross (Research):</t>
        </r>
        <r>
          <rPr>
            <sz val="9"/>
            <color indexed="81"/>
            <rFont val="Tahoma"/>
            <family val="2"/>
          </rPr>
          <t xml:space="preserve">
Normalised rate of spares = 7%</t>
        </r>
      </text>
    </comment>
    <comment ref="AH67" authorId="2" shapeId="0" xr:uid="{10124A96-0668-4635-9636-1227F22E390C}">
      <text>
        <r>
          <rPr>
            <b/>
            <sz val="9"/>
            <color indexed="81"/>
            <rFont val="Tahoma"/>
            <family val="2"/>
          </rPr>
          <t>Law, Ross (Research):</t>
        </r>
        <r>
          <rPr>
            <sz val="9"/>
            <color indexed="81"/>
            <rFont val="Tahoma"/>
            <family val="2"/>
          </rPr>
          <t xml:space="preserve">
IR FY25: LDD in 2025 (10-25%). Will fall in 26 (probably still above 10-12% normalised rate). </t>
        </r>
      </text>
    </comment>
    <comment ref="AP67" authorId="2" shapeId="0" xr:uid="{40729F15-5103-4502-B92F-82740671A765}">
      <text>
        <r>
          <rPr>
            <b/>
            <sz val="9"/>
            <color indexed="81"/>
            <rFont val="Tahoma"/>
            <family val="2"/>
          </rPr>
          <t>Law, Ross (Research):</t>
        </r>
        <r>
          <rPr>
            <sz val="9"/>
            <color indexed="81"/>
            <rFont val="Tahoma"/>
            <family val="2"/>
          </rPr>
          <t xml:space="preserve">
GE 2Q26:  Spare engine ratio for LEAP normalize to 10–12% by year-end 2026</t>
        </r>
      </text>
    </comment>
    <comment ref="AM74" authorId="2" shapeId="0" xr:uid="{BF27DF82-BA8C-4A13-8B34-8A70A62EB9B0}">
      <text>
        <r>
          <rPr>
            <b/>
            <sz val="9"/>
            <color indexed="81"/>
            <rFont val="Tahoma"/>
            <family val="2"/>
          </rPr>
          <t>Law, Ross (Research):</t>
        </r>
        <r>
          <rPr>
            <sz val="9"/>
            <color indexed="81"/>
            <rFont val="Tahoma"/>
            <family val="2"/>
          </rPr>
          <t xml:space="preserve">
1H26: 60% of annual volume in H1.</t>
        </r>
      </text>
    </comment>
    <comment ref="Z75" authorId="2" shapeId="0" xr:uid="{D4E35FC2-0913-4E65-9C1E-EFAD4B75768E}">
      <text>
        <r>
          <rPr>
            <b/>
            <sz val="9"/>
            <color indexed="81"/>
            <rFont val="Tahoma"/>
            <family val="2"/>
          </rPr>
          <t>Law, Ross (Research):</t>
        </r>
        <r>
          <rPr>
            <sz val="9"/>
            <color indexed="81"/>
            <rFont val="Tahoma"/>
            <family val="2"/>
          </rPr>
          <t xml:space="preserve">
FY24: Spares mix low teens</t>
        </r>
      </text>
    </comment>
    <comment ref="AH75" authorId="2" shapeId="0" xr:uid="{C86805FA-C5DD-4C00-933F-219BAE9BC02C}">
      <text>
        <r>
          <rPr>
            <b/>
            <sz val="9"/>
            <color indexed="81"/>
            <rFont val="Tahoma"/>
            <family val="2"/>
          </rPr>
          <t>Law, Ross (Research):</t>
        </r>
        <r>
          <rPr>
            <sz val="9"/>
            <color indexed="81"/>
            <rFont val="Tahoma"/>
            <family val="2"/>
          </rPr>
          <t xml:space="preserve">
FY24: Spares ration to fall slightly yoy</t>
        </r>
      </text>
    </comment>
    <comment ref="F80" authorId="0" shapeId="0" xr:uid="{275AD0C1-9048-4C90-8DA1-9FB5E30E9868}">
      <text>
        <r>
          <rPr>
            <b/>
            <sz val="9"/>
            <color indexed="81"/>
            <rFont val="Tahoma"/>
            <family val="2"/>
          </rPr>
          <t>Humphrey, Andrew (Research):</t>
        </r>
        <r>
          <rPr>
            <sz val="9"/>
            <color indexed="81"/>
            <rFont val="Tahoma"/>
            <family val="2"/>
          </rPr>
          <t xml:space="preserve">
This year has a hard reset on pricing. Likely to be driven by increase in proportion of engines sold as spares</t>
        </r>
      </text>
    </comment>
    <comment ref="R80" authorId="2" shapeId="0" xr:uid="{58213B42-CCB0-45C0-9544-78FC47A1FB25}">
      <text>
        <r>
          <rPr>
            <b/>
            <sz val="9"/>
            <color indexed="81"/>
            <rFont val="Tahoma"/>
            <family val="2"/>
          </rPr>
          <t>Law, Ross (Research):</t>
        </r>
        <r>
          <rPr>
            <sz val="9"/>
            <color indexed="81"/>
            <rFont val="Tahoma"/>
            <family val="2"/>
          </rPr>
          <t xml:space="preserve">
2023 FMV $3-8m
Source: Air Finance Journal
https://www.google.co.uk/url?sa=t&amp;rct=j&amp;q=&amp;esrc=s&amp;source=web&amp;cd=&amp;ved=2ahUKEwji99Gext-DAxVkVeUKHdLpA98QFnoECDkQAQ&amp;url=https%3A%2F%2Fwww.airfinancejournal.com%2FMagazine%2FDownload%2F219&amp;usg=AOvVaw1vKYrQlDpR87HS3Sy53fru&amp;opi=89978449
</t>
        </r>
      </text>
    </comment>
    <comment ref="R81" authorId="2" shapeId="0" xr:uid="{D74DF18E-3577-463C-801D-12E4EE9042D2}">
      <text>
        <r>
          <rPr>
            <b/>
            <sz val="9"/>
            <color indexed="81"/>
            <rFont val="Tahoma"/>
            <family val="2"/>
          </rPr>
          <t>Law, Ross (Research):</t>
        </r>
        <r>
          <rPr>
            <sz val="9"/>
            <color indexed="81"/>
            <rFont val="Tahoma"/>
            <family val="2"/>
          </rPr>
          <t xml:space="preserve">
2023 FMV $12-15m
Source: Air Finance Journal
https://www.google.co.uk/url?sa=t&amp;rct=j&amp;q=&amp;esrc=s&amp;source=web&amp;cd=&amp;ved=2ahUKEwji99Gext-DAxVkVeUKHdLpA98QFnoECDkQAQ&amp;url=https%3A%2F%2Fwww.airfinancejournal.com%2FMagazine%2FDownload%2F219&amp;usg=AOvVaw1vKYrQlDpR87HS3Sy53fru&amp;opi=89978449</t>
        </r>
      </text>
    </comment>
    <comment ref="R82" authorId="2" shapeId="0" xr:uid="{6DC37DAE-0F42-4580-8EB9-6C9C7578F31D}">
      <text>
        <r>
          <rPr>
            <b/>
            <sz val="9"/>
            <color indexed="81"/>
            <rFont val="Tahoma"/>
            <family val="2"/>
          </rPr>
          <t>Law, Ross (Research):</t>
        </r>
        <r>
          <rPr>
            <sz val="9"/>
            <color indexed="81"/>
            <rFont val="Tahoma"/>
            <family val="2"/>
          </rPr>
          <t xml:space="preserve">
2023 FMV $14m
Source: Air Finance Journal
https://www.google.co.uk/url?sa=t&amp;rct=j&amp;q=&amp;esrc=s&amp;source=web&amp;cd=&amp;ved=2ahUKEwji99Gext-DAxVkVeUKHdLpA98QFnoECDkQAQ&amp;url=https%3A%2F%2Fwww.airfinancejournal.com%2FMagazine%2FDownload%2F219&amp;usg=AOvVaw1vKYrQlDpR87HS3Sy53fru&amp;opi=89978449</t>
        </r>
      </text>
    </comment>
    <comment ref="R83" authorId="2" shapeId="0" xr:uid="{9B8D16D4-8084-41E6-B6A9-56024B44E84D}">
      <text>
        <r>
          <rPr>
            <b/>
            <sz val="9"/>
            <color indexed="81"/>
            <rFont val="Tahoma"/>
            <family val="2"/>
          </rPr>
          <t>Law, Ross (Research):</t>
        </r>
        <r>
          <rPr>
            <sz val="9"/>
            <color indexed="81"/>
            <rFont val="Tahoma"/>
            <family val="2"/>
          </rPr>
          <t xml:space="preserve">
List price $42m
Source: Simply Flying</t>
        </r>
      </text>
    </comment>
    <comment ref="R85" authorId="2" shapeId="0" xr:uid="{14AD03D0-46EA-4E53-B65E-3449F2829E0D}">
      <text>
        <r>
          <rPr>
            <b/>
            <sz val="9"/>
            <color indexed="81"/>
            <rFont val="Tahoma"/>
            <family val="2"/>
          </rPr>
          <t>Law, Ross (Research):</t>
        </r>
        <r>
          <rPr>
            <sz val="9"/>
            <color indexed="81"/>
            <rFont val="Tahoma"/>
            <family val="2"/>
          </rPr>
          <t xml:space="preserve">
2023 FMV: $21m
Source: Air Finance Journal
https://www.google.co.uk/url?sa=t&amp;rct=j&amp;q=&amp;esrc=s&amp;source=web&amp;cd=&amp;ved=2ahUKEwji99Gext-DAxVkVeUKHdLpA98QFnoECDkQAQ&amp;url=https%3A%2F%2Fwww.airfinancejournal.com%2FMagazine%2FDownload%2F219&amp;usg=AOvVaw1vKYrQlDpR87HS3Sy53fru&amp;opi=89978449</t>
        </r>
      </text>
    </comment>
    <comment ref="G89" authorId="2" shapeId="0" xr:uid="{F55F006D-46B3-4A51-9C19-0BD4BC6C5E79}">
      <text>
        <r>
          <rPr>
            <b/>
            <sz val="9"/>
            <color indexed="81"/>
            <rFont val="Tahoma"/>
            <family val="2"/>
          </rPr>
          <t>Law, Ross (Research):</t>
        </r>
        <r>
          <rPr>
            <sz val="9"/>
            <color indexed="81"/>
            <rFont val="Tahoma"/>
            <family val="2"/>
          </rPr>
          <t xml:space="preserve">
High proportion of spares activity</t>
        </r>
      </text>
    </comment>
    <comment ref="A97" authorId="2" shapeId="0" xr:uid="{A0F3AE75-B94A-4914-A1D2-E9F2992A7BDB}">
      <text>
        <r>
          <rPr>
            <b/>
            <sz val="9"/>
            <color indexed="81"/>
            <rFont val="Tahoma"/>
            <family val="2"/>
          </rPr>
          <t>Law, Ross (Research):</t>
        </r>
        <r>
          <rPr>
            <sz val="9"/>
            <color indexed="81"/>
            <rFont val="Tahoma"/>
            <family val="2"/>
          </rPr>
          <t xml:space="preserve">
On-wing sales can assume similar or higher discounts vs aircraft discounts (50-60%).
Assume spare engines sales at list.</t>
        </r>
      </text>
    </comment>
    <comment ref="B124" authorId="1" shapeId="0" xr:uid="{F1E3E0C9-5DEA-4E6E-87AB-4308AB7B58F3}">
      <text>
        <r>
          <rPr>
            <b/>
            <sz val="9"/>
            <color indexed="81"/>
            <rFont val="Tahoma"/>
            <family val="2"/>
          </rPr>
          <t>Ayoola, Joseph (Research):</t>
        </r>
        <r>
          <rPr>
            <sz val="9"/>
            <color indexed="81"/>
            <rFont val="Tahoma"/>
            <family val="2"/>
          </rPr>
          <t xml:space="preserve">
Blended program share</t>
        </r>
      </text>
    </comment>
    <comment ref="B125" authorId="1" shapeId="0" xr:uid="{0B1CBB2D-D464-4F53-91E3-F83D002B11E2}">
      <text>
        <r>
          <rPr>
            <b/>
            <sz val="9"/>
            <color indexed="81"/>
            <rFont val="Tahoma"/>
            <family val="2"/>
          </rPr>
          <t>Ayoola, Joseph (Research):</t>
        </r>
        <r>
          <rPr>
            <sz val="9"/>
            <color indexed="81"/>
            <rFont val="Tahoma"/>
            <family val="2"/>
          </rPr>
          <t xml:space="preserve">
Blended programme share
</t>
        </r>
      </text>
    </comment>
    <comment ref="R128" authorId="2" shapeId="0" xr:uid="{D9326A3C-3F6F-46A7-B6A0-4B88956DCD3D}">
      <text>
        <r>
          <rPr>
            <b/>
            <sz val="9"/>
            <color indexed="81"/>
            <rFont val="Tahoma"/>
            <family val="2"/>
          </rPr>
          <t>Law, Ross (Research):</t>
        </r>
        <r>
          <rPr>
            <sz val="9"/>
            <color indexed="81"/>
            <rFont val="Tahoma"/>
            <family val="2"/>
          </rPr>
          <t xml:space="preserve">
Small positive due to low volumes</t>
        </r>
      </text>
    </comment>
    <comment ref="O129" authorId="2" shapeId="0" xr:uid="{013C2290-9FDA-40D5-A894-3F42DA5E5BE3}">
      <text>
        <r>
          <rPr>
            <b/>
            <sz val="9"/>
            <color indexed="81"/>
            <rFont val="Tahoma"/>
            <family val="2"/>
          </rPr>
          <t>Law, Ross (Research):</t>
        </r>
        <r>
          <rPr>
            <sz val="9"/>
            <color indexed="81"/>
            <rFont val="Tahoma"/>
            <family val="2"/>
          </rPr>
          <t xml:space="preserve">
LEAP OE b/e due to mix of spares</t>
        </r>
      </text>
    </comment>
    <comment ref="R129" authorId="2" shapeId="0" xr:uid="{AB8275A9-5D3B-4827-B529-8E1A1BF14E20}">
      <text>
        <r>
          <rPr>
            <b/>
            <sz val="9"/>
            <color indexed="81"/>
            <rFont val="Tahoma"/>
            <family val="2"/>
          </rPr>
          <t>Law, Ross (Research):</t>
        </r>
        <r>
          <rPr>
            <sz val="9"/>
            <color indexed="81"/>
            <rFont val="Tahoma"/>
            <family val="2"/>
          </rPr>
          <t xml:space="preserve">
LEAP lossmaking but H1 b/e diue to spares contribution. Wont repeat in 2024</t>
        </r>
      </text>
    </comment>
    <comment ref="Z129" authorId="2" shapeId="0" xr:uid="{B714C217-445E-415C-B4E9-BEFED5C30229}">
      <text>
        <r>
          <rPr>
            <b/>
            <sz val="9"/>
            <color indexed="81"/>
            <rFont val="Tahoma"/>
            <family val="2"/>
          </rPr>
          <t>Law, Ross (Research):</t>
        </r>
        <r>
          <rPr>
            <sz val="9"/>
            <color indexed="81"/>
            <rFont val="Tahoma"/>
            <family val="2"/>
          </rPr>
          <t xml:space="preserve">
CMD: -15% production cost in 24 vs 21
Margin falls due to mix of fewer spares yoy.</t>
        </r>
      </text>
    </comment>
    <comment ref="AH129" authorId="2" shapeId="0" xr:uid="{297BE8EB-2729-463E-86CC-A644A1328A11}">
      <text>
        <r>
          <rPr>
            <b/>
            <sz val="9"/>
            <color indexed="81"/>
            <rFont val="Tahoma"/>
            <family val="2"/>
          </rPr>
          <t>Law, Ross (Research):</t>
        </r>
        <r>
          <rPr>
            <sz val="9"/>
            <color indexed="81"/>
            <rFont val="Tahoma"/>
            <family val="2"/>
          </rPr>
          <t xml:space="preserve">
Guidance is for b/e in 2025 but inflation has pushed that to the right. So maybe 25/26</t>
        </r>
      </text>
    </comment>
    <comment ref="AP129" authorId="2" shapeId="0" xr:uid="{2C5204E7-64BE-4F9C-8D0C-26B691412D70}">
      <text>
        <r>
          <rPr>
            <b/>
            <sz val="9"/>
            <color indexed="81"/>
            <rFont val="Tahoma"/>
            <family val="2"/>
          </rPr>
          <t>Law, Ross (Research):</t>
        </r>
        <r>
          <rPr>
            <sz val="9"/>
            <color indexed="81"/>
            <rFont val="Tahoma"/>
            <family val="2"/>
          </rPr>
          <t xml:space="preserve">
1H 26: On the 28 July 2026 H1 call, CFO Pascal Bantegnie said that:
Installed LEAP engines: still generate a “slight EBIT negative” per engine.
Spare LEAP engines: are strongly profitable.
Installed + spare engines combined: LEAP OE has already been profitable for ~3 years.
CMD24: OE breakeven from 2025
1H24 - still expect BE by 2026.
Guidance is for b/e in 2025 but inflation has pushed that to the right. So maybe 25/26</t>
        </r>
      </text>
    </comment>
    <comment ref="R130" authorId="2" shapeId="0" xr:uid="{AB379EBA-374B-48F0-8EE9-69B62285A170}">
      <text>
        <r>
          <rPr>
            <b/>
            <sz val="9"/>
            <color indexed="81"/>
            <rFont val="Tahoma"/>
            <family val="2"/>
          </rPr>
          <t>Law, Ross (Research):</t>
        </r>
        <r>
          <rPr>
            <sz val="9"/>
            <color indexed="81"/>
            <rFont val="Tahoma"/>
            <family val="2"/>
          </rPr>
          <t xml:space="preserve">
Low/High thrust b/e or low margin is fair </t>
        </r>
      </text>
    </comment>
    <comment ref="R131" authorId="2" shapeId="0" xr:uid="{EB6E0C7A-B2A4-4238-8604-2BA17045C18F}">
      <text>
        <r>
          <rPr>
            <b/>
            <sz val="9"/>
            <color indexed="81"/>
            <rFont val="Tahoma"/>
            <family val="2"/>
          </rPr>
          <t>Law, Ross (Research):</t>
        </r>
        <r>
          <rPr>
            <sz val="9"/>
            <color indexed="81"/>
            <rFont val="Tahoma"/>
            <family val="2"/>
          </rPr>
          <t xml:space="preserve">
Low/High thrust b/e or low margin is fair </t>
        </r>
      </text>
    </comment>
    <comment ref="G137" authorId="5" shapeId="0" xr:uid="{1FB87DC4-7B08-4C7A-9C59-6CEA26F582F3}">
      <text>
        <r>
          <rPr>
            <b/>
            <sz val="9"/>
            <color indexed="81"/>
            <rFont val="Tahoma"/>
            <family val="2"/>
          </rPr>
          <t>Nicolas, Alexane (Research):</t>
        </r>
        <r>
          <rPr>
            <sz val="9"/>
            <color indexed="81"/>
            <rFont val="Tahoma"/>
            <family val="2"/>
          </rPr>
          <t xml:space="preserve">
From Airbus Model</t>
        </r>
      </text>
    </comment>
    <comment ref="G142" authorId="5" shapeId="0" xr:uid="{CFA8B5B8-4210-43FC-B5CD-90164E1788C0}">
      <text>
        <r>
          <rPr>
            <b/>
            <sz val="9"/>
            <color indexed="81"/>
            <rFont val="Tahoma"/>
            <family val="2"/>
          </rPr>
          <t>Nicolas, Alexane (Research):</t>
        </r>
        <r>
          <rPr>
            <sz val="9"/>
            <color indexed="81"/>
            <rFont val="Tahoma"/>
            <family val="2"/>
          </rPr>
          <t xml:space="preserve">
Delivery skyline sourced from Cirium</t>
        </r>
      </text>
    </comment>
    <comment ref="G143" authorId="5" shapeId="0" xr:uid="{72906B89-4674-45A4-81DD-A94D25AA9707}">
      <text>
        <r>
          <rPr>
            <b/>
            <sz val="9"/>
            <color indexed="81"/>
            <rFont val="Tahoma"/>
            <family val="2"/>
          </rPr>
          <t>Nicolas, Alexane (Research):</t>
        </r>
        <r>
          <rPr>
            <sz val="9"/>
            <color indexed="81"/>
            <rFont val="Tahoma"/>
            <family val="2"/>
          </rPr>
          <t xml:space="preserve">
Cirium</t>
        </r>
      </text>
    </comment>
    <comment ref="H143" authorId="0" shapeId="0" xr:uid="{6153CE7D-55C4-46A6-AE64-3C164DD6E0E2}">
      <text>
        <r>
          <rPr>
            <b/>
            <sz val="9"/>
            <color indexed="81"/>
            <rFont val="Tahoma"/>
            <family val="2"/>
          </rPr>
          <t>Alex</t>
        </r>
        <r>
          <rPr>
            <sz val="9"/>
            <color indexed="81"/>
            <rFont val="Tahoma"/>
            <family val="2"/>
          </rPr>
          <t xml:space="preserve">
Assumption for modelling purposes: 
Boeing is not taking deliveries anymore
Production resumes at 32 per month from end of July 2020
JA: assume 220 in-line with Spirit's commentary on fuselage. Broadly consistent with targeted 1-B production of 10 per week assuming this incl. spares.</t>
        </r>
      </text>
    </comment>
    <comment ref="AP144" authorId="4" shapeId="0" xr:uid="{5D450564-6AFE-4623-9B08-312F7F4485FF}">
      <text>
        <r>
          <rPr>
            <b/>
            <sz val="9"/>
            <color indexed="81"/>
            <rFont val="Tahoma"/>
            <family val="2"/>
          </rPr>
          <t>Magajwala, Vatsal (Research):</t>
        </r>
        <r>
          <rPr>
            <sz val="9"/>
            <color indexed="81"/>
            <rFont val="Tahoma"/>
            <family val="2"/>
          </rPr>
          <t xml:space="preserve">
Based on US model (estimates as on 30th July 2025)</t>
        </r>
      </text>
    </comment>
    <comment ref="AX144" authorId="4" shapeId="0" xr:uid="{06BA6A10-298A-4F08-B4DF-122B573064F6}">
      <text>
        <r>
          <rPr>
            <b/>
            <sz val="9"/>
            <color indexed="81"/>
            <rFont val="Tahoma"/>
            <family val="2"/>
          </rPr>
          <t>Magajwala, Vatsal (Research):</t>
        </r>
        <r>
          <rPr>
            <sz val="9"/>
            <color indexed="81"/>
            <rFont val="Tahoma"/>
            <family val="2"/>
          </rPr>
          <t xml:space="preserve">
Based on US model (estimates as on 30th July 2025)</t>
        </r>
      </text>
    </comment>
    <comment ref="BF144" authorId="4" shapeId="0" xr:uid="{5DFCCF1E-1F77-41EF-A953-F48686D770E9}">
      <text>
        <r>
          <rPr>
            <b/>
            <sz val="9"/>
            <color indexed="81"/>
            <rFont val="Tahoma"/>
            <family val="2"/>
          </rPr>
          <t>Magajwala, Vatsal (Research):</t>
        </r>
        <r>
          <rPr>
            <sz val="9"/>
            <color indexed="81"/>
            <rFont val="Tahoma"/>
            <family val="2"/>
          </rPr>
          <t xml:space="preserve">
Based on US model (estimates as on 30th July 2025)</t>
        </r>
      </text>
    </comment>
    <comment ref="BN144" authorId="4" shapeId="0" xr:uid="{2F0B2F0F-19C0-4E46-88E0-C2725791F1FD}">
      <text>
        <r>
          <rPr>
            <b/>
            <sz val="9"/>
            <color indexed="81"/>
            <rFont val="Tahoma"/>
            <family val="2"/>
          </rPr>
          <t>Magajwala, Vatsal (Research):</t>
        </r>
        <r>
          <rPr>
            <sz val="9"/>
            <color indexed="81"/>
            <rFont val="Tahoma"/>
            <family val="2"/>
          </rPr>
          <t xml:space="preserve">
Based on US model (estimates as on 30th July 2025)</t>
        </r>
      </text>
    </comment>
    <comment ref="BV144" authorId="2" shapeId="0" xr:uid="{32E8F110-3C12-48B8-A9C3-B160EF6241B8}">
      <text>
        <r>
          <rPr>
            <b/>
            <sz val="9"/>
            <color indexed="81"/>
            <rFont val="Tahoma"/>
            <family val="2"/>
          </rPr>
          <t>Law, Ross (Research):</t>
        </r>
        <r>
          <rPr>
            <sz val="9"/>
            <color indexed="81"/>
            <rFont val="Tahoma"/>
            <family val="2"/>
          </rPr>
          <t xml:space="preserve">
Based on US model (estimates as on 30th July 2025)</t>
        </r>
      </text>
    </comment>
    <comment ref="R166" authorId="4" shapeId="0" xr:uid="{FB3D1280-428E-4FF0-8356-099DCE48BC91}">
      <text>
        <r>
          <rPr>
            <b/>
            <sz val="9"/>
            <color indexed="81"/>
            <rFont val="Tahoma"/>
            <family val="2"/>
          </rPr>
          <t>Magajwala, Vatsal (Research):</t>
        </r>
        <r>
          <rPr>
            <sz val="9"/>
            <color indexed="81"/>
            <rFont val="Tahoma"/>
            <family val="2"/>
          </rPr>
          <t xml:space="preserve">
Hardcoded to match CFM deliveries in cell R170</t>
        </r>
      </text>
    </comment>
    <comment ref="S166" authorId="4" shapeId="0" xr:uid="{CE7874BB-91C0-446A-AB49-0FD91B7D66A1}">
      <text>
        <r>
          <rPr>
            <b/>
            <sz val="9"/>
            <color indexed="81"/>
            <rFont val="Tahoma"/>
            <family val="2"/>
          </rPr>
          <t>Magajwala, Vatsal (Research):</t>
        </r>
        <r>
          <rPr>
            <sz val="9"/>
            <color indexed="81"/>
            <rFont val="Tahoma"/>
            <family val="2"/>
          </rPr>
          <t xml:space="preserve">
Hardcoded to match CFM deliveries in cell S171</t>
        </r>
      </text>
    </comment>
    <comment ref="U166" authorId="4" shapeId="0" xr:uid="{C43AAAB6-7889-4152-814A-061A51F7A1B5}">
      <text>
        <r>
          <rPr>
            <b/>
            <sz val="9"/>
            <color indexed="81"/>
            <rFont val="Tahoma"/>
            <family val="2"/>
          </rPr>
          <t>Magajwala, Vatsal (Research):</t>
        </r>
        <r>
          <rPr>
            <sz val="9"/>
            <color indexed="81"/>
            <rFont val="Tahoma"/>
            <family val="2"/>
          </rPr>
          <t xml:space="preserve">
Hardcoded to match CFM deliveries in cell S171</t>
        </r>
      </text>
    </comment>
    <comment ref="W166" authorId="4" shapeId="0" xr:uid="{E01DCA4B-7ABF-45FD-BD30-D94498C72B61}">
      <text>
        <r>
          <rPr>
            <b/>
            <sz val="9"/>
            <color indexed="81"/>
            <rFont val="Tahoma"/>
            <family val="2"/>
          </rPr>
          <t>Magajwala, Vatsal (Research):</t>
        </r>
        <r>
          <rPr>
            <sz val="9"/>
            <color indexed="81"/>
            <rFont val="Tahoma"/>
            <family val="2"/>
          </rPr>
          <t xml:space="preserve">
Hardcoded to match CFM deliveries in cell S171</t>
        </r>
      </text>
    </comment>
    <comment ref="Z166" authorId="4" shapeId="0" xr:uid="{969B11C5-AA23-4542-B6D4-7E89F24F2712}">
      <text>
        <r>
          <rPr>
            <b/>
            <sz val="9"/>
            <color indexed="81"/>
            <rFont val="Tahoma"/>
            <family val="2"/>
          </rPr>
          <t>Magajwala, Vatsal (Research):</t>
        </r>
        <r>
          <rPr>
            <sz val="9"/>
            <color indexed="81"/>
            <rFont val="Tahoma"/>
            <family val="2"/>
          </rPr>
          <t xml:space="preserve">
Hardcoded to match CFM deliveries in cell S171</t>
        </r>
      </text>
    </comment>
    <comment ref="AA166" authorId="4" shapeId="0" xr:uid="{0976EE2C-5720-441A-9D0E-47877DD1C62B}">
      <text>
        <r>
          <rPr>
            <b/>
            <sz val="9"/>
            <color indexed="81"/>
            <rFont val="Tahoma"/>
            <family val="2"/>
          </rPr>
          <t>Magajwala, Vatsal (Research):</t>
        </r>
        <r>
          <rPr>
            <sz val="9"/>
            <color indexed="81"/>
            <rFont val="Tahoma"/>
            <family val="2"/>
          </rPr>
          <t xml:space="preserve">
Hardcoded to match CFM deliveries in cell AA171</t>
        </r>
      </text>
    </comment>
    <comment ref="AE166" authorId="4" shapeId="0" xr:uid="{93501529-BBF6-48B2-A3AD-19FE785CF5EE}">
      <text>
        <r>
          <rPr>
            <b/>
            <sz val="9"/>
            <color indexed="81"/>
            <rFont val="Tahoma"/>
            <family val="2"/>
          </rPr>
          <t>Magajwala, Vatsal (Research):</t>
        </r>
        <r>
          <rPr>
            <sz val="9"/>
            <color indexed="81"/>
            <rFont val="Tahoma"/>
            <family val="2"/>
          </rPr>
          <t xml:space="preserve">
Hardcoded to match CFM deliveries in cell AA171</t>
        </r>
      </text>
    </comment>
    <comment ref="R171" authorId="4" shapeId="0" xr:uid="{74EB19D4-8B24-469C-984D-C763FCDD4063}">
      <text>
        <r>
          <rPr>
            <b/>
            <sz val="9"/>
            <color indexed="81"/>
            <rFont val="Tahoma"/>
            <family val="2"/>
          </rPr>
          <t>Magajwala, Vatsal (Research):</t>
        </r>
        <r>
          <rPr>
            <sz val="9"/>
            <color indexed="81"/>
            <rFont val="Tahoma"/>
            <family val="2"/>
          </rPr>
          <t xml:space="preserve">
CFM56 Deliveries 52 for FY23</t>
        </r>
      </text>
    </comment>
    <comment ref="S171" authorId="4" shapeId="0" xr:uid="{122B1203-ADC0-4202-AF5A-8772178112C2}">
      <text>
        <r>
          <rPr>
            <b/>
            <sz val="9"/>
            <color indexed="81"/>
            <rFont val="Tahoma"/>
            <family val="2"/>
          </rPr>
          <t>Magajwala, Vatsal (Research):</t>
        </r>
        <r>
          <rPr>
            <sz val="9"/>
            <color indexed="81"/>
            <rFont val="Tahoma"/>
            <family val="2"/>
          </rPr>
          <t xml:space="preserve">
CFM56 Deliveries 12 for 1Q24</t>
        </r>
      </text>
    </comment>
    <comment ref="AA171" authorId="4" shapeId="0" xr:uid="{D6B85D36-A7E1-4D70-B3BC-49D1DB70FAF3}">
      <text>
        <r>
          <rPr>
            <b/>
            <sz val="9"/>
            <color indexed="81"/>
            <rFont val="Tahoma"/>
            <family val="2"/>
          </rPr>
          <t>Magajwala, Vatsal (Research):</t>
        </r>
        <r>
          <rPr>
            <sz val="9"/>
            <color indexed="81"/>
            <rFont val="Tahoma"/>
            <family val="2"/>
          </rPr>
          <t xml:space="preserve">
CFM56 Deliveries 12 for 1Q25</t>
        </r>
      </text>
    </comment>
    <comment ref="O181" authorId="2" shapeId="0" xr:uid="{19EDCA5A-A2C0-45AD-A674-8DF740804B01}">
      <text>
        <r>
          <rPr>
            <b/>
            <sz val="9"/>
            <color indexed="81"/>
            <rFont val="Tahoma"/>
            <family val="2"/>
          </rPr>
          <t>Law, Ross (Research):</t>
        </r>
        <r>
          <rPr>
            <sz val="9"/>
            <color indexed="81"/>
            <rFont val="Tahoma"/>
            <family val="2"/>
          </rPr>
          <t xml:space="preserve">
1H23 conference call: Spare engines higher in H1, above 10%</t>
        </r>
      </text>
    </comment>
    <comment ref="R181" authorId="2" shapeId="0" xr:uid="{C7583C2A-5A1A-4A37-A0A4-AD3C7B16B061}">
      <text>
        <r>
          <rPr>
            <b/>
            <sz val="9"/>
            <color indexed="81"/>
            <rFont val="Tahoma"/>
            <family val="2"/>
          </rPr>
          <t>Law, Ross (Research):</t>
        </r>
        <r>
          <rPr>
            <sz val="9"/>
            <color indexed="81"/>
            <rFont val="Tahoma"/>
            <family val="2"/>
          </rPr>
          <t xml:space="preserve">
Typically 10% to install ratio </t>
        </r>
      </text>
    </comment>
    <comment ref="Z181" authorId="2" shapeId="0" xr:uid="{624688CA-57AF-47A9-92D0-5D6660DB2F2B}">
      <text>
        <r>
          <rPr>
            <b/>
            <sz val="9"/>
            <color indexed="81"/>
            <rFont val="Tahoma"/>
            <family val="2"/>
          </rPr>
          <t>Law, Ross (Research):</t>
        </r>
        <r>
          <rPr>
            <sz val="9"/>
            <color indexed="81"/>
            <rFont val="Tahoma"/>
            <family val="2"/>
          </rPr>
          <t xml:space="preserve">
Typically 10% to install ratio 
GE CMD24: spare proportion to fall in 24 yoy</t>
        </r>
      </text>
    </comment>
    <comment ref="AX181" authorId="2" shapeId="0" xr:uid="{7140CD75-6C92-418F-B3CB-D2C6BD3EA057}">
      <text>
        <r>
          <rPr>
            <b/>
            <sz val="9"/>
            <color indexed="81"/>
            <rFont val="Tahoma"/>
            <family val="2"/>
          </rPr>
          <t>Law, Ross (Research):</t>
        </r>
        <r>
          <rPr>
            <sz val="9"/>
            <color indexed="81"/>
            <rFont val="Tahoma"/>
            <family val="2"/>
          </rPr>
          <t xml:space="preserve">
Normalised 10-12%</t>
        </r>
      </text>
    </comment>
    <comment ref="A184" authorId="2" shapeId="0" xr:uid="{3DABA8BD-CC41-4A6E-9D93-8BD5C8BBA932}">
      <text>
        <r>
          <rPr>
            <b/>
            <sz val="9"/>
            <color indexed="81"/>
            <rFont val="Tahoma"/>
            <family val="2"/>
          </rPr>
          <t>Law, Ross (Research):</t>
        </r>
        <r>
          <rPr>
            <sz val="9"/>
            <color indexed="81"/>
            <rFont val="Tahoma"/>
            <family val="2"/>
          </rPr>
          <t xml:space="preserve">
Sourced from Cirium: LEAP-1A delivered (handover) and delivered (handover) - parked per year</t>
        </r>
      </text>
    </comment>
    <comment ref="J184" authorId="2" shapeId="0" xr:uid="{BD0BC34A-599A-4E1D-98C8-C9CCCD4F380D}">
      <text>
        <r>
          <rPr>
            <b/>
            <sz val="9"/>
            <color indexed="81"/>
            <rFont val="Tahoma"/>
            <family val="2"/>
          </rPr>
          <t>Law, Ross (Research):</t>
        </r>
        <r>
          <rPr>
            <sz val="9"/>
            <color indexed="81"/>
            <rFont val="Tahoma"/>
            <family val="2"/>
          </rPr>
          <t xml:space="preserve">
Cirium (289 LEAP1A of 516 delivered)</t>
        </r>
      </text>
    </comment>
    <comment ref="R184" authorId="2" shapeId="0" xr:uid="{893DA202-3FDC-4161-B031-B450D843655B}">
      <text>
        <r>
          <rPr>
            <b/>
            <sz val="9"/>
            <color indexed="81"/>
            <rFont val="Tahoma"/>
            <family val="2"/>
          </rPr>
          <t>Law, Ross (Research):</t>
        </r>
        <r>
          <rPr>
            <sz val="9"/>
            <color indexed="81"/>
            <rFont val="Tahoma"/>
            <family val="2"/>
          </rPr>
          <t xml:space="preserve">
Source: Cirium</t>
        </r>
      </text>
    </comment>
    <comment ref="S184" authorId="2" shapeId="0" xr:uid="{CFB806B7-A9D7-4457-97AF-C66578246073}">
      <text>
        <r>
          <rPr>
            <b/>
            <sz val="9"/>
            <color indexed="81"/>
            <rFont val="Tahoma"/>
            <family val="2"/>
          </rPr>
          <t>Law, Ross (Research):</t>
        </r>
        <r>
          <rPr>
            <sz val="9"/>
            <color indexed="81"/>
            <rFont val="Tahoma"/>
            <family val="2"/>
          </rPr>
          <t xml:space="preserve">
Cirium 58/116</t>
        </r>
      </text>
    </comment>
    <comment ref="W184" authorId="2" shapeId="0" xr:uid="{5B3AD6F2-B006-4D90-A7AC-680E12A15640}">
      <text>
        <r>
          <rPr>
            <b/>
            <sz val="9"/>
            <color indexed="81"/>
            <rFont val="Tahoma"/>
            <family val="2"/>
          </rPr>
          <t>Law, Ross (Research):</t>
        </r>
        <r>
          <rPr>
            <sz val="9"/>
            <color indexed="81"/>
            <rFont val="Tahoma"/>
            <family val="2"/>
          </rPr>
          <t xml:space="preserve">
Cirium 131 LEAP powered</t>
        </r>
      </text>
    </comment>
    <comment ref="Z184" authorId="2" shapeId="0" xr:uid="{B446B1F1-EE33-493F-A08A-3C3BC31243C2}">
      <text>
        <r>
          <rPr>
            <b/>
            <sz val="9"/>
            <color indexed="81"/>
            <rFont val="Tahoma"/>
            <family val="2"/>
          </rPr>
          <t>Law, Ross (Research):</t>
        </r>
        <r>
          <rPr>
            <sz val="9"/>
            <color indexed="81"/>
            <rFont val="Tahoma"/>
            <family val="2"/>
          </rPr>
          <t xml:space="preserve">
Cirium 15/01/25: 329/602</t>
        </r>
      </text>
    </comment>
    <comment ref="AA184" authorId="4" shapeId="0" xr:uid="{CD67E4A1-C100-4B5D-8B37-B30CFC270695}">
      <text>
        <r>
          <rPr>
            <b/>
            <sz val="9"/>
            <color indexed="81"/>
            <rFont val="Tahoma"/>
            <family val="2"/>
          </rPr>
          <t>Magajwala, Vatsal (Research):</t>
        </r>
        <r>
          <rPr>
            <sz val="9"/>
            <color indexed="81"/>
            <rFont val="Tahoma"/>
            <family val="2"/>
          </rPr>
          <t xml:space="preserve">
Source: Cirium</t>
        </r>
      </text>
    </comment>
    <comment ref="AC184" authorId="2" shapeId="0" xr:uid="{E350359E-4F4C-4BCB-8F52-369A118555F9}">
      <text>
        <r>
          <rPr>
            <b/>
            <sz val="9"/>
            <color indexed="81"/>
            <rFont val="Tahoma"/>
            <family val="2"/>
          </rPr>
          <t>Law, Ross (Research):</t>
        </r>
        <r>
          <rPr>
            <sz val="9"/>
            <color indexed="81"/>
            <rFont val="Tahoma"/>
            <family val="2"/>
          </rPr>
          <t xml:space="preserve">
Cirium</t>
        </r>
      </text>
    </comment>
    <comment ref="AE184" authorId="4" shapeId="0" xr:uid="{57EE68F4-AE1E-48FB-97E9-D08962354109}">
      <text>
        <r>
          <rPr>
            <b/>
            <sz val="9"/>
            <color indexed="81"/>
            <rFont val="Tahoma"/>
            <family val="2"/>
          </rPr>
          <t>Magajwala, Vatsal (Research):</t>
        </r>
        <r>
          <rPr>
            <sz val="9"/>
            <color indexed="81"/>
            <rFont val="Tahoma"/>
            <family val="2"/>
          </rPr>
          <t xml:space="preserve">
Source: Cirium</t>
        </r>
      </text>
    </comment>
    <comment ref="H187" authorId="1" shapeId="0" xr:uid="{03837808-157F-4228-A06F-AA0B5E66C342}">
      <text>
        <r>
          <rPr>
            <b/>
            <sz val="9"/>
            <color indexed="81"/>
            <rFont val="Tahoma"/>
            <family val="2"/>
          </rPr>
          <t>Ayoola, Joseph (Research):</t>
        </r>
        <r>
          <rPr>
            <sz val="9"/>
            <color indexed="81"/>
            <rFont val="Tahoma"/>
            <family val="2"/>
          </rPr>
          <t xml:space="preserve">
per Spirit</t>
        </r>
      </text>
    </comment>
    <comment ref="R187" authorId="4" shapeId="0" xr:uid="{1596CCC8-D14C-40FA-836A-F5F6D0D6DAED}">
      <text>
        <r>
          <rPr>
            <b/>
            <sz val="9"/>
            <color indexed="81"/>
            <rFont val="Tahoma"/>
            <family val="2"/>
          </rPr>
          <t>Magajwala, Vatsal (Research):</t>
        </r>
        <r>
          <rPr>
            <sz val="9"/>
            <color indexed="81"/>
            <rFont val="Tahoma"/>
            <family val="2"/>
          </rPr>
          <t xml:space="preserve">
Source: MSe estimates (KL) </t>
        </r>
      </text>
    </comment>
    <comment ref="Z187" authorId="4" shapeId="0" xr:uid="{F2EB1C4C-2336-4C72-888A-9283EE288404}">
      <text>
        <r>
          <rPr>
            <b/>
            <sz val="9"/>
            <color indexed="81"/>
            <rFont val="Tahoma"/>
            <family val="2"/>
          </rPr>
          <t>Magajwala, Vatsal (Research):</t>
        </r>
        <r>
          <rPr>
            <sz val="9"/>
            <color indexed="81"/>
            <rFont val="Tahoma"/>
            <family val="2"/>
          </rPr>
          <t xml:space="preserve">
Previously expected CFM to continue to deliver at master schedule rate (38pm) = 456. MS forecasts only 268 aircraft built in FY24.
Updated: MS forecasts only 190 aircraft built in FY24 (based on19th Dec 2024 model)</t>
        </r>
      </text>
    </comment>
    <comment ref="AP187" authorId="2" shapeId="0" xr:uid="{C50596E9-0DC7-48C4-8CB7-BBA09284CA60}">
      <text>
        <r>
          <rPr>
            <b/>
            <sz val="9"/>
            <color indexed="81"/>
            <rFont val="Tahoma"/>
            <family val="2"/>
          </rPr>
          <t>Law, Ross (Research):</t>
        </r>
        <r>
          <rPr>
            <sz val="9"/>
            <color indexed="81"/>
            <rFont val="Tahoma"/>
            <family val="2"/>
          </rPr>
          <t xml:space="preserve">
Guidance: 500 deliveries</t>
        </r>
      </text>
    </comment>
    <comment ref="AX187" authorId="2" shapeId="0" xr:uid="{AC049F89-D7B5-47A2-AB29-5E4B21F91A0E}">
      <text>
        <r>
          <rPr>
            <b/>
            <sz val="9"/>
            <color indexed="81"/>
            <rFont val="Tahoma"/>
            <family val="2"/>
          </rPr>
          <t>Law, Ross (Research):</t>
        </r>
        <r>
          <rPr>
            <sz val="9"/>
            <color indexed="81"/>
            <rFont val="Tahoma"/>
            <family val="2"/>
          </rPr>
          <t xml:space="preserve">
MSe (29 July): 592</t>
        </r>
      </text>
    </comment>
    <comment ref="BF187" authorId="2" shapeId="0" xr:uid="{38EF8E34-5246-449B-BC43-D0157A5A8689}">
      <text>
        <r>
          <rPr>
            <b/>
            <sz val="9"/>
            <color indexed="81"/>
            <rFont val="Tahoma"/>
            <family val="2"/>
          </rPr>
          <t>Law, Ross (Research):</t>
        </r>
        <r>
          <rPr>
            <sz val="9"/>
            <color indexed="81"/>
            <rFont val="Tahoma"/>
            <family val="2"/>
          </rPr>
          <t xml:space="preserve">
MSe (29 July): 624</t>
        </r>
      </text>
    </comment>
    <comment ref="BN187" authorId="2" shapeId="0" xr:uid="{B29F6113-68B9-4C2A-A66A-BDA793EFF4F5}">
      <text>
        <r>
          <rPr>
            <b/>
            <sz val="9"/>
            <color indexed="81"/>
            <rFont val="Tahoma"/>
            <family val="2"/>
          </rPr>
          <t>Law, Ross (Research):</t>
        </r>
        <r>
          <rPr>
            <sz val="9"/>
            <color indexed="81"/>
            <rFont val="Tahoma"/>
            <family val="2"/>
          </rPr>
          <t xml:space="preserve">
MSe (29 July): 624</t>
        </r>
      </text>
    </comment>
    <comment ref="BV187" authorId="2" shapeId="0" xr:uid="{5572DC44-AC9B-44FF-972C-DA6A63DCA4E2}">
      <text>
        <r>
          <rPr>
            <b/>
            <sz val="9"/>
            <color indexed="81"/>
            <rFont val="Tahoma"/>
            <family val="2"/>
          </rPr>
          <t>Law, Ross (Research):</t>
        </r>
        <r>
          <rPr>
            <sz val="9"/>
            <color indexed="81"/>
            <rFont val="Tahoma"/>
            <family val="2"/>
          </rPr>
          <t xml:space="preserve">
MSe (29 July): 624</t>
        </r>
      </text>
    </comment>
    <comment ref="R191" authorId="2" shapeId="0" xr:uid="{39C95D10-2044-42C3-A2A9-9B72419F7608}">
      <text>
        <r>
          <rPr>
            <b/>
            <sz val="9"/>
            <color indexed="81"/>
            <rFont val="Tahoma"/>
            <family val="2"/>
          </rPr>
          <t>Law, Ross (Research):</t>
        </r>
        <r>
          <rPr>
            <sz val="9"/>
            <color indexed="81"/>
            <rFont val="Tahoma"/>
            <family val="2"/>
          </rPr>
          <t xml:space="preserve">
Typically 10% to install ratio </t>
        </r>
      </text>
    </comment>
    <comment ref="AX191" authorId="2" shapeId="0" xr:uid="{0AF5F3CA-D958-4840-ABE1-06C77A72737D}">
      <text>
        <r>
          <rPr>
            <b/>
            <sz val="9"/>
            <color indexed="81"/>
            <rFont val="Tahoma"/>
            <family val="2"/>
          </rPr>
          <t>Law, Ross (Research):</t>
        </r>
        <r>
          <rPr>
            <sz val="9"/>
            <color indexed="81"/>
            <rFont val="Tahoma"/>
            <family val="2"/>
          </rPr>
          <t xml:space="preserve">
Normalised 10-12%</t>
        </r>
      </text>
    </comment>
    <comment ref="I195" authorId="1" shapeId="0" xr:uid="{083B20F3-700A-4B27-AC26-7744113E828E}">
      <text>
        <r>
          <rPr>
            <b/>
            <sz val="9"/>
            <color indexed="81"/>
            <rFont val="Tahoma"/>
            <family val="2"/>
          </rPr>
          <t>Ayoola, Joseph (Research):</t>
        </r>
        <r>
          <rPr>
            <sz val="9"/>
            <color indexed="81"/>
            <rFont val="Tahoma"/>
            <family val="2"/>
          </rPr>
          <t xml:space="preserve">
expect LEAP 1B deliveries down y/y</t>
        </r>
      </text>
    </comment>
    <comment ref="J205" authorId="2" shapeId="0" xr:uid="{D219DCFA-0BC4-4AA2-B98C-4A656BCBFD5C}">
      <text>
        <r>
          <rPr>
            <b/>
            <sz val="9"/>
            <color indexed="81"/>
            <rFont val="Tahoma"/>
            <family val="2"/>
          </rPr>
          <t>Law, Ross (Research):</t>
        </r>
        <r>
          <rPr>
            <sz val="9"/>
            <color indexed="81"/>
            <rFont val="Tahoma"/>
            <family val="2"/>
          </rPr>
          <t xml:space="preserve">
No commercial LEAP-1C deliveries made in 2022. Starts at low levels in 2023.</t>
        </r>
      </text>
    </comment>
    <comment ref="G207" authorId="5" shapeId="0" xr:uid="{5587C608-242F-4999-A8EB-DCEB79017BC3}">
      <text>
        <r>
          <rPr>
            <b/>
            <sz val="9"/>
            <color indexed="81"/>
            <rFont val="Tahoma"/>
            <family val="2"/>
          </rPr>
          <t>Nicolas, Alexane (Research):</t>
        </r>
        <r>
          <rPr>
            <sz val="9"/>
            <color indexed="81"/>
            <rFont val="Tahoma"/>
            <family val="2"/>
          </rPr>
          <t xml:space="preserve">
We delivered 1,316 LEAP in the first 9 months of 2019 compared to 741 engines in the year ago period, of which 455 LEAP in Q3 2019.
Company maintained target of ~1,800 engines for the full year in October </t>
        </r>
      </text>
    </comment>
    <comment ref="H207" authorId="5" shapeId="0" xr:uid="{C6C43D67-C288-4C69-9657-C0154B9F7A2E}">
      <text>
        <r>
          <rPr>
            <b/>
            <sz val="9"/>
            <color indexed="81"/>
            <rFont val="Tahoma"/>
            <family val="2"/>
          </rPr>
          <t>Nicolas, Alexane (Research):</t>
        </r>
        <r>
          <rPr>
            <sz val="9"/>
            <color indexed="81"/>
            <rFont val="Tahoma"/>
            <family val="2"/>
          </rPr>
          <t xml:space="preserve">
Significantly lower than target at CMD of +2,000 LEAP delivered but we have taken MAX grouding and halt in production into account</t>
        </r>
      </text>
    </comment>
    <comment ref="I207" authorId="1" shapeId="0" xr:uid="{67E7C780-87D7-4516-9AA0-CF1B11D7F86E}">
      <text>
        <r>
          <rPr>
            <b/>
            <sz val="9"/>
            <color indexed="81"/>
            <rFont val="Tahoma"/>
            <family val="2"/>
          </rPr>
          <t>Ayoola, Joseph (Research):</t>
        </r>
        <r>
          <rPr>
            <sz val="9"/>
            <color indexed="81"/>
            <rFont val="Tahoma"/>
            <family val="2"/>
          </rPr>
          <t xml:space="preserve">
guide 800+</t>
        </r>
      </text>
    </comment>
    <comment ref="Q207" authorId="2" shapeId="0" xr:uid="{30FEF1D1-39B1-4C4E-80BC-23A9B3BD5B11}">
      <text>
        <r>
          <rPr>
            <b/>
            <sz val="9"/>
            <color indexed="81"/>
            <rFont val="Tahoma"/>
            <family val="2"/>
          </rPr>
          <t>Law, Ross (Research):</t>
        </r>
        <r>
          <rPr>
            <sz val="9"/>
            <color indexed="81"/>
            <rFont val="Tahoma"/>
            <family val="2"/>
          </rPr>
          <t xml:space="preserve">
1174</t>
        </r>
      </text>
    </comment>
    <comment ref="U207" authorId="4" shapeId="0" xr:uid="{7F2493EA-14D2-411B-AC43-2B6016AC96E8}">
      <text>
        <r>
          <rPr>
            <b/>
            <sz val="9"/>
            <color indexed="81"/>
            <rFont val="Tahoma"/>
            <family val="2"/>
          </rPr>
          <t>Magajwala, Vatsal (Research):</t>
        </r>
        <r>
          <rPr>
            <sz val="9"/>
            <color indexed="81"/>
            <rFont val="Tahoma"/>
            <family val="2"/>
          </rPr>
          <t xml:space="preserve">
LEAP engine deliveries were up sequentially with 365 units in Q3 2024 (297 units in Q2 2024) but were down 6% compared to Q3 2023 (389 units) as supply chain performance still requires
enhancement.</t>
        </r>
      </text>
    </comment>
    <comment ref="Y207" authorId="4" shapeId="0" xr:uid="{E2D1643B-576A-469F-B75B-B7919E1D2736}">
      <text>
        <r>
          <rPr>
            <b/>
            <sz val="9"/>
            <color indexed="81"/>
            <rFont val="Tahoma"/>
            <family val="2"/>
          </rPr>
          <t>Magajwala, Vatsal (Research):</t>
        </r>
        <r>
          <rPr>
            <sz val="9"/>
            <color indexed="81"/>
            <rFont val="Tahoma"/>
            <family val="2"/>
          </rPr>
          <t xml:space="preserve">
1029</t>
        </r>
      </text>
    </comment>
    <comment ref="Z207" authorId="2" shapeId="0" xr:uid="{B9B81F43-7011-46BE-A4F7-8A60A667DC8F}">
      <text>
        <r>
          <rPr>
            <b/>
            <sz val="9"/>
            <color indexed="81"/>
            <rFont val="Tahoma"/>
            <family val="2"/>
          </rPr>
          <t xml:space="preserve">Law, Ross (Research):
</t>
        </r>
        <r>
          <rPr>
            <sz val="9"/>
            <color indexed="81"/>
            <rFont val="Tahoma"/>
            <family val="2"/>
          </rPr>
          <t>Guidance (3Q24): ~ -10%
Updated guidance: 0-5%
Previous guidance (GE 1Q24) +10-15%.
Previous guidance (GE 3Q23) +20-25%
Previous forecast: 2000+</t>
        </r>
      </text>
    </comment>
    <comment ref="AA207" authorId="4" shapeId="0" xr:uid="{4A775542-4415-4095-B744-840A4DE47049}">
      <text>
        <r>
          <rPr>
            <b/>
            <sz val="9"/>
            <color indexed="81"/>
            <rFont val="Tahoma"/>
            <family val="2"/>
          </rPr>
          <t>Magajwala, Vatsal (Research):</t>
        </r>
        <r>
          <rPr>
            <sz val="9"/>
            <color indexed="81"/>
            <rFont val="Tahoma"/>
            <family val="2"/>
          </rPr>
          <t xml:space="preserve">
319 LEAP engines were delivered compared to 367 in Q1 2024, reflecting the soft production at the start of the year. Lower volume was more than offset by favorable customer mix.</t>
        </r>
      </text>
    </comment>
    <comment ref="AB207" authorId="2" shapeId="0" xr:uid="{8FA14137-308B-4A6D-A425-D5B1204B8921}">
      <text>
        <r>
          <rPr>
            <b/>
            <sz val="9"/>
            <color indexed="81"/>
            <rFont val="Tahoma"/>
            <family val="2"/>
          </rPr>
          <t>Law, Ross (Research):</t>
        </r>
        <r>
          <rPr>
            <sz val="9"/>
            <color indexed="81"/>
            <rFont val="Tahoma"/>
            <family val="2"/>
          </rPr>
          <t xml:space="preserve">
400+</t>
        </r>
      </text>
    </comment>
    <comment ref="AC207" authorId="2" shapeId="0" xr:uid="{E10BCC20-2B14-4D40-A84C-30BE79911358}">
      <text>
        <r>
          <rPr>
            <b/>
            <sz val="9"/>
            <color indexed="81"/>
            <rFont val="Tahoma"/>
            <family val="2"/>
          </rPr>
          <t>Law, Ross (Research):</t>
        </r>
        <r>
          <rPr>
            <sz val="9"/>
            <color indexed="81"/>
            <rFont val="Tahoma"/>
            <family val="2"/>
          </rPr>
          <t xml:space="preserve">
500+</t>
        </r>
      </text>
    </comment>
    <comment ref="AH207" authorId="2" shapeId="0" xr:uid="{736C66D1-5448-4024-87E2-F28618193746}">
      <text>
        <r>
          <rPr>
            <b/>
            <sz val="9"/>
            <color indexed="81"/>
            <rFont val="Tahoma"/>
            <family val="2"/>
          </rPr>
          <t>Law, Ross (Research):</t>
        </r>
        <r>
          <rPr>
            <sz val="9"/>
            <color indexed="81"/>
            <rFont val="Tahoma"/>
            <family val="2"/>
          </rPr>
          <t xml:space="preserve">
3Q25: +&gt;20%
CMD24: +15-20%
Commentary 3Q23: SAF assumes:
* 50 737s pm = 600 aircraft/1200 engines for FY
 Plus 10% spares = 1,320 engines
* 65 A320s pm = 748 aircraft (based on 11.5 months)/1495. Plus 10% spares = 1645. Assume 60% share = 987.
Total 2,307.    
GE CEO at CMD24: Expect to deliver north of 2000 LEAP engines in 2025.
CMD21 target: 2000+</t>
        </r>
      </text>
    </comment>
    <comment ref="AP207" authorId="2" shapeId="0" xr:uid="{9AD869FD-2A32-4DE2-BB48-ED6F6239AC54}">
      <text>
        <r>
          <rPr>
            <b/>
            <sz val="9"/>
            <color indexed="81"/>
            <rFont val="Tahoma"/>
            <family val="2"/>
          </rPr>
          <t>Law, Ross (Research):</t>
        </r>
        <r>
          <rPr>
            <sz val="9"/>
            <color indexed="81"/>
            <rFont val="Tahoma"/>
            <family val="2"/>
          </rPr>
          <t xml:space="preserve">
GE 3Q25: 2000
CMD24: ~2000</t>
        </r>
      </text>
    </comment>
    <comment ref="BF207" authorId="2" shapeId="0" xr:uid="{DD28678F-2E1D-4F3C-BF3D-7E64F5E6F441}">
      <text>
        <r>
          <rPr>
            <b/>
            <sz val="9"/>
            <color indexed="81"/>
            <rFont val="Tahoma"/>
            <family val="2"/>
          </rPr>
          <t>Law, Ross (Research):</t>
        </r>
        <r>
          <rPr>
            <sz val="9"/>
            <color indexed="81"/>
            <rFont val="Tahoma"/>
            <family val="2"/>
          </rPr>
          <t xml:space="preserve">
FY25:  2,500 units annually by 2028
CMD24: ~2500
13 Feb 2026
CEO: To deliver 2,600 LEAP ENGINES in 2028</t>
        </r>
      </text>
    </comment>
    <comment ref="X208" authorId="2" shapeId="0" xr:uid="{06B7275B-4F46-4DC9-B60D-168AC663622B}">
      <text>
        <r>
          <rPr>
            <b/>
            <sz val="9"/>
            <color indexed="81"/>
            <rFont val="Tahoma"/>
            <family val="2"/>
          </rPr>
          <t>Law, Ross (Research):</t>
        </r>
        <r>
          <rPr>
            <sz val="9"/>
            <color indexed="81"/>
            <rFont val="Tahoma"/>
            <family val="2"/>
          </rPr>
          <t xml:space="preserve">
FY guidance of 0-5% implies H2 +36-48%</t>
        </r>
      </text>
    </comment>
    <comment ref="AP208" authorId="2" shapeId="0" xr:uid="{EE7E6CA0-4A35-4D07-A15C-E916059E780F}">
      <text>
        <r>
          <rPr>
            <b/>
            <sz val="9"/>
            <color indexed="81"/>
            <rFont val="Tahoma"/>
            <family val="2"/>
          </rPr>
          <t>Law, Ross (Research):</t>
        </r>
        <r>
          <rPr>
            <sz val="9"/>
            <color indexed="81"/>
            <rFont val="Tahoma"/>
            <family val="2"/>
          </rPr>
          <t xml:space="preserve">
1H26: high teens
GE guidance +15%</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Humphrey, Andrew (Research)</author>
    <author>Ayoola, Joseph (Research)</author>
    <author>Law, Ross (Research)</author>
    <author>Magajwala, Vatsal (Research)</author>
    <author>K M, Giridhar (Research)</author>
    <author>Nicolas, Alexane (Research)</author>
  </authors>
  <commentList>
    <comment ref="AJ2" authorId="0" shapeId="0" xr:uid="{91094169-7DA9-4A2B-B7B7-928C9D9EA806}">
      <text>
        <r>
          <rPr>
            <b/>
            <sz val="9"/>
            <color indexed="81"/>
            <rFont val="Tahoma"/>
            <family val="2"/>
          </rPr>
          <t>Humphrey, Andrew (Research):</t>
        </r>
        <r>
          <rPr>
            <sz val="9"/>
            <color indexed="81"/>
            <rFont val="Tahoma"/>
            <family val="2"/>
          </rPr>
          <t xml:space="preserve">
IFRS15 basis</t>
        </r>
      </text>
    </comment>
    <comment ref="AK2" authorId="0" shapeId="0" xr:uid="{6B630390-18A6-4026-BC1C-E33C4473BD3D}">
      <text>
        <r>
          <rPr>
            <b/>
            <sz val="9"/>
            <color indexed="81"/>
            <rFont val="Tahoma"/>
            <family val="2"/>
          </rPr>
          <t>Humphrey, Andrew (Research):</t>
        </r>
        <r>
          <rPr>
            <sz val="9"/>
            <color indexed="81"/>
            <rFont val="Tahoma"/>
            <family val="2"/>
          </rPr>
          <t xml:space="preserve">
IFRS15 basis</t>
        </r>
      </text>
    </comment>
    <comment ref="AN6" authorId="1" shapeId="0" xr:uid="{6E432525-2300-4225-9846-7678DF5D3558}">
      <text>
        <r>
          <rPr>
            <b/>
            <sz val="9"/>
            <color indexed="81"/>
            <rFont val="Tahoma"/>
            <family val="2"/>
          </rPr>
          <t>Ayoola, Joseph (Research):</t>
        </r>
        <r>
          <rPr>
            <sz val="9"/>
            <color indexed="81"/>
            <rFont val="Tahoma"/>
            <family val="2"/>
          </rPr>
          <t xml:space="preserve">
guide: HSD</t>
        </r>
      </text>
    </comment>
    <comment ref="AW6" authorId="2" shapeId="0" xr:uid="{94E6D781-FEA0-4A3A-AEBD-7311C9BF0CA2}">
      <text>
        <r>
          <rPr>
            <b/>
            <sz val="9"/>
            <color indexed="81"/>
            <rFont val="Tahoma"/>
            <family val="2"/>
          </rPr>
          <t>Law, Ross (Research):</t>
        </r>
        <r>
          <rPr>
            <sz val="9"/>
            <color indexed="81"/>
            <rFont val="Tahoma"/>
            <family val="2"/>
          </rPr>
          <t xml:space="preserve">
Guidance (3Q23): low 30s
Previous guidance (1H23): mid to high twenties
Previous guidance (FY22): civil aftermarket revenue up in the low twenties % (USD). AR pg 34 has 20-22%.</t>
        </r>
      </text>
    </comment>
    <comment ref="AX6" authorId="3" shapeId="0" xr:uid="{16A0809C-E88A-46C6-BD93-9DF51EE8DF57}">
      <text>
        <r>
          <rPr>
            <b/>
            <sz val="9"/>
            <color indexed="81"/>
            <rFont val="Tahoma"/>
            <family val="2"/>
          </rPr>
          <t>Magajwala, Vatsal (Research):</t>
        </r>
        <r>
          <rPr>
            <sz val="9"/>
            <color indexed="81"/>
            <rFont val="Tahoma"/>
            <family val="2"/>
          </rPr>
          <t xml:space="preserve">
Reported 27.3%</t>
        </r>
      </text>
    </comment>
    <comment ref="AY6" authorId="3" shapeId="0" xr:uid="{77F55587-49F7-4372-A417-2DA6AFA3D2A6}">
      <text>
        <r>
          <rPr>
            <b/>
            <sz val="9"/>
            <color indexed="81"/>
            <rFont val="Tahoma"/>
            <family val="2"/>
          </rPr>
          <t>Magajwala, Vatsal (Research):</t>
        </r>
        <r>
          <rPr>
            <sz val="9"/>
            <color indexed="81"/>
            <rFont val="Tahoma"/>
            <family val="2"/>
          </rPr>
          <t xml:space="preserve">
Reported 32.3%</t>
        </r>
      </text>
    </comment>
    <comment ref="AZ6" authorId="3" shapeId="0" xr:uid="{EEDF74C7-7291-4CE0-AC9B-A7B131B86658}">
      <text>
        <r>
          <rPr>
            <b/>
            <sz val="9"/>
            <color indexed="81"/>
            <rFont val="Tahoma"/>
            <family val="2"/>
          </rPr>
          <t>Magajwala, Vatsal (Research):</t>
        </r>
        <r>
          <rPr>
            <sz val="9"/>
            <color indexed="81"/>
            <rFont val="Tahoma"/>
            <family val="2"/>
          </rPr>
          <t xml:space="preserve">
Reported 20.5%</t>
        </r>
      </text>
    </comment>
    <comment ref="BB6" authorId="3" shapeId="0" xr:uid="{3B5A74AB-2602-4EAA-A063-C51C648C5B7B}">
      <text>
        <r>
          <rPr>
            <b/>
            <sz val="9"/>
            <color indexed="81"/>
            <rFont val="Tahoma"/>
            <family val="2"/>
          </rPr>
          <t>Magajwala, Vatsal (Research):</t>
        </r>
        <r>
          <rPr>
            <sz val="9"/>
            <color indexed="81"/>
            <rFont val="Tahoma"/>
            <family val="2"/>
          </rPr>
          <t xml:space="preserve">
Reported 29.9%</t>
        </r>
      </text>
    </comment>
    <comment ref="BD6" authorId="3" shapeId="0" xr:uid="{9A822B2A-25E3-49F5-A267-64BF13A4067D}">
      <text>
        <r>
          <rPr>
            <b/>
            <sz val="9"/>
            <color indexed="81"/>
            <rFont val="Tahoma"/>
            <family val="2"/>
          </rPr>
          <t>Magajwala, Vatsal (Research):</t>
        </r>
        <r>
          <rPr>
            <sz val="9"/>
            <color indexed="81"/>
            <rFont val="Tahoma"/>
            <family val="2"/>
          </rPr>
          <t xml:space="preserve">
Reported 26.2%</t>
        </r>
      </text>
    </comment>
    <comment ref="BE6" authorId="2" shapeId="0" xr:uid="{40DC6BAB-A6A6-4D58-8192-B75BAC84F307}">
      <text>
        <r>
          <rPr>
            <b/>
            <sz val="9"/>
            <color indexed="81"/>
            <rFont val="Tahoma"/>
            <family val="2"/>
          </rPr>
          <t>Law, Ross (Research):</t>
        </r>
        <r>
          <rPr>
            <sz val="9"/>
            <color indexed="81"/>
            <rFont val="Tahoma"/>
            <family val="2"/>
          </rPr>
          <t xml:space="preserve">
Mid 20s</t>
        </r>
      </text>
    </comment>
    <comment ref="BM6" authorId="2" shapeId="0" xr:uid="{900DE933-7127-4B1E-B2B8-DC786A3F0F90}">
      <text>
        <r>
          <rPr>
            <b/>
            <sz val="9"/>
            <color indexed="81"/>
            <rFont val="Tahoma"/>
            <family val="2"/>
          </rPr>
          <t>Law, Ross (Research):</t>
        </r>
        <r>
          <rPr>
            <sz val="9"/>
            <color indexed="81"/>
            <rFont val="Tahoma"/>
            <family val="2"/>
          </rPr>
          <t xml:space="preserve">
Mid 20s</t>
        </r>
      </text>
    </comment>
    <comment ref="AK7" authorId="0" shapeId="0" xr:uid="{93AF1796-88E9-4B07-8B2B-7550065C6291}">
      <text>
        <r>
          <rPr>
            <b/>
            <sz val="9"/>
            <color indexed="81"/>
            <rFont val="Tahoma"/>
            <family val="2"/>
          </rPr>
          <t>Humphrey, Andrew (Research):</t>
        </r>
        <r>
          <rPr>
            <sz val="9"/>
            <color indexed="81"/>
            <rFont val="Tahoma"/>
            <family val="2"/>
          </rPr>
          <t xml:space="preserve">
2018 CMD: Management comments that CFM56 AM revenue is 80% of total AM revenue.
[AN to check]</t>
        </r>
      </text>
    </comment>
    <comment ref="DC7" authorId="2" shapeId="0" xr:uid="{746B5F12-501E-44B0-B9DE-F775A9FBAF8E}">
      <text>
        <r>
          <rPr>
            <b/>
            <sz val="9"/>
            <color indexed="81"/>
            <rFont val="Tahoma"/>
            <family val="2"/>
          </rPr>
          <t>Law, Ross (Research):</t>
        </r>
        <r>
          <rPr>
            <sz val="9"/>
            <color indexed="81"/>
            <rFont val="Tahoma"/>
            <family val="2"/>
          </rPr>
          <t xml:space="preserve">
CMD21 slide 96: HSD growth for CFM56+LEAP contribution to civil AM 22-30</t>
        </r>
      </text>
    </comment>
    <comment ref="AP9" authorId="2" shapeId="0" xr:uid="{027E4261-2D8D-42ED-817C-924F4EBD9FF3}">
      <text>
        <r>
          <rPr>
            <b/>
            <sz val="9"/>
            <color indexed="81"/>
            <rFont val="Tahoma"/>
            <family val="2"/>
          </rPr>
          <t>Law, Ross (Research):</t>
        </r>
        <r>
          <rPr>
            <sz val="9"/>
            <color indexed="81"/>
            <rFont val="Tahoma"/>
            <family val="2"/>
          </rPr>
          <t xml:space="preserve">
Not meaningful but one contributor. Even without this, would have been strong performance in Q</t>
        </r>
      </text>
    </comment>
    <comment ref="AM11" authorId="1" shapeId="0" xr:uid="{61FA3885-E9B9-42E8-B940-0D45B16457F4}">
      <text>
        <r>
          <rPr>
            <b/>
            <sz val="9"/>
            <color indexed="81"/>
            <rFont val="Tahoma"/>
            <family val="2"/>
          </rPr>
          <t>Ayoola, Joseph (Research):</t>
        </r>
        <r>
          <rPr>
            <sz val="9"/>
            <color indexed="81"/>
            <rFont val="Tahoma"/>
            <family val="2"/>
          </rPr>
          <t xml:space="preserve">
mgmt discussed freight benefit in high thrust engines</t>
        </r>
      </text>
    </comment>
    <comment ref="AM12" authorId="1" shapeId="0" xr:uid="{FC4E7103-7EB2-4397-945F-EACA943F37CF}">
      <text>
        <r>
          <rPr>
            <b/>
            <sz val="9"/>
            <color indexed="81"/>
            <rFont val="Tahoma"/>
            <family val="2"/>
          </rPr>
          <t>Ayoola, Joseph (Research):</t>
        </r>
        <r>
          <rPr>
            <sz val="9"/>
            <color indexed="81"/>
            <rFont val="Tahoma"/>
            <family val="2"/>
          </rPr>
          <t xml:space="preserve">
high thrust engines outperformed due to freight</t>
        </r>
      </text>
    </comment>
    <comment ref="AN12" authorId="1" shapeId="0" xr:uid="{B59357E6-8C73-4346-8640-4BEEA84ADA64}">
      <text>
        <r>
          <rPr>
            <b/>
            <sz val="9"/>
            <color indexed="81"/>
            <rFont val="Tahoma"/>
            <family val="2"/>
          </rPr>
          <t>Ayoola, Joseph (Research):</t>
        </r>
        <r>
          <rPr>
            <sz val="9"/>
            <color indexed="81"/>
            <rFont val="Tahoma"/>
            <family val="2"/>
          </rPr>
          <t xml:space="preserve">
guide: up MSD</t>
        </r>
      </text>
    </comment>
    <comment ref="BB12" authorId="2" shapeId="0" xr:uid="{B8E30C3D-EC72-4E31-9907-1041E5BF7F4E}">
      <text>
        <r>
          <rPr>
            <b/>
            <sz val="9"/>
            <color indexed="81"/>
            <rFont val="Tahoma"/>
            <family val="2"/>
          </rPr>
          <t>Law, Ross (Research):</t>
        </r>
        <r>
          <rPr>
            <sz val="9"/>
            <color indexed="81"/>
            <rFont val="Tahoma"/>
            <family val="2"/>
          </rPr>
          <t xml:space="preserve">
Saw higher growth in WB spare parts than CFM56 Spare parts</t>
        </r>
      </text>
    </comment>
    <comment ref="AX13" authorId="3" shapeId="0" xr:uid="{FD43054E-F0EB-438F-9937-3A281E333C34}">
      <text>
        <r>
          <rPr>
            <b/>
            <sz val="9"/>
            <color indexed="81"/>
            <rFont val="Tahoma"/>
            <family val="2"/>
          </rPr>
          <t>Magajwala, Vatsal (Research):</t>
        </r>
        <r>
          <rPr>
            <sz val="9"/>
            <color indexed="81"/>
            <rFont val="Tahoma"/>
            <family val="2"/>
          </rPr>
          <t xml:space="preserve">
Taken it as balancing to match Aftermarket growth of 27.3%</t>
        </r>
      </text>
    </comment>
    <comment ref="AZ13" authorId="3" shapeId="0" xr:uid="{2C55A8D5-8386-4CB2-8267-8852A44365E2}">
      <text>
        <r>
          <rPr>
            <b/>
            <sz val="9"/>
            <color indexed="81"/>
            <rFont val="Tahoma"/>
            <family val="2"/>
          </rPr>
          <t>Magajwala, Vatsal (Research):</t>
        </r>
        <r>
          <rPr>
            <sz val="9"/>
            <color indexed="81"/>
            <rFont val="Tahoma"/>
            <family val="2"/>
          </rPr>
          <t xml:space="preserve">
Taken it as balancing to match Aftermarket growth of 20.5%</t>
        </r>
      </text>
    </comment>
    <comment ref="BB13" authorId="3" shapeId="0" xr:uid="{B325BB85-84FB-42C4-8646-259CA2457259}">
      <text>
        <r>
          <rPr>
            <b/>
            <sz val="9"/>
            <color indexed="81"/>
            <rFont val="Tahoma"/>
            <family val="2"/>
          </rPr>
          <t>Magajwala, Vatsal (Research):</t>
        </r>
        <r>
          <rPr>
            <sz val="9"/>
            <color indexed="81"/>
            <rFont val="Tahoma"/>
            <family val="2"/>
          </rPr>
          <t xml:space="preserve">
Taken it as balancing to match Aftermarket growth of 29.9%</t>
        </r>
      </text>
    </comment>
    <comment ref="DB16" authorId="2" shapeId="0" xr:uid="{616B3E87-B6EA-4679-A543-AD46DEE09424}">
      <text>
        <r>
          <rPr>
            <b/>
            <sz val="9"/>
            <color indexed="81"/>
            <rFont val="Tahoma"/>
            <family val="2"/>
          </rPr>
          <t>Law, Ross (Research):</t>
        </r>
        <r>
          <rPr>
            <sz val="9"/>
            <color indexed="81"/>
            <rFont val="Tahoma"/>
            <family val="2"/>
          </rPr>
          <t xml:space="preserve">
CMD24: M-HSD</t>
        </r>
      </text>
    </comment>
    <comment ref="DC16" authorId="2" shapeId="0" xr:uid="{3FA2362F-C345-42F7-9091-12B1C5035362}">
      <text>
        <r>
          <rPr>
            <b/>
            <sz val="9"/>
            <color indexed="81"/>
            <rFont val="Tahoma"/>
            <family val="2"/>
          </rPr>
          <t>Law, Ross (Research):</t>
        </r>
        <r>
          <rPr>
            <sz val="9"/>
            <color indexed="81"/>
            <rFont val="Tahoma"/>
            <family val="2"/>
          </rPr>
          <t xml:space="preserve">
CMD24: M-HSD</t>
        </r>
      </text>
    </comment>
    <comment ref="BE23" authorId="2" shapeId="0" xr:uid="{C948FE37-F41B-4BDB-9C15-002D78AB29E8}">
      <text>
        <r>
          <rPr>
            <b/>
            <sz val="9"/>
            <color indexed="81"/>
            <rFont val="Tahoma"/>
            <family val="2"/>
          </rPr>
          <t>Law, Ross (Research):</t>
        </r>
        <r>
          <rPr>
            <sz val="9"/>
            <color indexed="81"/>
            <rFont val="Tahoma"/>
            <family val="2"/>
          </rPr>
          <t xml:space="preserve">
CMD24 slide 80: 10% implied</t>
        </r>
      </text>
    </comment>
    <comment ref="BM23" authorId="2" shapeId="0" xr:uid="{84E4F620-C1D4-4E0C-8882-40D7B7093CFA}">
      <text>
        <r>
          <rPr>
            <b/>
            <sz val="9"/>
            <color indexed="81"/>
            <rFont val="Tahoma"/>
            <family val="2"/>
          </rPr>
          <t>Law, Ross (Research):</t>
        </r>
        <r>
          <rPr>
            <sz val="9"/>
            <color indexed="81"/>
            <rFont val="Tahoma"/>
            <family val="2"/>
          </rPr>
          <t xml:space="preserve">
CMD24 slide 80: 10% implied</t>
        </r>
      </text>
    </comment>
    <comment ref="CK23" authorId="2" shapeId="0" xr:uid="{B63EEE1C-6AC8-4A67-A666-DC4843760663}">
      <text>
        <r>
          <rPr>
            <b/>
            <sz val="9"/>
            <color indexed="81"/>
            <rFont val="Tahoma"/>
            <family val="2"/>
          </rPr>
          <t>Law, Ross (Research):</t>
        </r>
        <r>
          <rPr>
            <sz val="9"/>
            <color indexed="81"/>
            <rFont val="Tahoma"/>
            <family val="2"/>
          </rPr>
          <t xml:space="preserve">
CMD24 slide 80: 48% implied</t>
        </r>
      </text>
    </comment>
    <comment ref="DA23" authorId="2" shapeId="0" xr:uid="{886E1F4C-D1D1-4D63-BB2C-D4C7204B30AF}">
      <text>
        <r>
          <rPr>
            <b/>
            <sz val="9"/>
            <color indexed="81"/>
            <rFont val="Tahoma"/>
            <family val="2"/>
          </rPr>
          <t>Law, Ross (Research):</t>
        </r>
        <r>
          <rPr>
            <sz val="9"/>
            <color indexed="81"/>
            <rFont val="Tahoma"/>
            <family val="2"/>
          </rPr>
          <t xml:space="preserve">
CMD24 slide 80: 65% implied</t>
        </r>
      </text>
    </comment>
    <comment ref="BE33" authorId="3" shapeId="0" xr:uid="{090D0FE0-AFCB-4B99-B358-50660EF303F2}">
      <text>
        <r>
          <rPr>
            <b/>
            <sz val="9"/>
            <color indexed="81"/>
            <rFont val="Tahoma"/>
            <family val="2"/>
          </rPr>
          <t>Magajwala, Vatsal (Research):</t>
        </r>
        <r>
          <rPr>
            <sz val="9"/>
            <color indexed="81"/>
            <rFont val="Tahoma"/>
            <family val="2"/>
          </rPr>
          <t xml:space="preserve">
Spare parts up 17% in $ (26% in Q4) driven by CFM56 and high-thrust engines</t>
        </r>
      </text>
    </comment>
    <comment ref="BF33" authorId="3" shapeId="0" xr:uid="{2F5FA0D1-F1CB-43EF-8152-BAC20B39AD93}">
      <text>
        <r>
          <rPr>
            <b/>
            <sz val="9"/>
            <color indexed="81"/>
            <rFont val="Tahoma"/>
            <family val="2"/>
          </rPr>
          <t>Magajwala, Vatsal (Research):</t>
        </r>
        <r>
          <rPr>
            <sz val="9"/>
            <color indexed="81"/>
            <rFont val="Tahoma"/>
            <family val="2"/>
          </rPr>
          <t xml:space="preserve">
Spare parts for civil engines (in $) were up by 25.1%, with growth mainly attributable to CFM56 and high-thrust engines</t>
        </r>
      </text>
    </comment>
    <comment ref="BM33" authorId="3" shapeId="0" xr:uid="{AFBE40E4-7EC2-45C0-9573-248E2F45F125}">
      <text>
        <r>
          <rPr>
            <b/>
            <sz val="9"/>
            <color indexed="81"/>
            <rFont val="Tahoma"/>
            <family val="2"/>
          </rPr>
          <t>Magajwala, Vatsal (Research):</t>
        </r>
        <r>
          <rPr>
            <sz val="9"/>
            <color indexed="81"/>
            <rFont val="Tahoma"/>
            <family val="2"/>
          </rPr>
          <t xml:space="preserve">
GE outturn 25%
Guidance (1H25): up mid to high-teens
Guidance (1Q25): up low-teens
Guidance (FY24): up HSD+</t>
        </r>
      </text>
    </comment>
    <comment ref="BU33" authorId="2" shapeId="0" xr:uid="{E46C58D8-9F74-4452-9483-E2B8125EE17F}">
      <text>
        <r>
          <rPr>
            <b/>
            <sz val="9"/>
            <color indexed="81"/>
            <rFont val="Tahoma"/>
            <family val="2"/>
          </rPr>
          <t>Law, Ross (Research):</t>
        </r>
        <r>
          <rPr>
            <sz val="9"/>
            <color indexed="81"/>
            <rFont val="Tahoma"/>
            <family val="2"/>
          </rPr>
          <t xml:space="preserve">
GE guidance (FY25): +mid teens
1H26: Up mid-twenties </t>
        </r>
      </text>
    </comment>
    <comment ref="BE34" authorId="3" shapeId="0" xr:uid="{4CBF5602-1201-41D4-8D3F-0CDDC287DB85}">
      <text>
        <r>
          <rPr>
            <b/>
            <sz val="9"/>
            <color indexed="81"/>
            <rFont val="Tahoma"/>
            <family val="2"/>
          </rPr>
          <t>Magajwala, Vatsal (Research):</t>
        </r>
        <r>
          <rPr>
            <sz val="9"/>
            <color indexed="81"/>
            <rFont val="Tahoma"/>
            <family val="2"/>
          </rPr>
          <t xml:space="preserve">
Services up 38% in $ (12% in Q4) led by LEAP RPFH contracts - with no
margin recognition and high-thrust engines</t>
        </r>
      </text>
    </comment>
    <comment ref="BF34" authorId="3" shapeId="0" xr:uid="{93B0159F-7FDC-4A21-A8F5-8F2844B1F8C9}">
      <text>
        <r>
          <rPr>
            <b/>
            <sz val="9"/>
            <color indexed="81"/>
            <rFont val="Tahoma"/>
            <family val="2"/>
          </rPr>
          <t>Magajwala, Vatsal (Research):</t>
        </r>
        <r>
          <rPr>
            <sz val="9"/>
            <color indexed="81"/>
            <rFont val="Tahoma"/>
            <family val="2"/>
          </rPr>
          <t xml:space="preserve">
 Services for civil engines (in $) were up by 17.6% led by LEAP rate per flight hour (RPFH) contracts.</t>
        </r>
      </text>
    </comment>
    <comment ref="BM34" authorId="3" shapeId="0" xr:uid="{F84B140C-58FA-4A76-90E3-31E24E9F67B1}">
      <text>
        <r>
          <rPr>
            <b/>
            <sz val="9"/>
            <color indexed="81"/>
            <rFont val="Tahoma"/>
            <family val="2"/>
          </rPr>
          <t>Magajwala, Vatsal (Research):</t>
        </r>
        <r>
          <rPr>
            <sz val="9"/>
            <color indexed="81"/>
            <rFont val="Tahoma"/>
            <family val="2"/>
          </rPr>
          <t xml:space="preserve">
Guidance (3Q25): up low to mid twenties
Guidance (1H25): up mid to high-teens
Guidance (FY24): up mid-teens</t>
        </r>
      </text>
    </comment>
    <comment ref="BU34" authorId="2" shapeId="0" xr:uid="{6F1FF72B-424C-4327-A7A5-5C4C238DFC24}">
      <text>
        <r>
          <rPr>
            <b/>
            <sz val="9"/>
            <color indexed="81"/>
            <rFont val="Tahoma"/>
            <family val="2"/>
          </rPr>
          <t>Law, Ross (Research):</t>
        </r>
        <r>
          <rPr>
            <sz val="9"/>
            <color indexed="81"/>
            <rFont val="Tahoma"/>
            <family val="2"/>
          </rPr>
          <t xml:space="preserve">
GE guidance (FY25): +mid teens
1H26: Up mid-twenties </t>
        </r>
      </text>
    </comment>
    <comment ref="AM45" authorId="1" shapeId="0" xr:uid="{46E33443-8291-4D84-A0D4-BD437DCD8EB8}">
      <text>
        <r>
          <rPr>
            <b/>
            <sz val="9"/>
            <color indexed="81"/>
            <rFont val="Tahoma"/>
            <family val="2"/>
          </rPr>
          <t>Ayoola, Joseph (Research):</t>
        </r>
        <r>
          <rPr>
            <sz val="9"/>
            <color indexed="81"/>
            <rFont val="Tahoma"/>
            <family val="2"/>
          </rPr>
          <t xml:space="preserve">
weaker SV content could be a margin headwind</t>
        </r>
      </text>
    </comment>
    <comment ref="DA46" authorId="2" shapeId="0" xr:uid="{B6F5FF91-F247-4728-9050-77ECBE78B10F}">
      <text>
        <r>
          <rPr>
            <b/>
            <sz val="9"/>
            <color indexed="81"/>
            <rFont val="Tahoma"/>
            <family val="2"/>
          </rPr>
          <t>Law, Ross (Research):</t>
        </r>
        <r>
          <rPr>
            <sz val="9"/>
            <color indexed="81"/>
            <rFont val="Tahoma"/>
            <family val="2"/>
          </rPr>
          <t xml:space="preserve">
GE 1H25: CFM56 and LEAP profit roughly equal by end of decade</t>
        </r>
      </text>
    </comment>
    <comment ref="BM47" authorId="2" shapeId="0" xr:uid="{DF149BD1-DD00-4E31-9656-96F2DEA4A145}">
      <text>
        <r>
          <rPr>
            <b/>
            <sz val="9"/>
            <color indexed="81"/>
            <rFont val="Tahoma"/>
            <family val="2"/>
          </rPr>
          <t>Law, Ross (Research):</t>
        </r>
        <r>
          <rPr>
            <sz val="9"/>
            <color indexed="81"/>
            <rFont val="Tahoma"/>
            <family val="2"/>
          </rPr>
          <t xml:space="preserve">
Safran will start to recognise profits for LEAP 1-A in 2025</t>
        </r>
      </text>
    </comment>
    <comment ref="BU47" authorId="2" shapeId="0" xr:uid="{E61628C3-4537-4B83-B4D9-71D68DC1147C}">
      <text>
        <r>
          <rPr>
            <b/>
            <sz val="9"/>
            <color indexed="81"/>
            <rFont val="Tahoma"/>
            <family val="2"/>
          </rPr>
          <t>Law, Ross (Research):</t>
        </r>
        <r>
          <rPr>
            <sz val="9"/>
            <color indexed="81"/>
            <rFont val="Tahoma"/>
            <family val="2"/>
          </rPr>
          <t xml:space="preserve">
Safran to recognize LEAP-1B RPFH contract margins, including one-time catch-up, in H2 2026. </t>
        </r>
      </text>
    </comment>
    <comment ref="CK47" authorId="2" shapeId="0" xr:uid="{9B2B5A04-24BC-499F-8DBB-B3780D3624D6}">
      <text>
        <r>
          <rPr>
            <b/>
            <sz val="9"/>
            <color indexed="81"/>
            <rFont val="Tahoma"/>
            <family val="2"/>
          </rPr>
          <t>Law, Ross (Research):</t>
        </r>
        <r>
          <rPr>
            <sz val="9"/>
            <color indexed="81"/>
            <rFont val="Tahoma"/>
            <family val="2"/>
          </rPr>
          <t xml:space="preserve">
GE 2Q26: LEAP services margins align with total services portfolio by 2028. VA cons CES margin 27% in 2028.</t>
        </r>
      </text>
    </comment>
    <comment ref="CK55" authorId="2" shapeId="0" xr:uid="{65CBB4A1-9F43-4E3D-B086-AE3CE1C76CCC}">
      <text>
        <r>
          <rPr>
            <b/>
            <sz val="9"/>
            <color indexed="81"/>
            <rFont val="Tahoma"/>
            <family val="2"/>
          </rPr>
          <t>Law, Ross (Research):</t>
        </r>
        <r>
          <rPr>
            <sz val="9"/>
            <color indexed="81"/>
            <rFont val="Tahoma"/>
            <family val="2"/>
          </rPr>
          <t xml:space="preserve">
CMD24 slide 80: 30% implied</t>
        </r>
      </text>
    </comment>
    <comment ref="DA55" authorId="2" shapeId="0" xr:uid="{3C32AB76-41B5-427B-B301-88799ACB6E79}">
      <text>
        <r>
          <rPr>
            <b/>
            <sz val="9"/>
            <color indexed="81"/>
            <rFont val="Tahoma"/>
            <family val="2"/>
          </rPr>
          <t>Law, Ross (Research):</t>
        </r>
        <r>
          <rPr>
            <sz val="9"/>
            <color indexed="81"/>
            <rFont val="Tahoma"/>
            <family val="2"/>
          </rPr>
          <t xml:space="preserve">
CMD24 slide 80: 45% implied</t>
        </r>
      </text>
    </comment>
    <comment ref="B59" authorId="2" shapeId="0" xr:uid="{928149A4-57DD-49F1-958E-9B7CF9ECECFC}">
      <text>
        <r>
          <rPr>
            <b/>
            <sz val="9"/>
            <color indexed="81"/>
            <rFont val="Tahoma"/>
            <family val="2"/>
          </rPr>
          <t>Law, Ross (Research):</t>
        </r>
        <r>
          <rPr>
            <sz val="9"/>
            <color indexed="81"/>
            <rFont val="Tahoma"/>
            <family val="2"/>
          </rPr>
          <t xml:space="preserve">
CFM56-2 series (-2A,-2B,-2C)
CFM56-3 series (-3B1,-3B2,-3C1)
CFM56-5A series (-5A1,-5A3,-5A4,-5A5)
CFM56-5C series (-5C2, -5C3, -5C4)
</t>
        </r>
      </text>
    </comment>
    <comment ref="B60" authorId="2" shapeId="0" xr:uid="{64C0319C-803E-4954-B43A-0CC0B4D8A25F}">
      <text>
        <r>
          <rPr>
            <b/>
            <sz val="9"/>
            <color indexed="81"/>
            <rFont val="Tahoma"/>
            <family val="2"/>
          </rPr>
          <t>Law, Ross (Research):</t>
        </r>
        <r>
          <rPr>
            <sz val="9"/>
            <color indexed="81"/>
            <rFont val="Tahoma"/>
            <family val="2"/>
          </rPr>
          <t xml:space="preserve">
CFM56-5B series (-5B1 through -5B9)
CFM56-7B series</t>
        </r>
      </text>
    </comment>
    <comment ref="AG66" authorId="2" shapeId="0" xr:uid="{C5F92B2E-72EF-44EB-AA85-0B05EFF60554}">
      <text>
        <r>
          <rPr>
            <b/>
            <sz val="9"/>
            <color indexed="81"/>
            <rFont val="Tahoma"/>
            <family val="2"/>
          </rPr>
          <t>Law, Ross (Research):</t>
        </r>
        <r>
          <rPr>
            <sz val="9"/>
            <color indexed="81"/>
            <rFont val="Tahoma"/>
            <family val="2"/>
          </rPr>
          <t xml:space="preserve">
Includes 21 CFM56-2 aircraft (4 engines) and 18 CFM56-5C aircraft (4 engines)</t>
        </r>
      </text>
    </comment>
    <comment ref="AH66" authorId="2" shapeId="0" xr:uid="{B54D375A-683A-4D04-8CD6-E0A2EDBDACB2}">
      <text>
        <r>
          <rPr>
            <b/>
            <sz val="9"/>
            <color indexed="81"/>
            <rFont val="Tahoma"/>
            <family val="2"/>
          </rPr>
          <t>Law, Ross (Research):</t>
        </r>
        <r>
          <rPr>
            <sz val="9"/>
            <color indexed="81"/>
            <rFont val="Tahoma"/>
            <family val="2"/>
          </rPr>
          <t xml:space="preserve">
Includes 5 CFM56-2 aircraft (4 engines) and 22 CFM56-5C aircraft (4 engines)</t>
        </r>
      </text>
    </comment>
    <comment ref="AI66" authorId="2" shapeId="0" xr:uid="{796255C0-3473-410A-A4B6-F9F0E05789E2}">
      <text>
        <r>
          <rPr>
            <b/>
            <sz val="9"/>
            <color indexed="81"/>
            <rFont val="Tahoma"/>
            <family val="2"/>
          </rPr>
          <t>Law, Ross (Research):</t>
        </r>
        <r>
          <rPr>
            <sz val="9"/>
            <color indexed="81"/>
            <rFont val="Tahoma"/>
            <family val="2"/>
          </rPr>
          <t xml:space="preserve">
Includes 2 CFM56-2 aircraft (4 engines) and 10 CFM56-5C aircraft (4 engines)</t>
        </r>
      </text>
    </comment>
    <comment ref="AJ66" authorId="2" shapeId="0" xr:uid="{CAAF6351-DB67-452A-A05E-FF3B98DA9C25}">
      <text>
        <r>
          <rPr>
            <b/>
            <sz val="9"/>
            <color indexed="81"/>
            <rFont val="Tahoma"/>
            <family val="2"/>
          </rPr>
          <t>Law, Ross (Research):</t>
        </r>
        <r>
          <rPr>
            <sz val="9"/>
            <color indexed="81"/>
            <rFont val="Tahoma"/>
            <family val="2"/>
          </rPr>
          <t xml:space="preserve">
Includes 2 CFM56-2 aircraft (4 engines) and 23 CFM56-5C aircraft (4 engines)</t>
        </r>
      </text>
    </comment>
    <comment ref="AK66" authorId="2" shapeId="0" xr:uid="{36C35B94-35ED-43EA-A38E-39A9AE792BC9}">
      <text>
        <r>
          <rPr>
            <b/>
            <sz val="9"/>
            <color indexed="81"/>
            <rFont val="Tahoma"/>
            <family val="2"/>
          </rPr>
          <t>Law, Ross (Research):</t>
        </r>
        <r>
          <rPr>
            <sz val="9"/>
            <color indexed="81"/>
            <rFont val="Tahoma"/>
            <family val="2"/>
          </rPr>
          <t xml:space="preserve">
Includes 5 CFM56-2 aircraft (4 engines) and 4 CFM56-5C aircraft (4 engines)</t>
        </r>
      </text>
    </comment>
    <comment ref="AL66" authorId="2" shapeId="0" xr:uid="{25893E46-10AB-4DBA-84D1-C85E7BA98300}">
      <text>
        <r>
          <rPr>
            <b/>
            <sz val="9"/>
            <color indexed="81"/>
            <rFont val="Tahoma"/>
            <family val="2"/>
          </rPr>
          <t>Law, Ross (Research):</t>
        </r>
        <r>
          <rPr>
            <sz val="9"/>
            <color indexed="81"/>
            <rFont val="Tahoma"/>
            <family val="2"/>
          </rPr>
          <t xml:space="preserve">
Includes 1 CFM56-2 aircraft (4 engines) and 15 CFM56-5C aircraft (4 engines)</t>
        </r>
      </text>
    </comment>
    <comment ref="AM66" authorId="2" shapeId="0" xr:uid="{D0A2ABAC-33E8-4313-B82D-9C5D28A6348F}">
      <text>
        <r>
          <rPr>
            <b/>
            <sz val="9"/>
            <color indexed="81"/>
            <rFont val="Tahoma"/>
            <family val="2"/>
          </rPr>
          <t>Law, Ross (Research):</t>
        </r>
        <r>
          <rPr>
            <sz val="9"/>
            <color indexed="81"/>
            <rFont val="Tahoma"/>
            <family val="2"/>
          </rPr>
          <t xml:space="preserve">
Includes 1 CFM56-2 aircraft (4 engines) and 15 CFM56-5C aircraft (4 engines)</t>
        </r>
      </text>
    </comment>
    <comment ref="AN66" authorId="2" shapeId="0" xr:uid="{63E993E5-6B01-49E8-B358-D21C2A49DB69}">
      <text>
        <r>
          <rPr>
            <b/>
            <sz val="9"/>
            <color indexed="81"/>
            <rFont val="Tahoma"/>
            <family val="2"/>
          </rPr>
          <t>Law, Ross (Research):</t>
        </r>
        <r>
          <rPr>
            <sz val="9"/>
            <color indexed="81"/>
            <rFont val="Tahoma"/>
            <family val="2"/>
          </rPr>
          <t xml:space="preserve">
Includes 5 CFM56-2 aircraft (4 engines) and 4 CFM56-5C aircraft (4 engines)</t>
        </r>
      </text>
    </comment>
    <comment ref="AO66" authorId="2" shapeId="0" xr:uid="{52C3270B-5FAD-406D-A4CE-0B2E5BCF5377}">
      <text>
        <r>
          <rPr>
            <b/>
            <sz val="9"/>
            <color indexed="81"/>
            <rFont val="Tahoma"/>
            <family val="2"/>
          </rPr>
          <t>Law, Ross (Research):</t>
        </r>
        <r>
          <rPr>
            <sz val="9"/>
            <color indexed="81"/>
            <rFont val="Tahoma"/>
            <family val="2"/>
          </rPr>
          <t xml:space="preserve">
Includes 5 CFM56-2 aircraft (4 engines) and 4 CFM56-5C aircraft (4 engines)</t>
        </r>
      </text>
    </comment>
    <comment ref="AW66" authorId="2" shapeId="0" xr:uid="{23ABC0FF-0B6E-410B-A98E-388F4DECA213}">
      <text>
        <r>
          <rPr>
            <b/>
            <sz val="9"/>
            <color indexed="81"/>
            <rFont val="Tahoma"/>
            <family val="2"/>
          </rPr>
          <t>Law, Ross (Research):</t>
        </r>
        <r>
          <rPr>
            <sz val="9"/>
            <color indexed="81"/>
            <rFont val="Tahoma"/>
            <family val="2"/>
          </rPr>
          <t xml:space="preserve">
Includes 8 CFM56-2 aircraft (4 engines), and 7 CFM56-5C aircraft (4 engines)</t>
        </r>
      </text>
    </comment>
    <comment ref="BE66" authorId="2" shapeId="0" xr:uid="{CCF53C0C-A7D6-4B86-9F22-09A8CE5D9309}">
      <text>
        <r>
          <rPr>
            <b/>
            <sz val="9"/>
            <color indexed="81"/>
            <rFont val="Tahoma"/>
            <family val="2"/>
          </rPr>
          <t>Law, Ross (Research):</t>
        </r>
        <r>
          <rPr>
            <sz val="9"/>
            <color indexed="81"/>
            <rFont val="Tahoma"/>
            <family val="2"/>
          </rPr>
          <t xml:space="preserve">
Includes 9 CFM56-2 aircraft (4 engines), and 1 CFM56-5C aircraft (4 engines)</t>
        </r>
      </text>
    </comment>
    <comment ref="BM66" authorId="4" shapeId="0" xr:uid="{E4A389C6-6759-4A24-9DA0-4E6FC1C8FCF6}">
      <text>
        <r>
          <rPr>
            <b/>
            <sz val="9"/>
            <color indexed="81"/>
            <rFont val="Tahoma"/>
            <family val="2"/>
          </rPr>
          <t>K M, Giridhar (Research):</t>
        </r>
        <r>
          <rPr>
            <sz val="9"/>
            <color indexed="81"/>
            <rFont val="Tahoma"/>
            <family val="2"/>
          </rPr>
          <t xml:space="preserve">
Includes CFM56 5A: 28 and CFM56 5C: 8</t>
        </r>
      </text>
    </comment>
    <comment ref="AM67" authorId="2" shapeId="0" xr:uid="{2BC67B0C-0D50-4105-9F3D-32E6FEBFD4D3}">
      <text>
        <r>
          <rPr>
            <b/>
            <sz val="9"/>
            <color indexed="81"/>
            <rFont val="Tahoma"/>
            <family val="2"/>
          </rPr>
          <t>Law, Ross (Research):</t>
        </r>
        <r>
          <rPr>
            <sz val="9"/>
            <color indexed="81"/>
            <rFont val="Tahoma"/>
            <family val="2"/>
          </rPr>
          <t xml:space="preserve">
Source: Cirium.
SAF CMD21 slide 85 "CFM56 2nd Gen 85 retirements in 2021 (170 engines)</t>
        </r>
      </text>
    </comment>
    <comment ref="AN67" authorId="2" shapeId="0" xr:uid="{53A2C7BC-30C9-4676-B5A7-7161CC1349B8}">
      <text>
        <r>
          <rPr>
            <b/>
            <sz val="9"/>
            <color indexed="81"/>
            <rFont val="Tahoma"/>
            <family val="2"/>
          </rPr>
          <t>Law, Ross (Research):</t>
        </r>
        <r>
          <rPr>
            <sz val="9"/>
            <color indexed="81"/>
            <rFont val="Tahoma"/>
            <family val="2"/>
          </rPr>
          <t xml:space="preserve">
Source: Cirium.
SAF FY22 presentation slide 5 "CFM56 2nd Gen 84 retirements in 2021 (168 engines)</t>
        </r>
      </text>
    </comment>
    <comment ref="AO67" authorId="2" shapeId="0" xr:uid="{9E91DAF9-0D89-4560-8A28-16EB3D9240AE}">
      <text>
        <r>
          <rPr>
            <b/>
            <sz val="9"/>
            <color indexed="81"/>
            <rFont val="Tahoma"/>
            <family val="2"/>
          </rPr>
          <t>Law, Ross (Research):</t>
        </r>
        <r>
          <rPr>
            <sz val="9"/>
            <color indexed="81"/>
            <rFont val="Tahoma"/>
            <family val="2"/>
          </rPr>
          <t xml:space="preserve">
Source: Cirium.
SAF FY22 presentation slide 5 "CFM56 2nd Gen 114 retirements in 2022 (228 engines)</t>
        </r>
      </text>
    </comment>
    <comment ref="AW67" authorId="2" shapeId="0" xr:uid="{F7CD8C2E-A232-41CB-838F-FB80472A475A}">
      <text>
        <r>
          <rPr>
            <b/>
            <sz val="9"/>
            <color indexed="81"/>
            <rFont val="Tahoma"/>
            <family val="2"/>
          </rPr>
          <t>Law, Ross (Research):</t>
        </r>
        <r>
          <rPr>
            <sz val="9"/>
            <color indexed="81"/>
            <rFont val="Tahoma"/>
            <family val="2"/>
          </rPr>
          <t xml:space="preserve">
FY23: ~150 aircraft </t>
        </r>
      </text>
    </comment>
    <comment ref="BM67" authorId="2" shapeId="0" xr:uid="{0511A003-DA48-4F8C-8ED2-B587EA8D760D}">
      <text>
        <r>
          <rPr>
            <b/>
            <sz val="9"/>
            <color indexed="81"/>
            <rFont val="Tahoma"/>
            <family val="2"/>
          </rPr>
          <t>Law, Ross (Research):</t>
        </r>
        <r>
          <rPr>
            <sz val="9"/>
            <color indexed="81"/>
            <rFont val="Tahoma"/>
            <family val="2"/>
          </rPr>
          <t xml:space="preserve">
GE forecasts c450
Source: GE Investor Day 2023 slide 33</t>
        </r>
      </text>
    </comment>
    <comment ref="CK67" authorId="2" shapeId="0" xr:uid="{513D5357-4722-42ED-A453-70FC21BA496F}">
      <text>
        <r>
          <rPr>
            <b/>
            <sz val="9"/>
            <color indexed="81"/>
            <rFont val="Tahoma"/>
            <family val="2"/>
          </rPr>
          <t>Law, Ross (Research):</t>
        </r>
        <r>
          <rPr>
            <sz val="9"/>
            <color indexed="81"/>
            <rFont val="Tahoma"/>
            <family val="2"/>
          </rPr>
          <t xml:space="preserve">
GE forecasts c500
Source: GE Investor Day 2023 slide 33</t>
        </r>
      </text>
    </comment>
    <comment ref="BM74" authorId="2" shapeId="0" xr:uid="{CA38427F-ABD6-4BF6-AE53-935A9A474F3B}">
      <text>
        <r>
          <rPr>
            <b/>
            <sz val="9"/>
            <color indexed="81"/>
            <rFont val="Tahoma"/>
            <family val="2"/>
          </rPr>
          <t>Law, Ross (Research):</t>
        </r>
        <r>
          <rPr>
            <sz val="9"/>
            <color indexed="81"/>
            <rFont val="Tahoma"/>
            <family val="2"/>
          </rPr>
          <t xml:space="preserve">
GE 1H25: ~1.5%</t>
        </r>
      </text>
    </comment>
    <comment ref="BU74" authorId="2" shapeId="0" xr:uid="{352AAB8F-BD0E-48BE-9B11-8911041520BC}">
      <text>
        <r>
          <rPr>
            <b/>
            <sz val="9"/>
            <color indexed="81"/>
            <rFont val="Tahoma"/>
            <family val="2"/>
          </rPr>
          <t>Law, Ross (Research):</t>
        </r>
        <r>
          <rPr>
            <sz val="9"/>
            <color indexed="81"/>
            <rFont val="Tahoma"/>
            <family val="2"/>
          </rPr>
          <t xml:space="preserve">
GE FY25: 2%
GE 1H25: ~2-3%</t>
        </r>
      </text>
    </comment>
    <comment ref="CC74" authorId="2" shapeId="0" xr:uid="{8EA7D92A-13C9-4EC4-B6B2-3ECC82D35716}">
      <text>
        <r>
          <rPr>
            <b/>
            <sz val="9"/>
            <color indexed="81"/>
            <rFont val="Tahoma"/>
            <family val="2"/>
          </rPr>
          <t>Law, Ross (Research):</t>
        </r>
        <r>
          <rPr>
            <sz val="9"/>
            <color indexed="81"/>
            <rFont val="Tahoma"/>
            <family val="2"/>
          </rPr>
          <t xml:space="preserve">
GE 1H25: ~3-4%</t>
        </r>
      </text>
    </comment>
    <comment ref="CK74" authorId="2" shapeId="0" xr:uid="{2F64678C-1F61-433A-AC8E-AEBDA15DEF01}">
      <text>
        <r>
          <rPr>
            <b/>
            <sz val="9"/>
            <color indexed="81"/>
            <rFont val="Tahoma"/>
            <family val="2"/>
          </rPr>
          <t>Law, Ross (Research):</t>
        </r>
        <r>
          <rPr>
            <sz val="9"/>
            <color indexed="81"/>
            <rFont val="Tahoma"/>
            <family val="2"/>
          </rPr>
          <t xml:space="preserve">
GE 1H25: ~3-4%</t>
        </r>
      </text>
    </comment>
    <comment ref="CS74" authorId="2" shapeId="0" xr:uid="{BE66990E-B8EB-4A75-9B01-6D590E048AE9}">
      <text>
        <r>
          <rPr>
            <b/>
            <sz val="9"/>
            <color indexed="81"/>
            <rFont val="Tahoma"/>
            <family val="2"/>
          </rPr>
          <t>Law, Ross (Research):</t>
        </r>
        <r>
          <rPr>
            <sz val="9"/>
            <color indexed="81"/>
            <rFont val="Tahoma"/>
            <family val="2"/>
          </rPr>
          <t xml:space="preserve">
GE 1H25: ~3-4%</t>
        </r>
      </text>
    </comment>
    <comment ref="AW75" authorId="2" shapeId="0" xr:uid="{4089862B-5540-46CA-AF1A-D87390FD4ED3}">
      <text>
        <r>
          <rPr>
            <b/>
            <sz val="9"/>
            <color indexed="81"/>
            <rFont val="Tahoma"/>
            <family val="2"/>
          </rPr>
          <t>Law, Ross (Research):</t>
        </r>
        <r>
          <rPr>
            <sz val="9"/>
            <color indexed="81"/>
            <rFont val="Tahoma"/>
            <family val="2"/>
          </rPr>
          <t xml:space="preserve">
Assume 22yr engines are retired. "Few % of installed base per year"</t>
        </r>
      </text>
    </comment>
    <comment ref="BU75" authorId="2" shapeId="0" xr:uid="{B2F861DE-2E1C-4064-A48F-324AC504E778}">
      <text>
        <r>
          <rPr>
            <b/>
            <sz val="9"/>
            <color indexed="81"/>
            <rFont val="Tahoma"/>
            <family val="2"/>
          </rPr>
          <t>Law, Ross (Research):</t>
        </r>
        <r>
          <rPr>
            <sz val="9"/>
            <color indexed="81"/>
            <rFont val="Tahoma"/>
            <family val="2"/>
          </rPr>
          <t xml:space="preserve">
1Q26: CFM56 retirements below 2% of fleet in 2026</t>
        </r>
      </text>
    </comment>
    <comment ref="CC75" authorId="2" shapeId="0" xr:uid="{381FFA9C-5C2E-4A31-8569-724AC3E948E2}">
      <text>
        <r>
          <rPr>
            <b/>
            <sz val="9"/>
            <color indexed="81"/>
            <rFont val="Tahoma"/>
            <family val="2"/>
          </rPr>
          <t>Law, Ross (Research):</t>
        </r>
        <r>
          <rPr>
            <sz val="9"/>
            <color indexed="81"/>
            <rFont val="Tahoma"/>
            <family val="2"/>
          </rPr>
          <t xml:space="preserve">
1Q26: similar trend expected in 2027 vs 2026 (&lt;2%)</t>
        </r>
      </text>
    </comment>
    <comment ref="AF80" authorId="2" shapeId="0" xr:uid="{D5BB68DA-CCA1-4323-81F1-F560AAAC544A}">
      <text>
        <r>
          <rPr>
            <b/>
            <sz val="9"/>
            <color indexed="81"/>
            <rFont val="Tahoma"/>
            <family val="2"/>
          </rPr>
          <t>Law, Ross (Research):</t>
        </r>
        <r>
          <rPr>
            <sz val="9"/>
            <color indexed="81"/>
            <rFont val="Tahoma"/>
            <family val="2"/>
          </rPr>
          <t xml:space="preserve">
Source: Cirium
Includes 488 inservice and 21 stored CFM56-2 aircraft (4 engines) and 188 inservice and 43 stored CFM56-5C aircraft (4 engines).</t>
        </r>
      </text>
    </comment>
    <comment ref="AO80" authorId="2" shapeId="0" xr:uid="{A8D2AE15-130C-4D36-A44C-4241A7948C7C}">
      <text>
        <r>
          <rPr>
            <b/>
            <sz val="9"/>
            <color indexed="81"/>
            <rFont val="Tahoma"/>
            <family val="2"/>
          </rPr>
          <t>Law, Ross (Research):</t>
        </r>
        <r>
          <rPr>
            <sz val="9"/>
            <color indexed="81"/>
            <rFont val="Tahoma"/>
            <family val="2"/>
          </rPr>
          <t xml:space="preserve">
Cirium: 4568
In service 3458 ((469*4)+(48*4)+(695*2))
In storage 1110 ((21*4)+(43*4)+(427*2)))
</t>
        </r>
      </text>
    </comment>
    <comment ref="AF81" authorId="2" shapeId="0" xr:uid="{1E339C67-183F-4052-B671-AA1DAE50C199}">
      <text>
        <r>
          <rPr>
            <b/>
            <sz val="9"/>
            <color indexed="81"/>
            <rFont val="Tahoma"/>
            <family val="2"/>
          </rPr>
          <t>Law, Ross (Research):</t>
        </r>
        <r>
          <rPr>
            <sz val="9"/>
            <color indexed="81"/>
            <rFont val="Tahoma"/>
            <family val="2"/>
          </rPr>
          <t xml:space="preserve">
Source: Cirium. In-service and storage. 800 add for grossing up to match 2018 and 2021 CMD data from company.</t>
        </r>
      </text>
    </comment>
    <comment ref="AK81" authorId="5" shapeId="0" xr:uid="{AD335C6F-19E8-4C1A-A7CF-1D0B95A7AF98}">
      <text>
        <r>
          <rPr>
            <b/>
            <sz val="9"/>
            <color indexed="81"/>
            <rFont val="Tahoma"/>
            <family val="2"/>
          </rPr>
          <t>Nicolas, Alexane (Research):</t>
        </r>
        <r>
          <rPr>
            <sz val="9"/>
            <color indexed="81"/>
            <rFont val="Tahoma"/>
            <family val="2"/>
          </rPr>
          <t xml:space="preserve">
Guided 22,800 in 2018 - CMD slide 73</t>
        </r>
      </text>
    </comment>
    <comment ref="AM81" authorId="5" shapeId="0" xr:uid="{F21BD935-F783-4572-A201-78602AA3D32F}">
      <text>
        <r>
          <rPr>
            <b/>
            <sz val="9"/>
            <color indexed="81"/>
            <rFont val="Tahoma"/>
            <family val="2"/>
          </rPr>
          <t>Nicolas, Alexane (Research):</t>
        </r>
        <r>
          <rPr>
            <sz val="9"/>
            <color indexed="81"/>
            <rFont val="Tahoma"/>
            <family val="2"/>
          </rPr>
          <t xml:space="preserve">
Guided ~23,000 engines in 2020 CMD slide 73</t>
        </r>
      </text>
    </comment>
    <comment ref="AN81" authorId="2" shapeId="0" xr:uid="{392E5106-8052-439A-BE57-C325EDDE913B}">
      <text>
        <r>
          <rPr>
            <b/>
            <sz val="9"/>
            <color indexed="81"/>
            <rFont val="Tahoma"/>
            <family val="2"/>
          </rPr>
          <t>Law, Ross (Research):</t>
        </r>
        <r>
          <rPr>
            <sz val="9"/>
            <color indexed="81"/>
            <rFont val="Tahoma"/>
            <family val="2"/>
          </rPr>
          <t xml:space="preserve">
CMD21: installed base of 23k -5B/-7B engines in service</t>
        </r>
      </text>
    </comment>
    <comment ref="AO81" authorId="2" shapeId="0" xr:uid="{FB4E93ED-81E3-40E8-A02A-A7B4F77703D8}">
      <text>
        <r>
          <rPr>
            <b/>
            <sz val="9"/>
            <color indexed="81"/>
            <rFont val="Tahoma"/>
            <family val="2"/>
          </rPr>
          <t>Law, Ross (Research):</t>
        </r>
        <r>
          <rPr>
            <sz val="9"/>
            <color indexed="81"/>
            <rFont val="Tahoma"/>
            <family val="2"/>
          </rPr>
          <t xml:space="preserve">
AR22 pg35: in-operation base of 23k CFM56-5B/7B of a group in-operation base of 31,800.
In-operation base is equal to engines delivered (including engines in storage) less engines dismantled or scrapped.</t>
        </r>
      </text>
    </comment>
    <comment ref="AW81" authorId="2" shapeId="0" xr:uid="{E4E1713C-D5F6-4099-9E7F-AE5341221D9E}">
      <text>
        <r>
          <rPr>
            <b/>
            <sz val="9"/>
            <color indexed="81"/>
            <rFont val="Tahoma"/>
            <family val="2"/>
          </rPr>
          <t>Law, Ross (Research):</t>
        </r>
        <r>
          <rPr>
            <sz val="9"/>
            <color indexed="81"/>
            <rFont val="Tahoma"/>
            <family val="2"/>
          </rPr>
          <t xml:space="preserve">
AR23 pg23: in-operation base of 23k CFM56-5B/7B</t>
        </r>
      </text>
    </comment>
    <comment ref="BE81" authorId="2" shapeId="0" xr:uid="{526B190F-D023-4222-A88F-9784394140D9}">
      <text>
        <r>
          <rPr>
            <b/>
            <sz val="9"/>
            <color indexed="81"/>
            <rFont val="Tahoma"/>
            <family val="2"/>
          </rPr>
          <t>Law, Ross (Research):</t>
        </r>
        <r>
          <rPr>
            <sz val="9"/>
            <color indexed="81"/>
            <rFont val="Tahoma"/>
            <family val="2"/>
          </rPr>
          <t xml:space="preserve">
CMD24: 23k -5B/-7B engines inservice 2024.</t>
        </r>
      </text>
    </comment>
    <comment ref="BM81" authorId="2" shapeId="0" xr:uid="{B501BD0B-7CE8-4B72-B6E6-BED44B1CB059}">
      <text>
        <r>
          <rPr>
            <b/>
            <sz val="9"/>
            <color indexed="81"/>
            <rFont val="Tahoma"/>
            <family val="2"/>
          </rPr>
          <t>Law, Ross (Research):</t>
        </r>
        <r>
          <rPr>
            <sz val="9"/>
            <color indexed="81"/>
            <rFont val="Tahoma"/>
            <family val="2"/>
          </rPr>
          <t xml:space="preserve">
AR 2025: Operating base of c29.9k engines, includign some 22.8k -5B/7B
CMD21 (slide 88): 19k 5B/7B engines</t>
        </r>
      </text>
    </comment>
    <comment ref="AI82" authorId="0" shapeId="0" xr:uid="{E9BF3690-541F-4B62-8E32-DE8525278C47}">
      <text>
        <r>
          <rPr>
            <b/>
            <sz val="9"/>
            <color indexed="81"/>
            <rFont val="Tahoma"/>
            <family val="2"/>
          </rPr>
          <t>Humphrey, Andrew (Research):</t>
        </r>
        <r>
          <rPr>
            <sz val="9"/>
            <color indexed="81"/>
            <rFont val="Tahoma"/>
            <family val="2"/>
          </rPr>
          <t xml:space="preserve">
2016 CMD highlights 25,000 CFM56 engines in operation</t>
        </r>
      </text>
    </comment>
    <comment ref="AL82" authorId="0" shapeId="0" xr:uid="{F54B285B-C3C1-4C05-8976-15245D573DF9}">
      <text>
        <r>
          <rPr>
            <b/>
            <sz val="9"/>
            <color indexed="81"/>
            <rFont val="Tahoma"/>
            <family val="2"/>
          </rPr>
          <t>Humphrey, Andrew (Research):</t>
        </r>
        <r>
          <rPr>
            <sz val="9"/>
            <color indexed="81"/>
            <rFont val="Tahoma"/>
            <family val="2"/>
          </rPr>
          <t xml:space="preserve">
Company guides 28,000 CFM56 engines (all models) in operation today.
CFM56 Gen 2 in-service life of 26 years would be consistent with that</t>
        </r>
      </text>
    </comment>
    <comment ref="BM82" authorId="0" shapeId="0" xr:uid="{3341A3EC-F512-4BEA-BC99-FD10F23FB5A0}">
      <text>
        <r>
          <rPr>
            <b/>
            <sz val="9"/>
            <color indexed="81"/>
            <rFont val="Tahoma"/>
            <family val="2"/>
          </rPr>
          <t>Law, Ross (Research):</t>
        </r>
        <r>
          <rPr>
            <sz val="9"/>
            <color indexed="81"/>
            <rFont val="Tahoma"/>
            <family val="2"/>
          </rPr>
          <t xml:space="preserve">
Operating base (Engines in operation equals engines delivered (including engines in storage) less engines dismantled or scrapped.) of
around 29,900 engines (including some 22,800 CFM56-5B/7B second generation engines
Guidance 22,000+ engines by 2025
</t>
        </r>
      </text>
    </comment>
    <comment ref="DA83" authorId="2" shapeId="0" xr:uid="{460D3D31-E855-44B8-99D8-803E76C4AC29}">
      <text>
        <r>
          <rPr>
            <b/>
            <sz val="9"/>
            <color indexed="81"/>
            <rFont val="Tahoma"/>
            <family val="2"/>
          </rPr>
          <t>Law, Ross (Research):</t>
        </r>
        <r>
          <rPr>
            <sz val="9"/>
            <color indexed="81"/>
            <rFont val="Tahoma"/>
            <family val="2"/>
          </rPr>
          <t xml:space="preserve">
GE 1H25: LEAP installed base ~3X by 2030 vs 2024</t>
        </r>
      </text>
    </comment>
    <comment ref="DA84" authorId="5" shapeId="0" xr:uid="{5136A8B7-1781-4124-850B-0A90A0F12020}">
      <text>
        <r>
          <rPr>
            <b/>
            <sz val="9"/>
            <color indexed="81"/>
            <rFont val="Tahoma"/>
            <family val="2"/>
          </rPr>
          <t>Nicolas, Alexane (Research):</t>
        </r>
        <r>
          <rPr>
            <sz val="9"/>
            <color indexed="81"/>
            <rFont val="Tahoma"/>
            <family val="2"/>
          </rPr>
          <t xml:space="preserve">
Consistent with 2018 CMD slide 71</t>
        </r>
      </text>
    </comment>
    <comment ref="DB84" authorId="2" shapeId="0" xr:uid="{05DFE543-DDC4-453F-B634-3ED74FE73013}">
      <text>
        <r>
          <rPr>
            <b/>
            <sz val="9"/>
            <color indexed="81"/>
            <rFont val="Tahoma"/>
            <family val="2"/>
          </rPr>
          <t>Law, Ross (Research):</t>
        </r>
        <r>
          <rPr>
            <sz val="9"/>
            <color indexed="81"/>
            <rFont val="Tahoma"/>
            <family val="2"/>
          </rPr>
          <t xml:space="preserve">
GE 2Q26:  Installed base grow low to mid-single digit rate annually through the decade</t>
        </r>
      </text>
    </comment>
    <comment ref="DA86" authorId="0" shapeId="0" xr:uid="{4432C14A-A779-4347-A8CF-416FC1B7194A}">
      <text>
        <r>
          <rPr>
            <b/>
            <sz val="9"/>
            <color indexed="81"/>
            <rFont val="Tahoma"/>
            <family val="2"/>
          </rPr>
          <t>Humphrey, Andrew (Research):</t>
        </r>
        <r>
          <rPr>
            <sz val="9"/>
            <color indexed="81"/>
            <rFont val="Tahoma"/>
            <family val="2"/>
          </rPr>
          <t xml:space="preserve">
Guide is 4.5% CAGR in in-service fleet.
May be lower as a consequence of Boeing 737 MAX retirements</t>
        </r>
      </text>
    </comment>
    <comment ref="AJ91" authorId="2" shapeId="0" xr:uid="{41B5B618-D614-40B0-AF63-D001CFD4DA3E}">
      <text>
        <r>
          <rPr>
            <b/>
            <sz val="9"/>
            <color indexed="81"/>
            <rFont val="Tahoma"/>
            <family val="2"/>
          </rPr>
          <t>Law, Ross (Research):</t>
        </r>
        <r>
          <rPr>
            <sz val="9"/>
            <color indexed="81"/>
            <rFont val="Tahoma"/>
            <family val="2"/>
          </rPr>
          <t xml:space="preserve">
c2,000 (source: CMD21 slide 90)</t>
        </r>
      </text>
    </comment>
    <comment ref="AK91" authorId="2" shapeId="0" xr:uid="{08B10DC9-FD01-4E2C-861E-3DCFAB7114E3}">
      <text>
        <r>
          <rPr>
            <b/>
            <sz val="9"/>
            <color indexed="81"/>
            <rFont val="Tahoma"/>
            <family val="2"/>
          </rPr>
          <t>Law, Ross (Research):</t>
        </r>
        <r>
          <rPr>
            <sz val="9"/>
            <color indexed="81"/>
            <rFont val="Tahoma"/>
            <family val="2"/>
          </rPr>
          <t xml:space="preserve">
c2300 (source: CMD21 slide 90)</t>
        </r>
      </text>
    </comment>
    <comment ref="AL91" authorId="2" shapeId="0" xr:uid="{8735A8EA-AEC8-4A29-BE15-047A9C2DB452}">
      <text>
        <r>
          <rPr>
            <b/>
            <sz val="9"/>
            <color indexed="81"/>
            <rFont val="Tahoma"/>
            <family val="2"/>
          </rPr>
          <t>Law, Ross (Research):</t>
        </r>
        <r>
          <rPr>
            <sz val="9"/>
            <color indexed="81"/>
            <rFont val="Tahoma"/>
            <family val="2"/>
          </rPr>
          <t xml:space="preserve">
c2300 (source: CMD21 slide 90)</t>
        </r>
      </text>
    </comment>
    <comment ref="AM91" authorId="2" shapeId="0" xr:uid="{EEE0494E-7C08-47FE-A549-F8A5A18F8EE4}">
      <text>
        <r>
          <rPr>
            <b/>
            <sz val="9"/>
            <color indexed="81"/>
            <rFont val="Tahoma"/>
            <family val="2"/>
          </rPr>
          <t>Law, Ross (Research):</t>
        </r>
        <r>
          <rPr>
            <sz val="9"/>
            <color indexed="81"/>
            <rFont val="Tahoma"/>
            <family val="2"/>
          </rPr>
          <t xml:space="preserve">
c1100 (source: CMD21 slide 90)</t>
        </r>
      </text>
    </comment>
    <comment ref="AN91" authorId="2" shapeId="0" xr:uid="{E135296B-2137-4F48-995B-75CC5A581161}">
      <text>
        <r>
          <rPr>
            <b/>
            <sz val="9"/>
            <color indexed="81"/>
            <rFont val="Tahoma"/>
            <family val="2"/>
          </rPr>
          <t>Law, Ross (Research):</t>
        </r>
        <r>
          <rPr>
            <sz val="9"/>
            <color indexed="81"/>
            <rFont val="Tahoma"/>
            <family val="2"/>
          </rPr>
          <t xml:space="preserve">
c1300 (source: CMD21 slide 90)</t>
        </r>
      </text>
    </comment>
    <comment ref="AO91" authorId="2" shapeId="0" xr:uid="{95728064-F090-4550-A531-2E38D7978B04}">
      <text>
        <r>
          <rPr>
            <b/>
            <sz val="9"/>
            <color indexed="81"/>
            <rFont val="Tahoma"/>
            <family val="2"/>
          </rPr>
          <t>Law, Ross (Research):</t>
        </r>
        <r>
          <rPr>
            <sz val="9"/>
            <color indexed="81"/>
            <rFont val="Tahoma"/>
            <family val="2"/>
          </rPr>
          <t xml:space="preserve">
c1750 - company</t>
        </r>
      </text>
    </comment>
    <comment ref="AW91" authorId="2" shapeId="0" xr:uid="{AFE60894-FB36-415E-9063-7FB948F2CF00}">
      <text>
        <r>
          <rPr>
            <b/>
            <sz val="9"/>
            <color indexed="81"/>
            <rFont val="Tahoma"/>
            <family val="2"/>
          </rPr>
          <t>Law, Ross (Research):</t>
        </r>
        <r>
          <rPr>
            <sz val="9"/>
            <color indexed="81"/>
            <rFont val="Tahoma"/>
            <family val="2"/>
          </rPr>
          <t xml:space="preserve">
FY23: 'North of 2000 SVs'</t>
        </r>
      </text>
    </comment>
    <comment ref="BE91" authorId="2" shapeId="0" xr:uid="{AF31305B-48FD-4371-9BA7-97A8C1A42A1F}">
      <text>
        <r>
          <rPr>
            <b/>
            <sz val="9"/>
            <color indexed="81"/>
            <rFont val="Tahoma"/>
            <family val="2"/>
          </rPr>
          <t>Law, Ross (Research):</t>
        </r>
        <r>
          <rPr>
            <sz val="9"/>
            <color indexed="81"/>
            <rFont val="Tahoma"/>
            <family val="2"/>
          </rPr>
          <t xml:space="preserve">
CEO FY23: expect +M-HSD in 24, peak in 25.
Previously: Recovery to 2019 levels (2,317) expected by 2024</t>
        </r>
      </text>
    </comment>
    <comment ref="BM91" authorId="2" shapeId="0" xr:uid="{5FE14AAC-6449-4843-B31A-16390B0FCDAF}">
      <text>
        <r>
          <rPr>
            <b/>
            <sz val="9"/>
            <color indexed="81"/>
            <rFont val="Tahoma"/>
            <family val="2"/>
          </rPr>
          <t>Law, Ross (Research):</t>
        </r>
        <r>
          <rPr>
            <sz val="9"/>
            <color indexed="81"/>
            <rFont val="Tahoma"/>
            <family val="2"/>
          </rPr>
          <t xml:space="preserve">
Guidance: ramp up to c2300 SVs and maintain at that level vs previous guidance (below)
CMD21 (slide 90): CFM56-5B/-7B SVs peaking at 2500 in 25/26. Upside if air traffic stronger
</t>
        </r>
      </text>
    </comment>
    <comment ref="BU91" authorId="2" shapeId="0" xr:uid="{646ED26A-B28B-45E2-952B-5C8F531F294D}">
      <text>
        <r>
          <rPr>
            <b/>
            <sz val="9"/>
            <color indexed="81"/>
            <rFont val="Tahoma"/>
            <family val="2"/>
          </rPr>
          <t>Law, Ross (Research):</t>
        </r>
        <r>
          <rPr>
            <sz val="9"/>
            <color indexed="81"/>
            <rFont val="Tahoma"/>
            <family val="2"/>
          </rPr>
          <t xml:space="preserve">
GE 2Q26: Shop visit outlook for 2026 high end of 2,300–2,400 range. 
Guidance: ramp up to c2300 SVs and maintain at that level vs previous guidance (below)
CMD21 (slide 90): CFM56-5B/-7B SVs peaking at 2500 in 25/26. Upside if air traffic stronger</t>
        </r>
      </text>
    </comment>
    <comment ref="DA91" authorId="2" shapeId="0" xr:uid="{117FE2D1-74C1-4037-9330-6B4F161239E5}">
      <text>
        <r>
          <rPr>
            <b/>
            <sz val="9"/>
            <color indexed="81"/>
            <rFont val="Tahoma"/>
            <family val="2"/>
          </rPr>
          <t>Law, Ross (Research):</t>
        </r>
        <r>
          <rPr>
            <sz val="9"/>
            <color indexed="81"/>
            <rFont val="Tahoma"/>
            <family val="2"/>
          </rPr>
          <t xml:space="preserve">
c2000 (source: CMD21 slide 90)</t>
        </r>
      </text>
    </comment>
    <comment ref="AL92" authorId="5" shapeId="0" xr:uid="{210384CC-2EE0-41F9-B754-237EDDC05DA6}">
      <text>
        <r>
          <rPr>
            <b/>
            <sz val="9"/>
            <color indexed="81"/>
            <rFont val="Tahoma"/>
            <family val="2"/>
          </rPr>
          <t>Nicolas, Alexane (Research):</t>
        </r>
        <r>
          <rPr>
            <sz val="9"/>
            <color indexed="81"/>
            <rFont val="Tahoma"/>
            <family val="2"/>
          </rPr>
          <t xml:space="preserve">
50 - adjustment on MAX - visit delayed (mentioned 25-30 in Q3)</t>
        </r>
      </text>
    </comment>
    <comment ref="BU92" authorId="4" shapeId="0" xr:uid="{2FFEB01F-B6A8-4856-A4F6-5E06F23DC55A}">
      <text>
        <r>
          <rPr>
            <b/>
            <sz val="9"/>
            <color indexed="81"/>
            <rFont val="Tahoma"/>
            <family val="2"/>
          </rPr>
          <t>K M, Giridhar (Research):</t>
        </r>
        <r>
          <rPr>
            <sz val="9"/>
            <color indexed="81"/>
            <rFont val="Tahoma"/>
            <family val="2"/>
          </rPr>
          <t xml:space="preserve">
Guidance (FY25): 2,300-2,400 SV/year from 2025 to 2028</t>
        </r>
      </text>
    </comment>
    <comment ref="CK92" authorId="2" shapeId="0" xr:uid="{5D6D8D07-E596-4AF9-8879-7B22461BC0B4}">
      <text>
        <r>
          <rPr>
            <b/>
            <sz val="9"/>
            <color indexed="81"/>
            <rFont val="Tahoma"/>
            <family val="2"/>
          </rPr>
          <t>Law, Ross (Research):</t>
        </r>
        <r>
          <rPr>
            <sz val="9"/>
            <color indexed="81"/>
            <rFont val="Tahoma"/>
            <family val="2"/>
          </rPr>
          <t xml:space="preserve">
CMD24: slightly &lt;2k</t>
        </r>
      </text>
    </comment>
    <comment ref="DA92" authorId="2" shapeId="0" xr:uid="{C6ACFAB4-1D80-41E5-8EE8-8E04C67BFE6B}">
      <text>
        <r>
          <rPr>
            <b/>
            <sz val="9"/>
            <color indexed="81"/>
            <rFont val="Tahoma"/>
            <family val="2"/>
          </rPr>
          <t>Law, Ross (Research):</t>
        </r>
        <r>
          <rPr>
            <sz val="9"/>
            <color indexed="81"/>
            <rFont val="Tahoma"/>
            <family val="2"/>
          </rPr>
          <t xml:space="preserve">
CMD24: ~1750</t>
        </r>
      </text>
    </comment>
    <comment ref="BE93" authorId="3" shapeId="0" xr:uid="{8C1A9E52-0AF3-481E-B739-8FE315C7CEBF}">
      <text>
        <r>
          <rPr>
            <b/>
            <sz val="9"/>
            <color indexed="81"/>
            <rFont val="Tahoma"/>
            <family val="2"/>
          </rPr>
          <t>Magajwala, Vatsal (Research):</t>
        </r>
        <r>
          <rPr>
            <sz val="9"/>
            <color indexed="81"/>
            <rFont val="Tahoma"/>
            <family val="2"/>
          </rPr>
          <t xml:space="preserve">
grown mid-single digit in 2024 versus 2023
Source: FY24 trasnscript</t>
        </r>
      </text>
    </comment>
    <comment ref="BM93" authorId="3" shapeId="0" xr:uid="{52F19F3D-5B5F-48EF-B7C4-07C6010FAEC3}">
      <text>
        <r>
          <rPr>
            <b/>
            <sz val="9"/>
            <color indexed="81"/>
            <rFont val="Tahoma"/>
            <family val="2"/>
          </rPr>
          <t>Magajwala, Vatsal (Research):</t>
        </r>
        <r>
          <rPr>
            <sz val="9"/>
            <color indexed="81"/>
            <rFont val="Tahoma"/>
            <family val="2"/>
          </rPr>
          <t xml:space="preserve">
mid-single-digit growth for shop visit
Source: FY24 transcript</t>
        </r>
      </text>
    </comment>
    <comment ref="AK96" authorId="5" shapeId="0" xr:uid="{2CCEE1A7-F104-4107-BA5D-4E28F9FA9E17}">
      <text>
        <r>
          <rPr>
            <b/>
            <sz val="9"/>
            <color indexed="81"/>
            <rFont val="Tahoma"/>
            <family val="2"/>
          </rPr>
          <t>Nicolas, Alexane (Research):</t>
        </r>
        <r>
          <rPr>
            <sz val="9"/>
            <color indexed="81"/>
            <rFont val="Tahoma"/>
            <family val="2"/>
          </rPr>
          <t xml:space="preserve">
AS guided by the company slide 73</t>
        </r>
      </text>
    </comment>
    <comment ref="AN96" authorId="2" shapeId="0" xr:uid="{B4C95341-4476-4EEF-827D-99B2B8E9A5E1}">
      <text>
        <r>
          <rPr>
            <b/>
            <sz val="9"/>
            <color indexed="81"/>
            <rFont val="Tahoma"/>
            <family val="2"/>
          </rPr>
          <t>Law, Ross (Research):</t>
        </r>
        <r>
          <rPr>
            <sz val="9"/>
            <color indexed="81"/>
            <rFont val="Tahoma"/>
            <family val="2"/>
          </rPr>
          <t xml:space="preserve">
CMD21 slide 88: 50%</t>
        </r>
      </text>
    </comment>
    <comment ref="AO96" authorId="2" shapeId="0" xr:uid="{2EECFA4B-23AB-4547-9830-5C841EBB296C}">
      <text>
        <r>
          <rPr>
            <b/>
            <sz val="9"/>
            <color indexed="81"/>
            <rFont val="Tahoma"/>
            <family val="2"/>
          </rPr>
          <t>Law, Ross (Research):</t>
        </r>
        <r>
          <rPr>
            <sz val="9"/>
            <color indexed="81"/>
            <rFont val="Tahoma"/>
            <family val="2"/>
          </rPr>
          <t xml:space="preserve">
Source: AR22 pg 35</t>
        </r>
      </text>
    </comment>
    <comment ref="AW96" authorId="3" shapeId="0" xr:uid="{0A206781-84D4-4640-B628-263A790AE960}">
      <text>
        <r>
          <rPr>
            <b/>
            <sz val="9"/>
            <color indexed="81"/>
            <rFont val="Tahoma"/>
            <family val="2"/>
          </rPr>
          <t>Magajwala, Vatsal (Research):</t>
        </r>
        <r>
          <rPr>
            <sz val="9"/>
            <color indexed="81"/>
            <rFont val="Tahoma"/>
            <family val="2"/>
          </rPr>
          <t xml:space="preserve">
Source: AR23 pg 27/542</t>
        </r>
      </text>
    </comment>
    <comment ref="BE96" authorId="2" shapeId="0" xr:uid="{0960E710-4A61-4432-B989-8E6479020B79}">
      <text>
        <r>
          <rPr>
            <b/>
            <sz val="9"/>
            <color indexed="81"/>
            <rFont val="Tahoma"/>
            <family val="2"/>
          </rPr>
          <t>Law, Ross (Research):</t>
        </r>
        <r>
          <rPr>
            <sz val="9"/>
            <color indexed="81"/>
            <rFont val="Tahoma"/>
            <family val="2"/>
          </rPr>
          <t xml:space="preserve">
AR24 pg 22
CMD24: 40%
</t>
        </r>
      </text>
    </comment>
    <comment ref="BM96" authorId="2" shapeId="0" xr:uid="{63F47504-95A3-4880-9EF7-0D0628D423AA}">
      <text>
        <r>
          <rPr>
            <b/>
            <sz val="9"/>
            <color indexed="81"/>
            <rFont val="Tahoma"/>
            <family val="2"/>
          </rPr>
          <t>Law, Ross (Research):</t>
        </r>
        <r>
          <rPr>
            <sz val="9"/>
            <color indexed="81"/>
            <rFont val="Tahoma"/>
            <family val="2"/>
          </rPr>
          <t xml:space="preserve">
CMD21: slide 88
AR22: pg35</t>
        </r>
      </text>
    </comment>
    <comment ref="CK96" authorId="2" shapeId="0" xr:uid="{7DE4B069-0E5B-4487-A164-C22D2C3D1809}">
      <text>
        <r>
          <rPr>
            <b/>
            <sz val="9"/>
            <color indexed="81"/>
            <rFont val="Tahoma"/>
            <family val="2"/>
          </rPr>
          <t>Law, Ross (Research):</t>
        </r>
        <r>
          <rPr>
            <sz val="9"/>
            <color indexed="81"/>
            <rFont val="Tahoma"/>
            <family val="2"/>
          </rPr>
          <t xml:space="preserve">
CMD24: 26%</t>
        </r>
      </text>
    </comment>
    <comment ref="AN97" authorId="2" shapeId="0" xr:uid="{92B165D6-4A30-4A3E-96BB-1453D99CBE38}">
      <text>
        <r>
          <rPr>
            <b/>
            <sz val="9"/>
            <color indexed="81"/>
            <rFont val="Tahoma"/>
            <family val="2"/>
          </rPr>
          <t>Law, Ross (Research):</t>
        </r>
        <r>
          <rPr>
            <sz val="9"/>
            <color indexed="81"/>
            <rFont val="Tahoma"/>
            <family val="2"/>
          </rPr>
          <t xml:space="preserve">
CMD21 (slide 88): 30% 1 SV performed</t>
        </r>
      </text>
    </comment>
    <comment ref="AO97" authorId="2" shapeId="0" xr:uid="{01D99E30-9ABC-4439-B319-18B4D93B38EB}">
      <text>
        <r>
          <rPr>
            <b/>
            <sz val="9"/>
            <color indexed="81"/>
            <rFont val="Tahoma"/>
            <family val="2"/>
          </rPr>
          <t>Law, Ross (Research):</t>
        </r>
        <r>
          <rPr>
            <sz val="9"/>
            <color indexed="81"/>
            <rFont val="Tahoma"/>
            <family val="2"/>
          </rPr>
          <t xml:space="preserve">
Source: AR22 pg 35</t>
        </r>
      </text>
    </comment>
    <comment ref="AW97" authorId="3" shapeId="0" xr:uid="{D2822408-F0DB-4DF5-941E-11AF0D28C54C}">
      <text>
        <r>
          <rPr>
            <b/>
            <sz val="9"/>
            <color indexed="81"/>
            <rFont val="Tahoma"/>
            <family val="2"/>
          </rPr>
          <t>Magajwala, Vatsal (Research):</t>
        </r>
        <r>
          <rPr>
            <sz val="9"/>
            <color indexed="81"/>
            <rFont val="Tahoma"/>
            <family val="2"/>
          </rPr>
          <t xml:space="preserve">
Source: AR23 pg 27/542</t>
        </r>
      </text>
    </comment>
    <comment ref="BE97" authorId="2" shapeId="0" xr:uid="{923EEE4B-3373-413B-B00B-DA1E0C4BE7F2}">
      <text>
        <r>
          <rPr>
            <b/>
            <sz val="9"/>
            <color indexed="81"/>
            <rFont val="Tahoma"/>
            <family val="2"/>
          </rPr>
          <t>Law, Ross (Research):</t>
        </r>
        <r>
          <rPr>
            <sz val="9"/>
            <color indexed="81"/>
            <rFont val="Tahoma"/>
            <family val="2"/>
          </rPr>
          <t xml:space="preserve">
AR24 pg 22
CMD24: 29%</t>
        </r>
      </text>
    </comment>
    <comment ref="BM97" authorId="2" shapeId="0" xr:uid="{BB838160-4633-456C-92A5-2B66E9CFE9F1}">
      <text>
        <r>
          <rPr>
            <b/>
            <sz val="9"/>
            <color indexed="81"/>
            <rFont val="Tahoma"/>
            <family val="2"/>
          </rPr>
          <t>Law, Ross (Research):</t>
        </r>
        <r>
          <rPr>
            <sz val="9"/>
            <color indexed="81"/>
            <rFont val="Tahoma"/>
            <family val="2"/>
          </rPr>
          <t xml:space="preserve">
CMD21: slide 88
AR22: pg35</t>
        </r>
      </text>
    </comment>
    <comment ref="CK97" authorId="2" shapeId="0" xr:uid="{BB250576-E3C0-4BB1-9D16-EB55C9C2A7AE}">
      <text>
        <r>
          <rPr>
            <b/>
            <sz val="9"/>
            <color indexed="81"/>
            <rFont val="Tahoma"/>
            <family val="2"/>
          </rPr>
          <t>Law, Ross (Research):</t>
        </r>
        <r>
          <rPr>
            <sz val="9"/>
            <color indexed="81"/>
            <rFont val="Tahoma"/>
            <family val="2"/>
          </rPr>
          <t xml:space="preserve">
CMD24: 31%</t>
        </r>
      </text>
    </comment>
    <comment ref="BE98" authorId="2" shapeId="0" xr:uid="{90A1FAB3-F623-438C-BFF3-8C3C75DB6ACA}">
      <text>
        <r>
          <rPr>
            <b/>
            <sz val="9"/>
            <color indexed="81"/>
            <rFont val="Tahoma"/>
            <family val="2"/>
          </rPr>
          <t>Law, Ross (Research):</t>
        </r>
        <r>
          <rPr>
            <sz val="9"/>
            <color indexed="81"/>
            <rFont val="Tahoma"/>
            <family val="2"/>
          </rPr>
          <t xml:space="preserve">
AR24 pg 22
CMD24: 31%</t>
        </r>
      </text>
    </comment>
    <comment ref="CK98" authorId="2" shapeId="0" xr:uid="{FDF7F74F-E57D-42C7-B928-1E0AEAD33DA7}">
      <text>
        <r>
          <rPr>
            <b/>
            <sz val="9"/>
            <color indexed="81"/>
            <rFont val="Tahoma"/>
            <family val="2"/>
          </rPr>
          <t>Law, Ross (Research):</t>
        </r>
        <r>
          <rPr>
            <sz val="9"/>
            <color indexed="81"/>
            <rFont val="Tahoma"/>
            <family val="2"/>
          </rPr>
          <t xml:space="preserve">
CMD24: 43%</t>
        </r>
      </text>
    </comment>
    <comment ref="BM106" authorId="2" shapeId="0" xr:uid="{DEFF7DCE-4324-4E13-AE7D-78C6476AF87F}">
      <text>
        <r>
          <rPr>
            <b/>
            <sz val="9"/>
            <color indexed="81"/>
            <rFont val="Tahoma"/>
            <family val="2"/>
          </rPr>
          <t>Law, Ross (Research):</t>
        </r>
        <r>
          <rPr>
            <sz val="9"/>
            <color indexed="81"/>
            <rFont val="Tahoma"/>
            <family val="2"/>
          </rPr>
          <t xml:space="preserve">
Adjusted for smoothing</t>
        </r>
      </text>
    </comment>
    <comment ref="BU106" authorId="2" shapeId="0" xr:uid="{B3A66252-F6A0-4C31-9CBD-2F0D9AE4D898}">
      <text>
        <r>
          <rPr>
            <b/>
            <sz val="9"/>
            <color indexed="81"/>
            <rFont val="Tahoma"/>
            <family val="2"/>
          </rPr>
          <t>Law, Ross (Research):</t>
        </r>
        <r>
          <rPr>
            <sz val="9"/>
            <color indexed="81"/>
            <rFont val="Tahoma"/>
            <family val="2"/>
          </rPr>
          <t xml:space="preserve">
Adjusted for smoothing</t>
        </r>
      </text>
    </comment>
    <comment ref="AK117" authorId="2" shapeId="0" xr:uid="{70E6F294-BED9-4EF5-884D-CA8B09DC1D9D}">
      <text>
        <r>
          <rPr>
            <b/>
            <sz val="9"/>
            <color indexed="81"/>
            <rFont val="Tahoma"/>
            <family val="2"/>
          </rPr>
          <t>Law, Ross (Research):</t>
        </r>
        <r>
          <rPr>
            <sz val="9"/>
            <color indexed="81"/>
            <rFont val="Tahoma"/>
            <family val="2"/>
          </rPr>
          <t xml:space="preserve">
CMD21 slide 91: SV1+2 as % of annual -5B/-7B SVs = 75% in 2018</t>
        </r>
      </text>
    </comment>
    <comment ref="AN117" authorId="2" shapeId="0" xr:uid="{30697D37-735F-4E21-AE7E-D883A426B524}">
      <text>
        <r>
          <rPr>
            <b/>
            <sz val="9"/>
            <color indexed="81"/>
            <rFont val="Tahoma"/>
            <family val="2"/>
          </rPr>
          <t>Law, Ross (Research):</t>
        </r>
        <r>
          <rPr>
            <sz val="9"/>
            <color indexed="81"/>
            <rFont val="Tahoma"/>
            <family val="2"/>
          </rPr>
          <t xml:space="preserve">
CMD21 slide 91: SV1+2 as % of annual -5B/-7B SVs = 75% in 2021</t>
        </r>
      </text>
    </comment>
    <comment ref="BM117" authorId="2" shapeId="0" xr:uid="{7CB4474E-53AF-4FCB-8232-F9F3892B9B33}">
      <text>
        <r>
          <rPr>
            <b/>
            <sz val="9"/>
            <color indexed="81"/>
            <rFont val="Tahoma"/>
            <family val="2"/>
          </rPr>
          <t>Law, Ross (Research):</t>
        </r>
        <r>
          <rPr>
            <sz val="9"/>
            <color indexed="81"/>
            <rFont val="Tahoma"/>
            <family val="2"/>
          </rPr>
          <t xml:space="preserve">
CMD21 slide 91: SV1+2 as % of annual -5B/-7B SVs = 75% in 2025 (was &gt;66% at CMD18)</t>
        </r>
      </text>
    </comment>
    <comment ref="DA117" authorId="2" shapeId="0" xr:uid="{0A6F0430-C948-455A-BA87-FAC157DFC1F8}">
      <text>
        <r>
          <rPr>
            <b/>
            <sz val="9"/>
            <color indexed="81"/>
            <rFont val="Tahoma"/>
            <family val="2"/>
          </rPr>
          <t>Law, Ross (Research):</t>
        </r>
        <r>
          <rPr>
            <sz val="9"/>
            <color indexed="81"/>
            <rFont val="Tahoma"/>
            <family val="2"/>
          </rPr>
          <t xml:space="preserve">
Assumption</t>
        </r>
      </text>
    </comment>
    <comment ref="AW134" authorId="2" shapeId="0" xr:uid="{B61E272B-B7DF-4BF0-892B-A996480C1DC0}">
      <text>
        <r>
          <rPr>
            <b/>
            <sz val="9"/>
            <color indexed="81"/>
            <rFont val="Tahoma"/>
            <family val="2"/>
          </rPr>
          <t>Law, Ross (Research):</t>
        </r>
        <r>
          <rPr>
            <sz val="9"/>
            <color indexed="81"/>
            <rFont val="Tahoma"/>
            <family val="2"/>
          </rPr>
          <t xml:space="preserve">
FY23: rev per SV increased driven by pricin g(HSD catalogue) and scope</t>
        </r>
      </text>
    </comment>
    <comment ref="B139" authorId="2" shapeId="0" xr:uid="{1A02E053-EC06-4975-BA59-A1521F545D81}">
      <text>
        <r>
          <rPr>
            <b/>
            <sz val="9"/>
            <color indexed="81"/>
            <rFont val="Tahoma"/>
            <family val="2"/>
          </rPr>
          <t>Law, Ross (Research):</t>
        </r>
        <r>
          <rPr>
            <sz val="9"/>
            <color indexed="81"/>
            <rFont val="Tahoma"/>
            <family val="2"/>
          </rPr>
          <t xml:space="preserve">
Observation: normal level of catalogue price increase for spare parts is 6.5%. DD in 2022. Discretionary, although there is a calculation behind it.</t>
        </r>
      </text>
    </comment>
    <comment ref="AW139" authorId="2" shapeId="0" xr:uid="{4792594C-2A43-4174-B94A-ECDB0420D1DA}">
      <text>
        <r>
          <rPr>
            <b/>
            <sz val="9"/>
            <color indexed="81"/>
            <rFont val="Tahoma"/>
            <family val="2"/>
          </rPr>
          <t>Law, Ross (Research):</t>
        </r>
        <r>
          <rPr>
            <sz val="9"/>
            <color indexed="81"/>
            <rFont val="Tahoma"/>
            <family val="2"/>
          </rPr>
          <t xml:space="preserve">
Reflects (i) 3 months (Aug-Oct) of 20% pricing (12% increase Nov 22 + HSD Aug 23) (ii) higher workscope</t>
        </r>
      </text>
    </comment>
    <comment ref="BE139" authorId="2" shapeId="0" xr:uid="{8083EDAE-4E8D-4094-8A37-432D781C6D3A}">
      <text>
        <r>
          <rPr>
            <b/>
            <sz val="9"/>
            <color indexed="81"/>
            <rFont val="Tahoma"/>
            <family val="2"/>
          </rPr>
          <t>Law, Ross (Research):</t>
        </r>
        <r>
          <rPr>
            <sz val="9"/>
            <color indexed="81"/>
            <rFont val="Tahoma"/>
            <family val="2"/>
          </rPr>
          <t xml:space="preserve">
Guidance (1H23): catalogue price up HSD (applied Aug 23)</t>
        </r>
      </text>
    </comment>
    <comment ref="BU139" authorId="2" shapeId="0" xr:uid="{18BD4BA7-D9BC-470D-9254-7A634D348A2F}">
      <text>
        <r>
          <rPr>
            <b/>
            <sz val="9"/>
            <color indexed="81"/>
            <rFont val="Tahoma"/>
            <family val="2"/>
          </rPr>
          <t>Law, Ross (Research):</t>
        </r>
        <r>
          <rPr>
            <sz val="9"/>
            <color indexed="81"/>
            <rFont val="Tahoma"/>
            <family val="2"/>
          </rPr>
          <t xml:space="preserve">
1H26: spare parts pricing M-HSD in 2026.</t>
        </r>
      </text>
    </comment>
    <comment ref="CK139" authorId="2" shapeId="0" xr:uid="{26D3196D-7723-48BE-B7C6-E8D047007DFE}">
      <text>
        <r>
          <rPr>
            <b/>
            <sz val="9"/>
            <color indexed="81"/>
            <rFont val="Tahoma"/>
            <family val="2"/>
          </rPr>
          <t>Law, Ross (Research):</t>
        </r>
        <r>
          <rPr>
            <sz val="9"/>
            <color indexed="81"/>
            <rFont val="Tahoma"/>
            <family val="2"/>
          </rPr>
          <t xml:space="preserve">
GE 1H25: price +LSD (MSD annual price increases net of discounts/caps)</t>
        </r>
      </text>
    </comment>
    <comment ref="BM144" authorId="2" shapeId="0" xr:uid="{599AE314-AF91-4792-AAC9-DF103E0F1458}">
      <text>
        <r>
          <rPr>
            <b/>
            <sz val="9"/>
            <color indexed="81"/>
            <rFont val="Tahoma"/>
            <family val="2"/>
          </rPr>
          <t>Law, Ross (Research):</t>
        </r>
        <r>
          <rPr>
            <sz val="9"/>
            <color indexed="81"/>
            <rFont val="Tahoma"/>
            <family val="2"/>
          </rPr>
          <t xml:space="preserve">
Since 2021 margin at completion of RPFH contracts has improved by 7ppt. Current book of contracts has embedded &gt;60bn of revenues - both what has been recognised and what is still to recognise. Recognised under % of completion methodology. Progress of this is 5%, with 95% ahead. Ie recognised &gt;3bn.</t>
        </r>
      </text>
    </comment>
    <comment ref="BS144" authorId="2" shapeId="0" xr:uid="{29EFD717-2A62-44EB-93E9-16192AFA76A5}">
      <text>
        <r>
          <rPr>
            <b/>
            <sz val="9"/>
            <color indexed="81"/>
            <rFont val="Tahoma"/>
            <family val="2"/>
          </rPr>
          <t>Law, Ross (Research):</t>
        </r>
        <r>
          <rPr>
            <sz val="9"/>
            <color indexed="81"/>
            <rFont val="Tahoma"/>
            <family val="2"/>
          </rPr>
          <t xml:space="preserve">
1H26: expect sequential growth in Q2</t>
        </r>
      </text>
    </comment>
    <comment ref="A145" authorId="2" shapeId="0" xr:uid="{516E4D2B-C6B4-407B-9DB5-7408A79D9135}">
      <text>
        <r>
          <rPr>
            <b/>
            <sz val="9"/>
            <color indexed="81"/>
            <rFont val="Tahoma"/>
            <family val="2"/>
          </rPr>
          <t>Law, Ross (Research):</t>
        </r>
        <r>
          <rPr>
            <sz val="9"/>
            <color indexed="81"/>
            <rFont val="Tahoma"/>
            <family val="2"/>
          </rPr>
          <t xml:space="preserve">
R&amp;M: time and materials
ESPO: Engine service per overhaul
</t>
        </r>
      </text>
    </comment>
    <comment ref="AW147" authorId="2" shapeId="0" xr:uid="{D5E11766-7FF0-44E9-8EF5-BAC9DEC55B0B}">
      <text>
        <r>
          <rPr>
            <b/>
            <sz val="9"/>
            <color indexed="81"/>
            <rFont val="Tahoma"/>
            <family val="2"/>
          </rPr>
          <t>Law, Ross (Research):</t>
        </r>
        <r>
          <rPr>
            <sz val="9"/>
            <color indexed="81"/>
            <rFont val="Tahoma"/>
            <family val="2"/>
          </rPr>
          <t xml:space="preserve">
'Few tens of SVs in 2023.'
Source: CMD21 slide 90</t>
        </r>
      </text>
    </comment>
    <comment ref="BE147" authorId="2" shapeId="0" xr:uid="{EC3B4B46-D525-4722-891A-E41DBFAA2996}">
      <text>
        <r>
          <rPr>
            <b/>
            <sz val="9"/>
            <color indexed="81"/>
            <rFont val="Tahoma"/>
            <family val="2"/>
          </rPr>
          <t>Law, Ross (Research):</t>
        </r>
        <r>
          <rPr>
            <sz val="9"/>
            <color indexed="81"/>
            <rFont val="Tahoma"/>
            <family val="2"/>
          </rPr>
          <t xml:space="preserve">
FY23: few hundred LEAP SVs in 24
Source: CMD21 slide 90</t>
        </r>
      </text>
    </comment>
    <comment ref="BM147" authorId="2" shapeId="0" xr:uid="{59A8F854-68D9-44DF-A870-1F972B9425D8}">
      <text>
        <r>
          <rPr>
            <b/>
            <sz val="9"/>
            <color indexed="81"/>
            <rFont val="Tahoma"/>
            <family val="2"/>
          </rPr>
          <t>Law, Ross (Research):</t>
        </r>
        <r>
          <rPr>
            <sz val="9"/>
            <color indexed="81"/>
            <rFont val="Tahoma"/>
            <family val="2"/>
          </rPr>
          <t xml:space="preserve">
FY25: 15% of total SVs LEAP
'1000 SVs 2023-25
Source: CMD21 slide 90</t>
        </r>
      </text>
    </comment>
    <comment ref="BU147" authorId="2" shapeId="0" xr:uid="{25619BC6-98ED-4764-B630-D9FFB722E4B9}">
      <text>
        <r>
          <rPr>
            <b/>
            <sz val="9"/>
            <color indexed="81"/>
            <rFont val="Tahoma"/>
            <family val="2"/>
          </rPr>
          <t>Law, Ross (Research):</t>
        </r>
        <r>
          <rPr>
            <sz val="9"/>
            <color indexed="81"/>
            <rFont val="Tahoma"/>
            <family val="2"/>
          </rPr>
          <t xml:space="preserve">
GE guidance (FY25): internal SV +25%
Source: CMD21 slide 90</t>
        </r>
      </text>
    </comment>
    <comment ref="CC147" authorId="2" shapeId="0" xr:uid="{DA9E40A7-CCBE-436C-9229-6AD1FC84F4B7}">
      <text>
        <r>
          <rPr>
            <b/>
            <sz val="9"/>
            <color indexed="81"/>
            <rFont val="Tahoma"/>
            <family val="2"/>
          </rPr>
          <t>Law, Ross (Research):</t>
        </r>
        <r>
          <rPr>
            <sz val="9"/>
            <color indexed="81"/>
            <rFont val="Tahoma"/>
            <family val="2"/>
          </rPr>
          <t xml:space="preserve">
Source: CMD21 slide 90</t>
        </r>
      </text>
    </comment>
    <comment ref="CK147" authorId="2" shapeId="0" xr:uid="{20F2A0D8-103C-4824-AFA6-6961219FDA22}">
      <text>
        <r>
          <rPr>
            <b/>
            <sz val="9"/>
            <color indexed="81"/>
            <rFont val="Tahoma"/>
            <family val="2"/>
          </rPr>
          <t>Law, Ross (Research):</t>
        </r>
        <r>
          <rPr>
            <sz val="9"/>
            <color indexed="81"/>
            <rFont val="Tahoma"/>
            <family val="2"/>
          </rPr>
          <t xml:space="preserve">
Source: CMD21 slide 90</t>
        </r>
      </text>
    </comment>
    <comment ref="CS147" authorId="2" shapeId="0" xr:uid="{3FDF6A4D-D011-4C88-BF85-ED06952748BD}">
      <text>
        <r>
          <rPr>
            <b/>
            <sz val="9"/>
            <color indexed="81"/>
            <rFont val="Tahoma"/>
            <family val="2"/>
          </rPr>
          <t>Law, Ross (Research):</t>
        </r>
        <r>
          <rPr>
            <sz val="9"/>
            <color indexed="81"/>
            <rFont val="Tahoma"/>
            <family val="2"/>
          </rPr>
          <t xml:space="preserve">
Source: CMD21 slide 90</t>
        </r>
      </text>
    </comment>
    <comment ref="DA147" authorId="2" shapeId="0" xr:uid="{C0FE6599-BAE4-4FA6-A851-BB5F4483AD9C}">
      <text>
        <r>
          <rPr>
            <b/>
            <sz val="9"/>
            <color indexed="81"/>
            <rFont val="Tahoma"/>
            <family val="2"/>
          </rPr>
          <t>Law, Ross (Research):</t>
        </r>
        <r>
          <rPr>
            <sz val="9"/>
            <color indexed="81"/>
            <rFont val="Tahoma"/>
            <family val="2"/>
          </rPr>
          <t xml:space="preserve">
Source: CMD21 slide 90</t>
        </r>
      </text>
    </comment>
    <comment ref="DB147" authorId="2" shapeId="0" xr:uid="{7B94A9F2-7C81-40B6-9139-CB3D32E788C4}">
      <text>
        <r>
          <rPr>
            <b/>
            <sz val="9"/>
            <color indexed="81"/>
            <rFont val="Tahoma"/>
            <family val="2"/>
          </rPr>
          <t>Law, Ross (Research):</t>
        </r>
        <r>
          <rPr>
            <sz val="9"/>
            <color indexed="81"/>
            <rFont val="Tahoma"/>
            <family val="2"/>
          </rPr>
          <t xml:space="preserve">
GE 2Q26:  LEAP shop visits compound at ~25% CAGR through 2030. </t>
        </r>
      </text>
    </comment>
    <comment ref="A149" authorId="2" shapeId="0" xr:uid="{8319EC9C-3DB8-4F38-B2C1-E45D4F496988}">
      <text>
        <r>
          <rPr>
            <b/>
            <sz val="9"/>
            <color indexed="81"/>
            <rFont val="Tahoma"/>
            <family val="2"/>
          </rPr>
          <t>Law, Ross (Research):</t>
        </r>
        <r>
          <rPr>
            <sz val="9"/>
            <color indexed="81"/>
            <rFont val="Tahoma"/>
            <family val="2"/>
          </rPr>
          <t xml:space="preserve">
ESPH: Engine service per hour</t>
        </r>
      </text>
    </comment>
    <comment ref="AK154" authorId="5" shapeId="0" xr:uid="{A24FD8AE-8110-4C19-830A-E391FE4E512F}">
      <text>
        <r>
          <rPr>
            <b/>
            <sz val="9"/>
            <color indexed="81"/>
            <rFont val="Tahoma"/>
            <family val="2"/>
          </rPr>
          <t>Nicolas, Alexane (Research):</t>
        </r>
        <r>
          <rPr>
            <sz val="9"/>
            <color indexed="81"/>
            <rFont val="Tahoma"/>
            <family val="2"/>
          </rPr>
          <t xml:space="preserve">
CMD 2018: to date 28% of LEAP engine orders include ~RPFH</t>
        </r>
      </text>
    </comment>
    <comment ref="AN154" authorId="2" shapeId="0" xr:uid="{51A9C38F-A0A6-4502-B509-A40B37B7CCBA}">
      <text>
        <r>
          <rPr>
            <b/>
            <sz val="9"/>
            <color indexed="81"/>
            <rFont val="Tahoma"/>
            <family val="2"/>
          </rPr>
          <t>Law, Ross (Research):</t>
        </r>
        <r>
          <rPr>
            <sz val="9"/>
            <color indexed="81"/>
            <rFont val="Tahoma"/>
            <family val="2"/>
          </rPr>
          <t xml:space="preserve">
CMD21 slide 86: 42% of LEAP engine orders include a signed CFM RPFH service agreement (20% ESPH / 80% ESPO)</t>
        </r>
      </text>
    </comment>
    <comment ref="DA154" authorId="2" shapeId="0" xr:uid="{218ED28B-C32D-4A73-A9E8-1AD0BE77FC31}">
      <text>
        <r>
          <rPr>
            <b/>
            <sz val="9"/>
            <color indexed="81"/>
            <rFont val="Tahoma"/>
            <family val="2"/>
          </rPr>
          <t>Law, Ross (Research):</t>
        </r>
        <r>
          <rPr>
            <sz val="9"/>
            <color indexed="81"/>
            <rFont val="Tahoma"/>
            <family val="2"/>
          </rPr>
          <t xml:space="preserve">
CMD22 slide 60: LEAP will trend towards 60-70% RPFH by 2030 before slowly decreasing over time
Confirmed in AR22 pg 34</t>
        </r>
      </text>
    </comment>
    <comment ref="B164" authorId="2" shapeId="0" xr:uid="{55931CFF-5DF0-4E2A-AB8A-DE0BE7E0D45C}">
      <text>
        <r>
          <rPr>
            <b/>
            <sz val="9"/>
            <color indexed="81"/>
            <rFont val="Tahoma"/>
            <family val="2"/>
          </rPr>
          <t>Law, Ross (Research):</t>
        </r>
        <r>
          <rPr>
            <sz val="9"/>
            <color indexed="81"/>
            <rFont val="Tahoma"/>
            <family val="2"/>
          </rPr>
          <t xml:space="preserve">
CMD24 slide 66: As per CFM agreements, SAF will perform 50% of LEAP SVs under CFM service contracts</t>
        </r>
      </text>
    </comment>
    <comment ref="AJ180" authorId="5" shapeId="0" xr:uid="{1511D507-D2CA-4774-B956-4629173E9E5C}">
      <text>
        <r>
          <rPr>
            <b/>
            <sz val="9"/>
            <color indexed="81"/>
            <rFont val="Tahoma"/>
            <family val="2"/>
          </rPr>
          <t>Nicolas, Alexane (Research):</t>
        </r>
        <r>
          <rPr>
            <sz val="9"/>
            <color indexed="81"/>
            <rFont val="Tahoma"/>
            <family val="2"/>
          </rPr>
          <t xml:space="preserve">
Guided slide 83 CMD</t>
        </r>
      </text>
    </comment>
    <comment ref="AN180" authorId="2" shapeId="0" xr:uid="{F23FB3A5-6737-48FA-8E23-FA2C778F6E27}">
      <text>
        <r>
          <rPr>
            <b/>
            <sz val="9"/>
            <color indexed="81"/>
            <rFont val="Tahoma"/>
            <family val="2"/>
          </rPr>
          <t>Law, Ross (Research):</t>
        </r>
        <r>
          <rPr>
            <sz val="9"/>
            <color indexed="81"/>
            <rFont val="Tahoma"/>
            <family val="2"/>
          </rPr>
          <t xml:space="preserve">
CMD21 slide 60: CFM56 spare parts and T&amp;M is 85%</t>
        </r>
      </text>
    </comment>
    <comment ref="CC181" authorId="2" shapeId="0" xr:uid="{A981F5CF-7026-432F-AD0E-F49C02C864F9}">
      <text>
        <r>
          <rPr>
            <b/>
            <sz val="9"/>
            <color indexed="81"/>
            <rFont val="Tahoma"/>
            <family val="2"/>
          </rPr>
          <t>Law, Ross (Research):</t>
        </r>
        <r>
          <rPr>
            <sz val="9"/>
            <color indexed="81"/>
            <rFont val="Tahoma"/>
            <family val="2"/>
          </rPr>
          <t xml:space="preserve">
CMD21 slide 60: share of RPFH contracts (CFM56 and LEAP) should start to be material after 2026 (c20% of revenue)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Law, Ross (Research)</author>
    <author>Magajwala, Vatsal (Research)</author>
    <author>Nicolas, Alexane (Research)</author>
    <author>Ayoola, Joseph (Research)</author>
    <author>vigrupi</author>
    <author>Humphrey, Andrew (Research)</author>
    <author>Rowbotham, Jaime (Research)</author>
    <author>ovunco</author>
  </authors>
  <commentList>
    <comment ref="W7" authorId="0" shapeId="0" xr:uid="{4F39A6EA-05CB-4BD4-9331-AA45D197C074}">
      <text>
        <r>
          <rPr>
            <b/>
            <sz val="9"/>
            <color indexed="81"/>
            <rFont val="Tahoma"/>
            <family val="2"/>
          </rPr>
          <t>Law, Ross (Research):</t>
        </r>
        <r>
          <rPr>
            <sz val="9"/>
            <color indexed="81"/>
            <rFont val="Tahoma"/>
            <family val="2"/>
          </rPr>
          <t xml:space="preserve">
OE stable due to lower deliveres in nacelles (A320neo, A330neo)</t>
        </r>
      </text>
    </comment>
    <comment ref="Y7" authorId="0" shapeId="0" xr:uid="{A8A990FF-AF1B-46DF-9A41-E4568417A9EA}">
      <text>
        <r>
          <rPr>
            <b/>
            <sz val="9"/>
            <color indexed="81"/>
            <rFont val="Tahoma"/>
            <family val="2"/>
          </rPr>
          <t>Law, Ross (Research):</t>
        </r>
        <r>
          <rPr>
            <sz val="9"/>
            <color indexed="81"/>
            <rFont val="Tahoma"/>
            <family val="2"/>
          </rPr>
          <t xml:space="preserve">
OE up 16% due to higher volumes in landing gear (A320neo, A350), power and wiring activities, FADEC deliveries and Defense but lower A320neo nacelles deliveries</t>
        </r>
      </text>
    </comment>
    <comment ref="AA7" authorId="1" shapeId="0" xr:uid="{2D8E6411-BFD8-42B2-97B9-139B75D5CA92}">
      <text>
        <r>
          <rPr>
            <b/>
            <sz val="9"/>
            <color indexed="81"/>
            <rFont val="Tahoma"/>
            <family val="2"/>
          </rPr>
          <t>Magajwala, Vatsal (Research):</t>
        </r>
        <r>
          <rPr>
            <sz val="9"/>
            <color indexed="81"/>
            <rFont val="Tahoma"/>
            <family val="2"/>
          </rPr>
          <t xml:space="preserve">
Source: 1H23 Presentation
Page 16/32</t>
        </r>
      </text>
    </comment>
    <comment ref="AE7" authorId="0" shapeId="0" xr:uid="{E9A2FFE8-D43E-4DDC-ADC4-B04A64626DCC}">
      <text>
        <r>
          <rPr>
            <b/>
            <sz val="9"/>
            <color indexed="81"/>
            <rFont val="Tahoma"/>
            <family val="2"/>
          </rPr>
          <t>Law, Ross (Research):</t>
        </r>
        <r>
          <rPr>
            <sz val="9"/>
            <color indexed="81"/>
            <rFont val="Tahoma"/>
            <family val="2"/>
          </rPr>
          <t xml:space="preserve">
supported by both narrowbody and widebody programs and a low comparison basis in Q1 2023. Volumes were up for landing gears (A320neo, A350, 787), power and wiring (A320neo, 787), avionics (FADEC for LEAP) as well as nacelles (A330neo). Electrical systems deliveries were impacted by lower 737MAX shipsets. Revenue in Defense were up significantly, led by guidance systems, JIM multifunction infrared binoculars and optronics activities.</t>
        </r>
      </text>
    </comment>
    <comment ref="AG7" authorId="1" shapeId="0" xr:uid="{17976357-2712-4A02-8B72-F961B583AD0F}">
      <text>
        <r>
          <rPr>
            <b/>
            <sz val="9"/>
            <color indexed="81"/>
            <rFont val="Tahoma"/>
            <family val="2"/>
          </rPr>
          <t>Magajwala, Vatsal (Research):</t>
        </r>
        <r>
          <rPr>
            <sz val="9"/>
            <color indexed="81"/>
            <rFont val="Tahoma"/>
            <family val="2"/>
          </rPr>
          <t xml:space="preserve">
OE sales registered a 19.0% increase, driven by higher volumes in nacelles (A320neo, G700),electrical systems (787, A320neo) and avionics (Actuation Systems). In defense activities, substantial growth was fueled primarily by guidance systems. The growth momentum observed in the first half slightly slowed in Q3, in particular due to decreased demand from one airframer for equipment required at the start of the assembly line</t>
        </r>
      </text>
    </comment>
    <comment ref="AL7" authorId="1" shapeId="0" xr:uid="{405E9A7B-3885-45CB-A2D7-C1CA0C66EFB8}">
      <text>
        <r>
          <rPr>
            <b/>
            <sz val="9"/>
            <color indexed="81"/>
            <rFont val="Tahoma"/>
            <family val="2"/>
          </rPr>
          <t>Magajwala, Vatsal (Research):</t>
        </r>
        <r>
          <rPr>
            <sz val="9"/>
            <color indexed="81"/>
            <rFont val="Tahoma"/>
            <family val="2"/>
          </rPr>
          <t xml:space="preserve">
OE sales grew 18.3%, boosted by higher volumes in nacelles (G700 entry into service in H1, A320neo) and electrical systems (787 and A320neo). In defense activities, the substantial growth was primarily led by guidance systems, optronics and onboard systems.</t>
        </r>
      </text>
    </comment>
    <comment ref="AM7" authorId="1" shapeId="0" xr:uid="{AB4772E7-B197-4CA7-8209-30D2B94BE591}">
      <text>
        <r>
          <rPr>
            <b/>
            <sz val="9"/>
            <color indexed="81"/>
            <rFont val="Tahoma"/>
            <family val="2"/>
          </rPr>
          <t>Magajwala, Vatsal (Research):</t>
        </r>
        <r>
          <rPr>
            <sz val="9"/>
            <color indexed="81"/>
            <rFont val="Tahoma"/>
            <family val="2"/>
          </rPr>
          <t xml:space="preserve">
OE sales grew by 9.1%, supported by higher volumes in nacelles (G700, A320neo), avionics, defense (land systems, propulsion and guidance systems) and space activities (satellite communication systems).</t>
        </r>
      </text>
    </comment>
    <comment ref="W12" authorId="1" shapeId="0" xr:uid="{F0BC164F-6CED-4F18-A072-5C065EE88265}">
      <text>
        <r>
          <rPr>
            <b/>
            <sz val="9"/>
            <color indexed="81"/>
            <rFont val="Tahoma"/>
            <family val="2"/>
          </rPr>
          <t>Magajwala, Vatsal (Research):</t>
        </r>
        <r>
          <rPr>
            <sz val="9"/>
            <color indexed="81"/>
            <rFont val="Tahoma"/>
            <family val="2"/>
          </rPr>
          <t xml:space="preserve">
Services up +25% notably thanks to dynamics in nacelles, carbon brakes and aerosystems</t>
        </r>
      </text>
    </comment>
    <comment ref="Y12" authorId="1" shapeId="0" xr:uid="{6BDEF871-45DC-462C-8D01-3E4FA836F5B3}">
      <text>
        <r>
          <rPr>
            <b/>
            <sz val="9"/>
            <color indexed="81"/>
            <rFont val="Tahoma"/>
            <family val="2"/>
          </rPr>
          <t>Magajwala, Vatsal (Research):</t>
        </r>
        <r>
          <rPr>
            <sz val="9"/>
            <color indexed="81"/>
            <rFont val="Tahoma"/>
            <family val="2"/>
          </rPr>
          <t xml:space="preserve">
Services up +30% notably thanks to landing gear spares and MRO, carbon brakes and nacelles</t>
        </r>
      </text>
    </comment>
    <comment ref="AA12" authorId="1" shapeId="0" xr:uid="{ECF885CD-0C78-4A03-A5EE-B8A8E55CD444}">
      <text>
        <r>
          <rPr>
            <b/>
            <sz val="9"/>
            <color indexed="81"/>
            <rFont val="Tahoma"/>
            <family val="2"/>
          </rPr>
          <t>Magajwala, Vatsal (Research):</t>
        </r>
        <r>
          <rPr>
            <sz val="9"/>
            <color indexed="81"/>
            <rFont val="Tahoma"/>
            <family val="2"/>
          </rPr>
          <t xml:space="preserve">
Source: 1H23 Presentation
Page 16/32</t>
        </r>
      </text>
    </comment>
    <comment ref="AE12" authorId="1" shapeId="0" xr:uid="{9EC9DDCD-6B3B-48C7-A225-6BF241BDC13E}">
      <text>
        <r>
          <rPr>
            <b/>
            <sz val="9"/>
            <color indexed="81"/>
            <rFont val="Tahoma"/>
            <family val="2"/>
          </rPr>
          <t>Magajwala, Vatsal (Research):</t>
        </r>
        <r>
          <rPr>
            <sz val="9"/>
            <color indexed="81"/>
            <rFont val="Tahoma"/>
            <family val="2"/>
          </rPr>
          <t xml:space="preserve">
Taken from 1Q24 transcript
driven by a continuing positive trend in air traffic, grew in all businesses, in particular landing gears and nacelles.</t>
        </r>
      </text>
    </comment>
    <comment ref="AG12" authorId="1" shapeId="0" xr:uid="{D9E89613-7FEE-4717-AF9B-A116C0E4E880}">
      <text>
        <r>
          <rPr>
            <b/>
            <sz val="9"/>
            <color indexed="81"/>
            <rFont val="Tahoma"/>
            <family val="2"/>
          </rPr>
          <t>Magajwala, Vatsal (Research):</t>
        </r>
        <r>
          <rPr>
            <sz val="9"/>
            <color indexed="81"/>
            <rFont val="Tahoma"/>
            <family val="2"/>
          </rPr>
          <t xml:space="preserve">
Aftermarket services were up by 12.6%, with growth across all activities, notably in landing systems (carbon brakes) and to a lesser extent in electrical systems</t>
        </r>
      </text>
    </comment>
    <comment ref="AL12" authorId="1" shapeId="0" xr:uid="{5B88CC7A-08A0-4F8D-866F-AEE255405092}">
      <text>
        <r>
          <rPr>
            <b/>
            <sz val="9"/>
            <color indexed="81"/>
            <rFont val="Tahoma"/>
            <family val="2"/>
          </rPr>
          <t>Magajwala, Vatsal (Research):</t>
        </r>
        <r>
          <rPr>
            <sz val="9"/>
            <color indexed="81"/>
            <rFont val="Tahoma"/>
            <family val="2"/>
          </rPr>
          <t xml:space="preserve">
aftermarket services rose by 16.8% with growth across the board, particularly in landing systems, support for defense and avionics activities, and electrical &amp; power systems</t>
        </r>
      </text>
    </comment>
    <comment ref="AM12" authorId="1" shapeId="0" xr:uid="{4D097D23-923A-4233-986B-2295771C8D13}">
      <text>
        <r>
          <rPr>
            <b/>
            <sz val="9"/>
            <color indexed="81"/>
            <rFont val="Tahoma"/>
            <family val="2"/>
          </rPr>
          <t>Magajwala, Vatsal (Research):</t>
        </r>
        <r>
          <rPr>
            <sz val="9"/>
            <color indexed="81"/>
            <rFont val="Tahoma"/>
            <family val="2"/>
          </rPr>
          <t xml:space="preserve">
Aftermarket services rose by 13.2% with growth across all activities, notably in landing systems (spare parts for landing gears, wheels and brakes), and avionics.
</t>
        </r>
      </text>
    </comment>
    <comment ref="CI15" authorId="0" shapeId="0" xr:uid="{193EED64-DA26-428C-B31A-F941E683ED19}">
      <text>
        <r>
          <rPr>
            <b/>
            <sz val="9"/>
            <color indexed="81"/>
            <rFont val="Tahoma"/>
            <family val="2"/>
          </rPr>
          <t>Law, Ross (Research):</t>
        </r>
        <r>
          <rPr>
            <sz val="9"/>
            <color indexed="81"/>
            <rFont val="Tahoma"/>
            <family val="2"/>
          </rPr>
          <t xml:space="preserve">
CMD24: MSD-HSD</t>
        </r>
      </text>
    </comment>
    <comment ref="W18" authorId="0" shapeId="0" xr:uid="{68D0331C-462D-4ACA-9592-818516C0B05F}">
      <text>
        <r>
          <rPr>
            <b/>
            <sz val="9"/>
            <color indexed="81"/>
            <rFont val="Tahoma"/>
            <family val="2"/>
          </rPr>
          <t>Law, Ross (Research):</t>
        </r>
        <r>
          <rPr>
            <sz val="9"/>
            <color indexed="81"/>
            <rFont val="Tahoma"/>
            <family val="2"/>
          </rPr>
          <t xml:space="preserve">
Disposal of Arresting Systems in June 2022 and of Pioneer Aerospace in April 2022
Acquisition of Orolia in July 2022</t>
        </r>
      </text>
    </comment>
    <comment ref="Z18" authorId="0" shapeId="0" xr:uid="{06A5ACA1-D0F8-4841-8516-50BA941C8E46}">
      <text>
        <r>
          <rPr>
            <b/>
            <sz val="9"/>
            <color indexed="81"/>
            <rFont val="Tahoma"/>
            <family val="2"/>
          </rPr>
          <t>Law, Ross (Research):</t>
        </r>
        <r>
          <rPr>
            <sz val="9"/>
            <color indexed="81"/>
            <rFont val="Tahoma"/>
            <family val="2"/>
          </rPr>
          <t xml:space="preserve">
Acquisition of Thales Aeronautical Electrical Systems</t>
        </r>
      </text>
    </comment>
    <comment ref="AA18" authorId="0" shapeId="0" xr:uid="{F0E87789-0BA4-4F01-A61D-AD1E2386D3E5}">
      <text>
        <r>
          <rPr>
            <b/>
            <sz val="9"/>
            <color indexed="81"/>
            <rFont val="Tahoma"/>
            <family val="2"/>
          </rPr>
          <t>Law, Ross (Research):</t>
        </r>
        <r>
          <rPr>
            <sz val="9"/>
            <color indexed="81"/>
            <rFont val="Tahoma"/>
            <family val="2"/>
          </rPr>
          <t xml:space="preserve">
Disposal of Arresting Systems in June 2022 and Pioneer Aerospace in April 2022
Acquisition of of Orolia in July 2022</t>
        </r>
      </text>
    </comment>
    <comment ref="AE18" authorId="0" shapeId="0" xr:uid="{B3039049-2EC5-4578-B728-0D16DF1E6509}">
      <text>
        <r>
          <rPr>
            <b/>
            <sz val="9"/>
            <color indexed="81"/>
            <rFont val="Tahoma"/>
            <family val="2"/>
          </rPr>
          <t>Law, Ross (Research):</t>
        </r>
        <r>
          <rPr>
            <sz val="9"/>
            <color indexed="81"/>
            <rFont val="Tahoma"/>
            <family val="2"/>
          </rPr>
          <t xml:space="preserve">
9M contribution from acquisition of Thales Aeronautical Electrical Systems</t>
        </r>
      </text>
    </comment>
    <comment ref="AF18" authorId="0" shapeId="0" xr:uid="{BD340A17-3931-4837-BCCF-C3E06D336372}">
      <text>
        <r>
          <rPr>
            <b/>
            <sz val="9"/>
            <color indexed="81"/>
            <rFont val="Tahoma"/>
            <family val="2"/>
          </rPr>
          <t>Law, Ross (Research):</t>
        </r>
        <r>
          <rPr>
            <sz val="9"/>
            <color indexed="81"/>
            <rFont val="Tahoma"/>
            <family val="2"/>
          </rPr>
          <t xml:space="preserve">
9M contribution from acquisition of Thales Aeronautical Electrical Systems</t>
        </r>
      </text>
    </comment>
    <comment ref="AG18" authorId="0" shapeId="0" xr:uid="{B91E3AF2-FC89-4B63-A6AC-F81546758DA6}">
      <text>
        <r>
          <rPr>
            <b/>
            <sz val="9"/>
            <color indexed="81"/>
            <rFont val="Tahoma"/>
            <family val="2"/>
          </rPr>
          <t>Law, Ross (Research):</t>
        </r>
        <r>
          <rPr>
            <sz val="9"/>
            <color indexed="81"/>
            <rFont val="Tahoma"/>
            <family val="2"/>
          </rPr>
          <t xml:space="preserve">
9M contribution from acquisition of Thales Aeronautical Electrical Systems</t>
        </r>
      </text>
    </comment>
    <comment ref="AI18" authorId="0" shapeId="0" xr:uid="{C1091820-AAC9-4DA5-92C1-92D1C71860E9}">
      <text>
        <r>
          <rPr>
            <b/>
            <sz val="9"/>
            <color indexed="81"/>
            <rFont val="Tahoma"/>
            <family val="2"/>
          </rPr>
          <t>Law, Ross (Research):</t>
        </r>
        <r>
          <rPr>
            <sz val="9"/>
            <color indexed="81"/>
            <rFont val="Tahoma"/>
            <family val="2"/>
          </rPr>
          <t xml:space="preserve">
9M contribution from acquisition of Thales Aeronautical Electrical Systems
Plus contribution from Air Liquide </t>
        </r>
      </text>
    </comment>
    <comment ref="AL18" authorId="0" shapeId="0" xr:uid="{F94C6239-A1D8-42D8-B293-028999D7C0B7}">
      <text>
        <r>
          <rPr>
            <b/>
            <sz val="9"/>
            <color indexed="81"/>
            <rFont val="Tahoma"/>
            <family val="2"/>
          </rPr>
          <t>Law, Ross (Research):</t>
        </r>
        <r>
          <rPr>
            <sz val="9"/>
            <color indexed="81"/>
            <rFont val="Tahoma"/>
            <family val="2"/>
          </rPr>
          <t xml:space="preserve">
9M contribution from acquisition of Thales Aeronautical Electrical Systems = 130
10M contribiution from Air Liquide = 50
Does not include acquisition of RTX's actuation and flight control business - expected to generate sales of $1.5bn and EBITDA of $130m (margin 8.7%) in 2024.</t>
        </r>
      </text>
    </comment>
    <comment ref="AY18" authorId="0" shapeId="0" xr:uid="{9D9A8300-901C-4DE5-BF57-3EABFEF0605B}">
      <text>
        <r>
          <rPr>
            <b/>
            <sz val="9"/>
            <color indexed="81"/>
            <rFont val="Tahoma"/>
            <family val="2"/>
          </rPr>
          <t>Law, Ross (Research):</t>
        </r>
        <r>
          <rPr>
            <sz val="9"/>
            <color indexed="81"/>
            <rFont val="Tahoma"/>
            <family val="2"/>
          </rPr>
          <t xml:space="preserve">
Mostly Collins (closed 21 July 2025).</t>
        </r>
      </text>
    </comment>
    <comment ref="BB18" authorId="0" shapeId="0" xr:uid="{DBD4D3FE-CFEB-47D2-BCAD-25D9B54F3A67}">
      <text>
        <r>
          <rPr>
            <b/>
            <sz val="9"/>
            <color indexed="81"/>
            <rFont val="Tahoma"/>
            <family val="2"/>
          </rPr>
          <t>Law, Ross (Research):</t>
        </r>
        <r>
          <rPr>
            <sz val="9"/>
            <color indexed="81"/>
            <rFont val="Tahoma"/>
            <family val="2"/>
          </rPr>
          <t xml:space="preserve">
Collins contribution for 7M (closed 21 July 2025).
H2 mostly transfer of transfer of SVS (Safran Ventilation Systems) to Equipment (revs &lt;200m). Assume -175 </t>
        </r>
      </text>
    </comment>
    <comment ref="AI22" authorId="0" shapeId="0" xr:uid="{853F7B9A-7FD8-462E-9D43-A5BE537F11C3}">
      <text>
        <r>
          <rPr>
            <b/>
            <sz val="9"/>
            <color indexed="81"/>
            <rFont val="Tahoma"/>
            <family val="2"/>
          </rPr>
          <t>Law, Ross (Research):</t>
        </r>
        <r>
          <rPr>
            <sz val="9"/>
            <color indexed="81"/>
            <rFont val="Tahoma"/>
            <family val="2"/>
          </rPr>
          <t xml:space="preserve">
Driven by carbon brakes and nacelles</t>
        </r>
      </text>
    </comment>
    <comment ref="AL22" authorId="0" shapeId="0" xr:uid="{8F9E5355-FE39-4E21-9DCC-679D0F6FED9D}">
      <text>
        <r>
          <rPr>
            <b/>
            <sz val="9"/>
            <color indexed="81"/>
            <rFont val="Tahoma"/>
            <family val="2"/>
          </rPr>
          <t>Law, Ross (Research):</t>
        </r>
        <r>
          <rPr>
            <sz val="9"/>
            <color indexed="81"/>
            <rFont val="Tahoma"/>
            <family val="2"/>
          </rPr>
          <t xml:space="preserve">
1H24: may exceed initial expectations (+100bp yoy) due to strong H1 performance, particularly in carbon brakes and nacelles services
</t>
        </r>
        <r>
          <rPr>
            <b/>
            <sz val="9"/>
            <color indexed="81"/>
            <rFont val="Tahoma"/>
            <family val="2"/>
          </rPr>
          <t>Magajwala, Vatsal (Research):</t>
        </r>
        <r>
          <rPr>
            <sz val="9"/>
            <color indexed="81"/>
            <rFont val="Tahoma"/>
            <family val="2"/>
          </rPr>
          <t xml:space="preserve">
At 12.2% of sales, operating margin increased by 1.0pt driven by increased OE volumes, particularly in nacelles and Defense activities, as well as growth in services, notably landing gear and carbon brakes. Both OE and services for Aerosystems contributed positively, thanks to Fluid and Fuel systems and Safety systems</t>
        </r>
      </text>
    </comment>
    <comment ref="BB22" authorId="0" shapeId="0" xr:uid="{94806160-9338-4F7E-BD73-64F5D12C6AB3}">
      <text>
        <r>
          <rPr>
            <b/>
            <sz val="9"/>
            <color indexed="81"/>
            <rFont val="Tahoma"/>
            <family val="2"/>
          </rPr>
          <t>Law, Ross (Research):</t>
        </r>
        <r>
          <rPr>
            <sz val="9"/>
            <color indexed="81"/>
            <rFont val="Tahoma"/>
            <family val="2"/>
          </rPr>
          <t xml:space="preserve">
1H25: expect to beat +50bp yoy
FY25: +50bp yoy</t>
        </r>
      </text>
    </comment>
    <comment ref="BR22" authorId="0" shapeId="0" xr:uid="{996D702E-2108-40F7-9E78-21632516DB5D}">
      <text>
        <r>
          <rPr>
            <b/>
            <sz val="9"/>
            <color indexed="81"/>
            <rFont val="Tahoma"/>
            <family val="2"/>
          </rPr>
          <t>Law, Ross (Research):</t>
        </r>
        <r>
          <rPr>
            <sz val="9"/>
            <color indexed="81"/>
            <rFont val="Tahoma"/>
            <family val="2"/>
          </rPr>
          <t xml:space="preserve">
FY25: mid teens
CMD24: mid teens</t>
        </r>
      </text>
    </comment>
    <comment ref="T30" authorId="2" shapeId="0" xr:uid="{C01BD548-E55D-4328-BFA8-8A2A5482934C}">
      <text>
        <r>
          <rPr>
            <b/>
            <sz val="9"/>
            <color indexed="81"/>
            <rFont val="Tahoma"/>
            <family val="2"/>
          </rPr>
          <t>Nicolas, Alexane (Research):</t>
        </r>
        <r>
          <rPr>
            <sz val="9"/>
            <color indexed="81"/>
            <rFont val="Tahoma"/>
            <family val="2"/>
          </rPr>
          <t xml:space="preserve">
Decrease to 0.6*2019 Capex</t>
        </r>
      </text>
    </comment>
    <comment ref="Q327" authorId="3" shapeId="0" xr:uid="{812A5305-2E2D-427C-9A38-D9D8808765E9}">
      <text>
        <r>
          <rPr>
            <b/>
            <sz val="9"/>
            <color indexed="81"/>
            <rFont val="Tahoma"/>
            <family val="2"/>
          </rPr>
          <t>Ayoola, Joseph (Research):</t>
        </r>
        <r>
          <rPr>
            <sz val="9"/>
            <color indexed="81"/>
            <rFont val="Tahoma"/>
            <family val="2"/>
          </rPr>
          <t xml:space="preserve">
5.6% organic</t>
        </r>
      </text>
    </comment>
    <comment ref="H335" authorId="4" shapeId="0" xr:uid="{740587DB-6880-4158-8B17-AB02512404E1}">
      <text>
        <r>
          <rPr>
            <b/>
            <sz val="8"/>
            <color indexed="81"/>
            <rFont val="Tahoma"/>
            <family val="2"/>
          </rPr>
          <t>vigrupi:</t>
        </r>
        <r>
          <rPr>
            <sz val="8"/>
            <color indexed="81"/>
            <rFont val="Tahoma"/>
            <family val="2"/>
          </rPr>
          <t xml:space="preserve">
page 7 </t>
        </r>
      </text>
    </comment>
    <comment ref="N365" authorId="5" shapeId="0" xr:uid="{399A0FD1-3383-42CA-A2C5-3CF96CF6B0D1}">
      <text>
        <r>
          <rPr>
            <b/>
            <sz val="8"/>
            <color indexed="81"/>
            <rFont val="Tahoma"/>
            <family val="2"/>
          </rPr>
          <t>Humphrey, Andrew (Research):</t>
        </r>
        <r>
          <rPr>
            <sz val="8"/>
            <color indexed="81"/>
            <rFont val="Tahoma"/>
            <family val="2"/>
          </rPr>
          <t xml:space="preserve">
Adjusts for segment goodwill</t>
        </r>
      </text>
    </comment>
    <comment ref="L393" authorId="3" shapeId="0" xr:uid="{F657481D-A9DE-49E0-9F06-17D2546CBACF}">
      <text>
        <r>
          <rPr>
            <b/>
            <sz val="9"/>
            <color indexed="81"/>
            <rFont val="Tahoma"/>
            <family val="2"/>
          </rPr>
          <t>Ayoola, Joseph (Research):</t>
        </r>
        <r>
          <rPr>
            <sz val="9"/>
            <color indexed="81"/>
            <rFont val="Tahoma"/>
            <family val="2"/>
          </rPr>
          <t xml:space="preserve">
disposal of Globe Motors Inc. in 2013</t>
        </r>
      </text>
    </comment>
    <comment ref="M437" authorId="6" shapeId="0" xr:uid="{791A0DC2-823F-496C-8F86-8A839D07E450}">
      <text>
        <r>
          <rPr>
            <b/>
            <sz val="8"/>
            <color indexed="81"/>
            <rFont val="Tahoma"/>
            <family val="2"/>
          </rPr>
          <t>Rowbotham, Jaime (Research):</t>
        </r>
        <r>
          <rPr>
            <sz val="8"/>
            <color indexed="81"/>
            <rFont val="Tahoma"/>
            <family val="2"/>
          </rPr>
          <t xml:space="preserve">
declining OE - A330 thrust reversers, A380 nacelle, A350 is the exception but small</t>
        </r>
      </text>
    </comment>
    <comment ref="M438" authorId="6" shapeId="0" xr:uid="{3FB368FE-FD9F-44C8-8761-6679C9566382}">
      <text>
        <r>
          <rPr>
            <b/>
            <sz val="8"/>
            <color indexed="81"/>
            <rFont val="Tahoma"/>
            <family val="2"/>
          </rPr>
          <t>Rowbotham, Jaime (Research):</t>
        </r>
        <r>
          <rPr>
            <sz val="8"/>
            <color indexed="81"/>
            <rFont val="Tahoma"/>
            <family val="2"/>
          </rPr>
          <t xml:space="preserve">
growth in landing gear and carbon brakes, 24% in 3Q15 in €</t>
        </r>
      </text>
    </comment>
    <comment ref="L440" authorId="6" shapeId="0" xr:uid="{FEEBF13A-84AD-4378-8534-7DF1B75D6A2F}">
      <text>
        <r>
          <rPr>
            <b/>
            <sz val="8"/>
            <color indexed="81"/>
            <rFont val="Tahoma"/>
            <family val="2"/>
          </rPr>
          <t>Rowbotham, Jaime (Research):</t>
        </r>
        <r>
          <rPr>
            <sz val="8"/>
            <color indexed="81"/>
            <rFont val="Tahoma"/>
            <family val="2"/>
          </rPr>
          <t xml:space="preserve">
organic growth per slide 25 of 2014 FY results presentation, driven by increased OE deliveries (787, A380, A350) as well as momentim on AM services</t>
        </r>
      </text>
    </comment>
    <comment ref="A473" authorId="4" shapeId="0" xr:uid="{2075D5C9-BC0D-4EF3-9AB6-FC2F8F6C8B89}">
      <text>
        <r>
          <rPr>
            <b/>
            <sz val="8"/>
            <color indexed="81"/>
            <rFont val="Tahoma"/>
            <family val="2"/>
          </rPr>
          <t>vigrupi:</t>
        </r>
        <r>
          <rPr>
            <sz val="8"/>
            <color indexed="81"/>
            <rFont val="Tahoma"/>
            <family val="2"/>
          </rPr>
          <t xml:space="preserve">
The Defence segment includes all businesses serving naval, land and aviation defence industries. The Group designs, develops, manufactures and markets optronic, avionic and electronic solutions and services, and critical software for civil and defence applications.</t>
        </r>
      </text>
    </comment>
    <comment ref="A474" authorId="4" shapeId="0" xr:uid="{E918A0E0-0140-42E2-A469-A252C9F6FCBF}">
      <text>
        <r>
          <rPr>
            <b/>
            <sz val="8"/>
            <color indexed="81"/>
            <rFont val="Tahoma"/>
            <family val="2"/>
          </rPr>
          <t>vigrupi:</t>
        </r>
        <r>
          <rPr>
            <sz val="8"/>
            <color indexed="81"/>
            <rFont val="Tahoma"/>
            <family val="2"/>
          </rPr>
          <t xml:space="preserve">
The Security segment includes a suite of solutions developed to increase the safety and security of travel, critical infrastructure, electronic transactions and individuals. </t>
        </r>
      </text>
    </comment>
    <comment ref="I476" authorId="4" shapeId="0" xr:uid="{AF46BE95-3DBB-4401-8FE2-EA54973B320D}">
      <text>
        <r>
          <rPr>
            <b/>
            <sz val="8"/>
            <color indexed="81"/>
            <rFont val="Tahoma"/>
            <family val="2"/>
          </rPr>
          <t>vigrupi:</t>
        </r>
        <r>
          <rPr>
            <sz val="8"/>
            <color indexed="81"/>
            <rFont val="Tahoma"/>
            <family val="2"/>
          </rPr>
          <t xml:space="preserve">
includes 5months of L-1 - which equates to 210mm USD of revenue and 25mmm USD of EBIT</t>
        </r>
      </text>
    </comment>
    <comment ref="T480" authorId="5" shapeId="0" xr:uid="{85A4AFAB-B4BC-4ED4-A54F-CC5C878A9C85}">
      <text>
        <r>
          <rPr>
            <b/>
            <sz val="8"/>
            <color indexed="81"/>
            <rFont val="Tahoma"/>
            <family val="2"/>
          </rPr>
          <t>Humphrey, Andrew (Research):</t>
        </r>
        <r>
          <rPr>
            <sz val="8"/>
            <color indexed="81"/>
            <rFont val="Tahoma"/>
            <family val="2"/>
          </rPr>
          <t xml:space="preserve">
10% is LT target for company</t>
        </r>
      </text>
    </comment>
    <comment ref="G482" authorId="7" shapeId="0" xr:uid="{6C4664EB-380D-436F-A8F9-571971B7AA3B}">
      <text>
        <r>
          <rPr>
            <b/>
            <sz val="8"/>
            <color indexed="81"/>
            <rFont val="Tahoma"/>
            <family val="2"/>
          </rPr>
          <t>ovunco:</t>
        </r>
        <r>
          <rPr>
            <sz val="8"/>
            <color indexed="81"/>
            <rFont val="Tahoma"/>
            <family val="2"/>
          </rPr>
          <t xml:space="preserve">
As per FY10 results, restated to neutralize €25 million in amortization charges on intangible assets and €6 million on changes in inventories in profit from operations, and the related tax benefit (€10 million).</t>
        </r>
      </text>
    </comment>
    <comment ref="T486" authorId="5" shapeId="0" xr:uid="{E1D16F6E-9749-4745-8EBD-5C92E124D517}">
      <text>
        <r>
          <rPr>
            <b/>
            <sz val="8"/>
            <color indexed="81"/>
            <rFont val="Tahoma"/>
            <family val="2"/>
          </rPr>
          <t>Humphrey, Andrew (Research):</t>
        </r>
        <r>
          <rPr>
            <sz val="8"/>
            <color indexed="81"/>
            <rFont val="Tahoma"/>
            <family val="2"/>
          </rPr>
          <t xml:space="preserve">
10% is LT target for company</t>
        </r>
      </text>
    </comment>
    <comment ref="F488" authorId="4" shapeId="0" xr:uid="{609CB3C0-E97E-4DF0-87E3-DE91E8DA5D0D}">
      <text>
        <r>
          <rPr>
            <b/>
            <sz val="8"/>
            <color indexed="81"/>
            <rFont val="Tahoma"/>
            <family val="2"/>
          </rPr>
          <t>vigrupi:</t>
        </r>
        <r>
          <rPr>
            <sz val="8"/>
            <color indexed="81"/>
            <rFont val="Tahoma"/>
            <family val="2"/>
          </rPr>
          <t xml:space="preserve">
Gain from Ingenico sale in the Security segment</t>
        </r>
      </text>
    </comment>
    <comment ref="H488" authorId="4" shapeId="0" xr:uid="{C692A606-C035-4FEC-BD6B-00CFB8FABC8B}">
      <text>
        <r>
          <rPr>
            <b/>
            <sz val="8"/>
            <color indexed="81"/>
            <rFont val="Tahoma"/>
            <family val="2"/>
          </rPr>
          <t>vigrupi:</t>
        </r>
        <r>
          <rPr>
            <sz val="8"/>
            <color indexed="81"/>
            <rFont val="Tahoma"/>
            <family val="2"/>
          </rPr>
          <t xml:space="preserve">
page 7</t>
        </r>
      </text>
    </comment>
    <comment ref="M557" authorId="3" shapeId="0" xr:uid="{8759C68D-129E-4262-86E5-6EB2038063F7}">
      <text>
        <r>
          <rPr>
            <b/>
            <sz val="9"/>
            <color indexed="81"/>
            <rFont val="Tahoma"/>
            <family val="2"/>
          </rPr>
          <t>Ayoola, Joseph (Research):</t>
        </r>
        <r>
          <rPr>
            <sz val="9"/>
            <color indexed="81"/>
            <rFont val="Tahoma"/>
            <family val="2"/>
          </rPr>
          <t xml:space="preserve">
-1.6% organic</t>
        </r>
      </text>
    </comment>
    <comment ref="I561" authorId="4" shapeId="0" xr:uid="{2A4FAB38-8483-4A06-8DE6-A440139B759E}">
      <text>
        <r>
          <rPr>
            <b/>
            <sz val="8"/>
            <color indexed="81"/>
            <rFont val="Tahoma"/>
            <family val="2"/>
          </rPr>
          <t>vigrupi:</t>
        </r>
        <r>
          <rPr>
            <sz val="8"/>
            <color indexed="81"/>
            <rFont val="Tahoma"/>
            <family val="2"/>
          </rPr>
          <t xml:space="preserve">
M&amp;A impact - acquisition of L1; 2 quarters of consolidation (EUR130m in sales and EUR6m in EBIT)
</t>
        </r>
      </text>
    </comment>
    <comment ref="J561" authorId="4" shapeId="0" xr:uid="{534AE8B8-968B-48B3-90B5-18BDBFCAA754}">
      <text>
        <r>
          <rPr>
            <b/>
            <sz val="8"/>
            <color indexed="81"/>
            <rFont val="Tahoma"/>
            <family val="2"/>
          </rPr>
          <t>vigrupi:</t>
        </r>
        <r>
          <rPr>
            <sz val="8"/>
            <color indexed="81"/>
            <rFont val="Tahoma"/>
            <family val="2"/>
          </rPr>
          <t xml:space="preserve">
Organic revenue up 2%</t>
        </r>
      </text>
    </comment>
    <comment ref="M561" authorId="3" shapeId="0" xr:uid="{1BAC0EF3-E1F8-438D-AC4E-440CAAA8E211}">
      <text>
        <r>
          <rPr>
            <b/>
            <sz val="9"/>
            <color indexed="81"/>
            <rFont val="Tahoma"/>
            <family val="2"/>
          </rPr>
          <t>Ayoola, Joseph (Research):</t>
        </r>
        <r>
          <rPr>
            <sz val="9"/>
            <color indexed="81"/>
            <rFont val="Tahoma"/>
            <family val="2"/>
          </rPr>
          <t xml:space="preserve">
11% organic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Ayoola, Joseph (Research)</author>
    <author>Law, Ross (Research)</author>
    <author>Magajwala, Vatsal (Research)</author>
    <author>Nicolas, Alexane (Research)</author>
  </authors>
  <commentList>
    <comment ref="E6" authorId="0" shapeId="0" xr:uid="{C883DDD3-7D9D-4CF8-950A-C9CE00B697C2}">
      <text>
        <r>
          <rPr>
            <b/>
            <sz val="9"/>
            <color indexed="81"/>
            <rFont val="Tahoma"/>
            <family val="2"/>
          </rPr>
          <t>Ayoola, Joseph (Research):</t>
        </r>
        <r>
          <rPr>
            <sz val="9"/>
            <color indexed="81"/>
            <rFont val="Tahoma"/>
            <family val="2"/>
          </rPr>
          <t xml:space="preserve">
discretionary retrofit included here</t>
        </r>
      </text>
    </comment>
    <comment ref="L6" authorId="1" shapeId="0" xr:uid="{56FC0250-991C-4BCF-8C67-79E525AF9770}">
      <text>
        <r>
          <rPr>
            <b/>
            <sz val="9"/>
            <color indexed="81"/>
            <rFont val="Tahoma"/>
            <family val="2"/>
          </rPr>
          <t>Law, Ross (Research):</t>
        </r>
        <r>
          <rPr>
            <sz val="9"/>
            <color indexed="81"/>
            <rFont val="Tahoma"/>
            <family val="2"/>
          </rPr>
          <t xml:space="preserve">
Source: 1H24 presentation slide 17</t>
        </r>
      </text>
    </comment>
    <comment ref="P6" authorId="2" shapeId="0" xr:uid="{41F48496-4947-4ABB-B726-ADE6BC296239}">
      <text>
        <r>
          <rPr>
            <b/>
            <sz val="9"/>
            <color indexed="81"/>
            <rFont val="Tahoma"/>
            <family val="2"/>
          </rPr>
          <t>Magajwala, Vatsal (Research):</t>
        </r>
        <r>
          <rPr>
            <sz val="9"/>
            <color indexed="81"/>
            <rFont val="Tahoma"/>
            <family val="2"/>
          </rPr>
          <t xml:space="preserve">
Source: 1Q24 transcript
OE sales improved thanks to Cabin (Custom Cabin and galleys) and, to a lesser extent, to Seats. Business class seat deliveries were down to 242 units from 324 in Q1 2023.</t>
        </r>
      </text>
    </comment>
    <comment ref="R6" authorId="2" shapeId="0" xr:uid="{1208B916-0866-4EAF-93F2-4CDB91D9EFB9}">
      <text>
        <r>
          <rPr>
            <b/>
            <sz val="9"/>
            <color indexed="81"/>
            <rFont val="Tahoma"/>
            <family val="2"/>
          </rPr>
          <t>Magajwala, Vatsal (Research):</t>
        </r>
        <r>
          <rPr>
            <sz val="9"/>
            <color indexed="81"/>
            <rFont val="Tahoma"/>
            <family val="2"/>
          </rPr>
          <t xml:space="preserve">
OE sales growth (+30.2%) is mainly attributed to Seats with a significant increase in business class seat deliveries (592 units in Q3 2024 vs. 174 in Q3 2023 and 508 in Q2 2024). Additionally, Safran Passenger Innovations (IFE) contributed with an increase in entertainment system deliveries to airlines</t>
        </r>
      </text>
    </comment>
    <comment ref="W6" authorId="2" shapeId="0" xr:uid="{0C357F29-1D74-454E-A2D3-3DD4C75CFBC4}">
      <text>
        <r>
          <rPr>
            <b/>
            <sz val="9"/>
            <color indexed="81"/>
            <rFont val="Tahoma"/>
            <family val="2"/>
          </rPr>
          <t>Magajwala, Vatsal (Research):</t>
        </r>
        <r>
          <rPr>
            <sz val="9"/>
            <color indexed="81"/>
            <rFont val="Tahoma"/>
            <family val="2"/>
          </rPr>
          <t xml:space="preserve">
OE sales growth of 24.5% is primarily attributed to Seats, with a significant increase in Business class seat deliveries (2,482 units in 2024 vs 983 in 2023).</t>
        </r>
      </text>
    </comment>
    <comment ref="X6" authorId="2" shapeId="0" xr:uid="{2E27F645-7B40-4925-91CD-1753F7BF1CCB}">
      <text>
        <r>
          <rPr>
            <b/>
            <sz val="9"/>
            <color indexed="81"/>
            <rFont val="Tahoma"/>
            <family val="2"/>
          </rPr>
          <t>Magajwala, Vatsal (Research):</t>
        </r>
        <r>
          <rPr>
            <sz val="9"/>
            <color indexed="81"/>
            <rFont val="Tahoma"/>
            <family val="2"/>
          </rPr>
          <t xml:space="preserve">
OE sales grew by 11.5% led by Seats activities, with a significant increase in Business class seat
deliveries (704 units in Q1 2025 vs 242 in Q1 2024).</t>
        </r>
      </text>
    </comment>
    <comment ref="BT9" authorId="1" shapeId="0" xr:uid="{7F75D423-7EE3-46EB-B3FF-2B3A9785C802}">
      <text>
        <r>
          <rPr>
            <b/>
            <sz val="9"/>
            <color indexed="81"/>
            <rFont val="Tahoma"/>
            <family val="2"/>
          </rPr>
          <t>Law, Ross (Research):</t>
        </r>
        <r>
          <rPr>
            <sz val="9"/>
            <color indexed="81"/>
            <rFont val="Tahoma"/>
            <family val="2"/>
          </rPr>
          <t xml:space="preserve">
CMD 21: AM cx2.5 by 2025</t>
        </r>
      </text>
    </comment>
    <comment ref="E11" authorId="0" shapeId="0" xr:uid="{98E3176C-3D14-4028-AF16-BB5FD4AD69EF}">
      <text>
        <r>
          <rPr>
            <b/>
            <sz val="9"/>
            <color indexed="81"/>
            <rFont val="Tahoma"/>
            <family val="2"/>
          </rPr>
          <t>Ayoola, Joseph (Research):</t>
        </r>
        <r>
          <rPr>
            <sz val="9"/>
            <color indexed="81"/>
            <rFont val="Tahoma"/>
            <family val="2"/>
          </rPr>
          <t xml:space="preserve">
assume bigger hit, as discretionary</t>
        </r>
      </text>
    </comment>
    <comment ref="H11" authorId="1" shapeId="0" xr:uid="{4247D1CF-0FFD-4C43-BFC5-D4FADDB19F59}">
      <text>
        <r>
          <rPr>
            <b/>
            <sz val="9"/>
            <color indexed="81"/>
            <rFont val="Tahoma"/>
            <family val="2"/>
          </rPr>
          <t>Law, Ross (Research):</t>
        </r>
        <r>
          <rPr>
            <sz val="9"/>
            <color indexed="81"/>
            <rFont val="Tahoma"/>
            <family val="2"/>
          </rPr>
          <t xml:space="preserve">
Service revnues up 51% organically driven by Seats spare parts and by Cabin</t>
        </r>
      </text>
    </comment>
    <comment ref="L11" authorId="1" shapeId="0" xr:uid="{BD6A4181-1662-4DAD-B5FC-1368F964CF8E}">
      <text>
        <r>
          <rPr>
            <b/>
            <sz val="9"/>
            <color indexed="81"/>
            <rFont val="Tahoma"/>
            <family val="2"/>
          </rPr>
          <t>Law, Ross (Research):</t>
        </r>
        <r>
          <rPr>
            <sz val="9"/>
            <color indexed="81"/>
            <rFont val="Tahoma"/>
            <family val="2"/>
          </rPr>
          <t xml:space="preserve">
Source: 1H24 presentation slide 17</t>
        </r>
      </text>
    </comment>
    <comment ref="P11" authorId="2" shapeId="0" xr:uid="{909BF7BB-3BB3-4E82-83C5-A03642D18C78}">
      <text>
        <r>
          <rPr>
            <b/>
            <sz val="9"/>
            <color indexed="81"/>
            <rFont val="Tahoma"/>
            <family val="2"/>
          </rPr>
          <t>Magajwala, Vatsal (Research):</t>
        </r>
        <r>
          <rPr>
            <sz val="9"/>
            <color indexed="81"/>
            <rFont val="Tahoma"/>
            <family val="2"/>
          </rPr>
          <t xml:space="preserve">
Source: 1Q24 transcript
Driven by all activities, mainly seats.</t>
        </r>
      </text>
    </comment>
    <comment ref="R11" authorId="2" shapeId="0" xr:uid="{6309969A-0B21-483F-974B-9514C5E00E93}">
      <text>
        <r>
          <rPr>
            <b/>
            <sz val="9"/>
            <color indexed="81"/>
            <rFont val="Tahoma"/>
            <family val="2"/>
          </rPr>
          <t>Magajwala, Vatsal (Research):</t>
        </r>
        <r>
          <rPr>
            <sz val="9"/>
            <color indexed="81"/>
            <rFont val="Tahoma"/>
            <family val="2"/>
          </rPr>
          <t xml:space="preserve">
Aftermarket activities (+25.4%) were robust in both Cabin (primarily spare parts) and Seats (notably with Asian and Middle East airlines), driven by the recovery of the widebody market</t>
        </r>
      </text>
    </comment>
    <comment ref="W11" authorId="2" shapeId="0" xr:uid="{8571F19B-130A-4A0D-8426-D4E675EED465}">
      <text>
        <r>
          <rPr>
            <b/>
            <sz val="9"/>
            <color indexed="81"/>
            <rFont val="Tahoma"/>
            <family val="2"/>
          </rPr>
          <t>Magajwala, Vatsal (Research):</t>
        </r>
        <r>
          <rPr>
            <sz val="9"/>
            <color indexed="81"/>
            <rFont val="Tahoma"/>
            <family val="2"/>
          </rPr>
          <t xml:space="preserve">
Aftermarket activities grew by 26.3% driven by both Cabin and Seats (mainly spare parts).</t>
        </r>
      </text>
    </comment>
    <comment ref="X11" authorId="2" shapeId="0" xr:uid="{9284EBA0-1747-4C02-88FC-3E58DDC0853E}">
      <text>
        <r>
          <rPr>
            <b/>
            <sz val="9"/>
            <color indexed="81"/>
            <rFont val="Tahoma"/>
            <family val="2"/>
          </rPr>
          <t>Magajwala, Vatsal (Research):</t>
        </r>
        <r>
          <rPr>
            <sz val="9"/>
            <color indexed="81"/>
            <rFont val="Tahoma"/>
            <family val="2"/>
          </rPr>
          <t xml:space="preserve">
Aftermarket activities grew by 17.4%, mostly driven by Cabin (primarily spare parts), with
progression of spares on Seats.</t>
        </r>
      </text>
    </comment>
    <comment ref="R14" authorId="1" shapeId="0" xr:uid="{73E7CA8C-A005-4135-B4B7-A20C2B4FFBDD}">
      <text>
        <r>
          <rPr>
            <b/>
            <sz val="9"/>
            <color indexed="81"/>
            <rFont val="Tahoma"/>
            <family val="2"/>
          </rPr>
          <t>Law, Ross (Research):</t>
        </r>
        <r>
          <rPr>
            <sz val="9"/>
            <color indexed="81"/>
            <rFont val="Tahoma"/>
            <family val="2"/>
          </rPr>
          <t xml:space="preserve">
071024: Growing sequentially despite supply chain headwinds</t>
        </r>
      </text>
    </comment>
    <comment ref="BT14" authorId="1" shapeId="0" xr:uid="{AA9002EB-F270-425C-8817-D98839017EEA}">
      <text>
        <r>
          <rPr>
            <b/>
            <sz val="9"/>
            <color indexed="81"/>
            <rFont val="Tahoma"/>
            <family val="2"/>
          </rPr>
          <t>Law, Ross (Research):</t>
        </r>
        <r>
          <rPr>
            <sz val="9"/>
            <color indexed="81"/>
            <rFont val="Tahoma"/>
            <family val="2"/>
          </rPr>
          <t xml:space="preserve">
CMD24: HSD</t>
        </r>
      </text>
    </comment>
    <comment ref="P17" authorId="1" shapeId="0" xr:uid="{51E39D59-33C2-4865-B7BF-24433A46E8C1}">
      <text>
        <r>
          <rPr>
            <b/>
            <sz val="9"/>
            <color indexed="81"/>
            <rFont val="Tahoma"/>
            <family val="2"/>
          </rPr>
          <t>Law, Ross (Research):</t>
        </r>
        <r>
          <rPr>
            <sz val="9"/>
            <color indexed="81"/>
            <rFont val="Tahoma"/>
            <family val="2"/>
          </rPr>
          <t xml:space="preserve">
Sale of Cargo &amp; Catering</t>
        </r>
      </text>
    </comment>
    <comment ref="Q17" authorId="1" shapeId="0" xr:uid="{7FCE0234-90EF-4880-9A31-D5B9F0431F82}">
      <text>
        <r>
          <rPr>
            <b/>
            <sz val="9"/>
            <color indexed="81"/>
            <rFont val="Tahoma"/>
            <family val="2"/>
          </rPr>
          <t>Law, Ross (Research):</t>
        </r>
        <r>
          <rPr>
            <sz val="9"/>
            <color indexed="81"/>
            <rFont val="Tahoma"/>
            <family val="2"/>
          </rPr>
          <t xml:space="preserve">
Sale of Cargo and Catering</t>
        </r>
      </text>
    </comment>
    <comment ref="T17" authorId="1" shapeId="0" xr:uid="{9256F94F-100F-46E1-8381-6C5F58A32670}">
      <text>
        <r>
          <rPr>
            <b/>
            <sz val="9"/>
            <color indexed="81"/>
            <rFont val="Tahoma"/>
            <family val="2"/>
          </rPr>
          <t>Law, Ross (Research):</t>
        </r>
        <r>
          <rPr>
            <sz val="9"/>
            <color indexed="81"/>
            <rFont val="Tahoma"/>
            <family val="2"/>
          </rPr>
          <t xml:space="preserve">
Sale of Cargo and Catering</t>
        </r>
      </text>
    </comment>
    <comment ref="W17" authorId="1" shapeId="0" xr:uid="{8112F1F3-1D7D-4468-8EFA-9F77379E2881}">
      <text>
        <r>
          <rPr>
            <b/>
            <sz val="9"/>
            <color indexed="81"/>
            <rFont val="Tahoma"/>
            <family val="2"/>
          </rPr>
          <t>Law, Ross (Research):</t>
        </r>
        <r>
          <rPr>
            <sz val="9"/>
            <color indexed="81"/>
            <rFont val="Tahoma"/>
            <family val="2"/>
          </rPr>
          <t xml:space="preserve">
Sale of Cargo and Catering by end-1H23. 100m FY22 revs. 89m in 2023 (10 in Q2, 39 in Q3, 40m in Q4), and 70 in 2024 (35 Q1, 35 Q2)</t>
        </r>
      </text>
    </comment>
    <comment ref="AM17" authorId="1" shapeId="0" xr:uid="{CD617F64-7340-4D8C-B113-60747FACABC7}">
      <text>
        <r>
          <rPr>
            <b/>
            <sz val="9"/>
            <color indexed="81"/>
            <rFont val="Tahoma"/>
            <family val="2"/>
          </rPr>
          <t>Law, Ross (Research):</t>
        </r>
        <r>
          <rPr>
            <sz val="9"/>
            <color indexed="81"/>
            <rFont val="Tahoma"/>
            <family val="2"/>
          </rPr>
          <t xml:space="preserve">
Sale of Safran Passenger Innovations. E360 for 11 months (closed 5 Feb). FY $460m / E390m. 
Sale of stake in 50/50 JV EZAir with Embraer
-175 transfer of SVS (Safran Ventilation Systems) to Equipment (revs &lt;200m)
</t>
        </r>
      </text>
    </comment>
    <comment ref="W21" authorId="1" shapeId="0" xr:uid="{94BE07E8-966A-477D-97E9-80DC47D3F4F6}">
      <text>
        <r>
          <rPr>
            <b/>
            <sz val="9"/>
            <color indexed="81"/>
            <rFont val="Tahoma"/>
            <family val="2"/>
          </rPr>
          <t>Law, Ross (Research):</t>
        </r>
        <r>
          <rPr>
            <sz val="9"/>
            <color indexed="81"/>
            <rFont val="Tahoma"/>
            <family val="2"/>
          </rPr>
          <t xml:space="preserve">
Seats breakeven.
FY23: will be back to black in FY24
Assumes c8m loss of contributions from Cargo and Catering which is diviested by end 1H23</t>
        </r>
      </text>
    </comment>
    <comment ref="AM21" authorId="1" shapeId="0" xr:uid="{25D1EA07-C206-4756-897B-AD4DB0466383}">
      <text>
        <r>
          <rPr>
            <b/>
            <sz val="9"/>
            <color indexed="81"/>
            <rFont val="Tahoma"/>
            <family val="2"/>
          </rPr>
          <t>Law, Ross (Research):</t>
        </r>
        <r>
          <rPr>
            <sz val="9"/>
            <color indexed="81"/>
            <rFont val="Tahoma"/>
            <family val="2"/>
          </rPr>
          <t xml:space="preserve">
1H26: Interiors at least +100bp yoy</t>
        </r>
      </text>
    </comment>
    <comment ref="BC21" authorId="1" shapeId="0" xr:uid="{5EC2D738-8938-4D81-965F-C721736763FB}">
      <text>
        <r>
          <rPr>
            <b/>
            <sz val="9"/>
            <color indexed="81"/>
            <rFont val="Tahoma"/>
            <family val="2"/>
          </rPr>
          <t>Law, Ross (Research):</t>
        </r>
        <r>
          <rPr>
            <sz val="9"/>
            <color indexed="81"/>
            <rFont val="Tahoma"/>
            <family val="2"/>
          </rPr>
          <t xml:space="preserve">
FY25: HSD
CMD24: ~10%</t>
        </r>
      </text>
    </comment>
    <comment ref="G23" authorId="1" shapeId="0" xr:uid="{75C2559C-084B-47F9-8036-F7DFE57202A4}">
      <text>
        <r>
          <rPr>
            <b/>
            <sz val="9"/>
            <color indexed="81"/>
            <rFont val="Tahoma"/>
            <family val="2"/>
          </rPr>
          <t>Law, Ross (Research):</t>
        </r>
        <r>
          <rPr>
            <sz val="9"/>
            <color indexed="81"/>
            <rFont val="Tahoma"/>
            <family val="2"/>
          </rPr>
          <t xml:space="preserve">
Includes 319m goodwill impairment in cabin</t>
        </r>
      </text>
    </comment>
    <comment ref="C26" authorId="0" shapeId="0" xr:uid="{605233DD-6B9F-4036-9561-4DCC1E744962}">
      <text>
        <r>
          <rPr>
            <b/>
            <sz val="9"/>
            <color indexed="81"/>
            <rFont val="Tahoma"/>
            <family val="2"/>
          </rPr>
          <t>Ayoola, Joseph (Research):</t>
        </r>
        <r>
          <rPr>
            <sz val="9"/>
            <color indexed="81"/>
            <rFont val="Tahoma"/>
            <family val="2"/>
          </rPr>
          <t xml:space="preserve">
€44m impairment reversal</t>
        </r>
      </text>
    </comment>
    <comment ref="D26" authorId="0" shapeId="0" xr:uid="{5345C338-A43A-4C26-A367-15C8429607D0}">
      <text>
        <r>
          <rPr>
            <b/>
            <sz val="9"/>
            <color indexed="81"/>
            <rFont val="Tahoma"/>
            <family val="2"/>
          </rPr>
          <t>Ayoola, Joseph (Research):</t>
        </r>
        <r>
          <rPr>
            <sz val="9"/>
            <color indexed="81"/>
            <rFont val="Tahoma"/>
            <family val="2"/>
          </rPr>
          <t xml:space="preserve">
€48m impairment reversal</t>
        </r>
      </text>
    </comment>
    <comment ref="E29" authorId="3" shapeId="0" xr:uid="{F1E9E12C-B813-4866-8D79-0E1968D4FB3B}">
      <text>
        <r>
          <rPr>
            <b/>
            <sz val="9"/>
            <color indexed="81"/>
            <rFont val="Tahoma"/>
            <family val="2"/>
          </rPr>
          <t>Nicolas, Alexane (Research):</t>
        </r>
        <r>
          <rPr>
            <sz val="9"/>
            <color indexed="81"/>
            <rFont val="Tahoma"/>
            <family val="2"/>
          </rPr>
          <t xml:space="preserve">
Reduction in CAPEX of close to 60% compared to 2019</t>
        </r>
      </text>
    </comment>
  </commentList>
</comments>
</file>

<file path=xl/sharedStrings.xml><?xml version="1.0" encoding="utf-8"?>
<sst xmlns="http://schemas.openxmlformats.org/spreadsheetml/2006/main" count="2322" uniqueCount="1598">
  <si>
    <t>Safran</t>
  </si>
  <si>
    <t>Year End December, EUR</t>
  </si>
  <si>
    <t>€m</t>
  </si>
  <si>
    <t>Average Share Price (€)</t>
  </si>
  <si>
    <t>Average Basic Shares (m)</t>
  </si>
  <si>
    <t>Market capitalisation</t>
  </si>
  <si>
    <t>Net debt / (cash)</t>
  </si>
  <si>
    <t>Provisions (including pensions)</t>
  </si>
  <si>
    <t>Minorities</t>
  </si>
  <si>
    <t>Enterprise value - MS</t>
  </si>
  <si>
    <t>Profitability</t>
  </si>
  <si>
    <t>Revenues</t>
  </si>
  <si>
    <t>Adjusted EBITDA</t>
  </si>
  <si>
    <t>Underlying EBIT</t>
  </si>
  <si>
    <t>NOPAT</t>
  </si>
  <si>
    <t>Net Income (adjusted)</t>
  </si>
  <si>
    <t>Basic EPS (€)</t>
  </si>
  <si>
    <t>Diluted ModelWare EPS (€)</t>
  </si>
  <si>
    <t>DPS (€)</t>
  </si>
  <si>
    <t>Free Cash Flow to equity</t>
  </si>
  <si>
    <t>Growth</t>
  </si>
  <si>
    <t>Revenue growth (%)</t>
  </si>
  <si>
    <t>Adjusted EBITDA growth (%)</t>
  </si>
  <si>
    <t>EPS growth (%)</t>
  </si>
  <si>
    <t>Margins</t>
  </si>
  <si>
    <t>Adjusted EBITDA Margin (%)</t>
  </si>
  <si>
    <t>Operating Margin (%)</t>
  </si>
  <si>
    <t>Pre-Tax Margin (%)</t>
  </si>
  <si>
    <t>Net Margin (%)</t>
  </si>
  <si>
    <t>Dividend cover by EPS (x)</t>
  </si>
  <si>
    <t>-</t>
  </si>
  <si>
    <t>Payout Ratio (%)</t>
  </si>
  <si>
    <t>P&amp;L tax rate (%)</t>
  </si>
  <si>
    <t>Cash tax rate (%)</t>
  </si>
  <si>
    <t>Valuation Metrics</t>
  </si>
  <si>
    <t>Price/Book</t>
  </si>
  <si>
    <t>EV/ Invested Capital</t>
  </si>
  <si>
    <t>P/E</t>
  </si>
  <si>
    <t>EV/Sales</t>
  </si>
  <si>
    <t>EV/EBIT</t>
  </si>
  <si>
    <t>EV/EBITDA</t>
  </si>
  <si>
    <t>Free Cash Flow Yield (%)</t>
  </si>
  <si>
    <t>Dividend Yield (%)</t>
  </si>
  <si>
    <t>Leverage</t>
  </si>
  <si>
    <t>Net (Debt) / Cash</t>
  </si>
  <si>
    <t>Net Debt / EBITDA</t>
  </si>
  <si>
    <t>Net Debt / Equity</t>
  </si>
  <si>
    <t>Returns</t>
  </si>
  <si>
    <t>Equity</t>
  </si>
  <si>
    <t>Pensions</t>
  </si>
  <si>
    <t>Deferred tax</t>
  </si>
  <si>
    <t>Gross interest bearing debt</t>
  </si>
  <si>
    <t xml:space="preserve">Cash </t>
  </si>
  <si>
    <t>MS adjustments</t>
  </si>
  <si>
    <t>Capital employed</t>
  </si>
  <si>
    <t>Goodwill</t>
  </si>
  <si>
    <t>Capital employed ex goodwill</t>
  </si>
  <si>
    <t>ROCE reported (avg)</t>
  </si>
  <si>
    <t>ROCE ex-goodwill (avg)</t>
  </si>
  <si>
    <t>ROE reported (avg)</t>
  </si>
  <si>
    <t>Capital intensity</t>
  </si>
  <si>
    <t>Gross Capital Expenditure</t>
  </si>
  <si>
    <t>Capital Expenditure as a % of Sales</t>
  </si>
  <si>
    <t>Capital Expenditure/Depreciation</t>
  </si>
  <si>
    <t>Cash conversion</t>
  </si>
  <si>
    <t>FCF / EBITA</t>
  </si>
  <si>
    <t>FCF / Net Income</t>
  </si>
  <si>
    <t>Divisional Revenue</t>
  </si>
  <si>
    <t>Propulsion</t>
  </si>
  <si>
    <t>Equipment</t>
  </si>
  <si>
    <t>Interiors</t>
  </si>
  <si>
    <t>Holding company and other</t>
  </si>
  <si>
    <t>Divisional EBIT (Adj.)</t>
  </si>
  <si>
    <t>Divisional EBIT (Adj.) Margin</t>
  </si>
  <si>
    <t>IFRS 15</t>
  </si>
  <si>
    <t>(€ millions)</t>
  </si>
  <si>
    <t>2017 rest.</t>
  </si>
  <si>
    <t>2018 rest.</t>
  </si>
  <si>
    <t>Revenue</t>
  </si>
  <si>
    <t>Equipment, Defense &amp; Aerosystems</t>
  </si>
  <si>
    <t>Defense</t>
  </si>
  <si>
    <t>Zodiac</t>
  </si>
  <si>
    <t>Security</t>
  </si>
  <si>
    <t>Communications</t>
  </si>
  <si>
    <t>Total adjusted revenue</t>
  </si>
  <si>
    <t>Currency hedging</t>
  </si>
  <si>
    <t>Amortisation of intangible assets</t>
  </si>
  <si>
    <t>Total consolidated revenue</t>
  </si>
  <si>
    <t>Total Revenue Growth</t>
  </si>
  <si>
    <t>nm</t>
  </si>
  <si>
    <t>Reported Growth</t>
  </si>
  <si>
    <t>Organic Revenue Growth</t>
  </si>
  <si>
    <t>Organic revenue growth</t>
  </si>
  <si>
    <t>Currency</t>
  </si>
  <si>
    <t>Scope</t>
  </si>
  <si>
    <t>Total revenue growth</t>
  </si>
  <si>
    <t>EBIT</t>
  </si>
  <si>
    <t>Total adjusted EBIT</t>
  </si>
  <si>
    <t>Total consolidated EBIT</t>
  </si>
  <si>
    <t>Adjusted EBIT margin</t>
  </si>
  <si>
    <t>Total</t>
  </si>
  <si>
    <t>Research &amp; Development: Self-financed</t>
  </si>
  <si>
    <t>Defense &amp; Security</t>
  </si>
  <si>
    <t>Total as % of adjusted revenue</t>
  </si>
  <si>
    <t>Research &amp; Development: Capitalised</t>
  </si>
  <si>
    <t>% Capitalised</t>
  </si>
  <si>
    <t>Research &amp; Development: Expensed</t>
  </si>
  <si>
    <t>Capital expenditures (Tangible assets)</t>
  </si>
  <si>
    <t>Depreciation &amp; Amortisation, Provisions (net of use)</t>
  </si>
  <si>
    <t>Adjusted D&amp;A</t>
  </si>
  <si>
    <t>Consolidated D&amp;A</t>
  </si>
  <si>
    <t>Total depreciation &amp; amortisation (adj.)</t>
  </si>
  <si>
    <t>Free Cash Flow</t>
  </si>
  <si>
    <t>Cash conversion ratio (%)</t>
  </si>
  <si>
    <t>€ millions</t>
  </si>
  <si>
    <t>1Q13</t>
  </si>
  <si>
    <t>2Q13</t>
  </si>
  <si>
    <t>3Q13</t>
  </si>
  <si>
    <t>4Q13</t>
  </si>
  <si>
    <t>1H13</t>
  </si>
  <si>
    <t>2H13</t>
  </si>
  <si>
    <t>9M13</t>
  </si>
  <si>
    <t>FY13</t>
  </si>
  <si>
    <t>1Q14</t>
  </si>
  <si>
    <t>2Q14</t>
  </si>
  <si>
    <t>3Q14</t>
  </si>
  <si>
    <t>4Q14</t>
  </si>
  <si>
    <t>1H14</t>
  </si>
  <si>
    <t>2H14</t>
  </si>
  <si>
    <t>9M14</t>
  </si>
  <si>
    <t>FY14</t>
  </si>
  <si>
    <t>1Q15</t>
  </si>
  <si>
    <t>2Q15</t>
  </si>
  <si>
    <t>3Q15</t>
  </si>
  <si>
    <t>4Q15</t>
  </si>
  <si>
    <t>1H15</t>
  </si>
  <si>
    <t>2H15</t>
  </si>
  <si>
    <t>9M15</t>
  </si>
  <si>
    <t>FY15</t>
  </si>
  <si>
    <t>1Q16</t>
  </si>
  <si>
    <t>2Q16</t>
  </si>
  <si>
    <t>3Q16</t>
  </si>
  <si>
    <t>4Q16</t>
  </si>
  <si>
    <t>1H16</t>
  </si>
  <si>
    <t>2H16</t>
  </si>
  <si>
    <t>9M16</t>
  </si>
  <si>
    <t>FY16</t>
  </si>
  <si>
    <t>1Q17</t>
  </si>
  <si>
    <t>2Q17</t>
  </si>
  <si>
    <t>3Q17</t>
  </si>
  <si>
    <t>4Q17</t>
  </si>
  <si>
    <t>1H17</t>
  </si>
  <si>
    <t>2H17</t>
  </si>
  <si>
    <t>9M17</t>
  </si>
  <si>
    <t>FY17</t>
  </si>
  <si>
    <t>1Q17 rest.</t>
  </si>
  <si>
    <t>2Q17 rest.</t>
  </si>
  <si>
    <t>3Q17 rest.</t>
  </si>
  <si>
    <t>4Q17 rest.</t>
  </si>
  <si>
    <t>1H17 rest.</t>
  </si>
  <si>
    <t>2H17 rest.</t>
  </si>
  <si>
    <t>9M17 rest.</t>
  </si>
  <si>
    <t>FY17 rest.</t>
  </si>
  <si>
    <t>1Q18</t>
  </si>
  <si>
    <t>2Q18</t>
  </si>
  <si>
    <t>3Q18</t>
  </si>
  <si>
    <t>4Q18</t>
  </si>
  <si>
    <t>1H18</t>
  </si>
  <si>
    <t>2H18</t>
  </si>
  <si>
    <t>9M18</t>
  </si>
  <si>
    <t>FY18</t>
  </si>
  <si>
    <t>1Q18 rest</t>
  </si>
  <si>
    <t>2Q18 rest</t>
  </si>
  <si>
    <t>3Q18 rest</t>
  </si>
  <si>
    <t>4Q18 rest</t>
  </si>
  <si>
    <t>1H18 rest</t>
  </si>
  <si>
    <t>2H18 rest</t>
  </si>
  <si>
    <t>9M18 rest</t>
  </si>
  <si>
    <t>FY18 rest</t>
  </si>
  <si>
    <t>1Q19 rest</t>
  </si>
  <si>
    <t>2Q19</t>
  </si>
  <si>
    <t>3Q19</t>
  </si>
  <si>
    <t>4Q19</t>
  </si>
  <si>
    <t>1H19</t>
  </si>
  <si>
    <t>2H19</t>
  </si>
  <si>
    <t>9M19</t>
  </si>
  <si>
    <t>FY19</t>
  </si>
  <si>
    <t>1Q20</t>
  </si>
  <si>
    <t>2Q20</t>
  </si>
  <si>
    <t>3Q20</t>
  </si>
  <si>
    <t>4Q20</t>
  </si>
  <si>
    <t>1H20</t>
  </si>
  <si>
    <t>2H20</t>
  </si>
  <si>
    <t>9M20</t>
  </si>
  <si>
    <t>FY20</t>
  </si>
  <si>
    <t>1Q21</t>
  </si>
  <si>
    <t>2Q21</t>
  </si>
  <si>
    <t>3Q21</t>
  </si>
  <si>
    <t>4Q21</t>
  </si>
  <si>
    <t>1H21</t>
  </si>
  <si>
    <t>2H21</t>
  </si>
  <si>
    <t>9M21</t>
  </si>
  <si>
    <t>FY21</t>
  </si>
  <si>
    <t>1Q22</t>
  </si>
  <si>
    <t>2Q22</t>
  </si>
  <si>
    <t>3Q22</t>
  </si>
  <si>
    <t>4Q22</t>
  </si>
  <si>
    <t>1H22</t>
  </si>
  <si>
    <t>2H22</t>
  </si>
  <si>
    <t>9M22</t>
  </si>
  <si>
    <t>FY22</t>
  </si>
  <si>
    <t>1Q23</t>
  </si>
  <si>
    <t>2Q23</t>
  </si>
  <si>
    <t>3Q23</t>
  </si>
  <si>
    <t>1H23</t>
  </si>
  <si>
    <t>9M23</t>
  </si>
  <si>
    <t>3Q26e</t>
  </si>
  <si>
    <t>4Q26e</t>
  </si>
  <si>
    <t>2H26e</t>
  </si>
  <si>
    <t>9M26e</t>
  </si>
  <si>
    <t>FY26e</t>
  </si>
  <si>
    <t>1Q27e</t>
  </si>
  <si>
    <t>2Q27e</t>
  </si>
  <si>
    <t>3Q27e</t>
  </si>
  <si>
    <t>4Q27e</t>
  </si>
  <si>
    <t>1H27e</t>
  </si>
  <si>
    <t>2H27e</t>
  </si>
  <si>
    <t>9M27e</t>
  </si>
  <si>
    <t>FY27e</t>
  </si>
  <si>
    <t>1Q28e</t>
  </si>
  <si>
    <t>2Q28e</t>
  </si>
  <si>
    <t>3Q28e</t>
  </si>
  <si>
    <t>4Q28e</t>
  </si>
  <si>
    <t>1H28e</t>
  </si>
  <si>
    <t>2H28e</t>
  </si>
  <si>
    <t>9M28e</t>
  </si>
  <si>
    <t>FY28e</t>
  </si>
  <si>
    <t>1Q29e</t>
  </si>
  <si>
    <t>2Q29e</t>
  </si>
  <si>
    <t>3Q29e</t>
  </si>
  <si>
    <t>4Q29e</t>
  </si>
  <si>
    <t>1H29e</t>
  </si>
  <si>
    <t>2H29e</t>
  </si>
  <si>
    <t>9M29e</t>
  </si>
  <si>
    <t>FY29e</t>
  </si>
  <si>
    <t>1Q30e</t>
  </si>
  <si>
    <t>2Q30e</t>
  </si>
  <si>
    <t>3Q30e</t>
  </si>
  <si>
    <t>4Q30e</t>
  </si>
  <si>
    <t>1H30e</t>
  </si>
  <si>
    <t>2H30e</t>
  </si>
  <si>
    <t>9M30e</t>
  </si>
  <si>
    <t>FY30e</t>
  </si>
  <si>
    <t xml:space="preserve">Income Statement </t>
  </si>
  <si>
    <t>Civil AM $revs</t>
  </si>
  <si>
    <t>Q1</t>
  </si>
  <si>
    <t>Q2</t>
  </si>
  <si>
    <t>Q3</t>
  </si>
  <si>
    <t>Q4</t>
  </si>
  <si>
    <t>FY</t>
  </si>
  <si>
    <t>H1</t>
  </si>
  <si>
    <t>H2</t>
  </si>
  <si>
    <t>9M</t>
  </si>
  <si>
    <t>Defence</t>
  </si>
  <si>
    <t>FY21 YoY</t>
  </si>
  <si>
    <t>Others</t>
  </si>
  <si>
    <t>Adjusted Revenue</t>
  </si>
  <si>
    <t>FX (re-measurement of revenue)</t>
  </si>
  <si>
    <t>Consolidated Revenue</t>
  </si>
  <si>
    <t>Revenue split</t>
  </si>
  <si>
    <t>Reported Revenue Growth</t>
  </si>
  <si>
    <t>Adjusted Revenue Growth</t>
  </si>
  <si>
    <t xml:space="preserve"> </t>
  </si>
  <si>
    <t>Organic Growth</t>
  </si>
  <si>
    <t>M&amp;A / Consolidations</t>
  </si>
  <si>
    <t>FX</t>
  </si>
  <si>
    <t>Other operating income/expenses - Adjusted</t>
  </si>
  <si>
    <t>FX (hedging loss / gain)</t>
  </si>
  <si>
    <t>PPA Amortisation (Sagem / Snecma)</t>
  </si>
  <si>
    <t>PPA Amortisation (other)</t>
  </si>
  <si>
    <t>Other operating income/expenses - Consolidated</t>
  </si>
  <si>
    <t>Share in profit from JVs - Adjusted</t>
  </si>
  <si>
    <t>Share in profit from JVs - Consolidated</t>
  </si>
  <si>
    <t>Recurring operating income (Adjusted EBIT)</t>
  </si>
  <si>
    <t>Adjusted EBIT Margin</t>
  </si>
  <si>
    <t>Recurring operating income - Consolidated</t>
  </si>
  <si>
    <t>Other non-recurring operating income - Adjusted</t>
  </si>
  <si>
    <t>Other non-recurring operating income - Consolidated</t>
  </si>
  <si>
    <t>Profit from operations - Adjusted</t>
  </si>
  <si>
    <t>Profit from operations - Consolidated (Reported EBIT)</t>
  </si>
  <si>
    <t>Cost of debt</t>
  </si>
  <si>
    <t>FX gains (losses) - Adjusted</t>
  </si>
  <si>
    <t>FX gains (losses) - Consolidated</t>
  </si>
  <si>
    <t>Other financial income/expense</t>
  </si>
  <si>
    <t>Financial income (loss) - Adjusted</t>
  </si>
  <si>
    <t>Financial income (loss) - Consolidated</t>
  </si>
  <si>
    <t>Profit Before Tax - Adjusted</t>
  </si>
  <si>
    <t xml:space="preserve">Profit Before Tax - Consolidated </t>
  </si>
  <si>
    <t>Tax - Adjusted</t>
  </si>
  <si>
    <t>Tax - Consolidated</t>
  </si>
  <si>
    <t>Adjusted tax rate</t>
  </si>
  <si>
    <t>Share in profit from associates</t>
  </si>
  <si>
    <t>Gains on disposals</t>
  </si>
  <si>
    <t>Profit from Discontinued Operations - Adjusted</t>
  </si>
  <si>
    <t>Profit from Discontinued Operations - Consolidated</t>
  </si>
  <si>
    <t>Minorities - Adjusted</t>
  </si>
  <si>
    <t>Minorities - Consolidated</t>
  </si>
  <si>
    <t>Net income to owners of parent - Adjusted</t>
  </si>
  <si>
    <t>Net income to owners of parent - Consolidated</t>
  </si>
  <si>
    <t>Shares (m)</t>
  </si>
  <si>
    <t>Adjusted EPS (€)</t>
  </si>
  <si>
    <t>Consolidated EPS (€)</t>
  </si>
  <si>
    <t>€/$ Rate</t>
  </si>
  <si>
    <t>Average spot</t>
  </si>
  <si>
    <t>End period spot</t>
  </si>
  <si>
    <t>Hedge rate</t>
  </si>
  <si>
    <t>Group blended rate ($)</t>
  </si>
  <si>
    <t>Group blended rate (€)</t>
  </si>
  <si>
    <t>Change</t>
  </si>
  <si>
    <t>Average $/€</t>
  </si>
  <si>
    <t>Spot rate change %</t>
  </si>
  <si>
    <t>Other line items [expand]</t>
  </si>
  <si>
    <t>Aerospace OE &amp; Services €m</t>
  </si>
  <si>
    <t>OE (inc sales of studies, other)</t>
  </si>
  <si>
    <t>Services</t>
  </si>
  <si>
    <t>Propulsion Revenue €m</t>
  </si>
  <si>
    <t>OE</t>
  </si>
  <si>
    <t>Reported Propulsion growth</t>
  </si>
  <si>
    <t>Civil aftermarket USD growth</t>
  </si>
  <si>
    <t>Equipment Revenue €m (ex Zodiac)</t>
  </si>
  <si>
    <t>Reported Equipment growth</t>
  </si>
  <si>
    <t>Equipment USD growth %</t>
  </si>
  <si>
    <t>Revenue mix</t>
  </si>
  <si>
    <t>OE revenue</t>
  </si>
  <si>
    <t>Services revenue</t>
  </si>
  <si>
    <t>Propulsion (€m)</t>
  </si>
  <si>
    <t>OE (%)</t>
  </si>
  <si>
    <t>Services (%)</t>
  </si>
  <si>
    <t>Reported Growth (%)</t>
  </si>
  <si>
    <t>EUR:USD</t>
  </si>
  <si>
    <t>OE revenue ($)</t>
  </si>
  <si>
    <t>Services revenue ($)</t>
  </si>
  <si>
    <t>Propulsion ($m)</t>
  </si>
  <si>
    <t>y/y organic (%)</t>
  </si>
  <si>
    <t>Propulsion OE revenue ($ mn)</t>
  </si>
  <si>
    <t>Propulsion OE growth (%)</t>
  </si>
  <si>
    <t>Civil AM revenue ($m)</t>
  </si>
  <si>
    <t>Civil AM growth (%)</t>
  </si>
  <si>
    <t>Non-civil services revenue ($mn)</t>
  </si>
  <si>
    <t>y/y growth (%)</t>
  </si>
  <si>
    <t>Equipment, Defense &amp; Aerosystems (€m)</t>
  </si>
  <si>
    <t>Interiors (€m)</t>
  </si>
  <si>
    <t>Deliveries</t>
  </si>
  <si>
    <t>CFM56 engines</t>
  </si>
  <si>
    <t>LEAP engines</t>
  </si>
  <si>
    <t>High thrust engines</t>
  </si>
  <si>
    <t>Helicopter engines</t>
  </si>
  <si>
    <t>M88 engines</t>
  </si>
  <si>
    <t>A350 landing gear sets</t>
  </si>
  <si>
    <t>787 landing gear sets</t>
  </si>
  <si>
    <t>A380 nacelles</t>
  </si>
  <si>
    <t>A330 thrust reversers</t>
  </si>
  <si>
    <t>A330neo nacelles</t>
  </si>
  <si>
    <t>A320neo nacelles</t>
  </si>
  <si>
    <t>A320 thrust reversers</t>
  </si>
  <si>
    <t>Small nacelles (biz &amp; regional jets)</t>
  </si>
  <si>
    <t>TP400</t>
  </si>
  <si>
    <t>Zodiac Aerospace Financials</t>
  </si>
  <si>
    <t>Zodiac Revenue (actual) (€)</t>
  </si>
  <si>
    <t>Aerosystems</t>
  </si>
  <si>
    <t>Aircraft Interiors</t>
  </si>
  <si>
    <t>Zodiac EBIT (actual €)</t>
  </si>
  <si>
    <t>Zodiac margin %</t>
  </si>
  <si>
    <t>Zodiac Deliveries</t>
  </si>
  <si>
    <t>Mar-Dec</t>
  </si>
  <si>
    <t>SpaceflexV2 A320 (lavatories + Galleys)</t>
  </si>
  <si>
    <t>Business class seats</t>
  </si>
  <si>
    <t>R&amp;D</t>
  </si>
  <si>
    <t>Total self-funded cash R&amp;D</t>
  </si>
  <si>
    <t>% of adjusted sales</t>
  </si>
  <si>
    <t>Tax credit</t>
  </si>
  <si>
    <t>Total self-funded cash R&amp;D after tax credit</t>
  </si>
  <si>
    <t>Capitalised R&amp;D</t>
  </si>
  <si>
    <t>% capitalised of total R&amp;D</t>
  </si>
  <si>
    <t>Amortised R&amp;D</t>
  </si>
  <si>
    <t>P&amp;L R&amp;D</t>
  </si>
  <si>
    <t>Cash Flow Statement (Consolidated)</t>
  </si>
  <si>
    <t>Net Income - Reported (Consolidated)</t>
  </si>
  <si>
    <t>Depreciation &amp; Amortisation</t>
  </si>
  <si>
    <t>Impairment</t>
  </si>
  <si>
    <t>Provisions</t>
  </si>
  <si>
    <t>D&amp;A, Impairment &amp; Provisions</t>
  </si>
  <si>
    <t>Profit net of divis from equity accounted companies</t>
  </si>
  <si>
    <t>Capital gains/losses on asset disposals</t>
  </si>
  <si>
    <t>Profit from discontinued ops and disposal gain (pre tax)</t>
  </si>
  <si>
    <t>Change in fair value of derivatives</t>
  </si>
  <si>
    <t>Profit to minorities</t>
  </si>
  <si>
    <t>Other</t>
  </si>
  <si>
    <t>Other changes from operations</t>
  </si>
  <si>
    <t>Cash flow from operations, before WC</t>
  </si>
  <si>
    <t>Change in Inventories/WIP</t>
  </si>
  <si>
    <t>Change in operating receivables &amp; payables</t>
  </si>
  <si>
    <t>Change in other receivables &amp; payables</t>
  </si>
  <si>
    <t>Change in WC</t>
  </si>
  <si>
    <t>Cash flow from operating activities</t>
  </si>
  <si>
    <t>Purchase of intangibles</t>
  </si>
  <si>
    <t>Net intangibles capex (inc capitalised R&amp;D)</t>
  </si>
  <si>
    <t>Net PPE capex</t>
  </si>
  <si>
    <t>Net purchase of investments/businesses</t>
  </si>
  <si>
    <t>Net purchase of financial assets</t>
  </si>
  <si>
    <t>Net securities/other financial asset purchases</t>
  </si>
  <si>
    <t>Cash flow from investing activities</t>
  </si>
  <si>
    <t>Net change in debt &amp; borrowings</t>
  </si>
  <si>
    <t>Divis to owners of parent</t>
  </si>
  <si>
    <t>Divis to minorities</t>
  </si>
  <si>
    <t>Dividends paid to minorities &amp; owners of parent</t>
  </si>
  <si>
    <t>Change in repayable advances</t>
  </si>
  <si>
    <t>Acquisitions/diposals of treasury shares</t>
  </si>
  <si>
    <t>Change in share capital</t>
  </si>
  <si>
    <t>Other cash flows from financing activities</t>
  </si>
  <si>
    <t>Cash flow from financing activities</t>
  </si>
  <si>
    <t>Discontinued ops</t>
  </si>
  <si>
    <t>Net increase (decrease) in cash &amp; cash equivs.</t>
  </si>
  <si>
    <t>Cash &amp; cash equivalents at beginning of period</t>
  </si>
  <si>
    <t xml:space="preserve">Cash &amp; cash equivalents at end of period </t>
  </si>
  <si>
    <t xml:space="preserve">Interest bearing liabilities </t>
  </si>
  <si>
    <t xml:space="preserve">Fair value of int. rate deriv hedging borrowings </t>
  </si>
  <si>
    <t>Net Debt (-) at end of period - Company Defined</t>
  </si>
  <si>
    <t>Cash Tax</t>
  </si>
  <si>
    <t>Interest paid</t>
  </si>
  <si>
    <t>Interest received</t>
  </si>
  <si>
    <t>Cash Interest</t>
  </si>
  <si>
    <t>Adjusted net profit</t>
  </si>
  <si>
    <t>D&amp;A</t>
  </si>
  <si>
    <t>Provisions (net)</t>
  </si>
  <si>
    <t>Depreciation, amortisation &amp; provisions</t>
  </si>
  <si>
    <t>Interest adjustment</t>
  </si>
  <si>
    <t>Tax adjustment</t>
  </si>
  <si>
    <t>JV adjustment</t>
  </si>
  <si>
    <t>Disposals of businesses</t>
  </si>
  <si>
    <t>Unaccounted other</t>
  </si>
  <si>
    <t>Cash Flow From Operations, pre-WC</t>
  </si>
  <si>
    <t>Capex (tangible assets)</t>
  </si>
  <si>
    <t>Capex (intangibles &amp; capitalised R&amp;D)</t>
  </si>
  <si>
    <t>Free Cash Flow - Company Defined</t>
  </si>
  <si>
    <t>Dividends paid</t>
  </si>
  <si>
    <t>M&amp;A</t>
  </si>
  <si>
    <t>Net financial asset purchases</t>
  </si>
  <si>
    <t>Buyback</t>
  </si>
  <si>
    <t>M&amp;A and other</t>
  </si>
  <si>
    <t>Change in net debt</t>
  </si>
  <si>
    <t>Net debt at beginning of period</t>
  </si>
  <si>
    <t>Cash Flow by Division</t>
  </si>
  <si>
    <t>Balance Sheet Check</t>
  </si>
  <si>
    <t>Year End December, €mn</t>
  </si>
  <si>
    <t>as rep'd</t>
  </si>
  <si>
    <t>Adjusted Income statement (for consensus)</t>
  </si>
  <si>
    <t>Adjusted revenue (for consensus)</t>
  </si>
  <si>
    <t xml:space="preserve">Other income </t>
  </si>
  <si>
    <t>Total income from operations</t>
  </si>
  <si>
    <t xml:space="preserve">Cost of sales </t>
  </si>
  <si>
    <t>Margin %</t>
  </si>
  <si>
    <t>Depreciation &amp; amortisation</t>
  </si>
  <si>
    <t>Asset impairments</t>
  </si>
  <si>
    <t>Other recurring operating income &amp; expenses</t>
  </si>
  <si>
    <t>Share in profit from JVs</t>
  </si>
  <si>
    <t>Recurring operating income (EBIT)</t>
  </si>
  <si>
    <t>Other non-recurring operating income/ expense</t>
  </si>
  <si>
    <t>Profit from operations</t>
  </si>
  <si>
    <t>Cost of net debt</t>
  </si>
  <si>
    <t>FX gains</t>
  </si>
  <si>
    <t>Other financial income &amp; expense</t>
  </si>
  <si>
    <t>Total financial income (expense)</t>
  </si>
  <si>
    <t>Share of profits from associates</t>
  </si>
  <si>
    <t>EBT</t>
  </si>
  <si>
    <t>Taxes</t>
  </si>
  <si>
    <t>Effective tax rate %</t>
  </si>
  <si>
    <t>Gains on disposal of associates/investments</t>
  </si>
  <si>
    <t>Profit from continuing operations</t>
  </si>
  <si>
    <t>Profit / Loss from discontinued operations</t>
  </si>
  <si>
    <t>Profit for the period</t>
  </si>
  <si>
    <t>Minority interests - continuing operations</t>
  </si>
  <si>
    <t>Minority interests - discontinued operations</t>
  </si>
  <si>
    <t>Net income to common shareholders</t>
  </si>
  <si>
    <t>Continuing operations</t>
  </si>
  <si>
    <t>Discontinued operations</t>
  </si>
  <si>
    <r>
      <t>Basic EPS (€</t>
    </r>
    <r>
      <rPr>
        <b/>
        <u/>
        <sz val="8"/>
        <rFont val="Arial"/>
        <family val="2"/>
      </rPr>
      <t>)</t>
    </r>
  </si>
  <si>
    <t xml:space="preserve">Diluted EPS (€) </t>
  </si>
  <si>
    <t>% Change</t>
  </si>
  <si>
    <t>Basic ModelWare EPS (€)</t>
  </si>
  <si>
    <t>Variance with reported PBT</t>
  </si>
  <si>
    <t>Reported PBT</t>
  </si>
  <si>
    <t>check</t>
  </si>
  <si>
    <t>Variance with tax</t>
  </si>
  <si>
    <t>Variance with MI</t>
  </si>
  <si>
    <t>Variance with disc ops</t>
  </si>
  <si>
    <t>Reported Net Income</t>
  </si>
  <si>
    <t>Consolidated income statement</t>
  </si>
  <si>
    <t>Other income</t>
  </si>
  <si>
    <t>Income from operations</t>
  </si>
  <si>
    <t>Operating expenses</t>
  </si>
  <si>
    <t>Research &amp; development</t>
  </si>
  <si>
    <t>EBITDA</t>
  </si>
  <si>
    <t>Income from associates</t>
  </si>
  <si>
    <t>Other finance (costs)/ income</t>
  </si>
  <si>
    <t>Net Finance (Cost)/Income</t>
  </si>
  <si>
    <t>Tax expense</t>
  </si>
  <si>
    <t>Statutory tax rate %</t>
  </si>
  <si>
    <t>Gain on disposal</t>
  </si>
  <si>
    <t>Profit/ loss from discontinued operations</t>
  </si>
  <si>
    <t>Net income</t>
  </si>
  <si>
    <t>Minority interest</t>
  </si>
  <si>
    <t>Diluted EPS (€)</t>
  </si>
  <si>
    <t>Year-end basic shares outstanding (mn)</t>
  </si>
  <si>
    <t>Avg. basic shares outstanding (mn)</t>
  </si>
  <si>
    <t>Avg. diluted shares outstanding (mn)</t>
  </si>
  <si>
    <t>Dividend Analysis</t>
  </si>
  <si>
    <t>Shares outstanding (m)</t>
  </si>
  <si>
    <t>Interim divi - announced &amp; paid in December</t>
  </si>
  <si>
    <t>Final divi - announced &amp; paid in 1H of following year</t>
  </si>
  <si>
    <t>Dividends per Share</t>
  </si>
  <si>
    <t>NM</t>
  </si>
  <si>
    <t>Dividend Yield</t>
  </si>
  <si>
    <t xml:space="preserve">Share Price </t>
  </si>
  <si>
    <t>Payout ratio</t>
  </si>
  <si>
    <t>Share Issuance (Repurchase)</t>
  </si>
  <si>
    <t>Taxation Schedule</t>
  </si>
  <si>
    <t>Cash Taxes Paid</t>
  </si>
  <si>
    <t>Cash Tax % of Consolidated</t>
  </si>
  <si>
    <t>Change in Deferred Tax</t>
  </si>
  <si>
    <t>Consolidated Income Tax Expense / (Credit)</t>
  </si>
  <si>
    <t>Adjusted Income Tax Expense / (Credit)</t>
  </si>
  <si>
    <t>Cash Tax % of Adjusted</t>
  </si>
  <si>
    <t>Unrecorded Goodwill From Pooled Consolidation</t>
  </si>
  <si>
    <t>For modelware only</t>
  </si>
  <si>
    <t>Cash &amp; cash equivalent disc</t>
  </si>
  <si>
    <t>Cash restatments</t>
  </si>
  <si>
    <t xml:space="preserve">Changes in s/h equity </t>
  </si>
  <si>
    <t>Total dividends for modelware</t>
  </si>
  <si>
    <t>EV Adjustment</t>
  </si>
  <si>
    <t>KEI Tagging</t>
  </si>
  <si>
    <t>Propulsion Civil Aftermarket growth</t>
  </si>
  <si>
    <t>LEAP engine deliveries (#)</t>
  </si>
  <si>
    <t>Propulsion Margin</t>
  </si>
  <si>
    <t>Group Operating Margin</t>
  </si>
  <si>
    <t>FCF Conversion</t>
  </si>
  <si>
    <t>Cash Flow From Operating Activities</t>
  </si>
  <si>
    <t>Profit attributable to shareholders</t>
  </si>
  <si>
    <t>Current and deferred taxes</t>
  </si>
  <si>
    <t>Consolidated profit before tax</t>
  </si>
  <si>
    <t>Tax paid</t>
  </si>
  <si>
    <t>Taxation Sense Check</t>
  </si>
  <si>
    <t>Share in profit from associates (net of divs recvd)</t>
  </si>
  <si>
    <t>Income and expenses with no cash impact:</t>
  </si>
  <si>
    <t>Depreciation &amp; Amortization Check</t>
  </si>
  <si>
    <t>Asset impairment</t>
  </si>
  <si>
    <t>Fair value of financial instruments and derivatives</t>
  </si>
  <si>
    <t>Expense related to share grants</t>
  </si>
  <si>
    <t>Foreign exchange gains (losses)</t>
  </si>
  <si>
    <t>Capital gains on asset disposals</t>
  </si>
  <si>
    <t>Accrued interest</t>
  </si>
  <si>
    <t>Other items</t>
  </si>
  <si>
    <t>Profit (loss) before tax from discontinued ops</t>
  </si>
  <si>
    <t>Intercompany income from disc. ops</t>
  </si>
  <si>
    <t>Profit attributable to non-controlling interests</t>
  </si>
  <si>
    <t>Other income and expenses with no cash impact</t>
  </si>
  <si>
    <t>Cash flow from operations, before changes in working capital</t>
  </si>
  <si>
    <t>Change in inventories and WIP</t>
  </si>
  <si>
    <t>Change in operating receivables and payables</t>
  </si>
  <si>
    <t>Change in other receivables and payables</t>
  </si>
  <si>
    <t>Change in working capital</t>
  </si>
  <si>
    <t>Working Capital Sense Check</t>
  </si>
  <si>
    <t>Cash Flow From Investing Activities</t>
  </si>
  <si>
    <t>Purchase of intangible assets, net of proceeds</t>
  </si>
  <si>
    <t>Purchase of PP&amp;E, net of proceeds</t>
  </si>
  <si>
    <t>Proceeds (payments) from the sale (acquisition) of investments / businesses</t>
  </si>
  <si>
    <t>Proceeds (payments) from the sale (acquisition) of financial assets</t>
  </si>
  <si>
    <t>Other movements</t>
  </si>
  <si>
    <t>Cash flow from intercompany investing activities (discontinued ops)</t>
  </si>
  <si>
    <t>Cash Flow From Financing Activities</t>
  </si>
  <si>
    <t>Acquisitions and disposals of treasury sales</t>
  </si>
  <si>
    <t>Repayment of borrowing and long-term debt</t>
  </si>
  <si>
    <t>Repayment of repayable advances</t>
  </si>
  <si>
    <t>Increase in borrowings</t>
  </si>
  <si>
    <t>Repayable advances received</t>
  </si>
  <si>
    <t>Change in short-term borrowings</t>
  </si>
  <si>
    <t>Cash flow from intercompany financing activities (disc. ops)</t>
  </si>
  <si>
    <t>Dividends paid to owners of the parent</t>
  </si>
  <si>
    <t>Dividends paid to minorities</t>
  </si>
  <si>
    <t>Cash flow from operating activities (disc. ops)</t>
  </si>
  <si>
    <t>Cash flow from investing activities (disc. ops)</t>
  </si>
  <si>
    <t>Cash flow from financing activities (disc. ops)</t>
  </si>
  <si>
    <t>Effect of changes in FX</t>
  </si>
  <si>
    <t>Net Increase (Decrease) In Cash And Cash Equivalents</t>
  </si>
  <si>
    <t>Opening cash</t>
  </si>
  <si>
    <t>Closing cash</t>
  </si>
  <si>
    <t>Interest-bearing financial liabilities</t>
  </si>
  <si>
    <t>Fair value of int. rate deriv hedging borrowings</t>
  </si>
  <si>
    <t>Net (Debt) / Cash - Safran defined</t>
  </si>
  <si>
    <t>Free Cash Flow (Safran defined)</t>
  </si>
  <si>
    <t>FCF / adjusted EBIT conversion</t>
  </si>
  <si>
    <t>FCF / dividend</t>
  </si>
  <si>
    <t>Current assets</t>
  </si>
  <si>
    <t>Current financial assets</t>
  </si>
  <si>
    <t>Assets held for sale</t>
  </si>
  <si>
    <t>Fair value of financial instruments &amp; derivatives</t>
  </si>
  <si>
    <t>Inventories &amp; WIP</t>
  </si>
  <si>
    <t>Trade &amp; Other Receiv.</t>
  </si>
  <si>
    <t>Tax Assets</t>
  </si>
  <si>
    <t>Other Current Assets</t>
  </si>
  <si>
    <t>Cash &amp; Equivalents</t>
  </si>
  <si>
    <t>Total current assets</t>
  </si>
  <si>
    <t>Long-term assets</t>
  </si>
  <si>
    <t>Intangible assets</t>
  </si>
  <si>
    <t>PP&amp;E</t>
  </si>
  <si>
    <t>Right-of-use assets</t>
  </si>
  <si>
    <t>Non-current financial assets</t>
  </si>
  <si>
    <t>Investment in associates</t>
  </si>
  <si>
    <t>Deferred tax assets</t>
  </si>
  <si>
    <t>Other non-current assets</t>
  </si>
  <si>
    <t>Total long-term assets</t>
  </si>
  <si>
    <t>Total assets</t>
  </si>
  <si>
    <t>Employee benefits</t>
  </si>
  <si>
    <t>Interest-bearing current liabilities</t>
  </si>
  <si>
    <t>Trade &amp; other payables</t>
  </si>
  <si>
    <t>Tax liabilities</t>
  </si>
  <si>
    <t>Fair value of interest rate derivatives hedging borrowings</t>
  </si>
  <si>
    <t>Other current liabilities</t>
  </si>
  <si>
    <t>Total current liabilities</t>
  </si>
  <si>
    <t>Non-current liabilities</t>
  </si>
  <si>
    <t>Interest bearing borrowings - Govt. launch aid</t>
  </si>
  <si>
    <t>Interest-bearing non-current liabilities</t>
  </si>
  <si>
    <t>Deferred tax liabilities</t>
  </si>
  <si>
    <t>Other non-current liabilities</t>
  </si>
  <si>
    <t>Total non-current liabilities</t>
  </si>
  <si>
    <t>Minority interests</t>
  </si>
  <si>
    <t>Capital</t>
  </si>
  <si>
    <t>Reserves</t>
  </si>
  <si>
    <t>Unrealized gains &amp; losses + interim dividends</t>
  </si>
  <si>
    <t>Profit/ loss for the Period</t>
  </si>
  <si>
    <t>Total equity</t>
  </si>
  <si>
    <t>Total Liabilities &amp; Equity</t>
  </si>
  <si>
    <t>Balance Sheet Sense Check</t>
  </si>
  <si>
    <t>Analysis</t>
  </si>
  <si>
    <t>PP&amp;E Schedule</t>
  </si>
  <si>
    <t>BOY Gross PP&amp;E</t>
  </si>
  <si>
    <t>Additions</t>
  </si>
  <si>
    <t>Additions as % of PP&amp;E</t>
  </si>
  <si>
    <t>Disposals and retirements</t>
  </si>
  <si>
    <t>Disposals and retirements as % of PP&amp;E</t>
  </si>
  <si>
    <t>1: EOY Gross PP&amp;E</t>
  </si>
  <si>
    <t>BOY Accumulated depreciation &amp; impairment</t>
  </si>
  <si>
    <t>Depreciation additions</t>
  </si>
  <si>
    <t>2: EOY Accumulated depreciation</t>
  </si>
  <si>
    <t>1+2: EOY Net PPE</t>
  </si>
  <si>
    <t>Intangible Assets Schedule</t>
  </si>
  <si>
    <t>BOY Gross intangibles</t>
  </si>
  <si>
    <t>Additions as% of intangibles</t>
  </si>
  <si>
    <t>1a: EOY Gross intangibles</t>
  </si>
  <si>
    <t>Capitalised R&amp;D (inc capitalised interest)</t>
  </si>
  <si>
    <t>Capitalised &amp; acquired other intangible assets</t>
  </si>
  <si>
    <t>Other intagibles % of sales</t>
  </si>
  <si>
    <t>BOY Accumulated amortisation</t>
  </si>
  <si>
    <t>Amortisation</t>
  </si>
  <si>
    <t>Amortisation as % of Gross Intangibles</t>
  </si>
  <si>
    <t xml:space="preserve">Impairment </t>
  </si>
  <si>
    <t>2a: EOY Accumulated amortisation</t>
  </si>
  <si>
    <t>1+2: EOY Net intangible assets</t>
  </si>
  <si>
    <t>BOY Goodwill</t>
  </si>
  <si>
    <t>1: EOY Goodwill</t>
  </si>
  <si>
    <t>Working Capital Schedule</t>
  </si>
  <si>
    <t>Cost of sales</t>
  </si>
  <si>
    <t>Inventory days</t>
  </si>
  <si>
    <t>Inventory</t>
  </si>
  <si>
    <t>Inventory as % of adjusted revenue</t>
  </si>
  <si>
    <t>Operating receivables days</t>
  </si>
  <si>
    <t xml:space="preserve">Operating receivables   </t>
  </si>
  <si>
    <t>Receivables as % of adjusted revenue</t>
  </si>
  <si>
    <t>Operating payables days</t>
  </si>
  <si>
    <t xml:space="preserve">Operating payables </t>
  </si>
  <si>
    <t>Payables as % of adjusted revenue</t>
  </si>
  <si>
    <t>Working assets</t>
  </si>
  <si>
    <t>Operating Receivables</t>
  </si>
  <si>
    <t>Total working assets</t>
  </si>
  <si>
    <t>Working liabilities</t>
  </si>
  <si>
    <t>Operating payables</t>
  </si>
  <si>
    <t>Other payables</t>
  </si>
  <si>
    <t>Total working liabilities</t>
  </si>
  <si>
    <t>Net Working Capital</t>
  </si>
  <si>
    <t>Increase (decrease) in Working Capital</t>
  </si>
  <si>
    <t>% sales</t>
  </si>
  <si>
    <t>Debt Schedule</t>
  </si>
  <si>
    <t>1: Borrowings</t>
  </si>
  <si>
    <t>Fixed rate:</t>
  </si>
  <si>
    <t xml:space="preserve">Current </t>
  </si>
  <si>
    <t>Non-current</t>
  </si>
  <si>
    <t>Floating rate:</t>
  </si>
  <si>
    <t>Total current interest bearing borrowings</t>
  </si>
  <si>
    <t>Total long-term interest bearing borrowings</t>
  </si>
  <si>
    <t>Total Interest Bearing Liabilities</t>
  </si>
  <si>
    <t>2: Interest Rates</t>
  </si>
  <si>
    <t>1x2: Interest Expense</t>
  </si>
  <si>
    <t>Total interest expense (for borrowings)</t>
  </si>
  <si>
    <t>Other interest expense</t>
  </si>
  <si>
    <t>% of Debt</t>
  </si>
  <si>
    <t>Financial expense on interest bearing liabilities</t>
  </si>
  <si>
    <t>Cash and equivalents</t>
  </si>
  <si>
    <t>Financial income on cash &amp; equivalents</t>
  </si>
  <si>
    <t>% of prior year's cash</t>
  </si>
  <si>
    <t>Cosf of net debt</t>
  </si>
  <si>
    <t>sense check</t>
  </si>
  <si>
    <t>Cash Interest Received</t>
  </si>
  <si>
    <t>Cash Interest Paid</t>
  </si>
  <si>
    <t>Cash Interest - Net</t>
  </si>
  <si>
    <t>Investments in equity-accounted companies</t>
  </si>
  <si>
    <t>Associates (Ingenico Group)</t>
  </si>
  <si>
    <t>JVs</t>
  </si>
  <si>
    <t>Share of net equity of equity-accounted companies</t>
  </si>
  <si>
    <t>BOY Share of net equity</t>
  </si>
  <si>
    <t>Share in profit from joint ventures</t>
  </si>
  <si>
    <t>Dividends received from joint ventures and associates</t>
  </si>
  <si>
    <t>Dividend % of share of profits</t>
  </si>
  <si>
    <t>EOY Share of net equity</t>
  </si>
  <si>
    <t>Commercial Aircraft</t>
  </si>
  <si>
    <t>Helicopters</t>
  </si>
  <si>
    <t>Military Aircraft</t>
  </si>
  <si>
    <t>Space &amp; Ballistic Missiles</t>
  </si>
  <si>
    <t>Total Propulsion adjusted revenue (€m)</t>
  </si>
  <si>
    <t>Revenue growth</t>
  </si>
  <si>
    <t>Organic</t>
  </si>
  <si>
    <t>NA</t>
  </si>
  <si>
    <t xml:space="preserve">Aubert &amp; Duval </t>
  </si>
  <si>
    <t>Adjusted EBIT</t>
  </si>
  <si>
    <t>One-offs</t>
  </si>
  <si>
    <t>Total profit (loss) from operations</t>
  </si>
  <si>
    <t>As % of adjusted revenue</t>
  </si>
  <si>
    <t>Capital Expenditure</t>
  </si>
  <si>
    <t>Cash conversion (to adjusted EBITA)</t>
  </si>
  <si>
    <t>Orders</t>
  </si>
  <si>
    <t>Book to bill</t>
  </si>
  <si>
    <t>Backlog at year end</t>
  </si>
  <si>
    <t>Research &amp; Development</t>
  </si>
  <si>
    <t>Self-financed R&amp;D</t>
  </si>
  <si>
    <t>Tax Credit</t>
  </si>
  <si>
    <t>Expensed R&amp;D</t>
  </si>
  <si>
    <t>Revenue Splits</t>
  </si>
  <si>
    <t>End Market Split</t>
  </si>
  <si>
    <t>Commercial aviation</t>
  </si>
  <si>
    <t>Helicopter turbine (civil and military)</t>
  </si>
  <si>
    <t>Military Aviation</t>
  </si>
  <si>
    <t>End Market Growth (EUR revenues)</t>
  </si>
  <si>
    <t>OEM and Services Revenue</t>
  </si>
  <si>
    <t>Total Propulsion OEM</t>
  </si>
  <si>
    <t>Total Propulsion aftermarket</t>
  </si>
  <si>
    <t xml:space="preserve">Other </t>
  </si>
  <si>
    <t>OEM and Services Split</t>
  </si>
  <si>
    <t>OEM</t>
  </si>
  <si>
    <t>Aftermarket</t>
  </si>
  <si>
    <t>OEM and Services Growth</t>
  </si>
  <si>
    <t>OEM and Services Check</t>
  </si>
  <si>
    <t>Civil Aerospace</t>
  </si>
  <si>
    <t>Civil OE Revenue</t>
  </si>
  <si>
    <t>Civil AM Revenue</t>
  </si>
  <si>
    <t xml:space="preserve">Commercial Propulsion Revenue (€m) </t>
  </si>
  <si>
    <t>Real</t>
  </si>
  <si>
    <t>OE revenue growth</t>
  </si>
  <si>
    <t>AM revenue growth</t>
  </si>
  <si>
    <t>EUR revenue growth</t>
  </si>
  <si>
    <t>Civil OE EBITA</t>
  </si>
  <si>
    <t>Civil AM EBITA</t>
  </si>
  <si>
    <t xml:space="preserve">Commercial Adjusted EBITA pre R&amp;D (€m) </t>
  </si>
  <si>
    <t>AM</t>
  </si>
  <si>
    <t xml:space="preserve">Margin </t>
  </si>
  <si>
    <t>FX € / $ revenue conversion rate</t>
  </si>
  <si>
    <t xml:space="preserve">Commercial Propulsion Revenue ($m) </t>
  </si>
  <si>
    <t>INPUT</t>
  </si>
  <si>
    <t>USD revenue growth</t>
  </si>
  <si>
    <t xml:space="preserve">Commercial Adjusted EBITA pre R&amp;D ($m) </t>
  </si>
  <si>
    <t>Margin</t>
  </si>
  <si>
    <t>CFM56 OE</t>
  </si>
  <si>
    <t>CFM56 Aftermarket</t>
  </si>
  <si>
    <t>CFM56 Revenues</t>
  </si>
  <si>
    <t>LEAP OE</t>
  </si>
  <si>
    <t>LEAP Aftermarket</t>
  </si>
  <si>
    <t>LEAP Revenues</t>
  </si>
  <si>
    <t>Other OE</t>
  </si>
  <si>
    <t>Other Aftermarket</t>
  </si>
  <si>
    <t>Other Engine Revenues</t>
  </si>
  <si>
    <t>Civil OE</t>
  </si>
  <si>
    <t>EUR Revenues</t>
  </si>
  <si>
    <t>CFM56</t>
  </si>
  <si>
    <t>LEAP</t>
  </si>
  <si>
    <t>Low-thrust engines (Regional &amp; Bizjet)</t>
  </si>
  <si>
    <t>High-thrust engines (Widebody)</t>
  </si>
  <si>
    <t>Civil OE Revenue to Safran (€m)</t>
  </si>
  <si>
    <t>Civil OE EUR Growth</t>
  </si>
  <si>
    <t>USD Revenues</t>
  </si>
  <si>
    <t>Civil OE Revenue ($m)</t>
  </si>
  <si>
    <t>Civil OE USD Growth</t>
  </si>
  <si>
    <t>EBITA $m</t>
  </si>
  <si>
    <t>OE EBITA pre R&amp;D ($m)</t>
  </si>
  <si>
    <t>Civil Aftermarket</t>
  </si>
  <si>
    <t>GE90</t>
  </si>
  <si>
    <t>Other ex GE90</t>
  </si>
  <si>
    <t>Civil Aftermarket (€m)</t>
  </si>
  <si>
    <t>Civil Aftermarket EUR Growth</t>
  </si>
  <si>
    <t>Civil Aftermarket ($m)</t>
  </si>
  <si>
    <t>Civil Aftermarket USD growth</t>
  </si>
  <si>
    <t>Civil Aftermarket EBITA pre R&amp;D ($m)</t>
  </si>
  <si>
    <t xml:space="preserve">Helicopters </t>
  </si>
  <si>
    <t>Helicopters OE</t>
  </si>
  <si>
    <t>Helicopters AM</t>
  </si>
  <si>
    <t>Helicopter Revenue €m</t>
  </si>
  <si>
    <t>OE growth</t>
  </si>
  <si>
    <t>AM growth</t>
  </si>
  <si>
    <t>Adjusted EBITA €m</t>
  </si>
  <si>
    <t>Helicopter Engine Deliveries</t>
  </si>
  <si>
    <t>Average revenue per delivery €m</t>
  </si>
  <si>
    <t>Helicopter OE Revenues €m</t>
  </si>
  <si>
    <t xml:space="preserve">Military Aircraft </t>
  </si>
  <si>
    <t>Military OE</t>
  </si>
  <si>
    <t>Military Aftermarket</t>
  </si>
  <si>
    <t>Military Revenue €m</t>
  </si>
  <si>
    <t>OE Growth</t>
  </si>
  <si>
    <t>Military Engine Deliveries</t>
  </si>
  <si>
    <t>Programme Share</t>
  </si>
  <si>
    <t>M88</t>
  </si>
  <si>
    <t>TP400 (32% share)</t>
  </si>
  <si>
    <t>Adour (50% share)</t>
  </si>
  <si>
    <t>Total Deliveries</t>
  </si>
  <si>
    <t>USD Revenues (in €m) - Commercial Propulsion</t>
  </si>
  <si>
    <t>Net Exposure</t>
  </si>
  <si>
    <t>Covered Exposure</t>
  </si>
  <si>
    <t>Achieved Rate on Net Exposure</t>
  </si>
  <si>
    <t>Average Spot Rate</t>
  </si>
  <si>
    <t>Blended Rate</t>
  </si>
  <si>
    <t>USD Revenues $m</t>
  </si>
  <si>
    <t>Net Exposure $m</t>
  </si>
  <si>
    <t>Net Exposure €m</t>
  </si>
  <si>
    <t>Transaction</t>
  </si>
  <si>
    <t>Cumulative FX</t>
  </si>
  <si>
    <t>Covered exposure $m</t>
  </si>
  <si>
    <t>Covered exposure €m</t>
  </si>
  <si>
    <t>Revenue change €m</t>
  </si>
  <si>
    <t>Translation</t>
  </si>
  <si>
    <t>Revenue ex FX (in €m)</t>
  </si>
  <si>
    <t>EBIT ex FX (in €m)</t>
  </si>
  <si>
    <t>OE Revenue ex FX €m</t>
  </si>
  <si>
    <t>AM Revenue ex FX €m</t>
  </si>
  <si>
    <t>Revenue FX tailwind / headwind</t>
  </si>
  <si>
    <t>Space &amp; Ballistic Missiles [OLD]</t>
  </si>
  <si>
    <t>Space &amp; Missiles Revenue €m</t>
  </si>
  <si>
    <t>Adjusted EBITA / JV contribution €m</t>
  </si>
  <si>
    <t>IFRS15</t>
  </si>
  <si>
    <t>Propulsion Commercial OE ($m)</t>
  </si>
  <si>
    <t>as % of Civil revenues ($m)</t>
  </si>
  <si>
    <t>Low-thrust engines (Regional &amp; Bizjet) &amp; Other</t>
  </si>
  <si>
    <t xml:space="preserve">LEAP </t>
  </si>
  <si>
    <t>Mid-thrust engines (Narrowbody)</t>
  </si>
  <si>
    <t>GE9X</t>
  </si>
  <si>
    <t>GP7200</t>
  </si>
  <si>
    <t>GEnx</t>
  </si>
  <si>
    <t>CF6 - LM6000 family</t>
  </si>
  <si>
    <t>Sales split</t>
  </si>
  <si>
    <t>Low-thrust</t>
  </si>
  <si>
    <t>Mid-thrust</t>
  </si>
  <si>
    <t>High-thrust</t>
  </si>
  <si>
    <t>Civil OE EBIT (adj.)</t>
  </si>
  <si>
    <t>Engine Deliveries</t>
  </si>
  <si>
    <t>SaM146</t>
  </si>
  <si>
    <t>SMA</t>
  </si>
  <si>
    <t>Silvercrest</t>
  </si>
  <si>
    <t>Passport</t>
  </si>
  <si>
    <t>CF34</t>
  </si>
  <si>
    <t>Spare engine share (%)</t>
  </si>
  <si>
    <t>Spare engine share (abs.)</t>
  </si>
  <si>
    <t>Total spare engines</t>
  </si>
  <si>
    <t>as % of total deliveries</t>
  </si>
  <si>
    <t>Revenue per Delivery $m</t>
  </si>
  <si>
    <t>Engine list price ($)</t>
  </si>
  <si>
    <t>Annual sale price escalation</t>
  </si>
  <si>
    <t>Discount</t>
  </si>
  <si>
    <t>Realised sale price ($)</t>
  </si>
  <si>
    <t>Programme Shares</t>
  </si>
  <si>
    <t>OE Margin pre R&amp;D</t>
  </si>
  <si>
    <t>CFM56 OE Margin</t>
  </si>
  <si>
    <t>LEAP OE Margin</t>
  </si>
  <si>
    <t>LEAP start-up costs ($m)</t>
  </si>
  <si>
    <t>Aircraft delivery assumptions</t>
  </si>
  <si>
    <t>A320ceo deliveries</t>
  </si>
  <si>
    <t>A320neo deliveries</t>
  </si>
  <si>
    <t>Total A320 deliveries</t>
  </si>
  <si>
    <t>A320 rate per month</t>
  </si>
  <si>
    <t>737 NG deliveries</t>
  </si>
  <si>
    <t>737 MAX deliveries</t>
  </si>
  <si>
    <t>Total 737 deliveries</t>
  </si>
  <si>
    <t>737 rate per month</t>
  </si>
  <si>
    <t>CFM56 deliveries</t>
  </si>
  <si>
    <t>Engines per aircraft</t>
  </si>
  <si>
    <t>Implied engines</t>
  </si>
  <si>
    <t>Lead time adjustment</t>
  </si>
  <si>
    <t>Spares</t>
  </si>
  <si>
    <t>Spare engines</t>
  </si>
  <si>
    <t>Total engine deliveries</t>
  </si>
  <si>
    <t>Market share</t>
  </si>
  <si>
    <t>CFM56 deliveries for A320ceo</t>
  </si>
  <si>
    <t>B737NG deliveries</t>
  </si>
  <si>
    <t>CFM56 deliveries for B737 NG</t>
  </si>
  <si>
    <t>CFM56 Deliveries</t>
  </si>
  <si>
    <t>Delta vs disclosed</t>
  </si>
  <si>
    <t>LEAP deliveries</t>
  </si>
  <si>
    <t>LEAP 1-A deliveries</t>
  </si>
  <si>
    <t>737 MAX production</t>
  </si>
  <si>
    <t>LEAP 1-B deliveries</t>
  </si>
  <si>
    <t>No grounding 42*12*2</t>
  </si>
  <si>
    <t>Comac C919 deliveries</t>
  </si>
  <si>
    <t>LEAP 1-C deliveries</t>
  </si>
  <si>
    <t>LEAP Deliveries</t>
  </si>
  <si>
    <t>Propulsion Commercial AM $millions</t>
  </si>
  <si>
    <t>Aftermarket Revenues</t>
  </si>
  <si>
    <t>Total AM Revenue</t>
  </si>
  <si>
    <t xml:space="preserve">AM CFM56 </t>
  </si>
  <si>
    <t>AM  LEAP</t>
  </si>
  <si>
    <t>AM GE90</t>
  </si>
  <si>
    <t>AM Other (balancing fig)</t>
  </si>
  <si>
    <t>Civil Aftermarket EBIT</t>
  </si>
  <si>
    <t>Total AM EBIT pre R&amp;D</t>
  </si>
  <si>
    <t>Pre R&amp;D margin</t>
  </si>
  <si>
    <t>AM Other</t>
  </si>
  <si>
    <t>Installed Base</t>
  </si>
  <si>
    <t>Gen 1</t>
  </si>
  <si>
    <t>Gen 2</t>
  </si>
  <si>
    <t>Total Engines Additions</t>
  </si>
  <si>
    <t>Retirements</t>
  </si>
  <si>
    <t>Gen 2 (source: Cirium)</t>
  </si>
  <si>
    <t>Total Engines Retirements</t>
  </si>
  <si>
    <t>Retirments (as % of installed base)</t>
  </si>
  <si>
    <t>Observation: 6% per annum 23-25 to take 2025 fleet to SAF forecasted 19k.</t>
  </si>
  <si>
    <t>Total Installed Base</t>
  </si>
  <si>
    <t xml:space="preserve"> Shop Visits</t>
  </si>
  <si>
    <t>Implied Shop Visits</t>
  </si>
  <si>
    <t>Total CFM 56 shop visits</t>
  </si>
  <si>
    <t>% growth</t>
  </si>
  <si>
    <t>Group by SV - Fleet SV 5B-7B</t>
  </si>
  <si>
    <t>No SV</t>
  </si>
  <si>
    <t>SV1</t>
  </si>
  <si>
    <t>SV2 &amp;+</t>
  </si>
  <si>
    <t>Number SV 5B-7B</t>
  </si>
  <si>
    <t>Number SV1</t>
  </si>
  <si>
    <t>Number SV2+</t>
  </si>
  <si>
    <t>SV - Split by Type - GEN 1</t>
  </si>
  <si>
    <t>SV2</t>
  </si>
  <si>
    <t>SV2 +</t>
  </si>
  <si>
    <t>SV - Split by Type GEN 2</t>
  </si>
  <si>
    <t>Share SV 1&amp;2 within total of Gen 2</t>
  </si>
  <si>
    <t>SV 1&amp;2</t>
  </si>
  <si>
    <t>SV - Split by Type - TOTAL</t>
  </si>
  <si>
    <t>Revenue per SV - portion of total revenue</t>
  </si>
  <si>
    <t>Revenue (to Safran)</t>
  </si>
  <si>
    <t xml:space="preserve">80% revenue </t>
  </si>
  <si>
    <t>Avg Revenue  per SV</t>
  </si>
  <si>
    <t>Revenue per SV1</t>
  </si>
  <si>
    <t>Revenue per SV2</t>
  </si>
  <si>
    <t>Revenue per SV2 +</t>
  </si>
  <si>
    <t>Increase in Revenue per SV1</t>
  </si>
  <si>
    <t>Increase in Revenue per SV2</t>
  </si>
  <si>
    <t>Increase in Revenue per SV2 +</t>
  </si>
  <si>
    <t>LEAP revenue</t>
  </si>
  <si>
    <t>T&amp;M and ESPO Revenue to Safran</t>
  </si>
  <si>
    <t>Installed base</t>
  </si>
  <si>
    <t>CMD21 slide 60: revenue = cost until 2026</t>
  </si>
  <si>
    <t>% on ESPO and T&amp;M</t>
  </si>
  <si>
    <t>LEAP ESPH cash to Safran</t>
  </si>
  <si>
    <t>Fleet under ESPH - year end</t>
  </si>
  <si>
    <t>Avg Fleet ESPH</t>
  </si>
  <si>
    <t>ESPH revenue per year to Safran</t>
  </si>
  <si>
    <t>Safran Share</t>
  </si>
  <si>
    <t>%RPFH</t>
  </si>
  <si>
    <t>CMD21 slide 86: confirm trend towards RPFH agreements representing 60-70% of installed LEAP fleet</t>
  </si>
  <si>
    <t>% ESPO</t>
  </si>
  <si>
    <t>% ESPH</t>
  </si>
  <si>
    <t>% Time &amp; Materials</t>
  </si>
  <si>
    <t>LEAP ESPH revenue to Safran</t>
  </si>
  <si>
    <t>GE90 Aftermarket Revenue to Safran</t>
  </si>
  <si>
    <t>Shop Visits</t>
  </si>
  <si>
    <t xml:space="preserve">Revenue per shop visit $m </t>
  </si>
  <si>
    <t xml:space="preserve">Safran Share </t>
  </si>
  <si>
    <t>Pricing growth</t>
  </si>
  <si>
    <t>Shop visit content value growth</t>
  </si>
  <si>
    <t>Revenue per shop visit growth</t>
  </si>
  <si>
    <t>AM Revenue LEAP &amp; CFM56</t>
  </si>
  <si>
    <t>Spare parts and T&amp;M</t>
  </si>
  <si>
    <t>RPFH</t>
  </si>
  <si>
    <t>Working capital effect of ESPH agreements</t>
  </si>
  <si>
    <t>Delta between cash and ESPH revenue</t>
  </si>
  <si>
    <t>Assumed margin %</t>
  </si>
  <si>
    <t>LEAP working capital impact</t>
  </si>
  <si>
    <t>Equipment &amp; Defense</t>
  </si>
  <si>
    <t>% change</t>
  </si>
  <si>
    <t>Scope and FX (split not disclosed at sub-segment level)</t>
  </si>
  <si>
    <t>Adj. EBIT</t>
  </si>
  <si>
    <t>Non recurring income</t>
  </si>
  <si>
    <t>% of sales</t>
  </si>
  <si>
    <t>Capex</t>
  </si>
  <si>
    <t>% EBITA</t>
  </si>
  <si>
    <t>Total self-funded cash spend</t>
  </si>
  <si>
    <t>ow/ capitalised</t>
  </si>
  <si>
    <t>% capitalised</t>
  </si>
  <si>
    <t>Blended FX rate (EUR:USD)</t>
  </si>
  <si>
    <t>Number of units delivered</t>
  </si>
  <si>
    <t>A350 Lavatories</t>
  </si>
  <si>
    <t>A320 Emergency slides</t>
  </si>
  <si>
    <t>787 Primary power distribution system</t>
  </si>
  <si>
    <t>OLD WORKINGS</t>
  </si>
  <si>
    <t>After-market</t>
  </si>
  <si>
    <t>EBITA pre FX</t>
  </si>
  <si>
    <t>Adjusted EBITA</t>
  </si>
  <si>
    <t>D&amp;A as % of Revenue</t>
  </si>
  <si>
    <t>As % Revenue</t>
  </si>
  <si>
    <t>Research &amp; Development breakdown</t>
  </si>
  <si>
    <t>Segment assets</t>
  </si>
  <si>
    <t>Normalised tax rate</t>
  </si>
  <si>
    <t>ROCE</t>
  </si>
  <si>
    <t>OEM and Services Splits</t>
  </si>
  <si>
    <t>Landing &amp; Aircraft Systems (wheels &amp; brakes)</t>
  </si>
  <si>
    <t>Engine Systems &amp; Equipment (nacelles &amp;  power transmission)</t>
  </si>
  <si>
    <t>Electrical Systems &amp; Engineering (wiring)</t>
  </si>
  <si>
    <t>Other Equipment</t>
  </si>
  <si>
    <t>Total Equipment Revenue</t>
  </si>
  <si>
    <t>Landing &amp; Aircraft Systems</t>
  </si>
  <si>
    <t>Engine Systems &amp; Equipment</t>
  </si>
  <si>
    <t xml:space="preserve">Electrical Systems &amp; Engineering </t>
  </si>
  <si>
    <t>End Market Growth</t>
  </si>
  <si>
    <t>.</t>
  </si>
  <si>
    <t>Total landing gear sets</t>
  </si>
  <si>
    <t>Revenue €m</t>
  </si>
  <si>
    <t>EUR Revenue Growth</t>
  </si>
  <si>
    <t>Transaction FX</t>
  </si>
  <si>
    <t>Translation FX</t>
  </si>
  <si>
    <t>Cumulative FX revenue benefit</t>
  </si>
  <si>
    <t>Blended FX rate</t>
  </si>
  <si>
    <t>Revenue $m</t>
  </si>
  <si>
    <t>USD Revenue Growth</t>
  </si>
  <si>
    <t>Net exposure</t>
  </si>
  <si>
    <t>Net exposure $m</t>
  </si>
  <si>
    <t>Achieved rate</t>
  </si>
  <si>
    <t>Net exposure €m</t>
  </si>
  <si>
    <t>Cumulative FX profit benefit</t>
  </si>
  <si>
    <t>USD costs / Covered Revenues ($m)</t>
  </si>
  <si>
    <t>Average spot rate</t>
  </si>
  <si>
    <t>USD costs / Covered Revenues (€m)</t>
  </si>
  <si>
    <t>Revenue ex FX</t>
  </si>
  <si>
    <t>FX CHECK</t>
  </si>
  <si>
    <t>Defence &amp; Security</t>
  </si>
  <si>
    <t>(in millions €)</t>
  </si>
  <si>
    <t>Total adjusted Defence &amp; Security Revenue</t>
  </si>
  <si>
    <t>Defence EBITA</t>
  </si>
  <si>
    <t>Security EBITA</t>
  </si>
  <si>
    <t>Total adjusted Defence &amp; Security EBITA</t>
  </si>
  <si>
    <t>Defence Free Cash Flow</t>
  </si>
  <si>
    <t>Security Free Cash Flow</t>
  </si>
  <si>
    <t>Defence Orders</t>
  </si>
  <si>
    <t>Security Orders</t>
  </si>
  <si>
    <t>Total Orders</t>
  </si>
  <si>
    <t>Defence Backlog</t>
  </si>
  <si>
    <t>Security Backlog</t>
  </si>
  <si>
    <t>Split between OEM and services</t>
  </si>
  <si>
    <t>OEM -  Defence</t>
  </si>
  <si>
    <t>Aftermarket - Defence</t>
  </si>
  <si>
    <t>Other - Defence</t>
  </si>
  <si>
    <t>OEM - Security</t>
  </si>
  <si>
    <t>Aftermarket - Security</t>
  </si>
  <si>
    <t>Other - Security</t>
  </si>
  <si>
    <t>Total % split between OEM and services</t>
  </si>
  <si>
    <t>Original equipment</t>
  </si>
  <si>
    <t xml:space="preserve">After-market </t>
  </si>
  <si>
    <t xml:space="preserve">Total </t>
  </si>
  <si>
    <t>Defence split between OEM and services</t>
  </si>
  <si>
    <t>Security split between OEM and services</t>
  </si>
  <si>
    <t>Defence OEM</t>
  </si>
  <si>
    <t>Defence after-market</t>
  </si>
  <si>
    <t>Total Defence</t>
  </si>
  <si>
    <t>Security OEM</t>
  </si>
  <si>
    <t>Security after-market</t>
  </si>
  <si>
    <t>Total Security</t>
  </si>
  <si>
    <t>Total Defence &amp; Security revenue growth</t>
  </si>
  <si>
    <t>€ / $ average spot rate</t>
  </si>
  <si>
    <t>$ / € average spot rate</t>
  </si>
  <si>
    <t>USD appreciation</t>
  </si>
  <si>
    <t>% of Defence revenues in USD</t>
  </si>
  <si>
    <t>Defence FX translation tailwind / (headwind)</t>
  </si>
  <si>
    <t>% of Security revenues in USD</t>
  </si>
  <si>
    <t>Security FX translation tailwind / (headwind)</t>
  </si>
  <si>
    <t>10m contr</t>
  </si>
  <si>
    <t>OE (including retrofit)</t>
  </si>
  <si>
    <t>Adj. EBITA</t>
  </si>
  <si>
    <t>Adjusted EBITA margin</t>
  </si>
  <si>
    <t>Average spot ($/€)</t>
  </si>
  <si>
    <t>FX tailwind / (headwind)</t>
  </si>
  <si>
    <t>Legacy Zodiac Disclosure (inc. Aerosystems)</t>
  </si>
  <si>
    <t>Revenue splits</t>
  </si>
  <si>
    <t>OE &amp; Other</t>
  </si>
  <si>
    <t>Aerosystems revenue total</t>
  </si>
  <si>
    <t>Interiors revenue total</t>
  </si>
  <si>
    <t>EV</t>
  </si>
  <si>
    <t>SAF.PA</t>
  </si>
  <si>
    <t>RISK REWARD ANALYSIS</t>
  </si>
  <si>
    <t>Bear</t>
  </si>
  <si>
    <t>Base</t>
  </si>
  <si>
    <t>Bull</t>
  </si>
  <si>
    <t>SAFRAN (EURm)</t>
  </si>
  <si>
    <t>EBIT adjusted</t>
  </si>
  <si>
    <t>EV/EBIT assumptions</t>
  </si>
  <si>
    <t>-Less assets/(liabilities)</t>
  </si>
  <si>
    <t>Equity Value</t>
  </si>
  <si>
    <t>EV/EBIT Price Target</t>
  </si>
  <si>
    <t>Pretax gains/charges</t>
  </si>
  <si>
    <t>Profit before tax adjusted</t>
  </si>
  <si>
    <t>Taxes &amp; Other</t>
  </si>
  <si>
    <t>Tax rate %</t>
  </si>
  <si>
    <t>Net Income adjusted</t>
  </si>
  <si>
    <t>Shares</t>
  </si>
  <si>
    <t>Diluted EPS adjusted</t>
  </si>
  <si>
    <t>Applied P/E</t>
  </si>
  <si>
    <t>P/E Price Target</t>
  </si>
  <si>
    <t>SOTP Price target</t>
  </si>
  <si>
    <t>DCF Price target</t>
  </si>
  <si>
    <t>Blended Price target</t>
  </si>
  <si>
    <t>FY23</t>
  </si>
  <si>
    <t>FY24</t>
  </si>
  <si>
    <t>FY25</t>
  </si>
  <si>
    <t>EUR</t>
  </si>
  <si>
    <t>Europe</t>
  </si>
  <si>
    <t>Safran SA</t>
  </si>
  <si>
    <t>4Q23</t>
  </si>
  <si>
    <t>2H23</t>
  </si>
  <si>
    <t>Military Revenue (%)</t>
  </si>
  <si>
    <t>Helicopter Revenue (%)</t>
  </si>
  <si>
    <t>Spare engine discount</t>
  </si>
  <si>
    <t>1Q24</t>
  </si>
  <si>
    <t xml:space="preserve">Spares / balancing </t>
  </si>
  <si>
    <t>Spares / balancing</t>
  </si>
  <si>
    <t>2Q24</t>
  </si>
  <si>
    <t>1H24</t>
  </si>
  <si>
    <t>A320 landing gears sets</t>
  </si>
  <si>
    <t>A320 emergency slides</t>
  </si>
  <si>
    <t>A350 lavatories</t>
  </si>
  <si>
    <t>787 primary power distribution systems</t>
  </si>
  <si>
    <t>3Q24</t>
  </si>
  <si>
    <t>9M24</t>
  </si>
  <si>
    <t>CAGR (2024-27)</t>
  </si>
  <si>
    <t>PRSV SV volume</t>
  </si>
  <si>
    <t>Source: CMD24 slide 63</t>
  </si>
  <si>
    <t>Safran share (@50%)</t>
  </si>
  <si>
    <t>CMF SVs share</t>
  </si>
  <si>
    <t>CFM SV share (abs.)</t>
  </si>
  <si>
    <t>Safran share abs.)</t>
  </si>
  <si>
    <t>Source: CMD24 slide 66: Safran MRO capacity ramp to ~1,200 SV/yr</t>
  </si>
  <si>
    <t>CMD24: low 20s each year 24-28</t>
  </si>
  <si>
    <t>as % of Civil AM</t>
  </si>
  <si>
    <t>as % of Propulsion</t>
  </si>
  <si>
    <t>as % of Group</t>
  </si>
  <si>
    <t>CFM revenues (CFM56 / LEAP)</t>
  </si>
  <si>
    <t>CFM revenue split</t>
  </si>
  <si>
    <t>CFM profit split</t>
  </si>
  <si>
    <t xml:space="preserve">Civil aftermarket </t>
  </si>
  <si>
    <t>Spare parts</t>
  </si>
  <si>
    <t>Spare parts vs Services (abs.)</t>
  </si>
  <si>
    <t>Delta to our forecast</t>
  </si>
  <si>
    <t>Spare parts vs Services (share)</t>
  </si>
  <si>
    <t>4Q24</t>
  </si>
  <si>
    <t>2H24</t>
  </si>
  <si>
    <t>1Q25</t>
  </si>
  <si>
    <t>1H25</t>
  </si>
  <si>
    <t>2Q25</t>
  </si>
  <si>
    <t>Source: GE 1H25 slide 25, SAF CMD24 slide 65</t>
  </si>
  <si>
    <t>3Q25</t>
  </si>
  <si>
    <t>9M25</t>
  </si>
  <si>
    <t>Total C919 deliveries</t>
  </si>
  <si>
    <t>2028e</t>
  </si>
  <si>
    <t>4Q25</t>
  </si>
  <si>
    <t>2H25</t>
  </si>
  <si>
    <t>1Q26</t>
  </si>
  <si>
    <t>1H26</t>
  </si>
  <si>
    <t>2Q26</t>
  </si>
  <si>
    <t xml:space="preserve">20 Bank Street, Canary Wharf </t>
  </si>
  <si>
    <t xml:space="preserve">London E14 4AD </t>
  </si>
  <si>
    <t xml:space="preserve">United Kingdom </t>
  </si>
  <si>
    <t>Tel: +44 (0)20 7425 8000</t>
  </si>
  <si>
    <t>Authors: Ross Law,Marie-Ange Riggio</t>
  </si>
  <si>
    <t>Date: 31 Aug 2026</t>
  </si>
  <si>
    <t>Ticker: SAF.PA</t>
  </si>
  <si>
    <t>Stock Rating: Equal-weight</t>
  </si>
  <si>
    <t>Industry: Aerospace &amp; Defence</t>
  </si>
  <si>
    <t>Industry View: Attractive</t>
  </si>
  <si>
    <t>Price as of 31 Aug 2026: 344.20</t>
  </si>
  <si>
    <t>Target Price: 373.00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</si>
  <si>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</si>
  <si>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</si>
  <si>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</si>
  <si>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</si>
  <si>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</si>
  <si>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</si>
  <si>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</si>
  <si>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</si>
  <si>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Europe S.E., regulated by Bundesanstalt fuer Finanzdienstleistungsaufsicht (BaFin) and/or Morgan</t>
  </si>
  <si>
    <t>Stanley &amp; Co. International plc, authorized by the Prudential Regulation Authority and regulated by the</t>
  </si>
  <si>
    <t>Financial Conduct Authority and the Prudential Regulation Authority. Morgan Stanley &amp; Co. International</t>
  </si>
  <si>
    <t>plc disseminates in the UK research that it has prepared, and which has been prepared by any of its</t>
  </si>
  <si>
    <t>affiliates, only to persons who (i) are investment professionals falling within Article 19(5) of the</t>
  </si>
  <si>
    <t>Financial Services and Markets Act 2000 (Financial Promotion) Order 2005 (as amended, the “Order”); (ii)</t>
  </si>
  <si>
    <t>are persons who are high net worth entities falling within Article 49(2)(a) to (d) of the Order; or</t>
  </si>
  <si>
    <t>(iii) are persons to whom an invitation or inducement to engage in investment activity (within the</t>
  </si>
  <si>
    <t>meaning of section 21 of the Financial Services and Markets Act 2000, as amended) may otherwise lawfully</t>
  </si>
  <si>
    <t>be communicated or caused to be communicated. As used in this disclosure section, Morgan Stanley</t>
  </si>
  <si>
    <t>includes RMB Morgan Stanley Proprietary Limited, Morgan Stanley Europe S.E., Morgan Stanley &amp; Co</t>
  </si>
  <si>
    <t>International plc and its affiliates.</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</si>
  <si>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</si>
  <si>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</si>
  <si>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</si>
  <si>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</si>
  <si>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</si>
  <si>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</si>
  <si>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</si>
  <si>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</si>
  <si>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</si>
  <si>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</si>
  <si>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</si>
  <si>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</si>
  <si>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</si>
  <si>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</si>
  <si>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Ross Law, CFA.</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</si>
  <si>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</si>
  <si>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</si>
  <si>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</si>
  <si>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</si>
  <si>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</si>
  <si>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As of July 31, 2026, Morgan Stanley beneficially owned 1% or more of a class of common equity securities</t>
  </si>
  <si>
    <t>of the following companies covered in Morgan Stanley Research: Safran SA.</t>
  </si>
  <si>
    <t>In the next 3 months, Morgan Stanley expects to receive or intends to seek compensation for investment</t>
  </si>
  <si>
    <t>banking services from Safran SA.</t>
  </si>
  <si>
    <t>Within the last 12 months, Morgan Stanley has received compensation for products and services other than</t>
  </si>
  <si>
    <t>investment banking services from Safran SA.</t>
  </si>
  <si>
    <t>Within the last 12 months, Morgan Stanley has provided or is providing investment banking services to,</t>
  </si>
  <si>
    <t>or has an investment banking client relationship with, the following company: Safran SA.</t>
  </si>
  <si>
    <t>Within the last 12 months, Morgan Stanley has either provided or is providing non-investment banking,</t>
  </si>
  <si>
    <t>securities-related services to and/or in the past has entered into an agreement to provide services or</t>
  </si>
  <si>
    <t>has a client relationship with the following company: Safran SA.</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</si>
  <si>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</si>
  <si>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</si>
  <si>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</si>
  <si>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</si>
  <si>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</si>
  <si>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</si>
  <si>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</si>
  <si>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</si>
  <si>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</si>
  <si>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</si>
  <si>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</si>
  <si>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</si>
  <si>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</si>
  <si>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</si>
  <si>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</si>
  <si>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</si>
  <si>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</si>
  <si>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</si>
  <si>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</si>
  <si>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</si>
  <si>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</si>
  <si>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</si>
  <si>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</si>
  <si>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</si>
  <si>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</si>
  <si>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</si>
  <si>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July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</si>
  <si>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</si>
  <si>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</si>
  <si>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</si>
  <si>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</si>
  <si>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</si>
  <si>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</si>
  <si>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</si>
  <si>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</si>
  <si>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</si>
  <si>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</si>
  <si>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</si>
  <si>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</si>
  <si>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</si>
  <si>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</si>
  <si>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</si>
  <si>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</si>
  <si>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</si>
  <si>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</si>
  <si>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</si>
  <si>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</si>
  <si>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</si>
  <si>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</si>
  <si>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</si>
  <si>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</si>
  <si>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</si>
  <si>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</si>
  <si>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</si>
  <si>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</si>
  <si>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</si>
  <si>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</si>
  <si>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</si>
  <si>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</si>
  <si>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</si>
  <si>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</si>
  <si>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</si>
  <si>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</si>
  <si>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</si>
  <si>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</si>
  <si>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</si>
  <si>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</si>
  <si>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</si>
  <si>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</si>
  <si>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</si>
  <si>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</si>
  <si>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</si>
  <si>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</si>
  <si>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</si>
  <si>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</si>
  <si>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</si>
  <si>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</si>
  <si>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</si>
  <si>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</si>
  <si>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</si>
  <si>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</si>
  <si>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</si>
  <si>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</si>
  <si>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</si>
  <si>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</si>
  <si>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</si>
  <si>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</si>
  <si>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</si>
  <si>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</si>
  <si>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</si>
  <si>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</si>
  <si>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</si>
  <si>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</si>
  <si>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</si>
  <si>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</si>
  <si>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</si>
  <si>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</si>
  <si>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</si>
  <si>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</si>
  <si>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</si>
  <si>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</si>
  <si>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</si>
  <si>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</si>
  <si>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</si>
  <si>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</si>
  <si>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</si>
  <si>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</si>
  <si>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</si>
  <si>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</si>
  <si>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</si>
  <si>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</si>
  <si>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</si>
  <si>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</si>
  <si>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</si>
  <si>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</si>
  <si>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</si>
  <si>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</si>
  <si>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</si>
  <si>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</si>
  <si>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</si>
  <si>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</si>
  <si>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</si>
  <si>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(https://ny.matrix.ms.com/eqr/research/webapp/researchdocs/MSICPL_Morgan_Stanley_Research_Audit_Report.pdf).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</si>
  <si>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</si>
  <si>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</si>
  <si>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</si>
  <si>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</si>
  <si>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</si>
  <si>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</si>
  <si>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</si>
  <si>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</si>
  <si>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</si>
  <si>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</si>
  <si>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</si>
  <si>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</si>
  <si>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</si>
  <si>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</si>
  <si>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</si>
  <si>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</si>
  <si>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</si>
  <si>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</si>
  <si>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</si>
  <si>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</si>
  <si>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</si>
  <si>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</si>
  <si>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</si>
  <si>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</si>
  <si>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</si>
  <si>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</si>
  <si>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</si>
  <si>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</si>
  <si>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</si>
  <si>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</si>
  <si>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</si>
  <si>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</si>
  <si>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</si>
  <si>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</si>
  <si>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</si>
  <si>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</si>
  <si>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</si>
  <si>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</si>
  <si>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</si>
  <si>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</si>
  <si>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</si>
  <si>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</si>
  <si>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</si>
  <si>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</si>
  <si>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</si>
  <si>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</si>
  <si>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</si>
  <si>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</si>
  <si>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</si>
  <si>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</si>
  <si>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</si>
  <si>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</si>
  <si>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</si>
  <si>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</si>
  <si>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</si>
  <si>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</si>
  <si>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</si>
  <si>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</si>
  <si>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</si>
  <si>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</si>
  <si>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</si>
  <si>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</si>
  <si>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</si>
  <si>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</si>
  <si>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</si>
  <si>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</si>
  <si>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</si>
  <si>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</si>
  <si>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</si>
  <si>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</si>
  <si>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</si>
  <si>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</si>
  <si>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</si>
  <si>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</si>
  <si>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</si>
  <si>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</si>
  <si>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</si>
  <si>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</si>
  <si>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</si>
  <si>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</si>
  <si>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</si>
  <si>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</si>
  <si>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</si>
  <si>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</si>
  <si>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</si>
  <si>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</si>
  <si>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</si>
  <si>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</si>
  <si>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</si>
  <si>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</si>
  <si>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</si>
  <si>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</si>
  <si>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</si>
  <si>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</si>
  <si>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</si>
  <si>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</si>
  <si>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</si>
  <si>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</si>
  <si>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</si>
  <si>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</si>
  <si>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</si>
  <si>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</si>
  <si>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</si>
  <si>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</si>
  <si>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</si>
  <si>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</si>
  <si>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</si>
  <si>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</si>
  <si>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</si>
  <si>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</si>
  <si>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</si>
  <si>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</si>
  <si>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</si>
  <si>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</si>
  <si>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</si>
  <si>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</si>
  <si>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</si>
  <si>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</si>
  <si>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</si>
  <si>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</si>
  <si>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</si>
  <si>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</si>
  <si>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</si>
  <si>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</si>
  <si>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</si>
  <si>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</si>
  <si>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</si>
  <si>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</si>
  <si>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</si>
  <si>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</si>
  <si>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</si>
  <si>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</si>
  <si>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</si>
  <si>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</si>
  <si>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</si>
  <si>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</si>
  <si>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</si>
  <si>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</si>
  <si>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</si>
  <si>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</si>
  <si>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</si>
  <si>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</si>
  <si>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</si>
  <si>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</si>
  <si>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</si>
  <si>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</si>
  <si>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</si>
  <si>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</si>
  <si>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</si>
  <si>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</si>
  <si>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</si>
  <si>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</si>
  <si>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08/31/26 11:09</t>
  </si>
  <si>
    <t>Discipline</t>
  </si>
  <si>
    <t>Research</t>
  </si>
  <si>
    <t>ResearchTopic</t>
  </si>
  <si>
    <t>Company</t>
  </si>
  <si>
    <t>DocType</t>
  </si>
  <si>
    <t>Model</t>
  </si>
  <si>
    <t>SubjectCode</t>
  </si>
  <si>
    <t>Description</t>
  </si>
  <si>
    <t>KeepVersions</t>
  </si>
  <si>
    <t>All</t>
  </si>
  <si>
    <t>Rating</t>
  </si>
  <si>
    <t>Equal-weight / Attractive</t>
  </si>
  <si>
    <t>CurrYearTotalRevenue*</t>
  </si>
  <si>
    <t>CurrYearEPS*</t>
  </si>
  <si>
    <t>NextYearTotalRevenue*</t>
  </si>
  <si>
    <t>NextYearEPS*</t>
  </si>
  <si>
    <t>FollowingYearTotalRevenue*</t>
  </si>
  <si>
    <t>FollowingYearEPS*</t>
  </si>
  <si>
    <t>5YearGrowthRate</t>
  </si>
  <si>
    <t>UpdateReason</t>
  </si>
  <si>
    <t>Regular Update</t>
  </si>
  <si>
    <t>Authors</t>
  </si>
  <si>
    <t>MSA0J802, MSA7L876</t>
  </si>
  <si>
    <t>Tickers</t>
  </si>
  <si>
    <t>CUSIP</t>
  </si>
  <si>
    <t>RIC</t>
  </si>
  <si>
    <t>SEDOL</t>
  </si>
  <si>
    <t>B058TZ6</t>
  </si>
  <si>
    <t>Current Stock Price</t>
  </si>
  <si>
    <t>344.20</t>
  </si>
  <si>
    <t>PathName</t>
  </si>
  <si>
    <t>L:\aerospace\1_Companies\Safran\0_Models\safran - Copy for publishing.xlsm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</si>
  <si>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</si>
  <si>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</si>
  <si>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</si>
  <si>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</si>
  <si>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</si>
  <si>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</si>
  <si>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</si>
  <si>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</si>
  <si>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</si>
  <si>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</si>
  <si>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</si>
  <si>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</si>
  <si>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</si>
  <si>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</si>
  <si>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</si>
  <si>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ObjectType</t>
  </si>
  <si>
    <t>excel</t>
  </si>
  <si>
    <t>LanguageCode</t>
  </si>
  <si>
    <t>en-US</t>
  </si>
  <si>
    <t>SubmitterUserId</t>
  </si>
  <si>
    <t>giridhak</t>
  </si>
  <si>
    <t>IndustryId</t>
  </si>
  <si>
    <t>1700000864</t>
  </si>
  <si>
    <t>TickerRegion</t>
  </si>
  <si>
    <t>4</t>
  </si>
  <si>
    <t>AdditionalInstructions</t>
  </si>
  <si>
    <t>*Estimated</t>
  </si>
  <si>
    <t>OwnerTeam</t>
  </si>
  <si>
    <t>I1700000864</t>
  </si>
  <si>
    <t>[BRO MSA]</t>
  </si>
  <si>
    <t>[DOCDAT 2026-08-31]</t>
  </si>
  <si>
    <t>[DOCTIME 11:09]</t>
  </si>
  <si>
    <t>[PSYM SAF.PA(S&amp;P) (None)]</t>
  </si>
  <si>
    <t>[COU France]</t>
  </si>
  <si>
    <t>[PRODUCT MODEL]</t>
  </si>
  <si>
    <t>[ANA MSA7L876]</t>
  </si>
  <si>
    <t>[HL SAF.PA Model]</t>
  </si>
  <si>
    <t>[IND Aerospace &amp; Defence]</t>
  </si>
  <si>
    <t>[EMAIL_ALERT YES]</t>
  </si>
  <si>
    <t>[PANA  MSA0J802]</t>
  </si>
  <si>
    <t>[DISCIPLINE Company]</t>
  </si>
  <si>
    <t>[SUPPRESSED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</si>
</sst>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41" formatCode="_(* #,##0_);_(* \(#,##0\);_(* &quot;-&quot;_);_(@_)"/>
    <numFmt numFmtId="43" formatCode="_(* #,##0.00_);_(* \(#,##0.00\);_(* &quot;-&quot;??_);_(@_)"/>
    <numFmt numFmtId="164" formatCode="#,##0_);\(#,##0\);\-\-_)"/>
    <numFmt numFmtId="165" formatCode="0&quot;e&quot;"/>
    <numFmt numFmtId="166" formatCode="#,##0.0_);\(#,##0.0\);\-\-_)"/>
    <numFmt numFmtId="167" formatCode="#,##0.00_);\(#,##0.00\);\-\-_)"/>
    <numFmt numFmtId="168" formatCode="0.0%"/>
    <numFmt numFmtId="169" formatCode="0.0&quot;x&quot;"/>
    <numFmt numFmtId="170" formatCode="#,##0.000_);\(#,##0.000\);\-\-_)"/>
    <numFmt numFmtId="171" formatCode="\€0.00"/>
    <numFmt numFmtId="172" formatCode="_(* #,##0_);_(* \(#,##0\);_(* &quot;-&quot;??_);_(@_)"/>
    <numFmt numFmtId="173" formatCode="General&quot;e&quot;"/>
    <numFmt numFmtId="174" formatCode="0.000%"/>
    <numFmt numFmtId="175" formatCode="_(* #,##0.0_);_(* \(#,##0.0\);_(* &quot;-&quot;??_);_(@_)"/>
    <numFmt numFmtId="176" formatCode="_(* #,##0_);_(* \(#,##0\);_(* &quot;-&quot;?_);_(@_)"/>
    <numFmt numFmtId="177" formatCode="_(* #,##0.000_);_(* \(#,##0.000\);_(* &quot;-&quot;??_);_(@_)"/>
    <numFmt numFmtId="178" formatCode="_(* #,##0.0000_);_(* \(#,##0.0000\);_(* &quot;-&quot;??_);_(@_)"/>
    <numFmt numFmtId="179" formatCode="#,###_);\(#,###\);\-\-_)"/>
    <numFmt numFmtId="180" formatCode="#,###.0000_);\(#,###.0000\);\-\-_)"/>
    <numFmt numFmtId="181" formatCode="[$€-83C]#,##0.00_)"/>
    <numFmt numFmtId="182" formatCode="[$$-409]#,##0.00_)"/>
    <numFmt numFmtId="183" formatCode="_(* #,##0.00_);_(* \(#,##0.00\);_(* &quot;-&quot;?_);_(@_)"/>
    <numFmt numFmtId="184" formatCode="[$€-C07]\ #,##0.00"/>
    <numFmt numFmtId="185" formatCode="[$€-C07]\ #,##0"/>
    <numFmt numFmtId="186" formatCode="_-* #,##0_-;\-* #,##0_-;_-* &quot;-&quot;??_-;_-@_-"/>
    <numFmt numFmtId="187" formatCode="0.00&quot;x&quot;_)"/>
    <numFmt numFmtId="188" formatCode="#,##0.0"/>
    <numFmt numFmtId="189" formatCode="#,##0.0000_);\(#,##0.0000\);\-\-_)"/>
    <numFmt numFmtId="190" formatCode="0_);\(0\)"/>
    <numFmt numFmtId="191" formatCode="#,##0;\(#,##0\)"/>
    <numFmt numFmtId="192" formatCode="#,##0.00;\(#,##0.00\)"/>
    <numFmt numFmtId="193" formatCode="0&quot;bps&quot;"/>
    <numFmt numFmtId="194" formatCode="#,##0.0;\(#,##0.0\)"/>
  </numFmts>
  <fonts count="81" x14ac:knownFonts="1">
    <font>
      <sz val="11"/>
      <color theme="1"/>
      <name val="Calibri"/>
      <family val="2"/>
      <scheme val="minor"/>
    </font>
    <font>
      <sz val="11"/>
      <color theme="1"/>
      <name val="Calibri"/>
      <family val="2"/>
      <scheme val="minor"/>
    </font>
    <font>
      <sz val="8"/>
      <name val="Arial"/>
      <family val="2"/>
    </font>
    <font>
      <b/>
      <sz val="14"/>
      <color theme="0"/>
      <name val="Arial"/>
      <family val="2"/>
    </font>
    <font>
      <sz val="8"/>
      <color theme="0"/>
      <name val="Arial"/>
      <family val="2"/>
    </font>
    <font>
      <b/>
      <sz val="8"/>
      <color theme="0"/>
      <name val="Arial"/>
      <family val="2"/>
    </font>
    <font>
      <sz val="8"/>
      <color rgb="FFFF0000"/>
      <name val="Arial"/>
      <family val="2"/>
    </font>
    <font>
      <sz val="8"/>
      <color theme="4"/>
      <name val="Arial"/>
      <family val="2"/>
    </font>
    <font>
      <b/>
      <sz val="8"/>
      <name val="Arial"/>
      <family val="2"/>
    </font>
    <font>
      <b/>
      <sz val="8"/>
      <color theme="4"/>
      <name val="Arial"/>
      <family val="2"/>
    </font>
    <font>
      <sz val="10"/>
      <name val="Arial"/>
      <family val="2"/>
    </font>
    <font>
      <i/>
      <sz val="8"/>
      <name val="Arial"/>
      <family val="2"/>
    </font>
    <font>
      <sz val="8"/>
      <color theme="1"/>
      <name val="Arial"/>
      <family val="2"/>
    </font>
    <font>
      <b/>
      <sz val="9"/>
      <color indexed="81"/>
      <name val="Tahoma"/>
      <family val="2"/>
    </font>
    <font>
      <sz val="9"/>
      <color indexed="81"/>
      <name val="Tahoma"/>
      <family val="2"/>
    </font>
    <font>
      <b/>
      <sz val="8"/>
      <color indexed="14"/>
      <name val="Arial"/>
      <family val="2"/>
    </font>
    <font>
      <b/>
      <i/>
      <sz val="8"/>
      <color theme="0"/>
      <name val="Arial"/>
      <family val="2"/>
    </font>
    <font>
      <b/>
      <sz val="8"/>
      <color theme="1"/>
      <name val="Arial"/>
      <family val="2"/>
    </font>
    <font>
      <sz val="8"/>
      <color indexed="8"/>
      <name val="Arial"/>
      <family val="2"/>
    </font>
    <font>
      <sz val="8"/>
      <color indexed="14"/>
      <name val="Arial"/>
      <family val="2"/>
    </font>
    <font>
      <sz val="8"/>
      <color indexed="12"/>
      <name val="Arial"/>
      <family val="2"/>
    </font>
    <font>
      <sz val="8"/>
      <color theme="0" tint="-0.34998626667073579"/>
      <name val="Arial"/>
      <family val="2"/>
    </font>
    <font>
      <b/>
      <sz val="8"/>
      <color indexed="81"/>
      <name val="Tahoma"/>
      <family val="2"/>
    </font>
    <font>
      <sz val="8"/>
      <color indexed="81"/>
      <name val="Tahoma"/>
      <family val="2"/>
    </font>
    <font>
      <sz val="8"/>
      <color theme="0" tint="-0.499984740745262"/>
      <name val="Arial"/>
      <family val="2"/>
    </font>
    <font>
      <b/>
      <i/>
      <sz val="8"/>
      <name val="Arial"/>
      <family val="2"/>
    </font>
    <font>
      <i/>
      <sz val="8"/>
      <color theme="4"/>
      <name val="Arial"/>
      <family val="2"/>
    </font>
    <font>
      <b/>
      <i/>
      <sz val="8"/>
      <color theme="4"/>
      <name val="Arial"/>
      <family val="2"/>
    </font>
    <font>
      <b/>
      <u/>
      <sz val="8"/>
      <name val="Arial"/>
      <family val="2"/>
    </font>
    <font>
      <i/>
      <sz val="8"/>
      <color theme="0" tint="-0.499984740745262"/>
      <name val="Arial"/>
      <family val="2"/>
    </font>
    <font>
      <i/>
      <sz val="8"/>
      <color rgb="FFFF0000"/>
      <name val="Arial"/>
      <family val="2"/>
    </font>
    <font>
      <i/>
      <sz val="8"/>
      <color theme="8" tint="-0.249977111117893"/>
      <name val="Arial"/>
      <family val="2"/>
    </font>
    <font>
      <sz val="8"/>
      <color rgb="FF0070C0"/>
      <name val="Arial"/>
      <family val="2"/>
    </font>
    <font>
      <i/>
      <sz val="8"/>
      <color theme="0"/>
      <name val="Arial"/>
      <family val="2"/>
    </font>
    <font>
      <sz val="8"/>
      <color theme="0" tint="-0.249977111117893"/>
      <name val="Arial"/>
      <family val="2"/>
    </font>
    <font>
      <i/>
      <sz val="8"/>
      <color indexed="10"/>
      <name val="Arial"/>
      <family val="2"/>
    </font>
    <font>
      <b/>
      <sz val="8"/>
      <color indexed="9"/>
      <name val="Arial"/>
      <family val="2"/>
    </font>
    <font>
      <b/>
      <sz val="10"/>
      <name val="Arial"/>
      <family val="2"/>
    </font>
    <font>
      <b/>
      <sz val="12"/>
      <name val="Arial"/>
      <family val="2"/>
    </font>
    <font>
      <b/>
      <sz val="8"/>
      <color indexed="8"/>
      <name val="Arial"/>
      <family val="2"/>
    </font>
    <font>
      <b/>
      <i/>
      <sz val="8"/>
      <color indexed="8"/>
      <name val="Arial"/>
      <family val="2"/>
    </font>
    <font>
      <i/>
      <sz val="8"/>
      <color indexed="8"/>
      <name val="Arial"/>
      <family val="2"/>
    </font>
    <font>
      <i/>
      <sz val="8"/>
      <color indexed="12"/>
      <name val="Arial"/>
      <family val="2"/>
    </font>
    <font>
      <u/>
      <sz val="8"/>
      <name val="Arial"/>
      <family val="2"/>
    </font>
    <font>
      <i/>
      <u/>
      <sz val="8"/>
      <name val="Arial"/>
      <family val="2"/>
    </font>
    <font>
      <i/>
      <u/>
      <sz val="8"/>
      <color theme="5"/>
      <name val="Arial"/>
      <family val="2"/>
    </font>
    <font>
      <i/>
      <sz val="8"/>
      <color theme="5"/>
      <name val="Arial"/>
      <family val="2"/>
    </font>
    <font>
      <b/>
      <sz val="11"/>
      <name val="Arial"/>
      <family val="2"/>
    </font>
    <font>
      <sz val="11"/>
      <name val="Arial"/>
      <family val="2"/>
    </font>
    <font>
      <b/>
      <sz val="8"/>
      <color rgb="FFFF0000"/>
      <name val="Arial"/>
      <family val="2"/>
    </font>
    <font>
      <sz val="9"/>
      <name val="Arial"/>
      <family val="2"/>
    </font>
    <font>
      <b/>
      <sz val="9"/>
      <name val="Arial"/>
      <family val="2"/>
    </font>
    <font>
      <i/>
      <sz val="8"/>
      <color rgb="FF0070C0"/>
      <name val="Arial"/>
      <family val="2"/>
    </font>
    <font>
      <b/>
      <sz val="12"/>
      <color theme="0"/>
      <name val="Arial"/>
      <family val="2"/>
    </font>
    <font>
      <b/>
      <u/>
      <sz val="8"/>
      <color indexed="8"/>
      <name val="Arial"/>
      <family val="2"/>
    </font>
    <font>
      <sz val="8"/>
      <color theme="6"/>
      <name val="Arial"/>
      <family val="2"/>
    </font>
    <font>
      <i/>
      <sz val="11"/>
      <name val="Calibri"/>
      <family val="2"/>
      <scheme val="minor"/>
    </font>
    <font>
      <sz val="8"/>
      <color indexed="17"/>
      <name val="Arial"/>
      <family val="2"/>
    </font>
    <font>
      <b/>
      <sz val="8"/>
      <color rgb="FF0070C0"/>
      <name val="Arial"/>
      <family val="2"/>
    </font>
    <font>
      <sz val="8"/>
      <color indexed="21"/>
      <name val="Arial"/>
      <family val="2"/>
    </font>
    <font>
      <u/>
      <sz val="8"/>
      <color indexed="8"/>
      <name val="Arial"/>
      <family val="2"/>
    </font>
    <font>
      <i/>
      <sz val="8"/>
      <color theme="1"/>
      <name val="Arial"/>
      <family val="2"/>
    </font>
    <font>
      <sz val="12"/>
      <color theme="0"/>
      <name val="Arial"/>
      <family val="2"/>
    </font>
    <font>
      <sz val="12"/>
      <color theme="1"/>
      <name val="Arial"/>
      <family val="2"/>
    </font>
    <font>
      <sz val="12"/>
      <name val="Arial"/>
      <family val="2"/>
    </font>
    <font>
      <i/>
      <sz val="12"/>
      <color theme="1"/>
      <name val="Arial"/>
      <family val="2"/>
    </font>
    <font>
      <sz val="12"/>
      <color rgb="FFFF0000"/>
      <name val="Arial"/>
      <family val="2"/>
    </font>
    <font>
      <b/>
      <sz val="12"/>
      <color theme="1"/>
      <name val="Arial"/>
      <family val="2"/>
    </font>
    <font>
      <sz val="8"/>
      <name val="Malgun Gothic"/>
      <family val="2"/>
    </font>
    <font>
      <sz val="10"/>
      <color theme="0"/>
      <name val="Arial"/>
      <family val="2"/>
    </font>
    <font>
      <sz val="8"/>
      <color theme="1"/>
      <name val="Calibri"/>
      <family val="2"/>
      <scheme val="minor"/>
    </font>
    <font>
      <sz val="11"/>
      <name val="Calibri"/>
      <family val="2"/>
      <scheme val="minor"/>
    </font>
    <font>
      <b/>
      <sz val="8"/>
      <color theme="1"/>
      <name val="Calibri"/>
      <family val="2"/>
      <scheme val="minor"/>
    </font>
    <font>
      <sz val="10"/>
      <color theme="1"/>
      <name val="Arial"/>
      <family val="2"/>
    </font>
    <font>
      <b/>
      <i/>
      <sz val="8"/>
      <color theme="1"/>
      <name val="Arial"/>
      <family val="2"/>
    </font>
    <font>
      <u/>
      <sz val="8"/>
      <color theme="1"/>
      <name val="Arial"/>
      <family val="2"/>
    </font>
    <font>
      <sz val="11"/>
      <color theme="4"/>
      <name val="Calibri"/>
      <family val="2"/>
      <scheme val="minor"/>
    </font>
    <font>
      <sz val="10"/>
      <color rgb="FF000000"/>
      <name val="Arial"/>
      <family val="2"/>
    </font>
    <font>
      <i/>
      <sz val="10"/>
      <color rgb="FF000000"/>
      <name val="Arial"/>
      <family val="2"/>
    </font>
    <font>
      <sz val="11"/>
      <color theme="1"/>
      <name val="Arial"/>
      <family val="2"/>
    </font>
    <font>
      <b/>
      <sz val="12"/>
      <color rgb="FF000080"/>
      <name val="Arial"/>
      <family val="2"/>
    </font>
  </fonts>
  <fills count="15">
    <fill>
      <patternFill patternType="none"/>
    </fill>
    <fill>
      <patternFill patternType="gray125"/>
    </fill>
    <fill>
      <patternFill patternType="solid">
        <fgColor theme="0" tint="-0.499984740745262"/>
        <bgColor indexed="64"/>
      </patternFill>
    </fill>
    <fill>
      <patternFill patternType="solid">
        <fgColor theme="4"/>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bgColor indexed="64"/>
      </patternFill>
    </fill>
    <fill>
      <patternFill patternType="solid">
        <fgColor theme="0" tint="-4.9989318521683403E-2"/>
        <bgColor indexed="64"/>
      </patternFill>
    </fill>
    <fill>
      <patternFill patternType="solid">
        <fgColor indexed="22"/>
        <bgColor indexed="64"/>
      </patternFill>
    </fill>
    <fill>
      <patternFill patternType="solid">
        <fgColor theme="8" tint="0.79998168889431442"/>
        <bgColor indexed="64"/>
      </patternFill>
    </fill>
    <fill>
      <patternFill patternType="solid">
        <fgColor rgb="FF1075A6"/>
        <bgColor indexed="64"/>
      </patternFill>
    </fill>
    <fill>
      <patternFill patternType="solid">
        <fgColor rgb="FFFFC000"/>
        <bgColor indexed="64"/>
      </patternFill>
    </fill>
  </fills>
  <borders count="39">
    <border>
      <left/>
      <right/>
      <top/>
      <bottom/>
      <diagonal/>
    </border>
    <border>
      <left/>
      <right/>
      <top style="thin">
        <color indexed="64"/>
      </top>
      <bottom style="medium">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style="medium">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dotted">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dotted">
        <color indexed="64"/>
      </right>
      <top/>
      <bottom style="thin">
        <color indexed="64"/>
      </bottom>
      <diagonal/>
    </border>
    <border>
      <left style="thin">
        <color indexed="64"/>
      </left>
      <right/>
      <top style="thin">
        <color indexed="64"/>
      </top>
      <bottom/>
      <diagonal/>
    </border>
    <border>
      <left/>
      <right style="dotted">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dotted">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right style="dotted">
        <color auto="1"/>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diagonal/>
    </border>
    <border>
      <left style="thin">
        <color indexed="64"/>
      </left>
      <right style="thin">
        <color indexed="64"/>
      </right>
      <top/>
      <bottom style="dashed">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thin">
        <color indexed="64"/>
      </left>
      <right style="thin">
        <color indexed="64"/>
      </right>
      <top style="dashed">
        <color indexed="64"/>
      </top>
      <bottom style="thin">
        <color indexed="64"/>
      </bottom>
      <diagonal/>
    </border>
    <border>
      <left/>
      <right/>
      <top style="hair">
        <color auto="1"/>
      </top>
      <bottom/>
      <diagonal/>
    </border>
    <border>
      <left style="dotted">
        <color indexed="64"/>
      </left>
      <right/>
      <top/>
      <bottom/>
      <diagonal/>
    </border>
    <border>
      <left style="thin">
        <color auto="1"/>
      </left>
      <right/>
      <top style="thin">
        <color indexed="64"/>
      </top>
      <bottom style="medium">
        <color indexed="64"/>
      </bottom>
      <diagonal/>
    </border>
    <border>
      <left style="thin">
        <color auto="1"/>
      </left>
      <right/>
      <top style="hair">
        <color auto="1"/>
      </top>
      <bottom/>
      <diagonal/>
    </border>
    <border>
      <left style="dotted">
        <color indexed="64"/>
      </left>
      <right/>
      <top/>
      <bottom style="thin">
        <color indexed="64"/>
      </bottom>
      <diagonal/>
    </border>
  </borders>
  <cellStyleXfs count="15">
    <xf numFmtId="0" fontId="0" fillId="0" borderId="0"/>
    <xf numFmtId="9" fontId="1" fillId="0" borderId="0" applyFont="0" applyFill="0" applyBorder="0" applyAlignment="0" applyProtection="0"/>
    <xf numFmtId="164" fontId="2" fillId="0" borderId="0"/>
    <xf numFmtId="9" fontId="10" fillId="0" borderId="0" applyFont="0" applyFill="0" applyBorder="0" applyAlignment="0" applyProtection="0"/>
    <xf numFmtId="43" fontId="10" fillId="0" borderId="0" applyFont="0" applyFill="0" applyBorder="0" applyAlignment="0" applyProtection="0"/>
    <xf numFmtId="179" fontId="2" fillId="0" borderId="0">
      <alignment vertical="top"/>
    </xf>
    <xf numFmtId="9" fontId="10" fillId="0" borderId="0" applyFont="0" applyFill="0" applyBorder="0" applyAlignment="0" applyProtection="0"/>
    <xf numFmtId="164" fontId="50" fillId="0" borderId="0" applyFill="0" applyBorder="0" applyAlignment="0" applyProtection="0"/>
    <xf numFmtId="9" fontId="1" fillId="0" borderId="0" applyFont="0" applyFill="0" applyBorder="0" applyAlignment="0" applyProtection="0"/>
    <xf numFmtId="0" fontId="1" fillId="0" borderId="0"/>
    <xf numFmtId="0" fontId="10" fillId="0" borderId="0"/>
    <xf numFmtId="9" fontId="10" fillId="0" borderId="0" applyFont="0" applyFill="0" applyBorder="0" applyAlignment="0" applyProtection="0"/>
    <xf numFmtId="0" fontId="10" fillId="0" borderId="0"/>
    <xf numFmtId="0" fontId="10" fillId="0" borderId="0" applyNumberFormat="0" applyFill="0" applyBorder="0" applyAlignment="0" applyProtection="0"/>
    <xf numFmtId="43" fontId="1" fillId="0" borderId="0" applyFont="0" applyFill="0" applyBorder="0" applyAlignment="0" applyProtection="0"/>
  </cellStyleXfs>
  <cellXfs count="1741">
    <xf numFmtId="0" fontId="0" fillId="0" borderId="0" xfId="0"/>
    <xf numFmtId="164" fontId="3" fillId="2" borderId="0" xfId="2" applyFont="1" applyFill="1"/>
    <xf numFmtId="164" fontId="4" fillId="2" borderId="0" xfId="2" applyFont="1" applyFill="1"/>
    <xf numFmtId="164" fontId="2" fillId="3" borderId="0" xfId="2" applyFill="1"/>
    <xf numFmtId="164" fontId="2" fillId="0" borderId="0" xfId="2"/>
    <xf numFmtId="164" fontId="5" fillId="2" borderId="0" xfId="2" applyFont="1" applyFill="1"/>
    <xf numFmtId="0" fontId="5" fillId="2" borderId="0" xfId="2" applyNumberFormat="1" applyFont="1" applyFill="1"/>
    <xf numFmtId="165" fontId="5" fillId="3" borderId="0" xfId="2" applyNumberFormat="1" applyFont="1" applyFill="1"/>
    <xf numFmtId="166" fontId="2" fillId="0" borderId="0" xfId="2" applyNumberFormat="1"/>
    <xf numFmtId="166" fontId="6" fillId="0" borderId="0" xfId="2" applyNumberFormat="1" applyFont="1"/>
    <xf numFmtId="166" fontId="7" fillId="0" borderId="0" xfId="2" applyNumberFormat="1" applyFont="1"/>
    <xf numFmtId="164" fontId="7" fillId="0" borderId="0" xfId="2" applyFont="1"/>
    <xf numFmtId="164" fontId="8" fillId="0" borderId="1" xfId="2" applyFont="1" applyBorder="1"/>
    <xf numFmtId="164" fontId="9" fillId="0" borderId="1" xfId="2" applyFont="1" applyBorder="1"/>
    <xf numFmtId="9" fontId="0" fillId="0" borderId="0" xfId="3" applyFont="1"/>
    <xf numFmtId="167" fontId="2" fillId="0" borderId="0" xfId="2" applyNumberFormat="1"/>
    <xf numFmtId="167" fontId="7" fillId="0" borderId="0" xfId="2" applyNumberFormat="1" applyFont="1"/>
    <xf numFmtId="164" fontId="2" fillId="0" borderId="0" xfId="2" applyAlignment="1">
      <alignment horizontal="right"/>
    </xf>
    <xf numFmtId="9" fontId="11" fillId="0" borderId="0" xfId="3" applyFont="1" applyFill="1"/>
    <xf numFmtId="9" fontId="11" fillId="0" borderId="0" xfId="3" applyFont="1" applyFill="1" applyBorder="1"/>
    <xf numFmtId="9" fontId="11" fillId="0" borderId="0" xfId="3" applyFont="1"/>
    <xf numFmtId="168" fontId="12" fillId="0" borderId="0" xfId="3" applyNumberFormat="1" applyFont="1" applyFill="1"/>
    <xf numFmtId="168" fontId="7" fillId="0" borderId="0" xfId="3" applyNumberFormat="1" applyFont="1" applyFill="1"/>
    <xf numFmtId="9" fontId="0" fillId="0" borderId="0" xfId="3" applyFont="1" applyFill="1"/>
    <xf numFmtId="168" fontId="12" fillId="0" borderId="0" xfId="3" applyNumberFormat="1" applyFont="1" applyFill="1" applyBorder="1"/>
    <xf numFmtId="168" fontId="7" fillId="0" borderId="0" xfId="3" applyNumberFormat="1" applyFont="1"/>
    <xf numFmtId="169" fontId="2" fillId="0" borderId="0" xfId="2" applyNumberFormat="1"/>
    <xf numFmtId="170" fontId="2" fillId="0" borderId="0" xfId="2" applyNumberFormat="1"/>
    <xf numFmtId="168" fontId="0" fillId="0" borderId="0" xfId="3" applyNumberFormat="1" applyFont="1" applyFill="1" applyBorder="1"/>
    <xf numFmtId="169" fontId="2" fillId="0" borderId="0" xfId="2" applyNumberFormat="1" applyAlignment="1">
      <alignment horizontal="right"/>
    </xf>
    <xf numFmtId="168" fontId="0" fillId="0" borderId="0" xfId="3" applyNumberFormat="1" applyFont="1" applyFill="1"/>
    <xf numFmtId="9" fontId="12" fillId="0" borderId="0" xfId="3" applyFont="1" applyFill="1"/>
    <xf numFmtId="9" fontId="12" fillId="0" borderId="0" xfId="3" applyFont="1" applyFill="1" applyBorder="1"/>
    <xf numFmtId="9" fontId="7" fillId="0" borderId="0" xfId="3" applyFont="1"/>
    <xf numFmtId="164" fontId="12" fillId="0" borderId="0" xfId="2" applyFont="1"/>
    <xf numFmtId="171" fontId="15" fillId="0" borderId="0" xfId="4" applyNumberFormat="1" applyFont="1" applyBorder="1"/>
    <xf numFmtId="172" fontId="2" fillId="0" borderId="0" xfId="2" applyNumberFormat="1"/>
    <xf numFmtId="164" fontId="2" fillId="0" borderId="3" xfId="2" applyBorder="1" applyAlignment="1">
      <alignment horizontal="right"/>
    </xf>
    <xf numFmtId="164" fontId="2" fillId="0" borderId="4" xfId="2" applyBorder="1"/>
    <xf numFmtId="164" fontId="16" fillId="4" borderId="5" xfId="2" applyFont="1" applyFill="1" applyBorder="1"/>
    <xf numFmtId="0" fontId="5" fillId="4" borderId="0" xfId="2" applyNumberFormat="1" applyFont="1" applyFill="1"/>
    <xf numFmtId="0" fontId="5" fillId="4" borderId="0" xfId="2" applyNumberFormat="1" applyFont="1" applyFill="1" applyAlignment="1">
      <alignment horizontal="right"/>
    </xf>
    <xf numFmtId="164" fontId="5" fillId="4" borderId="0" xfId="2" applyFont="1" applyFill="1"/>
    <xf numFmtId="0" fontId="5" fillId="4" borderId="3" xfId="2" applyNumberFormat="1" applyFont="1" applyFill="1" applyBorder="1"/>
    <xf numFmtId="173" fontId="5" fillId="3" borderId="0" xfId="2" applyNumberFormat="1" applyFont="1" applyFill="1"/>
    <xf numFmtId="173" fontId="17" fillId="0" borderId="4" xfId="2" applyNumberFormat="1" applyFont="1" applyBorder="1"/>
    <xf numFmtId="164" fontId="18" fillId="0" borderId="0" xfId="2" applyFont="1" applyAlignment="1">
      <alignment horizontal="right"/>
    </xf>
    <xf numFmtId="164" fontId="6" fillId="0" borderId="0" xfId="2" applyFont="1" applyAlignment="1">
      <alignment horizontal="right"/>
    </xf>
    <xf numFmtId="174" fontId="2" fillId="0" borderId="0" xfId="3" applyNumberFormat="1" applyFont="1" applyFill="1" applyBorder="1"/>
    <xf numFmtId="172" fontId="2" fillId="0" borderId="0" xfId="4" applyNumberFormat="1" applyFont="1" applyFill="1" applyBorder="1"/>
    <xf numFmtId="172" fontId="2" fillId="0" borderId="0" xfId="4" applyNumberFormat="1" applyFont="1"/>
    <xf numFmtId="172" fontId="8" fillId="0" borderId="0" xfId="4" applyNumberFormat="1" applyFont="1"/>
    <xf numFmtId="9" fontId="2" fillId="0" borderId="0" xfId="3" applyFont="1"/>
    <xf numFmtId="172" fontId="2" fillId="0" borderId="0" xfId="4" applyNumberFormat="1" applyFont="1" applyBorder="1"/>
    <xf numFmtId="172" fontId="18" fillId="0" borderId="0" xfId="4" applyNumberFormat="1" applyFont="1" applyFill="1" applyBorder="1"/>
    <xf numFmtId="172" fontId="2" fillId="0" borderId="3" xfId="4" applyNumberFormat="1" applyFont="1" applyBorder="1"/>
    <xf numFmtId="172" fontId="2" fillId="0" borderId="4" xfId="4" applyNumberFormat="1" applyFont="1" applyBorder="1"/>
    <xf numFmtId="175" fontId="2" fillId="0" borderId="0" xfId="4" applyNumberFormat="1" applyFont="1" applyFill="1" applyBorder="1" applyAlignment="1">
      <alignment horizontal="right"/>
    </xf>
    <xf numFmtId="172" fontId="2" fillId="0" borderId="0" xfId="4" applyNumberFormat="1" applyFont="1" applyFill="1" applyBorder="1" applyAlignment="1">
      <alignment horizontal="right"/>
    </xf>
    <xf numFmtId="172" fontId="7" fillId="0" borderId="0" xfId="4" applyNumberFormat="1" applyFont="1"/>
    <xf numFmtId="172" fontId="6" fillId="0" borderId="0" xfId="4" applyNumberFormat="1" applyFont="1"/>
    <xf numFmtId="9" fontId="18" fillId="0" borderId="0" xfId="3" applyFont="1" applyFill="1" applyBorder="1"/>
    <xf numFmtId="172" fontId="20" fillId="0" borderId="0" xfId="4" applyNumberFormat="1" applyFont="1" applyFill="1" applyBorder="1"/>
    <xf numFmtId="172" fontId="21" fillId="0" borderId="0" xfId="4" applyNumberFormat="1" applyFont="1"/>
    <xf numFmtId="172" fontId="12" fillId="0" borderId="0" xfId="4" applyNumberFormat="1" applyFont="1"/>
    <xf numFmtId="9" fontId="2" fillId="0" borderId="4" xfId="3" applyFont="1" applyBorder="1"/>
    <xf numFmtId="172" fontId="6" fillId="0" borderId="0" xfId="4" applyNumberFormat="1" applyFont="1" applyBorder="1"/>
    <xf numFmtId="172" fontId="2" fillId="0" borderId="2" xfId="4" applyNumberFormat="1" applyFont="1" applyBorder="1"/>
    <xf numFmtId="176" fontId="2" fillId="0" borderId="2" xfId="4" applyNumberFormat="1" applyFont="1" applyBorder="1"/>
    <xf numFmtId="176" fontId="7" fillId="0" borderId="0" xfId="4" applyNumberFormat="1" applyFont="1" applyFill="1" applyBorder="1"/>
    <xf numFmtId="172" fontId="8" fillId="0" borderId="0" xfId="4" applyNumberFormat="1" applyFont="1" applyBorder="1"/>
    <xf numFmtId="172" fontId="8" fillId="0" borderId="6" xfId="4" applyNumberFormat="1" applyFont="1" applyBorder="1"/>
    <xf numFmtId="172" fontId="8" fillId="0" borderId="7" xfId="4" applyNumberFormat="1" applyFont="1" applyBorder="1"/>
    <xf numFmtId="172" fontId="9" fillId="0" borderId="6" xfId="4" applyNumberFormat="1" applyFont="1" applyBorder="1"/>
    <xf numFmtId="177" fontId="18" fillId="0" borderId="0" xfId="4" applyNumberFormat="1" applyFont="1" applyFill="1" applyBorder="1"/>
    <xf numFmtId="176" fontId="2" fillId="0" borderId="0" xfId="4" applyNumberFormat="1" applyFont="1" applyBorder="1"/>
    <xf numFmtId="176" fontId="2" fillId="0" borderId="3" xfId="4" applyNumberFormat="1" applyFont="1" applyBorder="1"/>
    <xf numFmtId="176" fontId="6" fillId="0" borderId="0" xfId="4" applyNumberFormat="1" applyFont="1" applyFill="1" applyBorder="1"/>
    <xf numFmtId="176" fontId="2" fillId="0" borderId="8" xfId="4" applyNumberFormat="1" applyFont="1" applyBorder="1"/>
    <xf numFmtId="176" fontId="7" fillId="0" borderId="2" xfId="4" applyNumberFormat="1" applyFont="1" applyBorder="1"/>
    <xf numFmtId="172" fontId="8" fillId="0" borderId="3" xfId="4" applyNumberFormat="1" applyFont="1" applyBorder="1"/>
    <xf numFmtId="172" fontId="9" fillId="0" borderId="0" xfId="4" applyNumberFormat="1" applyFont="1"/>
    <xf numFmtId="168" fontId="2" fillId="0" borderId="0" xfId="3" applyNumberFormat="1" applyFont="1"/>
    <xf numFmtId="168" fontId="2" fillId="0" borderId="0" xfId="3" applyNumberFormat="1" applyFont="1" applyBorder="1"/>
    <xf numFmtId="168" fontId="2" fillId="0" borderId="0" xfId="3" applyNumberFormat="1" applyFont="1" applyBorder="1" applyAlignment="1">
      <alignment horizontal="right"/>
    </xf>
    <xf numFmtId="168" fontId="2" fillId="0" borderId="3" xfId="3" applyNumberFormat="1" applyFont="1" applyBorder="1"/>
    <xf numFmtId="168" fontId="2" fillId="0" borderId="0" xfId="4" applyNumberFormat="1" applyFont="1" applyBorder="1"/>
    <xf numFmtId="0" fontId="2" fillId="0" borderId="0" xfId="3" applyNumberFormat="1" applyFont="1"/>
    <xf numFmtId="168" fontId="8" fillId="0" borderId="0" xfId="3" applyNumberFormat="1" applyFont="1"/>
    <xf numFmtId="168" fontId="8" fillId="0" borderId="0" xfId="3" applyNumberFormat="1" applyFont="1" applyBorder="1"/>
    <xf numFmtId="168" fontId="8" fillId="0" borderId="0" xfId="3" applyNumberFormat="1" applyFont="1" applyBorder="1" applyAlignment="1">
      <alignment horizontal="right"/>
    </xf>
    <xf numFmtId="168" fontId="8" fillId="0" borderId="3" xfId="3" applyNumberFormat="1" applyFont="1" applyBorder="1"/>
    <xf numFmtId="168" fontId="9" fillId="0" borderId="0" xfId="3" applyNumberFormat="1" applyFont="1"/>
    <xf numFmtId="9" fontId="8" fillId="0" borderId="0" xfId="3" applyFont="1"/>
    <xf numFmtId="9" fontId="8" fillId="0" borderId="0" xfId="3" applyFont="1" applyBorder="1"/>
    <xf numFmtId="9" fontId="8" fillId="0" borderId="3" xfId="3" applyFont="1" applyBorder="1"/>
    <xf numFmtId="168" fontId="2" fillId="0" borderId="3" xfId="3" applyNumberFormat="1" applyFont="1" applyFill="1" applyBorder="1"/>
    <xf numFmtId="168" fontId="7" fillId="0" borderId="0" xfId="3" applyNumberFormat="1" applyFont="1" applyBorder="1"/>
    <xf numFmtId="172" fontId="21" fillId="0" borderId="0" xfId="4" applyNumberFormat="1" applyFont="1" applyBorder="1"/>
    <xf numFmtId="9" fontId="8" fillId="0" borderId="3" xfId="3" applyFont="1" applyFill="1" applyBorder="1"/>
    <xf numFmtId="168" fontId="8" fillId="0" borderId="3" xfId="3" applyNumberFormat="1" applyFont="1" applyFill="1" applyBorder="1"/>
    <xf numFmtId="168" fontId="2" fillId="0" borderId="0" xfId="3" applyNumberFormat="1" applyFont="1" applyFill="1"/>
    <xf numFmtId="172" fontId="2" fillId="0" borderId="0" xfId="4" applyNumberFormat="1" applyFont="1" applyFill="1"/>
    <xf numFmtId="9" fontId="2" fillId="0" borderId="0" xfId="3" applyFont="1" applyFill="1"/>
    <xf numFmtId="9" fontId="2" fillId="0" borderId="0" xfId="3" applyFont="1" applyFill="1" applyBorder="1"/>
    <xf numFmtId="9" fontId="2" fillId="0" borderId="3" xfId="3" applyFont="1" applyFill="1" applyBorder="1"/>
    <xf numFmtId="172" fontId="7" fillId="0" borderId="0" xfId="4" applyNumberFormat="1" applyFont="1" applyBorder="1"/>
    <xf numFmtId="43" fontId="2" fillId="0" borderId="4" xfId="4" applyFont="1" applyBorder="1"/>
    <xf numFmtId="172" fontId="12" fillId="0" borderId="0" xfId="4" applyNumberFormat="1" applyFont="1" applyBorder="1"/>
    <xf numFmtId="172" fontId="6" fillId="0" borderId="0" xfId="4" applyNumberFormat="1" applyFont="1" applyFill="1" applyBorder="1"/>
    <xf numFmtId="41" fontId="2" fillId="0" borderId="2" xfId="4" applyNumberFormat="1" applyFont="1" applyBorder="1"/>
    <xf numFmtId="37" fontId="2" fillId="0" borderId="2" xfId="4" applyNumberFormat="1" applyFont="1" applyBorder="1"/>
    <xf numFmtId="172" fontId="9" fillId="0" borderId="6" xfId="4" applyNumberFormat="1" applyFont="1" applyFill="1" applyBorder="1"/>
    <xf numFmtId="168" fontId="2" fillId="0" borderId="4" xfId="3" applyNumberFormat="1" applyFont="1" applyBorder="1"/>
    <xf numFmtId="168" fontId="6" fillId="0" borderId="0" xfId="3" applyNumberFormat="1" applyFont="1" applyBorder="1"/>
    <xf numFmtId="176" fontId="2" fillId="0" borderId="0" xfId="4" applyNumberFormat="1" applyFont="1" applyFill="1" applyBorder="1"/>
    <xf numFmtId="176" fontId="2" fillId="0" borderId="3" xfId="4" applyNumberFormat="1" applyFont="1" applyFill="1" applyBorder="1"/>
    <xf numFmtId="176" fontId="2" fillId="0" borderId="2" xfId="4" applyNumberFormat="1" applyFont="1" applyFill="1" applyBorder="1"/>
    <xf numFmtId="176" fontId="2" fillId="0" borderId="8" xfId="4" applyNumberFormat="1" applyFont="1" applyFill="1" applyBorder="1"/>
    <xf numFmtId="176" fontId="7" fillId="0" borderId="2" xfId="4" applyNumberFormat="1" applyFont="1" applyFill="1" applyBorder="1"/>
    <xf numFmtId="172" fontId="2" fillId="0" borderId="0" xfId="3" applyNumberFormat="1" applyFont="1" applyFill="1"/>
    <xf numFmtId="172" fontId="2" fillId="0" borderId="4" xfId="3" applyNumberFormat="1" applyFont="1" applyFill="1" applyBorder="1"/>
    <xf numFmtId="172" fontId="2" fillId="0" borderId="0" xfId="3" applyNumberFormat="1" applyFont="1"/>
    <xf numFmtId="43" fontId="2" fillId="0" borderId="0" xfId="4" applyFont="1"/>
    <xf numFmtId="9" fontId="2" fillId="0" borderId="0" xfId="3" applyFont="1" applyBorder="1"/>
    <xf numFmtId="9" fontId="2" fillId="0" borderId="3" xfId="3" applyFont="1" applyBorder="1"/>
    <xf numFmtId="172" fontId="2" fillId="0" borderId="4" xfId="3" applyNumberFormat="1" applyFont="1" applyBorder="1"/>
    <xf numFmtId="168" fontId="2" fillId="0" borderId="4" xfId="4" applyNumberFormat="1" applyFont="1" applyBorder="1"/>
    <xf numFmtId="168" fontId="2" fillId="0" borderId="2" xfId="3" applyNumberFormat="1" applyFont="1" applyBorder="1"/>
    <xf numFmtId="168" fontId="2" fillId="0" borderId="8" xfId="3" applyNumberFormat="1" applyFont="1" applyBorder="1"/>
    <xf numFmtId="43" fontId="2" fillId="0" borderId="0" xfId="3" applyNumberFormat="1" applyFont="1"/>
    <xf numFmtId="10" fontId="2" fillId="0" borderId="0" xfId="3" applyNumberFormat="1" applyFont="1"/>
    <xf numFmtId="172" fontId="2" fillId="0" borderId="0" xfId="3" applyNumberFormat="1" applyFont="1" applyBorder="1"/>
    <xf numFmtId="172" fontId="2" fillId="0" borderId="3" xfId="4" applyNumberFormat="1" applyFont="1" applyFill="1" applyBorder="1"/>
    <xf numFmtId="178" fontId="2" fillId="0" borderId="0" xfId="4" applyNumberFormat="1" applyFont="1"/>
    <xf numFmtId="172" fontId="2" fillId="0" borderId="2" xfId="4" applyNumberFormat="1" applyFont="1" applyFill="1" applyBorder="1"/>
    <xf numFmtId="172" fontId="2" fillId="0" borderId="8" xfId="4" applyNumberFormat="1" applyFont="1" applyBorder="1"/>
    <xf numFmtId="172" fontId="7" fillId="0" borderId="2" xfId="4" applyNumberFormat="1" applyFont="1" applyBorder="1"/>
    <xf numFmtId="172" fontId="8" fillId="0" borderId="6" xfId="4" applyNumberFormat="1" applyFont="1" applyFill="1" applyBorder="1"/>
    <xf numFmtId="172" fontId="2" fillId="5" borderId="0" xfId="4" applyNumberFormat="1" applyFont="1" applyFill="1" applyBorder="1"/>
    <xf numFmtId="172" fontId="2" fillId="5" borderId="0" xfId="3" applyNumberFormat="1" applyFont="1" applyFill="1" applyBorder="1"/>
    <xf numFmtId="172" fontId="8" fillId="0" borderId="0" xfId="4" applyNumberFormat="1" applyFont="1" applyFill="1" applyBorder="1"/>
    <xf numFmtId="172" fontId="2" fillId="0" borderId="8" xfId="4" applyNumberFormat="1" applyFont="1" applyFill="1" applyBorder="1"/>
    <xf numFmtId="172" fontId="7" fillId="0" borderId="2" xfId="4" applyNumberFormat="1" applyFont="1" applyFill="1" applyBorder="1"/>
    <xf numFmtId="172" fontId="8" fillId="0" borderId="3" xfId="4" applyNumberFormat="1" applyFont="1" applyFill="1" applyBorder="1"/>
    <xf numFmtId="172" fontId="19" fillId="0" borderId="0" xfId="4" applyNumberFormat="1" applyFont="1" applyBorder="1"/>
    <xf numFmtId="172" fontId="7" fillId="0" borderId="0" xfId="4" applyNumberFormat="1" applyFont="1" applyFill="1" applyBorder="1"/>
    <xf numFmtId="172" fontId="8" fillId="0" borderId="0" xfId="4" applyNumberFormat="1" applyFont="1" applyFill="1"/>
    <xf numFmtId="172" fontId="2" fillId="0" borderId="4" xfId="4" applyNumberFormat="1" applyFont="1" applyFill="1" applyBorder="1"/>
    <xf numFmtId="172" fontId="9" fillId="0" borderId="0" xfId="4" applyNumberFormat="1" applyFont="1" applyFill="1" applyBorder="1"/>
    <xf numFmtId="172" fontId="2" fillId="5" borderId="3" xfId="4" applyNumberFormat="1" applyFont="1" applyFill="1" applyBorder="1"/>
    <xf numFmtId="168" fontId="2" fillId="0" borderId="0" xfId="3" applyNumberFormat="1" applyFont="1" applyFill="1" applyBorder="1"/>
    <xf numFmtId="168" fontId="2" fillId="0" borderId="4" xfId="3" applyNumberFormat="1" applyFont="1" applyFill="1" applyBorder="1"/>
    <xf numFmtId="172" fontId="2" fillId="0" borderId="6" xfId="4" applyNumberFormat="1" applyFont="1" applyFill="1" applyBorder="1"/>
    <xf numFmtId="172" fontId="8" fillId="0" borderId="7" xfId="4" applyNumberFormat="1" applyFont="1" applyFill="1" applyBorder="1"/>
    <xf numFmtId="168" fontId="7" fillId="0" borderId="0" xfId="3" applyNumberFormat="1" applyFont="1" applyFill="1" applyBorder="1"/>
    <xf numFmtId="172" fontId="0" fillId="0" borderId="2" xfId="4" applyNumberFormat="1" applyFont="1" applyFill="1" applyBorder="1"/>
    <xf numFmtId="168" fontId="2" fillId="0" borderId="2" xfId="3" applyNumberFormat="1" applyFont="1" applyFill="1" applyBorder="1"/>
    <xf numFmtId="168" fontId="2" fillId="0" borderId="8" xfId="3" applyNumberFormat="1" applyFont="1" applyFill="1" applyBorder="1"/>
    <xf numFmtId="168" fontId="7" fillId="0" borderId="2" xfId="3" applyNumberFormat="1" applyFont="1" applyFill="1" applyBorder="1"/>
    <xf numFmtId="168" fontId="7" fillId="0" borderId="8" xfId="3" applyNumberFormat="1" applyFont="1" applyFill="1" applyBorder="1"/>
    <xf numFmtId="179" fontId="16" fillId="4" borderId="0" xfId="5" applyFont="1" applyFill="1" applyAlignment="1"/>
    <xf numFmtId="164" fontId="4" fillId="4" borderId="0" xfId="2" applyFont="1" applyFill="1"/>
    <xf numFmtId="164" fontId="5" fillId="4" borderId="4" xfId="2" applyFont="1" applyFill="1" applyBorder="1" applyAlignment="1">
      <alignment horizontal="center"/>
    </xf>
    <xf numFmtId="164" fontId="5" fillId="4" borderId="0" xfId="2" applyFont="1" applyFill="1" applyAlignment="1">
      <alignment horizontal="center"/>
    </xf>
    <xf numFmtId="164" fontId="5" fillId="4" borderId="9" xfId="2" applyFont="1" applyFill="1" applyBorder="1" applyAlignment="1">
      <alignment horizontal="center"/>
    </xf>
    <xf numFmtId="164" fontId="5" fillId="4" borderId="3" xfId="2" applyFont="1" applyFill="1" applyBorder="1" applyAlignment="1">
      <alignment horizontal="center"/>
    </xf>
    <xf numFmtId="164" fontId="5" fillId="3" borderId="9" xfId="2" applyFont="1" applyFill="1" applyBorder="1" applyAlignment="1">
      <alignment horizontal="center"/>
    </xf>
    <xf numFmtId="164" fontId="5" fillId="3" borderId="0" xfId="2" applyFont="1" applyFill="1" applyAlignment="1">
      <alignment horizontal="center"/>
    </xf>
    <xf numFmtId="164" fontId="5" fillId="3" borderId="3" xfId="2" applyFont="1" applyFill="1" applyBorder="1" applyAlignment="1">
      <alignment horizontal="center"/>
    </xf>
    <xf numFmtId="164" fontId="5" fillId="3" borderId="4" xfId="2" applyFont="1" applyFill="1" applyBorder="1" applyAlignment="1">
      <alignment horizontal="center"/>
    </xf>
    <xf numFmtId="179" fontId="8" fillId="6" borderId="0" xfId="5" applyFont="1" applyFill="1" applyAlignment="1"/>
    <xf numFmtId="164" fontId="10" fillId="6" borderId="0" xfId="2" applyFont="1" applyFill="1"/>
    <xf numFmtId="164" fontId="2" fillId="6" borderId="4" xfId="2" applyFill="1" applyBorder="1"/>
    <xf numFmtId="164" fontId="2" fillId="6" borderId="0" xfId="2" applyFill="1"/>
    <xf numFmtId="164" fontId="2" fillId="6" borderId="9" xfId="2" applyFill="1" applyBorder="1"/>
    <xf numFmtId="164" fontId="2" fillId="6" borderId="3" xfId="2" applyFill="1" applyBorder="1"/>
    <xf numFmtId="167" fontId="2" fillId="6" borderId="4" xfId="2" applyNumberFormat="1" applyFill="1" applyBorder="1"/>
    <xf numFmtId="167" fontId="2" fillId="6" borderId="0" xfId="2" applyNumberFormat="1" applyFill="1"/>
    <xf numFmtId="164" fontId="2" fillId="0" borderId="9" xfId="2" applyBorder="1"/>
    <xf numFmtId="164" fontId="2" fillId="0" borderId="3" xfId="2" applyBorder="1"/>
    <xf numFmtId="164" fontId="7" fillId="0" borderId="9" xfId="2" applyFont="1" applyBorder="1"/>
    <xf numFmtId="164" fontId="7" fillId="0" borderId="3" xfId="2" applyFont="1" applyBorder="1"/>
    <xf numFmtId="164" fontId="8" fillId="7" borderId="0" xfId="2" applyFont="1" applyFill="1"/>
    <xf numFmtId="164" fontId="2" fillId="7" borderId="0" xfId="2" applyFill="1"/>
    <xf numFmtId="164" fontId="8" fillId="7" borderId="0" xfId="2" applyFont="1" applyFill="1" applyAlignment="1">
      <alignment horizontal="right"/>
    </xf>
    <xf numFmtId="164" fontId="8" fillId="0" borderId="0" xfId="2" applyFont="1"/>
    <xf numFmtId="164" fontId="24" fillId="0" borderId="0" xfId="2" applyFont="1"/>
    <xf numFmtId="164" fontId="24" fillId="0" borderId="9" xfId="2" applyFont="1" applyBorder="1"/>
    <xf numFmtId="164" fontId="24" fillId="0" borderId="3" xfId="2" applyFont="1" applyBorder="1"/>
    <xf numFmtId="164" fontId="8" fillId="0" borderId="4" xfId="5" applyNumberFormat="1" applyFont="1" applyBorder="1" applyAlignment="1"/>
    <xf numFmtId="164" fontId="8" fillId="0" borderId="0" xfId="5" applyNumberFormat="1" applyFont="1" applyAlignment="1"/>
    <xf numFmtId="164" fontId="8" fillId="0" borderId="9" xfId="5" applyNumberFormat="1" applyFont="1" applyBorder="1" applyAlignment="1"/>
    <xf numFmtId="164" fontId="8" fillId="0" borderId="3" xfId="5" applyNumberFormat="1" applyFont="1" applyBorder="1" applyAlignment="1"/>
    <xf numFmtId="164" fontId="9" fillId="0" borderId="9" xfId="5" applyNumberFormat="1" applyFont="1" applyBorder="1" applyAlignment="1"/>
    <xf numFmtId="164" fontId="9" fillId="0" borderId="0" xfId="5" applyNumberFormat="1" applyFont="1" applyAlignment="1"/>
    <xf numFmtId="164" fontId="9" fillId="0" borderId="3" xfId="5" applyNumberFormat="1" applyFont="1" applyBorder="1" applyAlignment="1"/>
    <xf numFmtId="164" fontId="11" fillId="0" borderId="0" xfId="2" applyFont="1"/>
    <xf numFmtId="164" fontId="2" fillId="5" borderId="4" xfId="2" applyFill="1" applyBorder="1"/>
    <xf numFmtId="164" fontId="2" fillId="5" borderId="0" xfId="2" applyFill="1"/>
    <xf numFmtId="164" fontId="2" fillId="5" borderId="9" xfId="2" applyFill="1" applyBorder="1"/>
    <xf numFmtId="164" fontId="2" fillId="5" borderId="3" xfId="2" applyFill="1" applyBorder="1"/>
    <xf numFmtId="164" fontId="25" fillId="0" borderId="0" xfId="2" applyFont="1"/>
    <xf numFmtId="9" fontId="11" fillId="0" borderId="4" xfId="3" applyFont="1" applyBorder="1"/>
    <xf numFmtId="9" fontId="11" fillId="0" borderId="0" xfId="3" applyFont="1" applyBorder="1"/>
    <xf numFmtId="9" fontId="11" fillId="0" borderId="9" xfId="3" applyFont="1" applyBorder="1"/>
    <xf numFmtId="9" fontId="11" fillId="0" borderId="0" xfId="3" applyFont="1" applyFill="1" applyBorder="1" applyAlignment="1"/>
    <xf numFmtId="9" fontId="11" fillId="0" borderId="3" xfId="3" applyFont="1" applyFill="1" applyBorder="1" applyAlignment="1"/>
    <xf numFmtId="164" fontId="25" fillId="0" borderId="3" xfId="5" applyNumberFormat="1" applyFont="1" applyBorder="1" applyAlignment="1"/>
    <xf numFmtId="9" fontId="26" fillId="0" borderId="9" xfId="3" applyFont="1" applyBorder="1"/>
    <xf numFmtId="9" fontId="26" fillId="0" borderId="0" xfId="3" applyFont="1" applyFill="1" applyBorder="1" applyAlignment="1"/>
    <xf numFmtId="164" fontId="27" fillId="0" borderId="3" xfId="5" applyNumberFormat="1" applyFont="1" applyBorder="1" applyAlignment="1"/>
    <xf numFmtId="9" fontId="26" fillId="0" borderId="4" xfId="3" applyFont="1" applyBorder="1"/>
    <xf numFmtId="9" fontId="26" fillId="0" borderId="0" xfId="3" applyFont="1" applyBorder="1"/>
    <xf numFmtId="9" fontId="26" fillId="0" borderId="3" xfId="3" applyFont="1" applyFill="1" applyBorder="1" applyAlignment="1"/>
    <xf numFmtId="9" fontId="2" fillId="0" borderId="9" xfId="3" applyFont="1" applyBorder="1"/>
    <xf numFmtId="9" fontId="7" fillId="0" borderId="4" xfId="3" applyFont="1" applyBorder="1"/>
    <xf numFmtId="9" fontId="7" fillId="0" borderId="0" xfId="3" applyFont="1" applyBorder="1"/>
    <xf numFmtId="9" fontId="7" fillId="0" borderId="9" xfId="3" applyFont="1" applyBorder="1"/>
    <xf numFmtId="164" fontId="28" fillId="0" borderId="0" xfId="2" applyFont="1"/>
    <xf numFmtId="168" fontId="11" fillId="0" borderId="4" xfId="3" applyNumberFormat="1" applyFont="1" applyBorder="1" applyAlignment="1"/>
    <xf numFmtId="168" fontId="11" fillId="0" borderId="0" xfId="3" applyNumberFormat="1" applyFont="1" applyBorder="1" applyAlignment="1"/>
    <xf numFmtId="168" fontId="11" fillId="0" borderId="9" xfId="3" applyNumberFormat="1" applyFont="1" applyBorder="1" applyAlignment="1"/>
    <xf numFmtId="168" fontId="11" fillId="0" borderId="3" xfId="3" applyNumberFormat="1" applyFont="1" applyBorder="1" applyAlignment="1"/>
    <xf numFmtId="168" fontId="26" fillId="0" borderId="9" xfId="3" applyNumberFormat="1" applyFont="1" applyBorder="1" applyAlignment="1"/>
    <xf numFmtId="168" fontId="26" fillId="0" borderId="0" xfId="3" applyNumberFormat="1" applyFont="1" applyBorder="1" applyAlignment="1"/>
    <xf numFmtId="168" fontId="26" fillId="0" borderId="3" xfId="3" applyNumberFormat="1" applyFont="1" applyBorder="1" applyAlignment="1"/>
    <xf numFmtId="164" fontId="29" fillId="0" borderId="0" xfId="2" applyFont="1"/>
    <xf numFmtId="168" fontId="29" fillId="0" borderId="0" xfId="3" applyNumberFormat="1" applyFont="1" applyBorder="1" applyAlignment="1"/>
    <xf numFmtId="168" fontId="29" fillId="0" borderId="9" xfId="3" applyNumberFormat="1" applyFont="1" applyBorder="1" applyAlignment="1"/>
    <xf numFmtId="168" fontId="29" fillId="0" borderId="3" xfId="3" applyNumberFormat="1" applyFont="1" applyBorder="1" applyAlignment="1"/>
    <xf numFmtId="179" fontId="2" fillId="0" borderId="0" xfId="5">
      <alignment vertical="top"/>
    </xf>
    <xf numFmtId="9" fontId="11" fillId="0" borderId="4" xfId="3" applyFont="1" applyBorder="1" applyAlignment="1"/>
    <xf numFmtId="9" fontId="11" fillId="0" borderId="0" xfId="3" applyFont="1" applyBorder="1" applyAlignment="1"/>
    <xf numFmtId="9" fontId="11" fillId="0" borderId="9" xfId="3" applyFont="1" applyBorder="1" applyAlignment="1"/>
    <xf numFmtId="9" fontId="11" fillId="0" borderId="3" xfId="3" applyFont="1" applyBorder="1" applyAlignment="1"/>
    <xf numFmtId="168" fontId="25" fillId="0" borderId="0" xfId="2" applyNumberFormat="1" applyFont="1"/>
    <xf numFmtId="168" fontId="2" fillId="0" borderId="0" xfId="2" applyNumberFormat="1"/>
    <xf numFmtId="168" fontId="25" fillId="0" borderId="4" xfId="3" applyNumberFormat="1" applyFont="1" applyBorder="1" applyAlignment="1"/>
    <xf numFmtId="168" fontId="25" fillId="0" borderId="0" xfId="3" applyNumberFormat="1" applyFont="1" applyBorder="1" applyAlignment="1"/>
    <xf numFmtId="168" fontId="25" fillId="0" borderId="9" xfId="3" applyNumberFormat="1" applyFont="1" applyBorder="1" applyAlignment="1"/>
    <xf numFmtId="168" fontId="25" fillId="0" borderId="3" xfId="3" applyNumberFormat="1" applyFont="1" applyBorder="1" applyAlignment="1"/>
    <xf numFmtId="168" fontId="27" fillId="0" borderId="9" xfId="3" applyNumberFormat="1" applyFont="1" applyBorder="1" applyAlignment="1"/>
    <xf numFmtId="168" fontId="27" fillId="0" borderId="0" xfId="3" applyNumberFormat="1" applyFont="1" applyBorder="1" applyAlignment="1"/>
    <xf numFmtId="168" fontId="27" fillId="0" borderId="3" xfId="3" applyNumberFormat="1" applyFont="1" applyBorder="1" applyAlignment="1"/>
    <xf numFmtId="179" fontId="8" fillId="0" borderId="0" xfId="5" applyFont="1" applyAlignment="1"/>
    <xf numFmtId="168" fontId="11" fillId="0" borderId="4" xfId="2" applyNumberFormat="1" applyFont="1" applyBorder="1"/>
    <xf numFmtId="168" fontId="11" fillId="0" borderId="0" xfId="2" applyNumberFormat="1" applyFont="1"/>
    <xf numFmtId="168" fontId="11" fillId="0" borderId="9" xfId="3" applyNumberFormat="1" applyFont="1" applyFill="1" applyBorder="1"/>
    <xf numFmtId="168" fontId="11" fillId="0" borderId="0" xfId="3" applyNumberFormat="1" applyFont="1"/>
    <xf numFmtId="168" fontId="11" fillId="0" borderId="3" xfId="3" applyNumberFormat="1" applyFont="1" applyBorder="1"/>
    <xf numFmtId="168" fontId="11" fillId="0" borderId="3" xfId="2" applyNumberFormat="1" applyFont="1" applyBorder="1"/>
    <xf numFmtId="168" fontId="26" fillId="0" borderId="9" xfId="2" applyNumberFormat="1" applyFont="1" applyBorder="1"/>
    <xf numFmtId="168" fontId="26" fillId="0" borderId="0" xfId="2" applyNumberFormat="1" applyFont="1"/>
    <xf numFmtId="168" fontId="26" fillId="0" borderId="3" xfId="2" applyNumberFormat="1" applyFont="1" applyBorder="1"/>
    <xf numFmtId="168" fontId="11" fillId="0" borderId="9" xfId="2" applyNumberFormat="1" applyFont="1" applyBorder="1"/>
    <xf numFmtId="168" fontId="29" fillId="0" borderId="0" xfId="2" applyNumberFormat="1" applyFont="1"/>
    <xf numFmtId="168" fontId="29" fillId="0" borderId="9" xfId="2" applyNumberFormat="1" applyFont="1" applyBorder="1"/>
    <xf numFmtId="168" fontId="29" fillId="0" borderId="3" xfId="2" applyNumberFormat="1" applyFont="1" applyBorder="1"/>
    <xf numFmtId="168" fontId="25" fillId="0" borderId="4" xfId="3" applyNumberFormat="1" applyFont="1" applyBorder="1"/>
    <xf numFmtId="168" fontId="25" fillId="0" borderId="0" xfId="3" applyNumberFormat="1" applyFont="1" applyBorder="1"/>
    <xf numFmtId="168" fontId="25" fillId="0" borderId="0" xfId="3" applyNumberFormat="1" applyFont="1" applyFill="1" applyBorder="1"/>
    <xf numFmtId="168" fontId="25" fillId="0" borderId="9" xfId="3" applyNumberFormat="1" applyFont="1" applyBorder="1"/>
    <xf numFmtId="168" fontId="25" fillId="0" borderId="3" xfId="3" applyNumberFormat="1" applyFont="1" applyBorder="1"/>
    <xf numFmtId="168" fontId="27" fillId="0" borderId="9" xfId="3" applyNumberFormat="1" applyFont="1" applyBorder="1"/>
    <xf numFmtId="168" fontId="27" fillId="0" borderId="0" xfId="3" applyNumberFormat="1" applyFont="1" applyBorder="1"/>
    <xf numFmtId="168" fontId="27" fillId="0" borderId="10" xfId="3" applyNumberFormat="1" applyFont="1" applyBorder="1"/>
    <xf numFmtId="168" fontId="27" fillId="0" borderId="3" xfId="3" applyNumberFormat="1" applyFont="1" applyBorder="1"/>
    <xf numFmtId="168" fontId="11" fillId="0" borderId="4" xfId="3" applyNumberFormat="1" applyFont="1" applyBorder="1"/>
    <xf numFmtId="168" fontId="11" fillId="5" borderId="0" xfId="3" applyNumberFormat="1" applyFont="1" applyFill="1" applyBorder="1"/>
    <xf numFmtId="168" fontId="11" fillId="5" borderId="9" xfId="3" applyNumberFormat="1" applyFont="1" applyFill="1" applyBorder="1"/>
    <xf numFmtId="168" fontId="11" fillId="0" borderId="4" xfId="3" applyNumberFormat="1" applyFont="1" applyFill="1" applyBorder="1"/>
    <xf numFmtId="168" fontId="11" fillId="0" borderId="0" xfId="3" applyNumberFormat="1" applyFont="1" applyFill="1" applyBorder="1"/>
    <xf numFmtId="168" fontId="26" fillId="0" borderId="9" xfId="3" applyNumberFormat="1" applyFont="1" applyFill="1" applyBorder="1"/>
    <xf numFmtId="168" fontId="26" fillId="0" borderId="0" xfId="3" applyNumberFormat="1" applyFont="1" applyFill="1" applyBorder="1"/>
    <xf numFmtId="168" fontId="11" fillId="0" borderId="3" xfId="3" applyNumberFormat="1" applyFont="1" applyFill="1" applyBorder="1"/>
    <xf numFmtId="168" fontId="26" fillId="0" borderId="3" xfId="3" applyNumberFormat="1" applyFont="1" applyFill="1" applyBorder="1"/>
    <xf numFmtId="168" fontId="30" fillId="0" borderId="0" xfId="3" applyNumberFormat="1" applyFont="1" applyFill="1" applyBorder="1"/>
    <xf numFmtId="168" fontId="11" fillId="0" borderId="0" xfId="3" applyNumberFormat="1" applyFont="1" applyBorder="1"/>
    <xf numFmtId="9" fontId="2" fillId="5" borderId="0" xfId="2" applyNumberFormat="1" applyFill="1"/>
    <xf numFmtId="164" fontId="7" fillId="5" borderId="0" xfId="2" applyFont="1" applyFill="1"/>
    <xf numFmtId="9" fontId="2" fillId="0" borderId="0" xfId="2" applyNumberFormat="1"/>
    <xf numFmtId="164" fontId="8" fillId="0" borderId="4" xfId="2" applyFont="1" applyBorder="1"/>
    <xf numFmtId="164" fontId="8" fillId="0" borderId="9" xfId="2" applyFont="1" applyBorder="1"/>
    <xf numFmtId="164" fontId="8" fillId="0" borderId="3" xfId="2" applyFont="1" applyBorder="1"/>
    <xf numFmtId="164" fontId="9" fillId="0" borderId="0" xfId="2" applyFont="1"/>
    <xf numFmtId="164" fontId="9" fillId="0" borderId="3" xfId="2" applyFont="1" applyBorder="1"/>
    <xf numFmtId="179" fontId="7" fillId="0" borderId="3" xfId="2" applyNumberFormat="1" applyFont="1" applyBorder="1"/>
    <xf numFmtId="179" fontId="2" fillId="0" borderId="4" xfId="2" applyNumberFormat="1" applyBorder="1"/>
    <xf numFmtId="179" fontId="2" fillId="0" borderId="0" xfId="2" applyNumberFormat="1"/>
    <xf numFmtId="179" fontId="2" fillId="0" borderId="9" xfId="2" applyNumberFormat="1" applyBorder="1"/>
    <xf numFmtId="179" fontId="2" fillId="0" borderId="3" xfId="2" applyNumberFormat="1" applyBorder="1"/>
    <xf numFmtId="168" fontId="31" fillId="0" borderId="0" xfId="3" applyNumberFormat="1" applyFont="1" applyBorder="1" applyAlignment="1"/>
    <xf numFmtId="168" fontId="31" fillId="0" borderId="9" xfId="3" applyNumberFormat="1" applyFont="1" applyBorder="1" applyAlignment="1"/>
    <xf numFmtId="168" fontId="31" fillId="0" borderId="3" xfId="3" applyNumberFormat="1" applyFont="1" applyBorder="1" applyAlignment="1"/>
    <xf numFmtId="180" fontId="2" fillId="0" borderId="0" xfId="2" applyNumberFormat="1"/>
    <xf numFmtId="179" fontId="6" fillId="0" borderId="3" xfId="2" applyNumberFormat="1" applyFont="1" applyBorder="1"/>
    <xf numFmtId="164" fontId="9" fillId="5" borderId="0" xfId="2" applyFont="1" applyFill="1"/>
    <xf numFmtId="168" fontId="11" fillId="0" borderId="9" xfId="3" applyNumberFormat="1" applyFont="1" applyBorder="1"/>
    <xf numFmtId="168" fontId="26" fillId="0" borderId="0" xfId="3" applyNumberFormat="1" applyFont="1" applyBorder="1"/>
    <xf numFmtId="168" fontId="26" fillId="0" borderId="3" xfId="3" applyNumberFormat="1" applyFont="1" applyBorder="1"/>
    <xf numFmtId="164" fontId="9" fillId="0" borderId="10" xfId="2" applyFont="1" applyBorder="1"/>
    <xf numFmtId="164" fontId="9" fillId="0" borderId="10" xfId="5" applyNumberFormat="1" applyFont="1" applyBorder="1" applyAlignment="1"/>
    <xf numFmtId="179" fontId="2" fillId="0" borderId="10" xfId="2" applyNumberFormat="1" applyBorder="1"/>
    <xf numFmtId="166" fontId="2" fillId="0" borderId="4" xfId="2" applyNumberFormat="1" applyBorder="1"/>
    <xf numFmtId="166" fontId="2" fillId="0" borderId="9" xfId="2" applyNumberFormat="1" applyBorder="1"/>
    <xf numFmtId="166" fontId="2" fillId="0" borderId="3" xfId="2" applyNumberFormat="1" applyBorder="1"/>
    <xf numFmtId="166" fontId="7" fillId="0" borderId="10" xfId="2" applyNumberFormat="1" applyFont="1" applyBorder="1"/>
    <xf numFmtId="181" fontId="8" fillId="0" borderId="4" xfId="2" applyNumberFormat="1" applyFont="1" applyBorder="1"/>
    <xf numFmtId="181" fontId="8" fillId="0" borderId="0" xfId="2" applyNumberFormat="1" applyFont="1"/>
    <xf numFmtId="181" fontId="8" fillId="0" borderId="9" xfId="2" applyNumberFormat="1" applyFont="1" applyBorder="1"/>
    <xf numFmtId="181" fontId="8" fillId="0" borderId="3" xfId="2" applyNumberFormat="1" applyFont="1" applyBorder="1"/>
    <xf numFmtId="181" fontId="9" fillId="0" borderId="0" xfId="2" applyNumberFormat="1" applyFont="1"/>
    <xf numFmtId="181" fontId="9" fillId="0" borderId="10" xfId="2" applyNumberFormat="1" applyFont="1" applyBorder="1"/>
    <xf numFmtId="164" fontId="2" fillId="0" borderId="10" xfId="2" applyBorder="1"/>
    <xf numFmtId="182" fontId="2" fillId="0" borderId="4" xfId="2" applyNumberFormat="1" applyBorder="1"/>
    <xf numFmtId="182" fontId="2" fillId="0" borderId="0" xfId="2" applyNumberFormat="1"/>
    <xf numFmtId="182" fontId="2" fillId="0" borderId="9" xfId="2" applyNumberFormat="1" applyBorder="1"/>
    <xf numFmtId="182" fontId="2" fillId="0" borderId="3" xfId="2" applyNumberFormat="1" applyBorder="1"/>
    <xf numFmtId="182" fontId="7" fillId="0" borderId="0" xfId="2" applyNumberFormat="1" applyFont="1"/>
    <xf numFmtId="182" fontId="7" fillId="0" borderId="10" xfId="2" applyNumberFormat="1" applyFont="1" applyBorder="1"/>
    <xf numFmtId="182" fontId="32" fillId="0" borderId="0" xfId="2" applyNumberFormat="1" applyFont="1"/>
    <xf numFmtId="182" fontId="32" fillId="0" borderId="9" xfId="2" applyNumberFormat="1" applyFont="1" applyBorder="1"/>
    <xf numFmtId="182" fontId="32" fillId="0" borderId="10" xfId="2" applyNumberFormat="1" applyFont="1" applyBorder="1"/>
    <xf numFmtId="167" fontId="2" fillId="0" borderId="4" xfId="2" applyNumberFormat="1" applyBorder="1"/>
    <xf numFmtId="167" fontId="2" fillId="0" borderId="9" xfId="2" applyNumberFormat="1" applyBorder="1"/>
    <xf numFmtId="167" fontId="2" fillId="0" borderId="3" xfId="2" applyNumberFormat="1" applyBorder="1"/>
    <xf numFmtId="167" fontId="7" fillId="0" borderId="9" xfId="2" applyNumberFormat="1" applyFont="1" applyBorder="1"/>
    <xf numFmtId="167" fontId="7" fillId="0" borderId="3" xfId="2" applyNumberFormat="1" applyFont="1" applyBorder="1"/>
    <xf numFmtId="168" fontId="2" fillId="0" borderId="9" xfId="3" applyNumberFormat="1" applyFont="1" applyBorder="1"/>
    <xf numFmtId="168" fontId="0" fillId="0" borderId="0" xfId="3" applyNumberFormat="1" applyFont="1" applyBorder="1"/>
    <xf numFmtId="168" fontId="7" fillId="0" borderId="9" xfId="3" applyNumberFormat="1" applyFont="1" applyBorder="1"/>
    <xf numFmtId="168" fontId="0" fillId="0" borderId="3" xfId="3" applyNumberFormat="1" applyFont="1" applyBorder="1"/>
    <xf numFmtId="168" fontId="7" fillId="0" borderId="3" xfId="3" applyNumberFormat="1" applyFont="1" applyBorder="1"/>
    <xf numFmtId="168" fontId="0" fillId="0" borderId="9" xfId="3" applyNumberFormat="1" applyFont="1" applyBorder="1"/>
    <xf numFmtId="167" fontId="7" fillId="0" borderId="10" xfId="2" applyNumberFormat="1" applyFont="1" applyBorder="1"/>
    <xf numFmtId="168" fontId="7" fillId="0" borderId="10" xfId="3" applyNumberFormat="1" applyFont="1" applyBorder="1"/>
    <xf numFmtId="164" fontId="8" fillId="5" borderId="4" xfId="2" applyFont="1" applyFill="1" applyBorder="1"/>
    <xf numFmtId="164" fontId="8" fillId="5" borderId="0" xfId="2" applyFont="1" applyFill="1"/>
    <xf numFmtId="164" fontId="8" fillId="5" borderId="9" xfId="2" applyFont="1" applyFill="1" applyBorder="1"/>
    <xf numFmtId="164" fontId="8" fillId="5" borderId="3" xfId="2" applyFont="1" applyFill="1" applyBorder="1"/>
    <xf numFmtId="164" fontId="8" fillId="0" borderId="10" xfId="2" applyFont="1" applyBorder="1"/>
    <xf numFmtId="168" fontId="25" fillId="5" borderId="4" xfId="2" applyNumberFormat="1" applyFont="1" applyFill="1" applyBorder="1"/>
    <xf numFmtId="168" fontId="25" fillId="5" borderId="0" xfId="2" applyNumberFormat="1" applyFont="1" applyFill="1"/>
    <xf numFmtId="168" fontId="25" fillId="5" borderId="9" xfId="2" applyNumberFormat="1" applyFont="1" applyFill="1" applyBorder="1"/>
    <xf numFmtId="168" fontId="25" fillId="8" borderId="0" xfId="2" applyNumberFormat="1" applyFont="1" applyFill="1"/>
    <xf numFmtId="168" fontId="25" fillId="8" borderId="3" xfId="2" applyNumberFormat="1" applyFont="1" applyFill="1" applyBorder="1"/>
    <xf numFmtId="168" fontId="25" fillId="0" borderId="3" xfId="2" applyNumberFormat="1" applyFont="1" applyBorder="1"/>
    <xf numFmtId="168" fontId="25" fillId="8" borderId="9" xfId="2" applyNumberFormat="1" applyFont="1" applyFill="1" applyBorder="1"/>
    <xf numFmtId="168" fontId="27" fillId="0" borderId="9" xfId="2" applyNumberFormat="1" applyFont="1" applyBorder="1"/>
    <xf numFmtId="168" fontId="27" fillId="0" borderId="0" xfId="2" applyNumberFormat="1" applyFont="1"/>
    <xf numFmtId="168" fontId="27" fillId="0" borderId="10" xfId="2" applyNumberFormat="1" applyFont="1" applyBorder="1"/>
    <xf numFmtId="168" fontId="8" fillId="5" borderId="4" xfId="3" applyNumberFormat="1" applyFont="1" applyFill="1" applyBorder="1"/>
    <xf numFmtId="168" fontId="8" fillId="5" borderId="0" xfId="3" applyNumberFormat="1" applyFont="1" applyFill="1" applyBorder="1"/>
    <xf numFmtId="168" fontId="8" fillId="5" borderId="9" xfId="3" applyNumberFormat="1" applyFont="1" applyFill="1" applyBorder="1"/>
    <xf numFmtId="168" fontId="8" fillId="5" borderId="3" xfId="3" applyNumberFormat="1" applyFont="1" applyFill="1" applyBorder="1"/>
    <xf numFmtId="168" fontId="8" fillId="0" borderId="9" xfId="3" applyNumberFormat="1" applyFont="1" applyBorder="1"/>
    <xf numFmtId="168" fontId="8" fillId="0" borderId="10" xfId="3" applyNumberFormat="1" applyFont="1" applyBorder="1"/>
    <xf numFmtId="164" fontId="7" fillId="5" borderId="9" xfId="2" applyFont="1" applyFill="1" applyBorder="1"/>
    <xf numFmtId="164" fontId="7" fillId="5" borderId="10" xfId="2" applyFont="1" applyFill="1" applyBorder="1"/>
    <xf numFmtId="164" fontId="9" fillId="5" borderId="9" xfId="2" applyFont="1" applyFill="1" applyBorder="1"/>
    <xf numFmtId="164" fontId="9" fillId="5" borderId="10" xfId="2" applyFont="1" applyFill="1" applyBorder="1"/>
    <xf numFmtId="168" fontId="26" fillId="0" borderId="9" xfId="3" applyNumberFormat="1" applyFont="1" applyBorder="1"/>
    <xf numFmtId="168" fontId="26" fillId="0" borderId="4" xfId="3" applyNumberFormat="1" applyFont="1" applyBorder="1"/>
    <xf numFmtId="168" fontId="27" fillId="0" borderId="4" xfId="3" applyNumberFormat="1" applyFont="1" applyBorder="1"/>
    <xf numFmtId="167" fontId="2" fillId="5" borderId="4" xfId="2" applyNumberFormat="1" applyFill="1" applyBorder="1"/>
    <xf numFmtId="167" fontId="2" fillId="5" borderId="0" xfId="2" applyNumberFormat="1" applyFill="1"/>
    <xf numFmtId="167" fontId="2" fillId="5" borderId="9" xfId="2" applyNumberFormat="1" applyFill="1" applyBorder="1"/>
    <xf numFmtId="167" fontId="2" fillId="5" borderId="3" xfId="2" applyNumberFormat="1" applyFill="1" applyBorder="1"/>
    <xf numFmtId="167" fontId="7" fillId="5" borderId="9" xfId="2" applyNumberFormat="1" applyFont="1" applyFill="1" applyBorder="1"/>
    <xf numFmtId="167" fontId="7" fillId="5" borderId="0" xfId="2" applyNumberFormat="1" applyFont="1" applyFill="1"/>
    <xf numFmtId="167" fontId="7" fillId="5" borderId="3" xfId="2" applyNumberFormat="1" applyFont="1" applyFill="1" applyBorder="1"/>
    <xf numFmtId="167" fontId="8" fillId="0" borderId="0" xfId="2" applyNumberFormat="1" applyFont="1"/>
    <xf numFmtId="164" fontId="7" fillId="5" borderId="3" xfId="2" applyFont="1" applyFill="1" applyBorder="1"/>
    <xf numFmtId="164" fontId="7" fillId="5" borderId="4" xfId="2" applyFont="1" applyFill="1" applyBorder="1"/>
    <xf numFmtId="164" fontId="9" fillId="5" borderId="3" xfId="2" applyFont="1" applyFill="1" applyBorder="1"/>
    <xf numFmtId="164" fontId="9" fillId="5" borderId="4" xfId="2" applyFont="1" applyFill="1" applyBorder="1"/>
    <xf numFmtId="168" fontId="0" fillId="0" borderId="0" xfId="3" applyNumberFormat="1" applyFont="1"/>
    <xf numFmtId="168" fontId="2" fillId="5" borderId="4" xfId="3" applyNumberFormat="1" applyFont="1" applyFill="1" applyBorder="1"/>
    <xf numFmtId="168" fontId="2" fillId="5" borderId="0" xfId="3" applyNumberFormat="1" applyFont="1" applyFill="1" applyBorder="1"/>
    <xf numFmtId="168" fontId="2" fillId="5" borderId="9" xfId="3" applyNumberFormat="1" applyFont="1" applyFill="1" applyBorder="1"/>
    <xf numFmtId="168" fontId="2" fillId="5" borderId="3" xfId="3" applyNumberFormat="1" applyFont="1" applyFill="1" applyBorder="1"/>
    <xf numFmtId="168" fontId="7" fillId="5" borderId="9" xfId="3" applyNumberFormat="1" applyFont="1" applyFill="1" applyBorder="1"/>
    <xf numFmtId="168" fontId="7" fillId="5" borderId="0" xfId="3" applyNumberFormat="1" applyFont="1" applyFill="1" applyBorder="1"/>
    <xf numFmtId="168" fontId="7" fillId="5" borderId="3" xfId="3" applyNumberFormat="1" applyFont="1" applyFill="1" applyBorder="1"/>
    <xf numFmtId="168" fontId="7" fillId="5" borderId="4" xfId="3" applyNumberFormat="1" applyFont="1" applyFill="1" applyBorder="1"/>
    <xf numFmtId="9" fontId="2" fillId="5" borderId="0" xfId="3" applyFont="1" applyFill="1" applyBorder="1"/>
    <xf numFmtId="9" fontId="2" fillId="5" borderId="9" xfId="3" applyFont="1" applyFill="1" applyBorder="1"/>
    <xf numFmtId="9" fontId="7" fillId="5" borderId="0" xfId="3" applyFont="1" applyFill="1" applyBorder="1"/>
    <xf numFmtId="9" fontId="7" fillId="5" borderId="9" xfId="3" applyFont="1" applyFill="1" applyBorder="1"/>
    <xf numFmtId="164" fontId="6" fillId="5" borderId="0" xfId="2" applyFont="1" applyFill="1"/>
    <xf numFmtId="164" fontId="2" fillId="8" borderId="4" xfId="2" applyFill="1" applyBorder="1"/>
    <xf numFmtId="164" fontId="2" fillId="8" borderId="0" xfId="2" applyFill="1"/>
    <xf numFmtId="168" fontId="2" fillId="8" borderId="4" xfId="3" applyNumberFormat="1" applyFont="1" applyFill="1" applyBorder="1"/>
    <xf numFmtId="168" fontId="2" fillId="8" borderId="0" xfId="3" applyNumberFormat="1" applyFont="1" applyFill="1" applyBorder="1"/>
    <xf numFmtId="179" fontId="8" fillId="0" borderId="4" xfId="2" applyNumberFormat="1" applyFont="1" applyBorder="1"/>
    <xf numFmtId="179" fontId="8" fillId="0" borderId="0" xfId="2" applyNumberFormat="1" applyFont="1"/>
    <xf numFmtId="179" fontId="8" fillId="0" borderId="9" xfId="2" applyNumberFormat="1" applyFont="1" applyBorder="1"/>
    <xf numFmtId="179" fontId="8" fillId="0" borderId="3" xfId="2" applyNumberFormat="1" applyFont="1" applyBorder="1"/>
    <xf numFmtId="179" fontId="9" fillId="0" borderId="0" xfId="2" applyNumberFormat="1" applyFont="1"/>
    <xf numFmtId="179" fontId="9" fillId="0" borderId="3" xfId="2" applyNumberFormat="1" applyFont="1" applyBorder="1"/>
    <xf numFmtId="179" fontId="7" fillId="0" borderId="0" xfId="2" applyNumberFormat="1" applyFont="1"/>
    <xf numFmtId="179" fontId="2" fillId="5" borderId="0" xfId="2" applyNumberFormat="1" applyFill="1"/>
    <xf numFmtId="179" fontId="7" fillId="0" borderId="9" xfId="2" applyNumberFormat="1" applyFont="1" applyBorder="1"/>
    <xf numFmtId="179" fontId="2" fillId="0" borderId="11" xfId="2" applyNumberFormat="1" applyBorder="1"/>
    <xf numFmtId="179" fontId="2" fillId="0" borderId="2" xfId="2" applyNumberFormat="1" applyBorder="1"/>
    <xf numFmtId="179" fontId="2" fillId="0" borderId="12" xfId="2" applyNumberFormat="1" applyBorder="1"/>
    <xf numFmtId="179" fontId="2" fillId="0" borderId="8" xfId="2" applyNumberFormat="1" applyBorder="1"/>
    <xf numFmtId="179" fontId="7" fillId="0" borderId="2" xfId="2" applyNumberFormat="1" applyFont="1" applyBorder="1"/>
    <xf numFmtId="179" fontId="7" fillId="0" borderId="8" xfId="2" applyNumberFormat="1" applyFont="1" applyBorder="1"/>
    <xf numFmtId="164" fontId="8" fillId="0" borderId="6" xfId="2" applyFont="1" applyBorder="1"/>
    <xf numFmtId="164" fontId="2" fillId="0" borderId="6" xfId="2" applyBorder="1"/>
    <xf numFmtId="179" fontId="8" fillId="0" borderId="13" xfId="2" applyNumberFormat="1" applyFont="1" applyBorder="1"/>
    <xf numFmtId="179" fontId="8" fillId="0" borderId="6" xfId="2" applyNumberFormat="1" applyFont="1" applyBorder="1"/>
    <xf numFmtId="179" fontId="8" fillId="0" borderId="14" xfId="2" applyNumberFormat="1" applyFont="1" applyBorder="1"/>
    <xf numFmtId="179" fontId="8" fillId="0" borderId="7" xfId="2" applyNumberFormat="1" applyFont="1" applyBorder="1"/>
    <xf numFmtId="179" fontId="9" fillId="0" borderId="6" xfId="2" applyNumberFormat="1" applyFont="1" applyBorder="1"/>
    <xf numFmtId="179" fontId="9" fillId="0" borderId="7" xfId="2" applyNumberFormat="1" applyFont="1" applyBorder="1"/>
    <xf numFmtId="179" fontId="2" fillId="5" borderId="2" xfId="2" applyNumberFormat="1" applyFill="1" applyBorder="1"/>
    <xf numFmtId="164" fontId="8" fillId="0" borderId="15" xfId="2" applyFont="1" applyBorder="1"/>
    <xf numFmtId="164" fontId="2" fillId="0" borderId="15" xfId="2" applyBorder="1"/>
    <xf numFmtId="179" fontId="8" fillId="0" borderId="16" xfId="2" applyNumberFormat="1" applyFont="1" applyBorder="1"/>
    <xf numFmtId="179" fontId="8" fillId="0" borderId="15" xfId="2" applyNumberFormat="1" applyFont="1" applyBorder="1"/>
    <xf numFmtId="179" fontId="8" fillId="0" borderId="17" xfId="2" applyNumberFormat="1" applyFont="1" applyBorder="1"/>
    <xf numFmtId="179" fontId="8" fillId="5" borderId="15" xfId="2" applyNumberFormat="1" applyFont="1" applyFill="1" applyBorder="1"/>
    <xf numFmtId="179" fontId="8" fillId="0" borderId="18" xfId="2" applyNumberFormat="1" applyFont="1" applyBorder="1"/>
    <xf numFmtId="179" fontId="9" fillId="0" borderId="15" xfId="2" applyNumberFormat="1" applyFont="1" applyBorder="1"/>
    <xf numFmtId="179" fontId="9" fillId="0" borderId="18" xfId="2" applyNumberFormat="1" applyFont="1" applyBorder="1"/>
    <xf numFmtId="179" fontId="8" fillId="5" borderId="0" xfId="2" applyNumberFormat="1" applyFont="1" applyFill="1"/>
    <xf numFmtId="179" fontId="2" fillId="5" borderId="3" xfId="2" applyNumberFormat="1" applyFill="1" applyBorder="1"/>
    <xf numFmtId="179" fontId="11" fillId="0" borderId="0" xfId="2" applyNumberFormat="1" applyFont="1"/>
    <xf numFmtId="179" fontId="11" fillId="0" borderId="3" xfId="2" applyNumberFormat="1" applyFont="1" applyBorder="1"/>
    <xf numFmtId="179" fontId="8" fillId="5" borderId="3" xfId="2" applyNumberFormat="1" applyFont="1" applyFill="1" applyBorder="1"/>
    <xf numFmtId="164" fontId="8" fillId="0" borderId="2" xfId="2" applyFont="1" applyBorder="1"/>
    <xf numFmtId="164" fontId="2" fillId="0" borderId="2" xfId="2" applyBorder="1"/>
    <xf numFmtId="164" fontId="2" fillId="0" borderId="11" xfId="2" applyBorder="1"/>
    <xf numFmtId="164" fontId="2" fillId="0" borderId="12" xfId="2" applyBorder="1"/>
    <xf numFmtId="164" fontId="2" fillId="0" borderId="8" xfId="2" applyBorder="1"/>
    <xf numFmtId="164" fontId="8" fillId="0" borderId="8" xfId="2" applyFont="1" applyBorder="1"/>
    <xf numFmtId="164" fontId="8" fillId="0" borderId="12" xfId="2" applyFont="1" applyBorder="1"/>
    <xf numFmtId="172" fontId="33" fillId="4" borderId="0" xfId="4" applyNumberFormat="1" applyFont="1" applyFill="1" applyAlignment="1">
      <alignment horizontal="right"/>
    </xf>
    <xf numFmtId="172" fontId="33" fillId="4" borderId="0" xfId="4" applyNumberFormat="1" applyFont="1" applyFill="1" applyBorder="1" applyAlignment="1">
      <alignment horizontal="right"/>
    </xf>
    <xf numFmtId="172" fontId="33" fillId="4" borderId="3" xfId="4" applyNumberFormat="1" applyFont="1" applyFill="1" applyBorder="1" applyAlignment="1">
      <alignment horizontal="right"/>
    </xf>
    <xf numFmtId="172" fontId="33" fillId="3" borderId="0" xfId="4" applyNumberFormat="1" applyFont="1" applyFill="1" applyAlignment="1">
      <alignment horizontal="right"/>
    </xf>
    <xf numFmtId="164" fontId="4" fillId="0" borderId="0" xfId="2" applyFont="1"/>
    <xf numFmtId="172" fontId="4" fillId="4" borderId="0" xfId="2" applyNumberFormat="1" applyFont="1" applyFill="1"/>
    <xf numFmtId="172" fontId="4" fillId="4" borderId="3" xfId="2" applyNumberFormat="1" applyFont="1" applyFill="1" applyBorder="1"/>
    <xf numFmtId="172" fontId="4" fillId="3" borderId="0" xfId="2" applyNumberFormat="1" applyFont="1" applyFill="1"/>
    <xf numFmtId="164" fontId="16" fillId="4" borderId="0" xfId="2" applyFont="1" applyFill="1"/>
    <xf numFmtId="1" fontId="5" fillId="4" borderId="0" xfId="2" applyNumberFormat="1" applyFont="1" applyFill="1"/>
    <xf numFmtId="1" fontId="5" fillId="4" borderId="3" xfId="2" applyNumberFormat="1" applyFont="1" applyFill="1" applyBorder="1"/>
    <xf numFmtId="1" fontId="8" fillId="0" borderId="0" xfId="2" applyNumberFormat="1" applyFont="1"/>
    <xf numFmtId="172" fontId="34" fillId="0" borderId="0" xfId="2" applyNumberFormat="1" applyFont="1" applyAlignment="1">
      <alignment horizontal="right"/>
    </xf>
    <xf numFmtId="172" fontId="34" fillId="0" borderId="3" xfId="2" applyNumberFormat="1" applyFont="1" applyBorder="1" applyAlignment="1">
      <alignment horizontal="right"/>
    </xf>
    <xf numFmtId="164" fontId="8" fillId="6" borderId="0" xfId="2" applyFont="1" applyFill="1"/>
    <xf numFmtId="0" fontId="8" fillId="6" borderId="0" xfId="2" applyNumberFormat="1" applyFont="1" applyFill="1" applyAlignment="1">
      <alignment horizontal="right"/>
    </xf>
    <xf numFmtId="0" fontId="8" fillId="6" borderId="3" xfId="2" applyNumberFormat="1" applyFont="1" applyFill="1" applyBorder="1" applyAlignment="1">
      <alignment horizontal="right"/>
    </xf>
    <xf numFmtId="165" fontId="8" fillId="6" borderId="0" xfId="2" applyNumberFormat="1" applyFont="1" applyFill="1" applyAlignment="1">
      <alignment horizontal="right"/>
    </xf>
    <xf numFmtId="172" fontId="8" fillId="0" borderId="0" xfId="2" applyNumberFormat="1" applyFont="1"/>
    <xf numFmtId="172" fontId="8" fillId="0" borderId="3" xfId="2" applyNumberFormat="1" applyFont="1" applyBorder="1"/>
    <xf numFmtId="172" fontId="9" fillId="0" borderId="0" xfId="2" applyNumberFormat="1" applyFont="1"/>
    <xf numFmtId="9" fontId="7" fillId="0" borderId="0" xfId="3" applyFont="1" applyFill="1" applyBorder="1"/>
    <xf numFmtId="9" fontId="8" fillId="0" borderId="0" xfId="3" applyFont="1" applyFill="1" applyBorder="1"/>
    <xf numFmtId="9" fontId="9" fillId="0" borderId="0" xfId="3" applyFont="1" applyFill="1" applyBorder="1"/>
    <xf numFmtId="172" fontId="7" fillId="0" borderId="2" xfId="2" applyNumberFormat="1" applyFont="1" applyBorder="1"/>
    <xf numFmtId="172" fontId="7" fillId="0" borderId="0" xfId="2" applyNumberFormat="1" applyFont="1"/>
    <xf numFmtId="168" fontId="11" fillId="0" borderId="0" xfId="3" applyNumberFormat="1" applyFont="1" applyFill="1"/>
    <xf numFmtId="168" fontId="26" fillId="0" borderId="0" xfId="3" applyNumberFormat="1" applyFont="1" applyFill="1"/>
    <xf numFmtId="172" fontId="35" fillId="0" borderId="0" xfId="2" applyNumberFormat="1" applyFont="1" applyAlignment="1">
      <alignment horizontal="right"/>
    </xf>
    <xf numFmtId="172" fontId="6" fillId="0" borderId="0" xfId="2" applyNumberFormat="1" applyFont="1"/>
    <xf numFmtId="172" fontId="8" fillId="0" borderId="6" xfId="2" applyNumberFormat="1" applyFont="1" applyBorder="1"/>
    <xf numFmtId="172" fontId="8" fillId="0" borderId="7" xfId="2" applyNumberFormat="1" applyFont="1" applyBorder="1"/>
    <xf numFmtId="172" fontId="9" fillId="0" borderId="6" xfId="2" applyNumberFormat="1" applyFont="1" applyBorder="1"/>
    <xf numFmtId="172" fontId="0" fillId="0" borderId="0" xfId="4" applyNumberFormat="1" applyFont="1" applyFill="1"/>
    <xf numFmtId="9" fontId="0" fillId="0" borderId="0" xfId="3" applyFont="1" applyFill="1" applyBorder="1"/>
    <xf numFmtId="172" fontId="20" fillId="0" borderId="0" xfId="2" applyNumberFormat="1" applyFont="1"/>
    <xf numFmtId="172" fontId="7" fillId="0" borderId="6" xfId="2" applyNumberFormat="1" applyFont="1" applyBorder="1"/>
    <xf numFmtId="3" fontId="2" fillId="0" borderId="0" xfId="2" applyNumberFormat="1"/>
    <xf numFmtId="9" fontId="0" fillId="0" borderId="3" xfId="3" applyFont="1" applyFill="1" applyBorder="1"/>
    <xf numFmtId="43" fontId="8" fillId="0" borderId="0" xfId="2" applyNumberFormat="1" applyFont="1"/>
    <xf numFmtId="43" fontId="8" fillId="0" borderId="3" xfId="2" applyNumberFormat="1" applyFont="1" applyBorder="1"/>
    <xf numFmtId="43" fontId="9" fillId="0" borderId="0" xfId="2" applyNumberFormat="1" applyFont="1"/>
    <xf numFmtId="43" fontId="2" fillId="0" borderId="0" xfId="2" applyNumberFormat="1"/>
    <xf numFmtId="43" fontId="7" fillId="0" borderId="0" xfId="2" applyNumberFormat="1" applyFont="1"/>
    <xf numFmtId="177" fontId="8" fillId="0" borderId="0" xfId="2" applyNumberFormat="1" applyFont="1"/>
    <xf numFmtId="168" fontId="2" fillId="0" borderId="0" xfId="6" applyNumberFormat="1" applyFont="1" applyFill="1"/>
    <xf numFmtId="9" fontId="2" fillId="0" borderId="0" xfId="6" applyFont="1" applyFill="1"/>
    <xf numFmtId="0" fontId="5" fillId="4" borderId="3" xfId="2" applyNumberFormat="1" applyFont="1" applyFill="1" applyBorder="1" applyAlignment="1">
      <alignment horizontal="right"/>
    </xf>
    <xf numFmtId="165" fontId="5" fillId="4" borderId="0" xfId="2" applyNumberFormat="1" applyFont="1" applyFill="1" applyAlignment="1">
      <alignment horizontal="right"/>
    </xf>
    <xf numFmtId="164" fontId="33" fillId="0" borderId="0" xfId="2" applyFont="1" applyAlignment="1">
      <alignment horizontal="right"/>
    </xf>
    <xf numFmtId="172" fontId="0" fillId="0" borderId="0" xfId="4" applyNumberFormat="1" applyFont="1" applyFill="1" applyBorder="1"/>
    <xf numFmtId="172" fontId="7" fillId="0" borderId="0" xfId="4" applyNumberFormat="1" applyFont="1" applyFill="1"/>
    <xf numFmtId="183" fontId="11" fillId="0" borderId="0" xfId="3" applyNumberFormat="1" applyFont="1" applyFill="1"/>
    <xf numFmtId="172" fontId="9" fillId="0" borderId="0" xfId="4" applyNumberFormat="1" applyFont="1" applyFill="1"/>
    <xf numFmtId="9" fontId="11" fillId="0" borderId="3" xfId="3" applyFont="1" applyFill="1" applyBorder="1"/>
    <xf numFmtId="9" fontId="26" fillId="0" borderId="0" xfId="3" applyFont="1" applyFill="1" applyBorder="1"/>
    <xf numFmtId="176" fontId="6" fillId="0" borderId="0" xfId="3" applyNumberFormat="1" applyFont="1" applyFill="1" applyBorder="1"/>
    <xf numFmtId="176" fontId="7" fillId="0" borderId="0" xfId="3" applyNumberFormat="1" applyFont="1" applyFill="1" applyBorder="1"/>
    <xf numFmtId="172" fontId="6" fillId="0" borderId="0" xfId="4" applyNumberFormat="1" applyFont="1" applyFill="1"/>
    <xf numFmtId="171" fontId="7" fillId="0" borderId="0" xfId="4" applyNumberFormat="1" applyFont="1" applyFill="1" applyBorder="1"/>
    <xf numFmtId="171" fontId="8" fillId="0" borderId="0" xfId="4" applyNumberFormat="1" applyFont="1" applyFill="1" applyBorder="1"/>
    <xf numFmtId="171" fontId="8" fillId="0" borderId="3" xfId="4" applyNumberFormat="1" applyFont="1" applyFill="1" applyBorder="1"/>
    <xf numFmtId="171" fontId="9" fillId="0" borderId="0" xfId="4" applyNumberFormat="1" applyFont="1" applyFill="1" applyBorder="1"/>
    <xf numFmtId="43" fontId="0" fillId="0" borderId="0" xfId="4" applyFont="1" applyFill="1"/>
    <xf numFmtId="43" fontId="0" fillId="0" borderId="0" xfId="4" applyFont="1" applyFill="1" applyBorder="1"/>
    <xf numFmtId="43" fontId="2" fillId="0" borderId="0" xfId="4" applyFont="1" applyFill="1"/>
    <xf numFmtId="0" fontId="5" fillId="0" borderId="0" xfId="2" applyNumberFormat="1" applyFont="1" applyAlignment="1">
      <alignment horizontal="right"/>
    </xf>
    <xf numFmtId="165" fontId="5" fillId="0" borderId="0" xfId="2" applyNumberFormat="1" applyFont="1" applyAlignment="1">
      <alignment horizontal="right"/>
    </xf>
    <xf numFmtId="43" fontId="7" fillId="0" borderId="0" xfId="4" applyFont="1" applyFill="1" applyBorder="1"/>
    <xf numFmtId="172" fontId="11" fillId="0" borderId="0" xfId="4" applyNumberFormat="1" applyFont="1" applyFill="1" applyAlignment="1">
      <alignment horizontal="right"/>
    </xf>
    <xf numFmtId="9" fontId="11" fillId="0" borderId="0" xfId="3" applyFont="1" applyFill="1" applyBorder="1" applyAlignment="1">
      <alignment horizontal="right"/>
    </xf>
    <xf numFmtId="9" fontId="26" fillId="0" borderId="0" xfId="3" applyFont="1" applyFill="1"/>
    <xf numFmtId="185" fontId="7" fillId="0" borderId="0" xfId="3" applyNumberFormat="1" applyFont="1" applyFill="1"/>
    <xf numFmtId="168" fontId="30" fillId="0" borderId="0" xfId="3" applyNumberFormat="1" applyFont="1" applyFill="1"/>
    <xf numFmtId="164" fontId="8" fillId="0" borderId="0" xfId="2" applyFont="1" applyAlignment="1">
      <alignment horizontal="right"/>
    </xf>
    <xf numFmtId="164" fontId="8" fillId="0" borderId="3" xfId="2" applyFont="1" applyBorder="1" applyAlignment="1">
      <alignment horizontal="right"/>
    </xf>
    <xf numFmtId="164" fontId="36" fillId="0" borderId="0" xfId="2" applyFont="1" applyAlignment="1">
      <alignment horizontal="right"/>
    </xf>
    <xf numFmtId="172" fontId="11" fillId="0" borderId="0" xfId="2" applyNumberFormat="1" applyFont="1" applyAlignment="1">
      <alignment horizontal="right"/>
    </xf>
    <xf numFmtId="168" fontId="0" fillId="0" borderId="3" xfId="3" applyNumberFormat="1" applyFont="1" applyFill="1" applyBorder="1"/>
    <xf numFmtId="9" fontId="7" fillId="0" borderId="0" xfId="3" applyFont="1" applyFill="1"/>
    <xf numFmtId="164" fontId="37" fillId="0" borderId="0" xfId="2" applyFont="1"/>
    <xf numFmtId="164" fontId="35" fillId="0" borderId="0" xfId="2" applyFont="1"/>
    <xf numFmtId="172" fontId="11" fillId="0" borderId="0" xfId="4" applyNumberFormat="1" applyFont="1" applyFill="1" applyBorder="1" applyAlignment="1">
      <alignment horizontal="right"/>
    </xf>
    <xf numFmtId="172" fontId="35" fillId="0" borderId="0" xfId="4" applyNumberFormat="1" applyFont="1" applyFill="1" applyAlignment="1">
      <alignment horizontal="right"/>
    </xf>
    <xf numFmtId="172" fontId="20" fillId="0" borderId="0" xfId="4" applyNumberFormat="1" applyFont="1" applyFill="1"/>
    <xf numFmtId="172" fontId="8" fillId="0" borderId="2" xfId="4" applyNumberFormat="1" applyFont="1" applyFill="1" applyBorder="1"/>
    <xf numFmtId="164" fontId="35" fillId="0" borderId="2" xfId="2" applyFont="1" applyBorder="1"/>
    <xf numFmtId="164" fontId="11" fillId="0" borderId="0" xfId="2" applyFont="1" applyAlignment="1">
      <alignment horizontal="right"/>
    </xf>
    <xf numFmtId="164" fontId="11" fillId="0" borderId="3" xfId="2" applyFont="1" applyBorder="1" applyAlignment="1">
      <alignment horizontal="right"/>
    </xf>
    <xf numFmtId="164" fontId="35" fillId="0" borderId="0" xfId="2" applyFont="1" applyAlignment="1">
      <alignment horizontal="right"/>
    </xf>
    <xf numFmtId="172" fontId="8" fillId="0" borderId="15" xfId="2" applyNumberFormat="1" applyFont="1" applyBorder="1"/>
    <xf numFmtId="172" fontId="8" fillId="0" borderId="15" xfId="4" applyNumberFormat="1" applyFont="1" applyFill="1" applyBorder="1"/>
    <xf numFmtId="172" fontId="8" fillId="0" borderId="18" xfId="4" applyNumberFormat="1" applyFont="1" applyFill="1" applyBorder="1"/>
    <xf numFmtId="172" fontId="9" fillId="0" borderId="15" xfId="4" applyNumberFormat="1" applyFont="1" applyFill="1" applyBorder="1"/>
    <xf numFmtId="43" fontId="2" fillId="0" borderId="0" xfId="4" applyFont="1" applyFill="1" applyBorder="1"/>
    <xf numFmtId="172" fontId="7" fillId="0" borderId="0" xfId="3" applyNumberFormat="1" applyFont="1" applyFill="1" applyBorder="1"/>
    <xf numFmtId="175" fontId="7" fillId="0" borderId="0" xfId="4" applyNumberFormat="1" applyFont="1" applyFill="1" applyBorder="1"/>
    <xf numFmtId="164" fontId="36" fillId="0" borderId="0" xfId="2" applyFont="1"/>
    <xf numFmtId="172" fontId="8" fillId="0" borderId="1" xfId="4" applyNumberFormat="1" applyFont="1" applyFill="1" applyBorder="1"/>
    <xf numFmtId="172" fontId="9" fillId="0" borderId="1" xfId="4" applyNumberFormat="1" applyFont="1" applyFill="1" applyBorder="1"/>
    <xf numFmtId="172" fontId="35" fillId="0" borderId="0" xfId="4" applyNumberFormat="1" applyFont="1" applyFill="1" applyBorder="1" applyAlignment="1">
      <alignment horizontal="right"/>
    </xf>
    <xf numFmtId="9" fontId="8" fillId="0" borderId="0" xfId="3" applyFont="1" applyFill="1" applyBorder="1" applyAlignment="1">
      <alignment horizontal="right"/>
    </xf>
    <xf numFmtId="172" fontId="9" fillId="0" borderId="0" xfId="4" applyNumberFormat="1" applyFont="1" applyBorder="1"/>
    <xf numFmtId="172" fontId="2" fillId="0" borderId="15" xfId="4" applyNumberFormat="1" applyFont="1" applyBorder="1"/>
    <xf numFmtId="172" fontId="8" fillId="0" borderId="15" xfId="4" applyNumberFormat="1" applyFont="1" applyBorder="1"/>
    <xf numFmtId="172" fontId="8" fillId="0" borderId="18" xfId="4" applyNumberFormat="1" applyFont="1" applyBorder="1"/>
    <xf numFmtId="172" fontId="9" fillId="0" borderId="15" xfId="4" applyNumberFormat="1" applyFont="1" applyBorder="1"/>
    <xf numFmtId="9" fontId="0" fillId="0" borderId="0" xfId="3" applyFont="1" applyFill="1" applyBorder="1" applyAlignment="1">
      <alignment horizontal="right"/>
    </xf>
    <xf numFmtId="168" fontId="11" fillId="0" borderId="0" xfId="4" applyNumberFormat="1" applyFont="1"/>
    <xf numFmtId="168" fontId="11" fillId="0" borderId="0" xfId="4" applyNumberFormat="1" applyFont="1" applyFill="1"/>
    <xf numFmtId="168" fontId="11" fillId="0" borderId="0" xfId="4" applyNumberFormat="1" applyFont="1" applyBorder="1"/>
    <xf numFmtId="168" fontId="11" fillId="0" borderId="0" xfId="4" applyNumberFormat="1" applyFont="1" applyFill="1" applyBorder="1"/>
    <xf numFmtId="168" fontId="26" fillId="0" borderId="0" xfId="4" applyNumberFormat="1" applyFont="1" applyFill="1"/>
    <xf numFmtId="172" fontId="7" fillId="5" borderId="0" xfId="4" applyNumberFormat="1" applyFont="1" applyFill="1"/>
    <xf numFmtId="172" fontId="11" fillId="0" borderId="0" xfId="3" applyNumberFormat="1" applyFont="1" applyBorder="1"/>
    <xf numFmtId="9" fontId="11" fillId="0" borderId="3" xfId="3" applyFont="1" applyBorder="1"/>
    <xf numFmtId="164" fontId="36" fillId="0" borderId="3" xfId="2" applyFont="1" applyBorder="1" applyAlignment="1">
      <alignment horizontal="right"/>
    </xf>
    <xf numFmtId="172" fontId="11" fillId="0" borderId="0" xfId="4" applyNumberFormat="1" applyFont="1" applyFill="1"/>
    <xf numFmtId="168" fontId="18" fillId="0" borderId="0" xfId="3" applyNumberFormat="1" applyFont="1" applyFill="1"/>
    <xf numFmtId="168" fontId="2" fillId="0" borderId="0" xfId="4" applyNumberFormat="1" applyFont="1"/>
    <xf numFmtId="168" fontId="11" fillId="0" borderId="2" xfId="3" applyNumberFormat="1" applyFont="1" applyFill="1" applyBorder="1"/>
    <xf numFmtId="168" fontId="26" fillId="0" borderId="2" xfId="3" applyNumberFormat="1" applyFont="1" applyFill="1" applyBorder="1"/>
    <xf numFmtId="9" fontId="20" fillId="0" borderId="0" xfId="3" applyFont="1" applyFill="1"/>
    <xf numFmtId="9" fontId="2" fillId="0" borderId="2" xfId="3" applyFont="1" applyFill="1" applyBorder="1"/>
    <xf numFmtId="9" fontId="20" fillId="0" borderId="2" xfId="3" applyFont="1" applyFill="1" applyBorder="1"/>
    <xf numFmtId="172" fontId="8" fillId="0" borderId="0" xfId="3" applyNumberFormat="1" applyFont="1" applyFill="1"/>
    <xf numFmtId="172" fontId="8" fillId="0" borderId="0" xfId="3" applyNumberFormat="1" applyFont="1" applyFill="1" applyBorder="1"/>
    <xf numFmtId="172" fontId="9" fillId="0" borderId="0" xfId="3" applyNumberFormat="1" applyFont="1" applyFill="1"/>
    <xf numFmtId="164" fontId="30" fillId="0" borderId="0" xfId="2" applyFont="1"/>
    <xf numFmtId="172" fontId="6" fillId="0" borderId="0" xfId="3" applyNumberFormat="1" applyFont="1" applyFill="1"/>
    <xf numFmtId="172" fontId="6" fillId="0" borderId="0" xfId="3" applyNumberFormat="1" applyFont="1" applyFill="1" applyBorder="1"/>
    <xf numFmtId="164" fontId="6" fillId="0" borderId="0" xfId="2" applyFont="1"/>
    <xf numFmtId="172" fontId="2" fillId="0" borderId="0" xfId="3" applyNumberFormat="1" applyFont="1" applyFill="1" applyBorder="1"/>
    <xf numFmtId="164" fontId="38" fillId="0" borderId="0" xfId="2" applyFont="1"/>
    <xf numFmtId="0" fontId="2" fillId="0" borderId="0" xfId="2" applyNumberFormat="1" applyAlignment="1">
      <alignment horizontal="right"/>
    </xf>
    <xf numFmtId="173" fontId="2" fillId="0" borderId="0" xfId="2" applyNumberFormat="1" applyAlignment="1">
      <alignment horizontal="right"/>
    </xf>
    <xf numFmtId="173" fontId="2" fillId="0" borderId="3" xfId="2" applyNumberFormat="1" applyBorder="1" applyAlignment="1">
      <alignment horizontal="right"/>
    </xf>
    <xf numFmtId="164" fontId="5" fillId="4" borderId="3" xfId="2" applyFont="1" applyFill="1" applyBorder="1"/>
    <xf numFmtId="0" fontId="5" fillId="3" borderId="0" xfId="2" applyNumberFormat="1" applyFont="1" applyFill="1" applyAlignment="1">
      <alignment horizontal="right"/>
    </xf>
    <xf numFmtId="173" fontId="5" fillId="3" borderId="10" xfId="2" applyNumberFormat="1" applyFont="1" applyFill="1" applyBorder="1"/>
    <xf numFmtId="173" fontId="8" fillId="0" borderId="0" xfId="2" applyNumberFormat="1" applyFont="1"/>
    <xf numFmtId="173" fontId="8" fillId="0" borderId="3" xfId="2" applyNumberFormat="1" applyFont="1" applyBorder="1"/>
    <xf numFmtId="173" fontId="8" fillId="0" borderId="9" xfId="2" applyNumberFormat="1" applyFont="1" applyBorder="1"/>
    <xf numFmtId="173" fontId="8" fillId="0" borderId="10" xfId="2" applyNumberFormat="1" applyFont="1" applyBorder="1"/>
    <xf numFmtId="164" fontId="2" fillId="0" borderId="5" xfId="2" applyBorder="1"/>
    <xf numFmtId="186" fontId="2" fillId="0" borderId="0" xfId="4" applyNumberFormat="1" applyFont="1" applyFill="1" applyBorder="1"/>
    <xf numFmtId="186" fontId="2" fillId="0" borderId="0" xfId="4" applyNumberFormat="1" applyFont="1" applyFill="1"/>
    <xf numFmtId="186" fontId="2" fillId="0" borderId="3" xfId="4" applyNumberFormat="1" applyFont="1" applyFill="1" applyBorder="1"/>
    <xf numFmtId="172" fontId="7" fillId="0" borderId="9" xfId="4" applyNumberFormat="1" applyFont="1" applyBorder="1"/>
    <xf numFmtId="172" fontId="7" fillId="0" borderId="10" xfId="4" applyNumberFormat="1" applyFont="1" applyBorder="1"/>
    <xf numFmtId="172" fontId="9" fillId="0" borderId="14" xfId="4" applyNumberFormat="1" applyFont="1" applyFill="1" applyBorder="1"/>
    <xf numFmtId="172" fontId="9" fillId="0" borderId="20" xfId="4" applyNumberFormat="1" applyFont="1" applyFill="1" applyBorder="1"/>
    <xf numFmtId="168" fontId="8" fillId="0" borderId="3" xfId="2" applyNumberFormat="1" applyFont="1" applyBorder="1"/>
    <xf numFmtId="168" fontId="8" fillId="0" borderId="0" xfId="2" applyNumberFormat="1" applyFont="1"/>
    <xf numFmtId="168" fontId="25" fillId="0" borderId="3" xfId="3" applyNumberFormat="1" applyFont="1" applyFill="1" applyBorder="1"/>
    <xf numFmtId="168" fontId="27" fillId="0" borderId="9" xfId="3" applyNumberFormat="1" applyFont="1" applyFill="1" applyBorder="1"/>
    <xf numFmtId="168" fontId="27" fillId="0" borderId="0" xfId="3" applyNumberFormat="1" applyFont="1" applyFill="1" applyBorder="1"/>
    <xf numFmtId="168" fontId="27" fillId="0" borderId="10" xfId="3" applyNumberFormat="1" applyFont="1" applyFill="1" applyBorder="1"/>
    <xf numFmtId="168" fontId="11" fillId="0" borderId="0" xfId="2" applyNumberFormat="1" applyFont="1" applyAlignment="1">
      <alignment horizontal="left" indent="1"/>
    </xf>
    <xf numFmtId="168" fontId="11" fillId="0" borderId="0" xfId="3" applyNumberFormat="1" applyFont="1" applyFill="1" applyBorder="1" applyAlignment="1">
      <alignment horizontal="right"/>
    </xf>
    <xf numFmtId="168" fontId="26" fillId="0" borderId="10" xfId="3" applyNumberFormat="1" applyFont="1" applyFill="1" applyBorder="1"/>
    <xf numFmtId="168" fontId="30" fillId="0" borderId="10" xfId="3" applyNumberFormat="1" applyFont="1" applyFill="1" applyBorder="1"/>
    <xf numFmtId="168" fontId="11" fillId="0" borderId="10" xfId="3" applyNumberFormat="1" applyFont="1" applyFill="1" applyBorder="1"/>
    <xf numFmtId="164" fontId="7" fillId="0" borderId="10" xfId="2" applyFont="1" applyBorder="1"/>
    <xf numFmtId="186" fontId="2" fillId="0" borderId="0" xfId="3" applyNumberFormat="1" applyFont="1" applyFill="1" applyBorder="1"/>
    <xf numFmtId="164" fontId="6" fillId="0" borderId="10" xfId="2" applyFont="1" applyBorder="1"/>
    <xf numFmtId="164" fontId="8" fillId="0" borderId="11" xfId="2" applyFont="1" applyBorder="1"/>
    <xf numFmtId="172" fontId="8" fillId="0" borderId="14" xfId="4" applyNumberFormat="1" applyFont="1" applyFill="1" applyBorder="1"/>
    <xf numFmtId="41" fontId="2" fillId="0" borderId="2" xfId="2" applyNumberFormat="1" applyBorder="1" applyAlignment="1">
      <alignment horizontal="right"/>
    </xf>
    <xf numFmtId="41" fontId="2" fillId="0" borderId="8" xfId="2" applyNumberFormat="1" applyBorder="1" applyAlignment="1">
      <alignment horizontal="right"/>
    </xf>
    <xf numFmtId="41" fontId="2" fillId="0" borderId="12" xfId="2" applyNumberFormat="1" applyBorder="1" applyAlignment="1">
      <alignment horizontal="right"/>
    </xf>
    <xf numFmtId="41" fontId="7" fillId="0" borderId="2" xfId="2" applyNumberFormat="1" applyFont="1" applyBorder="1" applyAlignment="1">
      <alignment horizontal="right"/>
    </xf>
    <xf numFmtId="41" fontId="6" fillId="0" borderId="21" xfId="2" applyNumberFormat="1" applyFont="1" applyBorder="1" applyAlignment="1">
      <alignment horizontal="right"/>
    </xf>
    <xf numFmtId="172" fontId="2" fillId="0" borderId="7" xfId="4" applyNumberFormat="1" applyFont="1" applyFill="1" applyBorder="1"/>
    <xf numFmtId="172" fontId="2" fillId="0" borderId="9" xfId="4" applyNumberFormat="1" applyFont="1" applyFill="1" applyBorder="1"/>
    <xf numFmtId="172" fontId="7" fillId="0" borderId="10" xfId="4" applyNumberFormat="1" applyFont="1" applyFill="1" applyBorder="1"/>
    <xf numFmtId="164" fontId="39" fillId="0" borderId="0" xfId="2" applyFont="1"/>
    <xf numFmtId="172" fontId="8" fillId="0" borderId="9" xfId="4" applyNumberFormat="1" applyFont="1" applyFill="1" applyBorder="1"/>
    <xf numFmtId="172" fontId="9" fillId="0" borderId="10" xfId="4" applyNumberFormat="1" applyFont="1" applyFill="1" applyBorder="1"/>
    <xf numFmtId="164" fontId="18" fillId="0" borderId="0" xfId="2" applyFont="1"/>
    <xf numFmtId="164" fontId="40" fillId="0" borderId="0" xfId="2" applyFont="1"/>
    <xf numFmtId="164" fontId="41" fillId="0" borderId="0" xfId="2" applyFont="1"/>
    <xf numFmtId="186" fontId="8" fillId="0" borderId="0" xfId="4" applyNumberFormat="1" applyFont="1" applyFill="1" applyBorder="1"/>
    <xf numFmtId="186" fontId="8" fillId="0" borderId="3" xfId="4" applyNumberFormat="1" applyFont="1" applyFill="1" applyBorder="1"/>
    <xf numFmtId="186" fontId="8" fillId="0" borderId="9" xfId="4" applyNumberFormat="1" applyFont="1" applyFill="1" applyBorder="1"/>
    <xf numFmtId="9" fontId="2" fillId="0" borderId="10" xfId="3" applyFont="1" applyFill="1" applyBorder="1"/>
    <xf numFmtId="187" fontId="2" fillId="0" borderId="0" xfId="4" applyNumberFormat="1" applyFont="1" applyFill="1" applyBorder="1"/>
    <xf numFmtId="9" fontId="8" fillId="0" borderId="9" xfId="3" applyFont="1" applyFill="1" applyBorder="1"/>
    <xf numFmtId="164" fontId="8" fillId="6" borderId="0" xfId="2" applyFont="1" applyFill="1" applyAlignment="1">
      <alignment horizontal="left"/>
    </xf>
    <xf numFmtId="164" fontId="8" fillId="6" borderId="3" xfId="2" applyFont="1" applyFill="1" applyBorder="1"/>
    <xf numFmtId="9" fontId="8" fillId="6" borderId="0" xfId="3" applyFont="1" applyFill="1" applyBorder="1"/>
    <xf numFmtId="173" fontId="8" fillId="6" borderId="0" xfId="2" applyNumberFormat="1" applyFont="1" applyFill="1"/>
    <xf numFmtId="168" fontId="11" fillId="6" borderId="0" xfId="3" applyNumberFormat="1" applyFont="1" applyFill="1" applyBorder="1"/>
    <xf numFmtId="173" fontId="8" fillId="6" borderId="3" xfId="2" applyNumberFormat="1" applyFont="1" applyFill="1" applyBorder="1"/>
    <xf numFmtId="173" fontId="8" fillId="6" borderId="9" xfId="2" applyNumberFormat="1" applyFont="1" applyFill="1" applyBorder="1"/>
    <xf numFmtId="173" fontId="8" fillId="6" borderId="10" xfId="2" applyNumberFormat="1" applyFont="1" applyFill="1" applyBorder="1"/>
    <xf numFmtId="164" fontId="8" fillId="0" borderId="0" xfId="2" applyFont="1" applyAlignment="1">
      <alignment horizontal="left"/>
    </xf>
    <xf numFmtId="1" fontId="8" fillId="0" borderId="0" xfId="2" applyNumberFormat="1" applyFont="1" applyAlignment="1">
      <alignment horizontal="right"/>
    </xf>
    <xf numFmtId="9" fontId="25" fillId="0" borderId="0" xfId="3" applyFont="1" applyFill="1" applyBorder="1"/>
    <xf numFmtId="186" fontId="9" fillId="0" borderId="10" xfId="3" applyNumberFormat="1" applyFont="1" applyFill="1" applyBorder="1"/>
    <xf numFmtId="186" fontId="9" fillId="0" borderId="0" xfId="3" applyNumberFormat="1" applyFont="1" applyFill="1" applyBorder="1"/>
    <xf numFmtId="173" fontId="9" fillId="0" borderId="10" xfId="2" applyNumberFormat="1" applyFont="1" applyBorder="1"/>
    <xf numFmtId="173" fontId="9" fillId="0" borderId="0" xfId="2" applyNumberFormat="1" applyFont="1"/>
    <xf numFmtId="9" fontId="11" fillId="0" borderId="9" xfId="3" applyFont="1" applyFill="1" applyBorder="1"/>
    <xf numFmtId="9" fontId="30" fillId="0" borderId="10" xfId="3" applyFont="1" applyFill="1" applyBorder="1"/>
    <xf numFmtId="9" fontId="42" fillId="0" borderId="10" xfId="3" applyFont="1" applyFill="1" applyBorder="1"/>
    <xf numFmtId="9" fontId="42" fillId="0" borderId="0" xfId="3" applyFont="1" applyFill="1" applyBorder="1"/>
    <xf numFmtId="9" fontId="26" fillId="0" borderId="9" xfId="3" applyFont="1" applyFill="1" applyBorder="1"/>
    <xf numFmtId="9" fontId="26" fillId="0" borderId="10" xfId="3" applyFont="1" applyFill="1" applyBorder="1"/>
    <xf numFmtId="9" fontId="25" fillId="0" borderId="3" xfId="3" applyFont="1" applyFill="1" applyBorder="1"/>
    <xf numFmtId="9" fontId="27" fillId="0" borderId="9" xfId="3" applyFont="1" applyFill="1" applyBorder="1"/>
    <xf numFmtId="9" fontId="27" fillId="0" borderId="0" xfId="3" applyFont="1" applyFill="1" applyBorder="1"/>
    <xf numFmtId="9" fontId="27" fillId="0" borderId="10" xfId="3" applyFont="1" applyFill="1" applyBorder="1"/>
    <xf numFmtId="168" fontId="8" fillId="0" borderId="0" xfId="3" applyNumberFormat="1" applyFont="1" applyFill="1" applyBorder="1"/>
    <xf numFmtId="168" fontId="8" fillId="0" borderId="9" xfId="3" applyNumberFormat="1" applyFont="1" applyFill="1" applyBorder="1"/>
    <xf numFmtId="168" fontId="9" fillId="0" borderId="0" xfId="3" applyNumberFormat="1" applyFont="1" applyFill="1" applyBorder="1"/>
    <xf numFmtId="168" fontId="9" fillId="0" borderId="10" xfId="3" applyNumberFormat="1" applyFont="1" applyFill="1" applyBorder="1"/>
    <xf numFmtId="9" fontId="25" fillId="0" borderId="9" xfId="3" applyFont="1" applyFill="1" applyBorder="1"/>
    <xf numFmtId="186" fontId="7" fillId="0" borderId="9" xfId="4" applyNumberFormat="1" applyFont="1" applyFill="1" applyBorder="1"/>
    <xf numFmtId="186" fontId="7" fillId="0" borderId="0" xfId="4" applyNumberFormat="1" applyFont="1" applyFill="1" applyBorder="1"/>
    <xf numFmtId="186" fontId="7" fillId="0" borderId="10" xfId="4" applyNumberFormat="1" applyFont="1" applyFill="1" applyBorder="1"/>
    <xf numFmtId="172" fontId="7" fillId="0" borderId="9" xfId="3" applyNumberFormat="1" applyFont="1" applyFill="1" applyBorder="1"/>
    <xf numFmtId="172" fontId="7" fillId="0" borderId="10" xfId="3" applyNumberFormat="1" applyFont="1" applyFill="1" applyBorder="1"/>
    <xf numFmtId="3" fontId="8" fillId="0" borderId="0" xfId="2" applyNumberFormat="1" applyFont="1"/>
    <xf numFmtId="164" fontId="43" fillId="0" borderId="3" xfId="2" applyFont="1" applyBorder="1"/>
    <xf numFmtId="164" fontId="43" fillId="0" borderId="0" xfId="2" applyFont="1"/>
    <xf numFmtId="164" fontId="43" fillId="0" borderId="9" xfId="2" applyFont="1" applyBorder="1"/>
    <xf numFmtId="164" fontId="43" fillId="0" borderId="10" xfId="2" applyFont="1" applyBorder="1"/>
    <xf numFmtId="9" fontId="11" fillId="0" borderId="10" xfId="3" applyFont="1" applyFill="1" applyBorder="1"/>
    <xf numFmtId="164" fontId="44" fillId="0" borderId="0" xfId="2" applyFont="1"/>
    <xf numFmtId="164" fontId="45" fillId="0" borderId="3" xfId="2" applyFont="1" applyBorder="1"/>
    <xf numFmtId="164" fontId="44" fillId="0" borderId="3" xfId="2" applyFont="1" applyBorder="1"/>
    <xf numFmtId="164" fontId="45" fillId="0" borderId="0" xfId="2" applyFont="1"/>
    <xf numFmtId="164" fontId="45" fillId="0" borderId="9" xfId="2" applyFont="1" applyBorder="1"/>
    <xf numFmtId="164" fontId="45" fillId="0" borderId="10" xfId="2" applyFont="1" applyBorder="1"/>
    <xf numFmtId="164" fontId="46" fillId="0" borderId="3" xfId="2" applyFont="1" applyBorder="1"/>
    <xf numFmtId="172" fontId="30" fillId="0" borderId="0" xfId="3" applyNumberFormat="1" applyFont="1" applyFill="1" applyBorder="1"/>
    <xf numFmtId="172" fontId="30" fillId="0" borderId="3" xfId="3" applyNumberFormat="1" applyFont="1" applyFill="1" applyBorder="1"/>
    <xf numFmtId="172" fontId="30" fillId="0" borderId="9" xfId="3" applyNumberFormat="1" applyFont="1" applyFill="1" applyBorder="1"/>
    <xf numFmtId="172" fontId="30" fillId="0" borderId="10" xfId="3" applyNumberFormat="1" applyFont="1" applyFill="1" applyBorder="1"/>
    <xf numFmtId="164" fontId="8" fillId="0" borderId="5" xfId="2" applyFont="1" applyBorder="1"/>
    <xf numFmtId="164" fontId="11" fillId="0" borderId="3" xfId="2" applyFont="1" applyBorder="1"/>
    <xf numFmtId="164" fontId="8" fillId="0" borderId="22" xfId="2" applyFont="1" applyBorder="1"/>
    <xf numFmtId="164" fontId="11" fillId="0" borderId="19" xfId="2" applyFont="1" applyBorder="1"/>
    <xf numFmtId="168" fontId="11" fillId="0" borderId="1" xfId="3" applyNumberFormat="1" applyFont="1" applyFill="1" applyBorder="1"/>
    <xf numFmtId="164" fontId="8" fillId="0" borderId="1" xfId="4" applyNumberFormat="1" applyFont="1" applyFill="1" applyBorder="1"/>
    <xf numFmtId="164" fontId="8" fillId="0" borderId="19" xfId="2" applyFont="1" applyBorder="1"/>
    <xf numFmtId="164" fontId="9" fillId="0" borderId="23" xfId="2" applyFont="1" applyBorder="1"/>
    <xf numFmtId="164" fontId="9" fillId="0" borderId="24" xfId="2" applyFont="1" applyBorder="1"/>
    <xf numFmtId="164" fontId="8" fillId="0" borderId="0" xfId="4" applyNumberFormat="1" applyFont="1" applyFill="1" applyBorder="1"/>
    <xf numFmtId="164" fontId="11" fillId="0" borderId="5" xfId="2" applyFont="1" applyBorder="1"/>
    <xf numFmtId="168" fontId="11" fillId="0" borderId="10" xfId="3" applyNumberFormat="1" applyFont="1" applyBorder="1"/>
    <xf numFmtId="167" fontId="2" fillId="0" borderId="0" xfId="4" applyNumberFormat="1" applyFont="1" applyFill="1" applyBorder="1"/>
    <xf numFmtId="164" fontId="25" fillId="0" borderId="5" xfId="2" applyFont="1" applyBorder="1"/>
    <xf numFmtId="9" fontId="25" fillId="5" borderId="0" xfId="3" applyFont="1" applyFill="1" applyBorder="1"/>
    <xf numFmtId="9" fontId="25" fillId="5" borderId="3" xfId="3" applyFont="1" applyFill="1" applyBorder="1"/>
    <xf numFmtId="9" fontId="25" fillId="5" borderId="9" xfId="3" applyFont="1" applyFill="1" applyBorder="1"/>
    <xf numFmtId="9" fontId="27" fillId="5" borderId="10" xfId="3" applyFont="1" applyFill="1" applyBorder="1"/>
    <xf numFmtId="9" fontId="27" fillId="5" borderId="0" xfId="3" applyFont="1" applyFill="1" applyBorder="1"/>
    <xf numFmtId="9" fontId="27" fillId="5" borderId="9" xfId="3" applyFont="1" applyFill="1" applyBorder="1"/>
    <xf numFmtId="168" fontId="26" fillId="0" borderId="10" xfId="3" applyNumberFormat="1" applyFont="1" applyBorder="1"/>
    <xf numFmtId="164" fontId="7" fillId="0" borderId="21" xfId="2" applyFont="1" applyBorder="1"/>
    <xf numFmtId="168" fontId="11" fillId="0" borderId="1" xfId="3" applyNumberFormat="1" applyFont="1" applyBorder="1"/>
    <xf numFmtId="164" fontId="8" fillId="0" borderId="23" xfId="2" applyFont="1" applyBorder="1"/>
    <xf numFmtId="164" fontId="25" fillId="5" borderId="5" xfId="2" applyFont="1" applyFill="1" applyBorder="1"/>
    <xf numFmtId="164" fontId="11" fillId="5" borderId="3" xfId="2" applyFont="1" applyFill="1" applyBorder="1"/>
    <xf numFmtId="168" fontId="25" fillId="5" borderId="0" xfId="3" applyNumberFormat="1" applyFont="1" applyFill="1" applyBorder="1"/>
    <xf numFmtId="168" fontId="25" fillId="5" borderId="3" xfId="3" applyNumberFormat="1" applyFont="1" applyFill="1" applyBorder="1"/>
    <xf numFmtId="168" fontId="25" fillId="5" borderId="9" xfId="3" applyNumberFormat="1" applyFont="1" applyFill="1" applyBorder="1"/>
    <xf numFmtId="168" fontId="27" fillId="5" borderId="0" xfId="3" applyNumberFormat="1" applyFont="1" applyFill="1" applyBorder="1"/>
    <xf numFmtId="168" fontId="27" fillId="5" borderId="10" xfId="3" applyNumberFormat="1" applyFont="1" applyFill="1" applyBorder="1"/>
    <xf numFmtId="164" fontId="25" fillId="0" borderId="3" xfId="2" applyFont="1" applyBorder="1"/>
    <xf numFmtId="167" fontId="8" fillId="0" borderId="0" xfId="4" applyNumberFormat="1" applyFont="1" applyFill="1" applyBorder="1"/>
    <xf numFmtId="167" fontId="8" fillId="0" borderId="3" xfId="4" applyNumberFormat="1" applyFont="1" applyFill="1" applyBorder="1"/>
    <xf numFmtId="167" fontId="9" fillId="0" borderId="9" xfId="4" applyNumberFormat="1" applyFont="1" applyFill="1" applyBorder="1"/>
    <xf numFmtId="167" fontId="9" fillId="0" borderId="0" xfId="4" applyNumberFormat="1" applyFont="1" applyFill="1" applyBorder="1"/>
    <xf numFmtId="167" fontId="9" fillId="0" borderId="10" xfId="4" applyNumberFormat="1" applyFont="1" applyFill="1" applyBorder="1"/>
    <xf numFmtId="164" fontId="8" fillId="0" borderId="25" xfId="2" applyFont="1" applyBorder="1"/>
    <xf numFmtId="164" fontId="11" fillId="0" borderId="18" xfId="2" applyFont="1" applyBorder="1"/>
    <xf numFmtId="168" fontId="11" fillId="0" borderId="15" xfId="3" applyNumberFormat="1" applyFont="1" applyFill="1" applyBorder="1"/>
    <xf numFmtId="172" fontId="9" fillId="0" borderId="17" xfId="4" applyNumberFormat="1" applyFont="1" applyFill="1" applyBorder="1"/>
    <xf numFmtId="172" fontId="9" fillId="0" borderId="26" xfId="4" applyNumberFormat="1" applyFont="1" applyFill="1" applyBorder="1"/>
    <xf numFmtId="9" fontId="26" fillId="5" borderId="10" xfId="3" applyFont="1" applyFill="1" applyBorder="1"/>
    <xf numFmtId="9" fontId="26" fillId="5" borderId="0" xfId="3" applyFont="1" applyFill="1" applyBorder="1"/>
    <xf numFmtId="9" fontId="26" fillId="5" borderId="9" xfId="3" applyFont="1" applyFill="1" applyBorder="1"/>
    <xf numFmtId="168" fontId="25" fillId="0" borderId="9" xfId="3" applyNumberFormat="1" applyFont="1" applyFill="1" applyBorder="1"/>
    <xf numFmtId="168" fontId="11" fillId="0" borderId="15" xfId="3" applyNumberFormat="1" applyFont="1" applyBorder="1"/>
    <xf numFmtId="172" fontId="8" fillId="0" borderId="17" xfId="4" applyNumberFormat="1" applyFont="1" applyFill="1" applyBorder="1"/>
    <xf numFmtId="164" fontId="9" fillId="0" borderId="9" xfId="2" applyFont="1" applyBorder="1"/>
    <xf numFmtId="164" fontId="8" fillId="0" borderId="18" xfId="2" applyFont="1" applyBorder="1"/>
    <xf numFmtId="164" fontId="9" fillId="0" borderId="17" xfId="2" applyFont="1" applyBorder="1"/>
    <xf numFmtId="164" fontId="9" fillId="0" borderId="15" xfId="2" applyFont="1" applyBorder="1"/>
    <xf numFmtId="164" fontId="9" fillId="0" borderId="26" xfId="2" applyFont="1" applyBorder="1"/>
    <xf numFmtId="164" fontId="8" fillId="9" borderId="5" xfId="2" applyFont="1" applyFill="1" applyBorder="1"/>
    <xf numFmtId="164" fontId="11" fillId="9" borderId="3" xfId="2" applyFont="1" applyFill="1" applyBorder="1"/>
    <xf numFmtId="168" fontId="11" fillId="9" borderId="0" xfId="3" applyNumberFormat="1" applyFont="1" applyFill="1" applyBorder="1"/>
    <xf numFmtId="168" fontId="11" fillId="9" borderId="3" xfId="3" applyNumberFormat="1" applyFont="1" applyFill="1" applyBorder="1"/>
    <xf numFmtId="168" fontId="11" fillId="9" borderId="9" xfId="3" applyNumberFormat="1" applyFont="1" applyFill="1" applyBorder="1"/>
    <xf numFmtId="168" fontId="11" fillId="9" borderId="10" xfId="3" applyNumberFormat="1" applyFont="1" applyFill="1" applyBorder="1"/>
    <xf numFmtId="164" fontId="2" fillId="5" borderId="0" xfId="4" applyNumberFormat="1" applyFont="1" applyFill="1" applyBorder="1"/>
    <xf numFmtId="164" fontId="2" fillId="0" borderId="0" xfId="4" applyNumberFormat="1" applyFont="1" applyFill="1" applyBorder="1"/>
    <xf numFmtId="164" fontId="2" fillId="0" borderId="3" xfId="4" applyNumberFormat="1" applyFont="1" applyFill="1" applyBorder="1"/>
    <xf numFmtId="164" fontId="7" fillId="0" borderId="9" xfId="4" applyNumberFormat="1" applyFont="1" applyFill="1" applyBorder="1"/>
    <xf numFmtId="164" fontId="7" fillId="0" borderId="0" xfId="4" applyNumberFormat="1" applyFont="1" applyFill="1" applyBorder="1"/>
    <xf numFmtId="164" fontId="7" fillId="0" borderId="10" xfId="4" applyNumberFormat="1" applyFont="1" applyFill="1" applyBorder="1"/>
    <xf numFmtId="164" fontId="11" fillId="0" borderId="15" xfId="2" applyFont="1" applyBorder="1"/>
    <xf numFmtId="172" fontId="8" fillId="5" borderId="15" xfId="4" applyNumberFormat="1" applyFont="1" applyFill="1" applyBorder="1"/>
    <xf numFmtId="172" fontId="8" fillId="5" borderId="0" xfId="4" applyNumberFormat="1" applyFont="1" applyFill="1" applyBorder="1"/>
    <xf numFmtId="9" fontId="25" fillId="0" borderId="10" xfId="3" applyFont="1" applyFill="1" applyBorder="1"/>
    <xf numFmtId="168" fontId="11" fillId="5" borderId="15" xfId="3" applyNumberFormat="1" applyFont="1" applyFill="1" applyBorder="1"/>
    <xf numFmtId="164" fontId="8" fillId="5" borderId="15" xfId="4" applyNumberFormat="1" applyFont="1" applyFill="1" applyBorder="1"/>
    <xf numFmtId="164" fontId="8" fillId="0" borderId="15" xfId="4" applyNumberFormat="1" applyFont="1" applyFill="1" applyBorder="1"/>
    <xf numFmtId="164" fontId="8" fillId="0" borderId="18" xfId="4" applyNumberFormat="1" applyFont="1" applyFill="1" applyBorder="1"/>
    <xf numFmtId="164" fontId="9" fillId="0" borderId="17" xfId="4" applyNumberFormat="1" applyFont="1" applyFill="1" applyBorder="1"/>
    <xf numFmtId="164" fontId="9" fillId="0" borderId="15" xfId="4" applyNumberFormat="1" applyFont="1" applyFill="1" applyBorder="1"/>
    <xf numFmtId="164" fontId="9" fillId="0" borderId="26" xfId="4" applyNumberFormat="1" applyFont="1" applyFill="1" applyBorder="1"/>
    <xf numFmtId="164" fontId="8" fillId="5" borderId="0" xfId="4" applyNumberFormat="1" applyFont="1" applyFill="1" applyBorder="1"/>
    <xf numFmtId="164" fontId="8" fillId="0" borderId="3" xfId="4" applyNumberFormat="1" applyFont="1" applyFill="1" applyBorder="1"/>
    <xf numFmtId="164" fontId="8" fillId="0" borderId="9" xfId="4" applyNumberFormat="1" applyFont="1" applyFill="1" applyBorder="1"/>
    <xf numFmtId="164" fontId="8" fillId="0" borderId="10" xfId="4" applyNumberFormat="1" applyFont="1" applyFill="1" applyBorder="1"/>
    <xf numFmtId="164" fontId="2" fillId="0" borderId="9" xfId="4" applyNumberFormat="1" applyFont="1" applyFill="1" applyBorder="1"/>
    <xf numFmtId="164" fontId="8" fillId="0" borderId="17" xfId="4" applyNumberFormat="1" applyFont="1" applyFill="1" applyBorder="1"/>
    <xf numFmtId="172" fontId="2" fillId="0" borderId="9" xfId="4" applyNumberFormat="1" applyFont="1" applyBorder="1"/>
    <xf numFmtId="172" fontId="2" fillId="0" borderId="10" xfId="4" applyNumberFormat="1" applyFont="1" applyBorder="1"/>
    <xf numFmtId="9" fontId="8" fillId="0" borderId="15" xfId="3" applyFont="1" applyFill="1" applyBorder="1"/>
    <xf numFmtId="170" fontId="8" fillId="0" borderId="0" xfId="2" applyNumberFormat="1" applyFont="1"/>
    <xf numFmtId="172" fontId="0" fillId="0" borderId="0" xfId="4" applyNumberFormat="1" applyFont="1" applyBorder="1"/>
    <xf numFmtId="43" fontId="2" fillId="0" borderId="10" xfId="4" applyFont="1" applyBorder="1"/>
    <xf numFmtId="164" fontId="25" fillId="10" borderId="5" xfId="2" applyFont="1" applyFill="1" applyBorder="1"/>
    <xf numFmtId="164" fontId="8" fillId="10" borderId="3" xfId="2" applyFont="1" applyFill="1" applyBorder="1"/>
    <xf numFmtId="172" fontId="8" fillId="10" borderId="0" xfId="4" applyNumberFormat="1" applyFont="1" applyFill="1" applyBorder="1"/>
    <xf numFmtId="9" fontId="8" fillId="10" borderId="0" xfId="3" applyFont="1" applyFill="1" applyBorder="1"/>
    <xf numFmtId="168" fontId="8" fillId="10" borderId="0" xfId="3" applyNumberFormat="1" applyFont="1" applyFill="1" applyBorder="1"/>
    <xf numFmtId="9" fontId="25" fillId="10" borderId="0" xfId="3" applyFont="1" applyFill="1" applyBorder="1"/>
    <xf numFmtId="168" fontId="25" fillId="10" borderId="0" xfId="3" applyNumberFormat="1" applyFont="1" applyFill="1" applyBorder="1"/>
    <xf numFmtId="168" fontId="25" fillId="10" borderId="3" xfId="3" applyNumberFormat="1" applyFont="1" applyFill="1" applyBorder="1"/>
    <xf numFmtId="168" fontId="25" fillId="10" borderId="9" xfId="3" applyNumberFormat="1" applyFont="1" applyFill="1" applyBorder="1"/>
    <xf numFmtId="168" fontId="27" fillId="10" borderId="0" xfId="3" applyNumberFormat="1" applyFont="1" applyFill="1" applyBorder="1"/>
    <xf numFmtId="168" fontId="27" fillId="10" borderId="10" xfId="3" applyNumberFormat="1" applyFont="1" applyFill="1" applyBorder="1"/>
    <xf numFmtId="164" fontId="8" fillId="0" borderId="17" xfId="2" applyFont="1" applyBorder="1"/>
    <xf numFmtId="164" fontId="8" fillId="11" borderId="5" xfId="2" applyFont="1" applyFill="1" applyBorder="1"/>
    <xf numFmtId="164" fontId="47" fillId="11" borderId="3" xfId="2" applyFont="1" applyFill="1" applyBorder="1"/>
    <xf numFmtId="172" fontId="48" fillId="11" borderId="0" xfId="4" applyNumberFormat="1" applyFont="1" applyFill="1" applyBorder="1"/>
    <xf numFmtId="9" fontId="48" fillId="11" borderId="0" xfId="3" applyFont="1" applyFill="1" applyBorder="1"/>
    <xf numFmtId="172" fontId="48" fillId="11" borderId="3" xfId="4" applyNumberFormat="1" applyFont="1" applyFill="1" applyBorder="1"/>
    <xf numFmtId="172" fontId="48" fillId="11" borderId="9" xfId="4" applyNumberFormat="1" applyFont="1" applyFill="1" applyBorder="1"/>
    <xf numFmtId="172" fontId="48" fillId="11" borderId="10" xfId="4" applyNumberFormat="1" applyFont="1" applyFill="1" applyBorder="1"/>
    <xf numFmtId="164" fontId="8" fillId="5" borderId="5" xfId="2" applyFont="1" applyFill="1" applyBorder="1"/>
    <xf numFmtId="172" fontId="2" fillId="5" borderId="10" xfId="4" applyNumberFormat="1" applyFont="1" applyFill="1" applyBorder="1"/>
    <xf numFmtId="172" fontId="7" fillId="0" borderId="9" xfId="4" applyNumberFormat="1" applyFont="1" applyFill="1" applyBorder="1"/>
    <xf numFmtId="172" fontId="2" fillId="0" borderId="15" xfId="4" applyNumberFormat="1" applyFont="1" applyFill="1" applyBorder="1"/>
    <xf numFmtId="172" fontId="9" fillId="0" borderId="17" xfId="4" applyNumberFormat="1" applyFont="1" applyBorder="1"/>
    <xf numFmtId="172" fontId="9" fillId="0" borderId="26" xfId="4" applyNumberFormat="1" applyFont="1" applyBorder="1"/>
    <xf numFmtId="172" fontId="9" fillId="0" borderId="10" xfId="4" applyNumberFormat="1" applyFont="1" applyBorder="1"/>
    <xf numFmtId="186" fontId="8" fillId="0" borderId="0" xfId="4" applyNumberFormat="1" applyFont="1" applyBorder="1"/>
    <xf numFmtId="186" fontId="9" fillId="0" borderId="0" xfId="4" applyNumberFormat="1" applyFont="1" applyFill="1" applyBorder="1"/>
    <xf numFmtId="186" fontId="9" fillId="0" borderId="10" xfId="4" applyNumberFormat="1" applyFont="1" applyBorder="1"/>
    <xf numFmtId="186" fontId="9" fillId="0" borderId="0" xfId="4" applyNumberFormat="1" applyFont="1" applyBorder="1"/>
    <xf numFmtId="167" fontId="2" fillId="0" borderId="3" xfId="4" applyNumberFormat="1" applyFont="1" applyFill="1" applyBorder="1"/>
    <xf numFmtId="167" fontId="2" fillId="0" borderId="9" xfId="4" applyNumberFormat="1" applyFont="1" applyFill="1" applyBorder="1"/>
    <xf numFmtId="167" fontId="7" fillId="0" borderId="0" xfId="4" applyNumberFormat="1" applyFont="1" applyFill="1" applyBorder="1"/>
    <xf numFmtId="167" fontId="7" fillId="0" borderId="10" xfId="4" applyNumberFormat="1" applyFont="1" applyFill="1" applyBorder="1"/>
    <xf numFmtId="164" fontId="2" fillId="0" borderId="27" xfId="2" applyBorder="1"/>
    <xf numFmtId="164" fontId="8" fillId="0" borderId="7" xfId="2" applyFont="1" applyBorder="1"/>
    <xf numFmtId="9" fontId="2" fillId="0" borderId="6" xfId="3" applyFont="1" applyFill="1" applyBorder="1"/>
    <xf numFmtId="164" fontId="2" fillId="0" borderId="6" xfId="4" applyNumberFormat="1" applyFont="1" applyFill="1" applyBorder="1"/>
    <xf numFmtId="172" fontId="2" fillId="0" borderId="14" xfId="4" applyNumberFormat="1" applyFont="1" applyFill="1" applyBorder="1"/>
    <xf numFmtId="172" fontId="7" fillId="0" borderId="6" xfId="4" applyNumberFormat="1" applyFont="1" applyFill="1" applyBorder="1"/>
    <xf numFmtId="172" fontId="7" fillId="0" borderId="20" xfId="4" applyNumberFormat="1" applyFont="1" applyBorder="1"/>
    <xf numFmtId="172" fontId="7" fillId="0" borderId="6" xfId="4" applyNumberFormat="1" applyFont="1" applyBorder="1"/>
    <xf numFmtId="172" fontId="2" fillId="0" borderId="15" xfId="3" applyNumberFormat="1" applyFont="1" applyFill="1" applyBorder="1"/>
    <xf numFmtId="172" fontId="8" fillId="0" borderId="15" xfId="3" applyNumberFormat="1" applyFont="1" applyFill="1" applyBorder="1"/>
    <xf numFmtId="172" fontId="8" fillId="0" borderId="10" xfId="4" applyNumberFormat="1" applyFont="1" applyBorder="1"/>
    <xf numFmtId="172" fontId="11" fillId="0" borderId="0" xfId="4" applyNumberFormat="1" applyFont="1" applyFill="1" applyBorder="1"/>
    <xf numFmtId="172" fontId="11" fillId="0" borderId="0" xfId="3" applyNumberFormat="1" applyFont="1" applyFill="1" applyBorder="1"/>
    <xf numFmtId="9" fontId="27" fillId="0" borderId="10" xfId="3" applyFont="1" applyBorder="1"/>
    <xf numFmtId="9" fontId="27" fillId="0" borderId="0" xfId="3" applyFont="1" applyBorder="1"/>
    <xf numFmtId="9" fontId="27" fillId="0" borderId="9" xfId="3" applyFont="1" applyBorder="1"/>
    <xf numFmtId="168" fontId="2" fillId="0" borderId="9" xfId="3" applyNumberFormat="1" applyFont="1" applyFill="1" applyBorder="1"/>
    <xf numFmtId="168" fontId="20" fillId="0" borderId="10" xfId="3" applyNumberFormat="1" applyFont="1" applyBorder="1"/>
    <xf numFmtId="43" fontId="8" fillId="0" borderId="0" xfId="4" applyFont="1" applyFill="1" applyBorder="1"/>
    <xf numFmtId="164" fontId="11" fillId="0" borderId="3" xfId="2" applyFont="1" applyBorder="1" applyAlignment="1">
      <alignment horizontal="center"/>
    </xf>
    <xf numFmtId="9" fontId="11" fillId="0" borderId="3" xfId="3" applyFont="1" applyBorder="1" applyAlignment="1">
      <alignment horizontal="center"/>
    </xf>
    <xf numFmtId="9" fontId="26" fillId="0" borderId="10" xfId="3" applyFont="1" applyBorder="1"/>
    <xf numFmtId="9" fontId="11" fillId="0" borderId="10" xfId="3" applyFont="1" applyBorder="1"/>
    <xf numFmtId="9" fontId="0" fillId="0" borderId="9" xfId="3" applyFont="1" applyFill="1" applyBorder="1"/>
    <xf numFmtId="9" fontId="7" fillId="0" borderId="10" xfId="3" applyFont="1" applyBorder="1"/>
    <xf numFmtId="164" fontId="7" fillId="0" borderId="2" xfId="2" applyFont="1" applyBorder="1"/>
    <xf numFmtId="9" fontId="11" fillId="0" borderId="0" xfId="6" applyFont="1" applyFill="1" applyBorder="1"/>
    <xf numFmtId="9" fontId="11" fillId="0" borderId="3" xfId="6" applyFont="1" applyFill="1" applyBorder="1"/>
    <xf numFmtId="9" fontId="11" fillId="0" borderId="9" xfId="6" applyFont="1" applyFill="1" applyBorder="1"/>
    <xf numFmtId="9" fontId="26" fillId="0" borderId="10" xfId="6" applyFont="1" applyFill="1" applyBorder="1"/>
    <xf numFmtId="172" fontId="2" fillId="0" borderId="10" xfId="4" applyNumberFormat="1" applyFont="1" applyFill="1" applyBorder="1"/>
    <xf numFmtId="1" fontId="2" fillId="0" borderId="0" xfId="2" applyNumberFormat="1"/>
    <xf numFmtId="1" fontId="2" fillId="0" borderId="3" xfId="2" applyNumberFormat="1" applyBorder="1"/>
    <xf numFmtId="1" fontId="2" fillId="0" borderId="9" xfId="2" applyNumberFormat="1" applyBorder="1"/>
    <xf numFmtId="1" fontId="2" fillId="0" borderId="10" xfId="2" applyNumberFormat="1" applyBorder="1"/>
    <xf numFmtId="0" fontId="5" fillId="3" borderId="9" xfId="2" applyNumberFormat="1" applyFont="1" applyFill="1" applyBorder="1" applyAlignment="1">
      <alignment horizontal="right"/>
    </xf>
    <xf numFmtId="0" fontId="8" fillId="0" borderId="0" xfId="2" applyNumberFormat="1" applyFont="1"/>
    <xf numFmtId="164" fontId="8" fillId="5" borderId="1" xfId="2" applyFont="1" applyFill="1" applyBorder="1"/>
    <xf numFmtId="164" fontId="8" fillId="5" borderId="19" xfId="2" applyFont="1" applyFill="1" applyBorder="1"/>
    <xf numFmtId="164" fontId="11" fillId="0" borderId="6" xfId="2" applyFont="1" applyBorder="1" applyAlignment="1">
      <alignment horizontal="left" indent="1"/>
    </xf>
    <xf numFmtId="164" fontId="8" fillId="5" borderId="6" xfId="2" applyFont="1" applyFill="1" applyBorder="1"/>
    <xf numFmtId="168" fontId="11" fillId="5" borderId="6" xfId="3" applyNumberFormat="1" applyFont="1" applyFill="1" applyBorder="1"/>
    <xf numFmtId="168" fontId="11" fillId="5" borderId="7" xfId="3" applyNumberFormat="1" applyFont="1" applyFill="1" applyBorder="1"/>
    <xf numFmtId="168" fontId="11" fillId="5" borderId="14" xfId="3" applyNumberFormat="1" applyFont="1" applyFill="1" applyBorder="1"/>
    <xf numFmtId="168" fontId="26" fillId="5" borderId="20" xfId="3" applyNumberFormat="1" applyFont="1" applyFill="1" applyBorder="1"/>
    <xf numFmtId="168" fontId="26" fillId="5" borderId="6" xfId="3" applyNumberFormat="1" applyFont="1" applyFill="1" applyBorder="1"/>
    <xf numFmtId="168" fontId="26" fillId="5" borderId="14" xfId="3" applyNumberFormat="1" applyFont="1" applyFill="1" applyBorder="1"/>
    <xf numFmtId="164" fontId="11" fillId="0" borderId="0" xfId="2" applyFont="1" applyAlignment="1">
      <alignment horizontal="left" indent="1"/>
    </xf>
    <xf numFmtId="9" fontId="11" fillId="5" borderId="0" xfId="3" applyFont="1" applyFill="1" applyBorder="1"/>
    <xf numFmtId="9" fontId="11" fillId="5" borderId="3" xfId="3" applyFont="1" applyFill="1" applyBorder="1"/>
    <xf numFmtId="9" fontId="11" fillId="5" borderId="9" xfId="3" applyFont="1" applyFill="1" applyBorder="1"/>
    <xf numFmtId="168" fontId="11" fillId="5" borderId="3" xfId="3" applyNumberFormat="1" applyFont="1" applyFill="1" applyBorder="1"/>
    <xf numFmtId="168" fontId="26" fillId="5" borderId="10" xfId="3" applyNumberFormat="1" applyFont="1" applyFill="1" applyBorder="1"/>
    <xf numFmtId="168" fontId="26" fillId="5" borderId="0" xfId="3" applyNumberFormat="1" applyFont="1" applyFill="1" applyBorder="1"/>
    <xf numFmtId="168" fontId="26" fillId="5" borderId="9" xfId="3" applyNumberFormat="1" applyFont="1" applyFill="1" applyBorder="1"/>
    <xf numFmtId="164" fontId="9" fillId="0" borderId="14" xfId="2" applyFont="1" applyBorder="1"/>
    <xf numFmtId="164" fontId="9" fillId="0" borderId="6" xfId="2" applyFont="1" applyBorder="1"/>
    <xf numFmtId="164" fontId="9" fillId="5" borderId="6" xfId="2" applyFont="1" applyFill="1" applyBorder="1"/>
    <xf numFmtId="164" fontId="9" fillId="0" borderId="20" xfId="2" applyFont="1" applyBorder="1"/>
    <xf numFmtId="164" fontId="7" fillId="0" borderId="12" xfId="2" applyFont="1" applyBorder="1"/>
    <xf numFmtId="0" fontId="2" fillId="0" borderId="0" xfId="2" applyNumberFormat="1"/>
    <xf numFmtId="173" fontId="2" fillId="0" borderId="0" xfId="2" applyNumberFormat="1"/>
    <xf numFmtId="173" fontId="2" fillId="0" borderId="3" xfId="2" applyNumberFormat="1" applyBorder="1"/>
    <xf numFmtId="173" fontId="2" fillId="0" borderId="9" xfId="2" applyNumberFormat="1" applyBorder="1"/>
    <xf numFmtId="173" fontId="2" fillId="0" borderId="10" xfId="2" applyNumberFormat="1" applyBorder="1"/>
    <xf numFmtId="9" fontId="7" fillId="0" borderId="10" xfId="3" applyFont="1" applyFill="1" applyBorder="1"/>
    <xf numFmtId="9" fontId="7" fillId="0" borderId="9" xfId="3" applyFont="1" applyFill="1" applyBorder="1"/>
    <xf numFmtId="0" fontId="8" fillId="6" borderId="0" xfId="2" applyNumberFormat="1" applyFont="1" applyFill="1"/>
    <xf numFmtId="164" fontId="0" fillId="0" borderId="0" xfId="4" applyNumberFormat="1" applyFont="1" applyFill="1" applyBorder="1"/>
    <xf numFmtId="164" fontId="6" fillId="0" borderId="10" xfId="4" applyNumberFormat="1" applyFont="1" applyFill="1" applyBorder="1"/>
    <xf numFmtId="9" fontId="2" fillId="0" borderId="9" xfId="3" applyFont="1" applyFill="1" applyBorder="1"/>
    <xf numFmtId="9" fontId="2" fillId="5" borderId="10" xfId="3" applyFont="1" applyFill="1" applyBorder="1"/>
    <xf numFmtId="9" fontId="7" fillId="5" borderId="10" xfId="3" applyFont="1" applyFill="1" applyBorder="1"/>
    <xf numFmtId="172" fontId="7" fillId="5" borderId="10" xfId="4" applyNumberFormat="1" applyFont="1" applyFill="1" applyBorder="1"/>
    <xf numFmtId="172" fontId="9" fillId="5" borderId="10" xfId="3" applyNumberFormat="1" applyFont="1" applyFill="1" applyBorder="1"/>
    <xf numFmtId="164" fontId="2" fillId="5" borderId="0" xfId="2" applyFill="1" applyAlignment="1">
      <alignment horizontal="left" indent="1"/>
    </xf>
    <xf numFmtId="188" fontId="11" fillId="0" borderId="0" xfId="3" applyNumberFormat="1" applyFont="1" applyFill="1" applyBorder="1"/>
    <xf numFmtId="188" fontId="26" fillId="0" borderId="9" xfId="3" applyNumberFormat="1" applyFont="1" applyFill="1" applyBorder="1"/>
    <xf numFmtId="188" fontId="26" fillId="0" borderId="0" xfId="3" applyNumberFormat="1" applyFont="1" applyFill="1" applyBorder="1"/>
    <xf numFmtId="166" fontId="32" fillId="5" borderId="10" xfId="2" applyNumberFormat="1" applyFont="1" applyFill="1" applyBorder="1"/>
    <xf numFmtId="9" fontId="6" fillId="0" borderId="10" xfId="3" applyFont="1" applyFill="1" applyBorder="1"/>
    <xf numFmtId="166" fontId="32" fillId="5" borderId="0" xfId="2" applyNumberFormat="1" applyFont="1" applyFill="1"/>
    <xf numFmtId="166" fontId="32" fillId="5" borderId="3" xfId="2" applyNumberFormat="1" applyFont="1" applyFill="1" applyBorder="1"/>
    <xf numFmtId="166" fontId="2" fillId="5" borderId="0" xfId="2" applyNumberFormat="1" applyFill="1"/>
    <xf numFmtId="166" fontId="32" fillId="5" borderId="9" xfId="2" applyNumberFormat="1" applyFont="1" applyFill="1" applyBorder="1"/>
    <xf numFmtId="9" fontId="2" fillId="5" borderId="3" xfId="2" applyNumberFormat="1" applyFill="1" applyBorder="1"/>
    <xf numFmtId="9" fontId="32" fillId="5" borderId="10" xfId="2" applyNumberFormat="1" applyFont="1" applyFill="1" applyBorder="1"/>
    <xf numFmtId="166" fontId="2" fillId="5" borderId="3" xfId="2" applyNumberFormat="1" applyFill="1" applyBorder="1"/>
    <xf numFmtId="166" fontId="7" fillId="5" borderId="0" xfId="2" applyNumberFormat="1" applyFont="1" applyFill="1"/>
    <xf numFmtId="166" fontId="7" fillId="5" borderId="9" xfId="2" applyNumberFormat="1" applyFont="1" applyFill="1" applyBorder="1"/>
    <xf numFmtId="164" fontId="0" fillId="0" borderId="0" xfId="7" applyFont="1"/>
    <xf numFmtId="9" fontId="2" fillId="0" borderId="0" xfId="8" applyFont="1" applyFill="1"/>
    <xf numFmtId="9" fontId="2" fillId="0" borderId="0" xfId="8" applyFont="1" applyFill="1" applyBorder="1"/>
    <xf numFmtId="9" fontId="11" fillId="0" borderId="0" xfId="8" applyFont="1" applyFill="1" applyBorder="1"/>
    <xf numFmtId="9" fontId="11" fillId="0" borderId="3" xfId="8" applyFont="1" applyFill="1" applyBorder="1"/>
    <xf numFmtId="9" fontId="26" fillId="0" borderId="0" xfId="8" applyFont="1" applyFill="1" applyBorder="1"/>
    <xf numFmtId="9" fontId="30" fillId="0" borderId="10" xfId="8" applyFont="1" applyFill="1" applyBorder="1"/>
    <xf numFmtId="164" fontId="2" fillId="0" borderId="0" xfId="7" applyFont="1" applyFill="1"/>
    <xf numFmtId="164" fontId="2" fillId="0" borderId="0" xfId="7" applyFont="1" applyFill="1" applyBorder="1"/>
    <xf numFmtId="164" fontId="11" fillId="0" borderId="0" xfId="7" applyFont="1" applyFill="1" applyBorder="1"/>
    <xf numFmtId="164" fontId="11" fillId="0" borderId="3" xfId="7" applyFont="1" applyFill="1" applyBorder="1"/>
    <xf numFmtId="164" fontId="26" fillId="0" borderId="9" xfId="7" applyFont="1" applyFill="1" applyBorder="1"/>
    <xf numFmtId="164" fontId="26" fillId="0" borderId="0" xfId="7" applyFont="1" applyFill="1" applyBorder="1"/>
    <xf numFmtId="164" fontId="30" fillId="0" borderId="10" xfId="7" applyFont="1" applyFill="1" applyBorder="1"/>
    <xf numFmtId="164" fontId="8" fillId="9" borderId="0" xfId="7" applyFont="1" applyFill="1"/>
    <xf numFmtId="164" fontId="2" fillId="9" borderId="0" xfId="2" applyFill="1"/>
    <xf numFmtId="164" fontId="2" fillId="9" borderId="3" xfId="2" applyFill="1" applyBorder="1"/>
    <xf numFmtId="164" fontId="2" fillId="9" borderId="9" xfId="2" applyFill="1" applyBorder="1"/>
    <xf numFmtId="164" fontId="2" fillId="9" borderId="10" xfId="2" applyFill="1" applyBorder="1"/>
    <xf numFmtId="164" fontId="28" fillId="0" borderId="0" xfId="7" applyFont="1" applyFill="1"/>
    <xf numFmtId="164" fontId="2" fillId="0" borderId="3" xfId="7" applyFont="1" applyFill="1" applyBorder="1"/>
    <xf numFmtId="164" fontId="7" fillId="0" borderId="0" xfId="7" applyFont="1" applyFill="1" applyBorder="1"/>
    <xf numFmtId="164" fontId="7" fillId="0" borderId="9" xfId="7" applyFont="1" applyFill="1" applyBorder="1"/>
    <xf numFmtId="164" fontId="7" fillId="0" borderId="10" xfId="7" applyFont="1" applyFill="1" applyBorder="1"/>
    <xf numFmtId="164" fontId="2" fillId="0" borderId="2" xfId="7" applyFont="1" applyFill="1" applyBorder="1"/>
    <xf numFmtId="164" fontId="2" fillId="0" borderId="8" xfId="7" applyFont="1" applyFill="1" applyBorder="1"/>
    <xf numFmtId="164" fontId="7" fillId="0" borderId="12" xfId="7" applyFont="1" applyFill="1" applyBorder="1"/>
    <xf numFmtId="164" fontId="7" fillId="0" borderId="2" xfId="7" applyFont="1" applyFill="1" applyBorder="1"/>
    <xf numFmtId="164" fontId="7" fillId="0" borderId="21" xfId="7" applyFont="1" applyFill="1" applyBorder="1"/>
    <xf numFmtId="164" fontId="8" fillId="0" borderId="6" xfId="7" applyFont="1" applyFill="1" applyBorder="1"/>
    <xf numFmtId="164" fontId="8" fillId="0" borderId="7" xfId="7" applyFont="1" applyFill="1" applyBorder="1"/>
    <xf numFmtId="164" fontId="9" fillId="0" borderId="14" xfId="7" applyFont="1" applyFill="1" applyBorder="1"/>
    <xf numFmtId="164" fontId="9" fillId="0" borderId="6" xfId="7" applyFont="1" applyFill="1" applyBorder="1"/>
    <xf numFmtId="164" fontId="9" fillId="0" borderId="20" xfId="7" applyFont="1" applyFill="1" applyBorder="1"/>
    <xf numFmtId="164" fontId="8" fillId="0" borderId="0" xfId="7" applyFont="1" applyFill="1" applyBorder="1"/>
    <xf numFmtId="164" fontId="11" fillId="0" borderId="9" xfId="7" applyFont="1" applyFill="1" applyBorder="1"/>
    <xf numFmtId="164" fontId="26" fillId="0" borderId="10" xfId="7" applyFont="1" applyFill="1" applyBorder="1"/>
    <xf numFmtId="164" fontId="6" fillId="0" borderId="10" xfId="7" applyFont="1" applyFill="1" applyBorder="1"/>
    <xf numFmtId="164" fontId="11" fillId="0" borderId="0" xfId="7" applyFont="1" applyFill="1"/>
    <xf numFmtId="164" fontId="8" fillId="0" borderId="0" xfId="7" applyFont="1" applyFill="1"/>
    <xf numFmtId="9" fontId="6" fillId="0" borderId="10" xfId="8" applyFont="1" applyFill="1" applyBorder="1"/>
    <xf numFmtId="9" fontId="7" fillId="0" borderId="0" xfId="8" applyFont="1" applyFill="1" applyBorder="1"/>
    <xf numFmtId="164" fontId="8" fillId="0" borderId="3" xfId="7" applyFont="1" applyFill="1" applyBorder="1"/>
    <xf numFmtId="164" fontId="9" fillId="0" borderId="9" xfId="7" applyFont="1" applyFill="1" applyBorder="1"/>
    <xf numFmtId="164" fontId="9" fillId="0" borderId="0" xfId="7" applyFont="1" applyFill="1" applyBorder="1"/>
    <xf numFmtId="164" fontId="9" fillId="0" borderId="10" xfId="7" applyFont="1" applyFill="1" applyBorder="1"/>
    <xf numFmtId="164" fontId="8" fillId="0" borderId="1" xfId="7" applyFont="1" applyFill="1" applyBorder="1"/>
    <xf numFmtId="164" fontId="8" fillId="0" borderId="19" xfId="7" applyFont="1" applyFill="1" applyBorder="1"/>
    <xf numFmtId="164" fontId="9" fillId="0" borderId="23" xfId="7" applyFont="1" applyFill="1" applyBorder="1"/>
    <xf numFmtId="164" fontId="9" fillId="0" borderId="1" xfId="7" applyFont="1" applyFill="1" applyBorder="1"/>
    <xf numFmtId="164" fontId="9" fillId="0" borderId="24" xfId="7" applyFont="1" applyFill="1" applyBorder="1"/>
    <xf numFmtId="9" fontId="11" fillId="0" borderId="0" xfId="8" applyFont="1" applyFill="1" applyAlignment="1">
      <alignment horizontal="right"/>
    </xf>
    <xf numFmtId="9" fontId="11" fillId="0" borderId="0" xfId="8" applyFont="1" applyFill="1" applyBorder="1" applyAlignment="1">
      <alignment horizontal="right"/>
    </xf>
    <xf numFmtId="9" fontId="11" fillId="0" borderId="3" xfId="8" applyFont="1" applyFill="1" applyBorder="1" applyAlignment="1">
      <alignment horizontal="right"/>
    </xf>
    <xf numFmtId="9" fontId="11" fillId="0" borderId="9" xfId="8" applyFont="1" applyFill="1" applyBorder="1" applyAlignment="1">
      <alignment horizontal="right"/>
    </xf>
    <xf numFmtId="9" fontId="26" fillId="0" borderId="10" xfId="8" applyFont="1" applyFill="1" applyBorder="1" applyAlignment="1">
      <alignment horizontal="right"/>
    </xf>
    <xf numFmtId="9" fontId="26" fillId="0" borderId="0" xfId="8" applyFont="1" applyFill="1" applyBorder="1" applyAlignment="1">
      <alignment horizontal="right"/>
    </xf>
    <xf numFmtId="9" fontId="26" fillId="0" borderId="9" xfId="8" applyFont="1" applyFill="1" applyBorder="1" applyAlignment="1">
      <alignment horizontal="right"/>
    </xf>
    <xf numFmtId="164" fontId="11" fillId="0" borderId="0" xfId="8" applyNumberFormat="1" applyFont="1" applyFill="1" applyAlignment="1">
      <alignment horizontal="right"/>
    </xf>
    <xf numFmtId="164" fontId="11" fillId="0" borderId="0" xfId="8" applyNumberFormat="1" applyFont="1" applyFill="1" applyBorder="1" applyAlignment="1">
      <alignment horizontal="right"/>
    </xf>
    <xf numFmtId="10" fontId="2" fillId="0" borderId="0" xfId="7" applyNumberFormat="1" applyFont="1" applyFill="1"/>
    <xf numFmtId="10" fontId="2" fillId="0" borderId="0" xfId="7" applyNumberFormat="1" applyFont="1" applyFill="1" applyBorder="1"/>
    <xf numFmtId="164" fontId="2" fillId="0" borderId="9" xfId="7" applyFont="1" applyFill="1" applyBorder="1"/>
    <xf numFmtId="164" fontId="2" fillId="0" borderId="10" xfId="7" applyFont="1" applyFill="1" applyBorder="1"/>
    <xf numFmtId="9" fontId="2" fillId="0" borderId="3" xfId="8" applyFont="1" applyFill="1" applyBorder="1"/>
    <xf numFmtId="9" fontId="7" fillId="0" borderId="10" xfId="8" applyFont="1" applyFill="1" applyBorder="1"/>
    <xf numFmtId="164" fontId="49" fillId="0" borderId="0" xfId="7" applyFont="1" applyFill="1"/>
    <xf numFmtId="164" fontId="49" fillId="0" borderId="0" xfId="7" applyFont="1" applyFill="1" applyBorder="1"/>
    <xf numFmtId="164" fontId="49" fillId="0" borderId="10" xfId="7" applyFont="1" applyFill="1" applyBorder="1"/>
    <xf numFmtId="9" fontId="32" fillId="0" borderId="10" xfId="8" applyFont="1" applyFill="1" applyBorder="1"/>
    <xf numFmtId="9" fontId="11" fillId="0" borderId="28" xfId="8" applyFont="1" applyFill="1" applyBorder="1" applyAlignment="1">
      <alignment horizontal="right"/>
    </xf>
    <xf numFmtId="9" fontId="26" fillId="0" borderId="0" xfId="8" applyFont="1" applyFill="1" applyAlignment="1">
      <alignment horizontal="right"/>
    </xf>
    <xf numFmtId="9" fontId="26" fillId="0" borderId="28" xfId="8" applyFont="1" applyFill="1" applyBorder="1" applyAlignment="1">
      <alignment horizontal="right"/>
    </xf>
    <xf numFmtId="164" fontId="26" fillId="0" borderId="0" xfId="7" applyFont="1" applyFill="1"/>
    <xf numFmtId="164" fontId="50" fillId="0" borderId="0" xfId="7"/>
    <xf numFmtId="0" fontId="51" fillId="0" borderId="0" xfId="7" applyNumberFormat="1" applyFont="1" applyBorder="1"/>
    <xf numFmtId="164" fontId="2" fillId="0" borderId="0" xfId="7" applyFont="1" applyAlignment="1">
      <alignment horizontal="right"/>
    </xf>
    <xf numFmtId="164" fontId="50" fillId="0" borderId="0" xfId="7" applyBorder="1"/>
    <xf numFmtId="164" fontId="50" fillId="0" borderId="3" xfId="7" applyBorder="1"/>
    <xf numFmtId="164" fontId="16" fillId="4" borderId="0" xfId="7" applyFont="1" applyFill="1"/>
    <xf numFmtId="164" fontId="4" fillId="4" borderId="0" xfId="7" applyFont="1" applyFill="1"/>
    <xf numFmtId="0" fontId="5" fillId="4" borderId="0" xfId="7" applyNumberFormat="1" applyFont="1" applyFill="1" applyBorder="1"/>
    <xf numFmtId="0" fontId="5" fillId="4" borderId="3" xfId="7" applyNumberFormat="1" applyFont="1" applyFill="1" applyBorder="1"/>
    <xf numFmtId="0" fontId="5" fillId="4" borderId="0" xfId="7" applyNumberFormat="1" applyFont="1" applyFill="1" applyBorder="1" applyAlignment="1">
      <alignment horizontal="right"/>
    </xf>
    <xf numFmtId="0" fontId="5" fillId="3" borderId="9" xfId="7" applyNumberFormat="1" applyFont="1" applyFill="1" applyBorder="1" applyAlignment="1">
      <alignment horizontal="right"/>
    </xf>
    <xf numFmtId="0" fontId="5" fillId="3" borderId="0" xfId="7" applyNumberFormat="1" applyFont="1" applyFill="1" applyBorder="1" applyAlignment="1">
      <alignment horizontal="right"/>
    </xf>
    <xf numFmtId="173" fontId="5" fillId="3" borderId="10" xfId="7" applyNumberFormat="1" applyFont="1" applyFill="1" applyBorder="1"/>
    <xf numFmtId="164" fontId="25" fillId="0" borderId="0" xfId="7" applyFont="1"/>
    <xf numFmtId="164" fontId="2" fillId="0" borderId="0" xfId="7" applyFont="1"/>
    <xf numFmtId="0" fontId="8" fillId="0" borderId="0" xfId="7" applyNumberFormat="1" applyFont="1" applyBorder="1"/>
    <xf numFmtId="0" fontId="8" fillId="0" borderId="0" xfId="7" applyNumberFormat="1" applyFont="1" applyFill="1" applyBorder="1"/>
    <xf numFmtId="173" fontId="8" fillId="0" borderId="0" xfId="7" applyNumberFormat="1" applyFont="1" applyFill="1" applyBorder="1"/>
    <xf numFmtId="173" fontId="8" fillId="0" borderId="3" xfId="7" applyNumberFormat="1" applyFont="1" applyFill="1" applyBorder="1"/>
    <xf numFmtId="173" fontId="8" fillId="0" borderId="9" xfId="7" applyNumberFormat="1" applyFont="1" applyFill="1" applyBorder="1"/>
    <xf numFmtId="173" fontId="8" fillId="0" borderId="10" xfId="7" applyNumberFormat="1" applyFont="1" applyFill="1" applyBorder="1"/>
    <xf numFmtId="164" fontId="2" fillId="6" borderId="10" xfId="2" applyFill="1" applyBorder="1"/>
    <xf numFmtId="164" fontId="8" fillId="0" borderId="15" xfId="7" applyFont="1" applyBorder="1"/>
    <xf numFmtId="164" fontId="2" fillId="0" borderId="15" xfId="7" applyFont="1" applyBorder="1"/>
    <xf numFmtId="0" fontId="8" fillId="0" borderId="15" xfId="7" applyNumberFormat="1" applyFont="1" applyBorder="1"/>
    <xf numFmtId="164" fontId="8" fillId="0" borderId="15" xfId="7" applyFont="1" applyFill="1" applyBorder="1"/>
    <xf numFmtId="164" fontId="8" fillId="0" borderId="18" xfId="7" applyFont="1" applyFill="1" applyBorder="1"/>
    <xf numFmtId="164" fontId="9" fillId="0" borderId="17" xfId="7" applyFont="1" applyFill="1" applyBorder="1"/>
    <xf numFmtId="164" fontId="9" fillId="0" borderId="15" xfId="7" applyFont="1" applyFill="1" applyBorder="1"/>
    <xf numFmtId="164" fontId="9" fillId="0" borderId="26" xfId="7" applyFont="1" applyFill="1" applyBorder="1"/>
    <xf numFmtId="164" fontId="8" fillId="0" borderId="0" xfId="7" applyFont="1" applyBorder="1"/>
    <xf numFmtId="164" fontId="8" fillId="0" borderId="0" xfId="7" applyFont="1"/>
    <xf numFmtId="164" fontId="11" fillId="0" borderId="0" xfId="7" applyFont="1"/>
    <xf numFmtId="9" fontId="26" fillId="0" borderId="10" xfId="8" applyFont="1" applyFill="1" applyBorder="1"/>
    <xf numFmtId="164" fontId="8" fillId="0" borderId="17" xfId="7" applyFont="1" applyFill="1" applyBorder="1"/>
    <xf numFmtId="164" fontId="8" fillId="0" borderId="9" xfId="7" applyFont="1" applyFill="1" applyBorder="1"/>
    <xf numFmtId="9" fontId="11" fillId="0" borderId="0" xfId="8" applyFont="1" applyFill="1"/>
    <xf numFmtId="9" fontId="11" fillId="0" borderId="9" xfId="8" applyFont="1" applyFill="1" applyBorder="1"/>
    <xf numFmtId="9" fontId="30" fillId="0" borderId="0" xfId="8" applyFont="1" applyFill="1" applyBorder="1"/>
    <xf numFmtId="9" fontId="26" fillId="0" borderId="9" xfId="8" applyFont="1" applyFill="1" applyBorder="1"/>
    <xf numFmtId="0" fontId="8" fillId="5" borderId="0" xfId="7" applyNumberFormat="1" applyFont="1" applyFill="1" applyBorder="1"/>
    <xf numFmtId="1" fontId="8" fillId="5" borderId="0" xfId="7" applyNumberFormat="1" applyFont="1" applyFill="1" applyBorder="1"/>
    <xf numFmtId="1" fontId="8" fillId="5" borderId="3" xfId="7" applyNumberFormat="1" applyFont="1" applyFill="1" applyBorder="1"/>
    <xf numFmtId="1" fontId="8" fillId="5" borderId="9" xfId="7" applyNumberFormat="1" applyFont="1" applyFill="1" applyBorder="1"/>
    <xf numFmtId="1" fontId="8" fillId="5" borderId="10" xfId="7" applyNumberFormat="1" applyFont="1" applyFill="1" applyBorder="1"/>
    <xf numFmtId="164" fontId="7" fillId="6" borderId="0" xfId="2" applyFont="1" applyFill="1"/>
    <xf numFmtId="164" fontId="7" fillId="6" borderId="10" xfId="2" applyFont="1" applyFill="1" applyBorder="1"/>
    <xf numFmtId="164" fontId="2" fillId="5" borderId="0" xfId="7" applyFont="1" applyFill="1"/>
    <xf numFmtId="0" fontId="8" fillId="0" borderId="3" xfId="7" applyNumberFormat="1" applyFont="1" applyFill="1" applyBorder="1"/>
    <xf numFmtId="0" fontId="8" fillId="0" borderId="9" xfId="7" applyNumberFormat="1" applyFont="1" applyFill="1" applyBorder="1"/>
    <xf numFmtId="0" fontId="8" fillId="0" borderId="10" xfId="7" applyNumberFormat="1" applyFont="1" applyFill="1" applyBorder="1"/>
    <xf numFmtId="164" fontId="2" fillId="5" borderId="0" xfId="7" applyFont="1" applyFill="1" applyBorder="1"/>
    <xf numFmtId="164" fontId="6" fillId="0" borderId="0" xfId="7" applyFont="1" applyFill="1" applyBorder="1"/>
    <xf numFmtId="164" fontId="8" fillId="5" borderId="0" xfId="7" applyFont="1" applyFill="1"/>
    <xf numFmtId="164" fontId="8" fillId="5" borderId="0" xfId="7" applyFont="1" applyFill="1" applyBorder="1"/>
    <xf numFmtId="0" fontId="8" fillId="5" borderId="3" xfId="7" applyNumberFormat="1" applyFont="1" applyFill="1" applyBorder="1"/>
    <xf numFmtId="0" fontId="8" fillId="5" borderId="9" xfId="7" applyNumberFormat="1" applyFont="1" applyFill="1" applyBorder="1"/>
    <xf numFmtId="0" fontId="8" fillId="5" borderId="10" xfId="7" applyNumberFormat="1" applyFont="1" applyFill="1" applyBorder="1"/>
    <xf numFmtId="164" fontId="0" fillId="0" borderId="0" xfId="7" applyFont="1" applyBorder="1"/>
    <xf numFmtId="164" fontId="2" fillId="0" borderId="0" xfId="7" applyFont="1" applyBorder="1"/>
    <xf numFmtId="164" fontId="2" fillId="0" borderId="3" xfId="7" applyFont="1" applyBorder="1"/>
    <xf numFmtId="164" fontId="2" fillId="0" borderId="9" xfId="7" applyFont="1" applyBorder="1"/>
    <xf numFmtId="164" fontId="8" fillId="0" borderId="3" xfId="7" applyFont="1" applyBorder="1"/>
    <xf numFmtId="164" fontId="8" fillId="0" borderId="9" xfId="7" applyFont="1" applyBorder="1"/>
    <xf numFmtId="164" fontId="9" fillId="0" borderId="10" xfId="7" applyFont="1" applyBorder="1"/>
    <xf numFmtId="164" fontId="49" fillId="0" borderId="10" xfId="7" applyFont="1" applyBorder="1"/>
    <xf numFmtId="164" fontId="8" fillId="0" borderId="10" xfId="7" applyFont="1" applyFill="1" applyBorder="1"/>
    <xf numFmtId="168" fontId="2" fillId="5" borderId="0" xfId="2" applyNumberFormat="1" applyFill="1"/>
    <xf numFmtId="168" fontId="2" fillId="5" borderId="0" xfId="7" applyNumberFormat="1" applyFont="1" applyFill="1"/>
    <xf numFmtId="168" fontId="2" fillId="0" borderId="0" xfId="7" applyNumberFormat="1" applyFont="1"/>
    <xf numFmtId="168" fontId="2" fillId="0" borderId="0" xfId="7" applyNumberFormat="1" applyFont="1" applyFill="1" applyBorder="1"/>
    <xf numFmtId="168" fontId="6" fillId="0" borderId="10" xfId="7" applyNumberFormat="1" applyFont="1" applyFill="1" applyBorder="1"/>
    <xf numFmtId="168" fontId="2" fillId="0" borderId="3" xfId="7" applyNumberFormat="1" applyFont="1" applyFill="1" applyBorder="1"/>
    <xf numFmtId="168" fontId="2" fillId="0" borderId="9" xfId="7" applyNumberFormat="1" applyFont="1" applyFill="1" applyBorder="1"/>
    <xf numFmtId="168" fontId="8" fillId="5" borderId="0" xfId="2" applyNumberFormat="1" applyFont="1" applyFill="1"/>
    <xf numFmtId="168" fontId="8" fillId="5" borderId="0" xfId="7" applyNumberFormat="1" applyFont="1" applyFill="1"/>
    <xf numFmtId="168" fontId="8" fillId="0" borderId="0" xfId="7" applyNumberFormat="1" applyFont="1"/>
    <xf numFmtId="168" fontId="8" fillId="0" borderId="0" xfId="7" applyNumberFormat="1" applyFont="1" applyFill="1" applyBorder="1"/>
    <xf numFmtId="168" fontId="8" fillId="0" borderId="3" xfId="7" applyNumberFormat="1" applyFont="1" applyFill="1" applyBorder="1"/>
    <xf numFmtId="168" fontId="8" fillId="0" borderId="9" xfId="7" applyNumberFormat="1" applyFont="1" applyFill="1" applyBorder="1"/>
    <xf numFmtId="168" fontId="9" fillId="0" borderId="10" xfId="7" applyNumberFormat="1" applyFont="1" applyFill="1" applyBorder="1"/>
    <xf numFmtId="164" fontId="7" fillId="0" borderId="10" xfId="7" applyFont="1" applyBorder="1"/>
    <xf numFmtId="173" fontId="9" fillId="0" borderId="10" xfId="7" applyNumberFormat="1" applyFont="1" applyFill="1" applyBorder="1"/>
    <xf numFmtId="164" fontId="8" fillId="5" borderId="15" xfId="2" applyFont="1" applyFill="1" applyBorder="1"/>
    <xf numFmtId="164" fontId="2" fillId="5" borderId="15" xfId="7" applyFont="1" applyFill="1" applyBorder="1"/>
    <xf numFmtId="164" fontId="2" fillId="0" borderId="15" xfId="7" applyFont="1" applyFill="1" applyBorder="1"/>
    <xf numFmtId="164" fontId="2" fillId="0" borderId="18" xfId="7" applyFont="1" applyFill="1" applyBorder="1"/>
    <xf numFmtId="164" fontId="2" fillId="0" borderId="17" xfId="7" applyFont="1" applyFill="1" applyBorder="1"/>
    <xf numFmtId="164" fontId="2" fillId="0" borderId="26" xfId="7" applyFont="1" applyFill="1" applyBorder="1"/>
    <xf numFmtId="0" fontId="2" fillId="0" borderId="0" xfId="3" applyNumberFormat="1" applyFont="1" applyFill="1"/>
    <xf numFmtId="0" fontId="2" fillId="0" borderId="0" xfId="3" applyNumberFormat="1" applyFont="1" applyFill="1" applyBorder="1"/>
    <xf numFmtId="0" fontId="2" fillId="0" borderId="3" xfId="3" applyNumberFormat="1" applyFont="1" applyFill="1" applyBorder="1"/>
    <xf numFmtId="0" fontId="2" fillId="0" borderId="9" xfId="3" applyNumberFormat="1" applyFont="1" applyFill="1" applyBorder="1"/>
    <xf numFmtId="0" fontId="2" fillId="0" borderId="10" xfId="3" applyNumberFormat="1" applyFont="1" applyFill="1" applyBorder="1"/>
    <xf numFmtId="164" fontId="2" fillId="5" borderId="3" xfId="7" applyFont="1" applyFill="1" applyBorder="1"/>
    <xf numFmtId="164" fontId="2" fillId="5" borderId="9" xfId="7" applyFont="1" applyFill="1" applyBorder="1"/>
    <xf numFmtId="164" fontId="7" fillId="5" borderId="10" xfId="7" applyFont="1" applyFill="1" applyBorder="1"/>
    <xf numFmtId="164" fontId="11" fillId="5" borderId="0" xfId="2" applyFont="1" applyFill="1"/>
    <xf numFmtId="164" fontId="11" fillId="5" borderId="0" xfId="7" applyFont="1" applyFill="1"/>
    <xf numFmtId="164" fontId="25" fillId="5" borderId="0" xfId="7" applyFont="1" applyFill="1"/>
    <xf numFmtId="168" fontId="11" fillId="5" borderId="0" xfId="3" applyNumberFormat="1" applyFont="1" applyFill="1"/>
    <xf numFmtId="9" fontId="25" fillId="5" borderId="0" xfId="3" applyFont="1" applyFill="1"/>
    <xf numFmtId="9" fontId="2" fillId="0" borderId="4" xfId="3" applyFont="1" applyFill="1" applyBorder="1"/>
    <xf numFmtId="164" fontId="7" fillId="10" borderId="10" xfId="2" applyFont="1" applyFill="1" applyBorder="1"/>
    <xf numFmtId="164" fontId="8" fillId="5" borderId="3" xfId="7" applyFont="1" applyFill="1" applyBorder="1"/>
    <xf numFmtId="164" fontId="8" fillId="5" borderId="9" xfId="7" applyFont="1" applyFill="1" applyBorder="1"/>
    <xf numFmtId="164" fontId="8" fillId="5" borderId="10" xfId="7" applyFont="1" applyFill="1" applyBorder="1"/>
    <xf numFmtId="9" fontId="8" fillId="0" borderId="0" xfId="3" applyFont="1" applyFill="1"/>
    <xf numFmtId="9" fontId="2" fillId="5" borderId="0" xfId="3" applyFont="1" applyFill="1"/>
    <xf numFmtId="9" fontId="2" fillId="5" borderId="3" xfId="3" applyFont="1" applyFill="1" applyBorder="1"/>
    <xf numFmtId="9" fontId="6" fillId="0" borderId="10" xfId="3" applyFont="1" applyBorder="1"/>
    <xf numFmtId="167" fontId="2" fillId="0" borderId="10" xfId="7" applyNumberFormat="1" applyFont="1" applyFill="1" applyBorder="1"/>
    <xf numFmtId="164" fontId="8" fillId="6" borderId="0" xfId="7" applyFont="1" applyFill="1"/>
    <xf numFmtId="164" fontId="8" fillId="6" borderId="0" xfId="7" applyFont="1" applyFill="1" applyBorder="1"/>
    <xf numFmtId="164" fontId="8" fillId="6" borderId="3" xfId="7" applyFont="1" applyFill="1" applyBorder="1"/>
    <xf numFmtId="164" fontId="9" fillId="6" borderId="9" xfId="7" applyFont="1" applyFill="1" applyBorder="1"/>
    <xf numFmtId="164" fontId="9" fillId="6" borderId="0" xfId="7" applyFont="1" applyFill="1" applyBorder="1"/>
    <xf numFmtId="164" fontId="9" fillId="6" borderId="10" xfId="7" applyFont="1" applyFill="1" applyBorder="1"/>
    <xf numFmtId="167" fontId="8" fillId="0" borderId="0" xfId="7" applyNumberFormat="1" applyFont="1" applyFill="1"/>
    <xf numFmtId="167" fontId="8" fillId="0" borderId="0" xfId="7" applyNumberFormat="1" applyFont="1" applyFill="1" applyBorder="1"/>
    <xf numFmtId="167" fontId="8" fillId="0" borderId="3" xfId="7" applyNumberFormat="1" applyFont="1" applyFill="1" applyBorder="1"/>
    <xf numFmtId="167" fontId="8" fillId="0" borderId="9" xfId="7" applyNumberFormat="1" applyFont="1" applyFill="1" applyBorder="1"/>
    <xf numFmtId="167" fontId="9" fillId="0" borderId="10" xfId="7" applyNumberFormat="1" applyFont="1" applyFill="1" applyBorder="1"/>
    <xf numFmtId="167" fontId="2" fillId="0" borderId="0" xfId="7" applyNumberFormat="1" applyFont="1" applyFill="1"/>
    <xf numFmtId="167" fontId="2" fillId="0" borderId="0" xfId="7" applyNumberFormat="1" applyFont="1" applyFill="1" applyBorder="1"/>
    <xf numFmtId="167" fontId="2" fillId="0" borderId="3" xfId="7" applyNumberFormat="1" applyFont="1" applyFill="1" applyBorder="1"/>
    <xf numFmtId="167" fontId="2" fillId="0" borderId="9" xfId="7" applyNumberFormat="1" applyFont="1" applyFill="1" applyBorder="1"/>
    <xf numFmtId="167" fontId="7" fillId="0" borderId="10" xfId="7" applyNumberFormat="1" applyFont="1" applyFill="1" applyBorder="1"/>
    <xf numFmtId="164" fontId="8" fillId="5" borderId="18" xfId="2" applyFont="1" applyFill="1" applyBorder="1"/>
    <xf numFmtId="164" fontId="9" fillId="5" borderId="15" xfId="2" applyFont="1" applyFill="1" applyBorder="1"/>
    <xf numFmtId="164" fontId="9" fillId="5" borderId="10" xfId="7" applyFont="1" applyFill="1" applyBorder="1"/>
    <xf numFmtId="164" fontId="6" fillId="5" borderId="10" xfId="7" applyFont="1" applyFill="1" applyBorder="1"/>
    <xf numFmtId="164" fontId="2" fillId="0" borderId="0" xfId="7" applyFont="1" applyAlignment="1">
      <alignment horizontal="left"/>
    </xf>
    <xf numFmtId="9" fontId="8" fillId="0" borderId="0" xfId="8" applyFont="1" applyFill="1" applyBorder="1"/>
    <xf numFmtId="9" fontId="8" fillId="0" borderId="3" xfId="8" applyFont="1" applyFill="1" applyBorder="1"/>
    <xf numFmtId="9" fontId="8" fillId="0" borderId="9" xfId="8" applyFont="1" applyFill="1" applyBorder="1"/>
    <xf numFmtId="9" fontId="49" fillId="0" borderId="10" xfId="8" applyFont="1" applyFill="1" applyBorder="1"/>
    <xf numFmtId="164" fontId="11" fillId="0" borderId="0" xfId="7" applyFont="1" applyAlignment="1">
      <alignment horizontal="left" indent="2"/>
    </xf>
    <xf numFmtId="9" fontId="9" fillId="5" borderId="10" xfId="3" applyFont="1" applyFill="1" applyBorder="1"/>
    <xf numFmtId="164" fontId="9" fillId="5" borderId="17" xfId="2" applyFont="1" applyFill="1" applyBorder="1"/>
    <xf numFmtId="9" fontId="52" fillId="0" borderId="10" xfId="8" applyFont="1" applyFill="1" applyBorder="1"/>
    <xf numFmtId="9" fontId="11" fillId="0" borderId="0" xfId="8" applyFont="1"/>
    <xf numFmtId="9" fontId="11" fillId="0" borderId="0" xfId="8" applyFont="1" applyBorder="1"/>
    <xf numFmtId="9" fontId="11" fillId="0" borderId="3" xfId="8" applyFont="1" applyBorder="1"/>
    <xf numFmtId="9" fontId="11" fillId="0" borderId="9" xfId="8" applyFont="1" applyBorder="1"/>
    <xf numFmtId="9" fontId="26" fillId="0" borderId="10" xfId="8" applyFont="1" applyBorder="1"/>
    <xf numFmtId="9" fontId="25" fillId="0" borderId="0" xfId="8" applyFont="1"/>
    <xf numFmtId="9" fontId="25" fillId="0" borderId="0" xfId="8" applyFont="1" applyBorder="1"/>
    <xf numFmtId="9" fontId="25" fillId="0" borderId="3" xfId="8" applyFont="1" applyBorder="1"/>
    <xf numFmtId="9" fontId="25" fillId="0" borderId="9" xfId="8" applyFont="1" applyBorder="1"/>
    <xf numFmtId="9" fontId="25" fillId="0" borderId="10" xfId="8" applyFont="1" applyBorder="1"/>
    <xf numFmtId="164" fontId="2" fillId="0" borderId="21" xfId="2" applyBorder="1"/>
    <xf numFmtId="164" fontId="53" fillId="4" borderId="0" xfId="2" applyFont="1" applyFill="1"/>
    <xf numFmtId="164" fontId="4" fillId="4" borderId="3" xfId="2" applyFont="1" applyFill="1" applyBorder="1"/>
    <xf numFmtId="164" fontId="4" fillId="3" borderId="9" xfId="2" applyFont="1" applyFill="1" applyBorder="1"/>
    <xf numFmtId="164" fontId="4" fillId="3" borderId="0" xfId="2" applyFont="1" applyFill="1"/>
    <xf numFmtId="164" fontId="4" fillId="3" borderId="10" xfId="2" applyFont="1" applyFill="1" applyBorder="1"/>
    <xf numFmtId="173" fontId="2" fillId="0" borderId="9" xfId="2" applyNumberFormat="1" applyBorder="1" applyAlignment="1">
      <alignment horizontal="right"/>
    </xf>
    <xf numFmtId="173" fontId="2" fillId="0" borderId="10" xfId="2" applyNumberFormat="1" applyBorder="1" applyAlignment="1">
      <alignment horizontal="right"/>
    </xf>
    <xf numFmtId="0" fontId="8" fillId="0" borderId="0" xfId="2" applyNumberFormat="1" applyFont="1" applyAlignment="1">
      <alignment horizontal="right"/>
    </xf>
    <xf numFmtId="0" fontId="8" fillId="0" borderId="3" xfId="2" applyNumberFormat="1" applyFont="1" applyBorder="1"/>
    <xf numFmtId="0" fontId="8" fillId="0" borderId="9" xfId="2" applyNumberFormat="1" applyFont="1" applyBorder="1" applyAlignment="1">
      <alignment horizontal="right"/>
    </xf>
    <xf numFmtId="165" fontId="8" fillId="0" borderId="10" xfId="2" applyNumberFormat="1" applyFont="1" applyBorder="1"/>
    <xf numFmtId="164" fontId="8" fillId="0" borderId="0" xfId="2" applyFont="1" applyAlignment="1">
      <alignment horizontal="left" indent="1"/>
    </xf>
    <xf numFmtId="168" fontId="8" fillId="0" borderId="0" xfId="3" applyNumberFormat="1" applyFont="1" applyFill="1"/>
    <xf numFmtId="168" fontId="9" fillId="0" borderId="9" xfId="3" applyNumberFormat="1" applyFont="1" applyFill="1" applyBorder="1"/>
    <xf numFmtId="164" fontId="24" fillId="0" borderId="0" xfId="2" applyFont="1" applyAlignment="1">
      <alignment horizontal="left" indent="2"/>
    </xf>
    <xf numFmtId="168" fontId="7" fillId="0" borderId="9" xfId="3" applyNumberFormat="1" applyFont="1" applyFill="1" applyBorder="1"/>
    <xf numFmtId="168" fontId="6" fillId="0" borderId="10" xfId="3" applyNumberFormat="1" applyFont="1" applyFill="1" applyBorder="1"/>
    <xf numFmtId="164" fontId="2" fillId="0" borderId="0" xfId="2" applyAlignment="1">
      <alignment horizontal="left" indent="2"/>
    </xf>
    <xf numFmtId="168" fontId="7" fillId="0" borderId="10" xfId="3" applyNumberFormat="1" applyFont="1" applyFill="1" applyBorder="1"/>
    <xf numFmtId="43" fontId="7" fillId="0" borderId="10" xfId="4" applyFont="1" applyFill="1" applyBorder="1"/>
    <xf numFmtId="168" fontId="6" fillId="0" borderId="0" xfId="3" applyNumberFormat="1" applyFont="1" applyFill="1" applyBorder="1"/>
    <xf numFmtId="168" fontId="49" fillId="0" borderId="10" xfId="3" applyNumberFormat="1" applyFont="1" applyFill="1" applyBorder="1"/>
    <xf numFmtId="189" fontId="2" fillId="0" borderId="0" xfId="2" applyNumberFormat="1"/>
    <xf numFmtId="168" fontId="0" fillId="0" borderId="9" xfId="3" applyNumberFormat="1" applyFont="1" applyFill="1" applyBorder="1"/>
    <xf numFmtId="164" fontId="50" fillId="0" borderId="0" xfId="2" applyFont="1"/>
    <xf numFmtId="164" fontId="50" fillId="0" borderId="3" xfId="2" applyFont="1" applyBorder="1"/>
    <xf numFmtId="164" fontId="50" fillId="0" borderId="9" xfId="2" applyFont="1" applyBorder="1"/>
    <xf numFmtId="164" fontId="50" fillId="0" borderId="10" xfId="2" applyFont="1" applyBorder="1"/>
    <xf numFmtId="164" fontId="38" fillId="6" borderId="0" xfId="2" applyFont="1" applyFill="1"/>
    <xf numFmtId="165" fontId="8" fillId="0" borderId="0" xfId="2" applyNumberFormat="1" applyFont="1"/>
    <xf numFmtId="173" fontId="36" fillId="0" borderId="0" xfId="2" applyNumberFormat="1" applyFont="1" applyAlignment="1">
      <alignment horizontal="right"/>
    </xf>
    <xf numFmtId="172" fontId="18" fillId="0" borderId="0" xfId="4" applyNumberFormat="1" applyFont="1" applyBorder="1"/>
    <xf numFmtId="172" fontId="39" fillId="0" borderId="6" xfId="4" applyNumberFormat="1" applyFont="1" applyFill="1" applyBorder="1"/>
    <xf numFmtId="172" fontId="18" fillId="0" borderId="0" xfId="4" applyNumberFormat="1" applyFont="1" applyFill="1"/>
    <xf numFmtId="168" fontId="42" fillId="0" borderId="0" xfId="4" applyNumberFormat="1" applyFont="1" applyFill="1" applyBorder="1"/>
    <xf numFmtId="168" fontId="41" fillId="0" borderId="0" xfId="3" applyNumberFormat="1" applyFont="1" applyFill="1"/>
    <xf numFmtId="41" fontId="2" fillId="0" borderId="0" xfId="2" applyNumberFormat="1" applyAlignment="1">
      <alignment horizontal="right"/>
    </xf>
    <xf numFmtId="41" fontId="20" fillId="0" borderId="2" xfId="2" applyNumberFormat="1" applyFont="1" applyBorder="1" applyAlignment="1">
      <alignment horizontal="right"/>
    </xf>
    <xf numFmtId="172" fontId="0" fillId="0" borderId="6" xfId="4" applyNumberFormat="1" applyFont="1" applyFill="1" applyBorder="1"/>
    <xf numFmtId="172" fontId="18" fillId="0" borderId="6" xfId="4" applyNumberFormat="1" applyFont="1" applyFill="1" applyBorder="1"/>
    <xf numFmtId="43" fontId="19" fillId="0" borderId="0" xfId="4" applyFont="1" applyFill="1"/>
    <xf numFmtId="168" fontId="20" fillId="0" borderId="0" xfId="3" applyNumberFormat="1" applyFont="1" applyFill="1"/>
    <xf numFmtId="168" fontId="0" fillId="0" borderId="0" xfId="4" applyNumberFormat="1" applyFont="1" applyFill="1" applyBorder="1"/>
    <xf numFmtId="168" fontId="0" fillId="0" borderId="0" xfId="4" applyNumberFormat="1" applyFont="1" applyFill="1"/>
    <xf numFmtId="168" fontId="20" fillId="0" borderId="0" xfId="4" applyNumberFormat="1" applyFont="1" applyFill="1"/>
    <xf numFmtId="164" fontId="54" fillId="0" borderId="0" xfId="2" applyFont="1"/>
    <xf numFmtId="187" fontId="2" fillId="0" borderId="0" xfId="2" applyNumberFormat="1"/>
    <xf numFmtId="9" fontId="25" fillId="0" borderId="0" xfId="4" applyNumberFormat="1" applyFont="1" applyFill="1" applyBorder="1"/>
    <xf numFmtId="186" fontId="2" fillId="0" borderId="0" xfId="2" applyNumberFormat="1"/>
    <xf numFmtId="9" fontId="25" fillId="0" borderId="0" xfId="3" applyFont="1" applyFill="1"/>
    <xf numFmtId="164" fontId="55" fillId="6" borderId="0" xfId="4" applyNumberFormat="1" applyFont="1" applyFill="1" applyBorder="1"/>
    <xf numFmtId="164" fontId="56" fillId="0" borderId="0" xfId="2" applyFont="1"/>
    <xf numFmtId="168" fontId="25" fillId="0" borderId="0" xfId="3" applyNumberFormat="1" applyFont="1" applyFill="1"/>
    <xf numFmtId="9" fontId="11" fillId="0" borderId="0" xfId="2" applyNumberFormat="1" applyFont="1"/>
    <xf numFmtId="164" fontId="39" fillId="0" borderId="0" xfId="2" applyFont="1" applyAlignment="1">
      <alignment horizontal="right"/>
    </xf>
    <xf numFmtId="3" fontId="20" fillId="0" borderId="0" xfId="2" applyNumberFormat="1" applyFont="1" applyAlignment="1">
      <alignment horizontal="right"/>
    </xf>
    <xf numFmtId="172" fontId="20" fillId="0" borderId="0" xfId="4" applyNumberFormat="1" applyFont="1" applyFill="1" applyAlignment="1">
      <alignment horizontal="right"/>
    </xf>
    <xf numFmtId="172" fontId="55" fillId="0" borderId="0" xfId="4" applyNumberFormat="1" applyFont="1" applyFill="1" applyAlignment="1">
      <alignment horizontal="right"/>
    </xf>
    <xf numFmtId="172" fontId="18" fillId="0" borderId="0" xfId="4" applyNumberFormat="1" applyFont="1" applyFill="1" applyBorder="1" applyAlignment="1">
      <alignment horizontal="right"/>
    </xf>
    <xf numFmtId="164" fontId="20" fillId="0" borderId="0" xfId="2" applyFont="1"/>
    <xf numFmtId="41" fontId="57" fillId="0" borderId="2" xfId="2" applyNumberFormat="1" applyFont="1" applyBorder="1" applyAlignment="1">
      <alignment horizontal="right"/>
    </xf>
    <xf numFmtId="41" fontId="18" fillId="0" borderId="2" xfId="2" applyNumberFormat="1" applyFont="1" applyBorder="1" applyAlignment="1">
      <alignment horizontal="right"/>
    </xf>
    <xf numFmtId="172" fontId="8" fillId="0" borderId="0" xfId="4" applyNumberFormat="1" applyFont="1" applyFill="1" applyAlignment="1">
      <alignment horizontal="right"/>
    </xf>
    <xf numFmtId="172" fontId="39" fillId="0" borderId="0" xfId="2" applyNumberFormat="1" applyFont="1" applyAlignment="1">
      <alignment horizontal="right"/>
    </xf>
    <xf numFmtId="172" fontId="15" fillId="0" borderId="0" xfId="4" applyNumberFormat="1" applyFont="1" applyFill="1" applyAlignment="1">
      <alignment horizontal="right"/>
    </xf>
    <xf numFmtId="168" fontId="41" fillId="0" borderId="0" xfId="3" applyNumberFormat="1" applyFont="1" applyFill="1" applyAlignment="1">
      <alignment horizontal="right"/>
    </xf>
    <xf numFmtId="168" fontId="41" fillId="0" borderId="0" xfId="3" applyNumberFormat="1" applyFont="1" applyFill="1" applyBorder="1" applyAlignment="1">
      <alignment horizontal="right"/>
    </xf>
    <xf numFmtId="9" fontId="41" fillId="0" borderId="0" xfId="3" applyFont="1" applyFill="1" applyAlignment="1">
      <alignment horizontal="right"/>
    </xf>
    <xf numFmtId="1" fontId="20" fillId="0" borderId="0" xfId="2" applyNumberFormat="1" applyFont="1" applyAlignment="1">
      <alignment horizontal="right"/>
    </xf>
    <xf numFmtId="1" fontId="55" fillId="0" borderId="0" xfId="2" applyNumberFormat="1" applyFont="1" applyAlignment="1">
      <alignment horizontal="right"/>
    </xf>
    <xf numFmtId="1" fontId="18" fillId="0" borderId="0" xfId="2" applyNumberFormat="1" applyFont="1" applyAlignment="1">
      <alignment horizontal="right"/>
    </xf>
    <xf numFmtId="168" fontId="42" fillId="12" borderId="0" xfId="3" applyNumberFormat="1" applyFont="1" applyFill="1" applyBorder="1" applyAlignment="1">
      <alignment horizontal="right"/>
    </xf>
    <xf numFmtId="168" fontId="42" fillId="12" borderId="0" xfId="3" applyNumberFormat="1" applyFont="1" applyFill="1" applyAlignment="1">
      <alignment horizontal="right"/>
    </xf>
    <xf numFmtId="168" fontId="42" fillId="0" borderId="0" xfId="3" applyNumberFormat="1" applyFont="1" applyFill="1" applyAlignment="1">
      <alignment horizontal="right"/>
    </xf>
    <xf numFmtId="168" fontId="42" fillId="0" borderId="0" xfId="3" applyNumberFormat="1" applyFont="1" applyFill="1" applyBorder="1" applyAlignment="1">
      <alignment horizontal="right"/>
    </xf>
    <xf numFmtId="9" fontId="41" fillId="0" borderId="0" xfId="3" applyFont="1" applyFill="1" applyBorder="1" applyAlignment="1">
      <alignment horizontal="right"/>
    </xf>
    <xf numFmtId="190" fontId="8" fillId="0" borderId="0" xfId="2" applyNumberFormat="1" applyFont="1" applyAlignment="1">
      <alignment horizontal="right"/>
    </xf>
    <xf numFmtId="3" fontId="39" fillId="0" borderId="0" xfId="2" applyNumberFormat="1" applyFont="1" applyAlignment="1">
      <alignment horizontal="right"/>
    </xf>
    <xf numFmtId="172" fontId="20" fillId="0" borderId="2" xfId="4" applyNumberFormat="1" applyFont="1" applyBorder="1"/>
    <xf numFmtId="41" fontId="55" fillId="0" borderId="2" xfId="2" applyNumberFormat="1" applyFont="1" applyBorder="1" applyAlignment="1">
      <alignment horizontal="right"/>
    </xf>
    <xf numFmtId="41" fontId="18" fillId="0" borderId="0" xfId="2" applyNumberFormat="1" applyFont="1" applyAlignment="1">
      <alignment horizontal="right"/>
    </xf>
    <xf numFmtId="190" fontId="18" fillId="0" borderId="0" xfId="2" applyNumberFormat="1" applyFont="1" applyAlignment="1">
      <alignment horizontal="right"/>
    </xf>
    <xf numFmtId="41" fontId="8" fillId="0" borderId="0" xfId="2" applyNumberFormat="1" applyFont="1" applyAlignment="1">
      <alignment horizontal="right"/>
    </xf>
    <xf numFmtId="168" fontId="2" fillId="0" borderId="0" xfId="3" applyNumberFormat="1" applyFont="1" applyFill="1" applyAlignment="1">
      <alignment horizontal="right"/>
    </xf>
    <xf numFmtId="168" fontId="20" fillId="12" borderId="0" xfId="2" applyNumberFormat="1" applyFont="1" applyFill="1"/>
    <xf numFmtId="190" fontId="39" fillId="0" borderId="0" xfId="2" applyNumberFormat="1" applyFont="1" applyAlignment="1">
      <alignment horizontal="right"/>
    </xf>
    <xf numFmtId="1" fontId="39" fillId="0" borderId="0" xfId="2" applyNumberFormat="1" applyFont="1" applyAlignment="1">
      <alignment horizontal="right"/>
    </xf>
    <xf numFmtId="9" fontId="18" fillId="0" borderId="0" xfId="3" applyFont="1" applyFill="1" applyAlignment="1">
      <alignment horizontal="right"/>
    </xf>
    <xf numFmtId="1" fontId="58" fillId="12" borderId="0" xfId="2" applyNumberFormat="1" applyFont="1" applyFill="1"/>
    <xf numFmtId="168" fontId="18" fillId="0" borderId="0" xfId="3" applyNumberFormat="1" applyFont="1" applyFill="1" applyAlignment="1">
      <alignment horizontal="right"/>
    </xf>
    <xf numFmtId="168" fontId="20" fillId="12" borderId="0" xfId="2" applyNumberFormat="1" applyFont="1" applyFill="1" applyAlignment="1">
      <alignment horizontal="right"/>
    </xf>
    <xf numFmtId="9" fontId="18" fillId="0" borderId="0" xfId="3" applyFont="1" applyFill="1" applyBorder="1" applyAlignment="1">
      <alignment horizontal="right"/>
    </xf>
    <xf numFmtId="164" fontId="55" fillId="0" borderId="0" xfId="3" applyNumberFormat="1" applyFont="1" applyFill="1" applyAlignment="1">
      <alignment horizontal="right"/>
    </xf>
    <xf numFmtId="164" fontId="18" fillId="0" borderId="0" xfId="3" applyNumberFormat="1" applyFont="1" applyFill="1" applyAlignment="1">
      <alignment horizontal="right"/>
    </xf>
    <xf numFmtId="187" fontId="18" fillId="0" borderId="0" xfId="3" applyNumberFormat="1" applyFont="1" applyFill="1" applyAlignment="1">
      <alignment horizontal="right"/>
    </xf>
    <xf numFmtId="172" fontId="15" fillId="0" borderId="0" xfId="4" applyNumberFormat="1" applyFont="1" applyFill="1" applyBorder="1" applyAlignment="1">
      <alignment horizontal="right"/>
    </xf>
    <xf numFmtId="172" fontId="20" fillId="0" borderId="0" xfId="4" applyNumberFormat="1" applyFont="1" applyFill="1" applyBorder="1" applyAlignment="1">
      <alignment horizontal="right"/>
    </xf>
    <xf numFmtId="172" fontId="55" fillId="0" borderId="0" xfId="4" applyNumberFormat="1" applyFont="1" applyFill="1" applyBorder="1" applyAlignment="1">
      <alignment horizontal="right"/>
    </xf>
    <xf numFmtId="172" fontId="59" fillId="0" borderId="0" xfId="4" applyNumberFormat="1" applyFont="1" applyFill="1" applyBorder="1" applyAlignment="1">
      <alignment horizontal="right"/>
    </xf>
    <xf numFmtId="172" fontId="32" fillId="12" borderId="0" xfId="4" applyNumberFormat="1" applyFont="1" applyFill="1" applyBorder="1" applyAlignment="1">
      <alignment horizontal="right"/>
    </xf>
    <xf numFmtId="172" fontId="39" fillId="0" borderId="0" xfId="4" applyNumberFormat="1" applyFont="1" applyFill="1" applyBorder="1" applyAlignment="1">
      <alignment horizontal="right"/>
    </xf>
    <xf numFmtId="164" fontId="41" fillId="0" borderId="0" xfId="2" applyFont="1" applyAlignment="1">
      <alignment horizontal="right"/>
    </xf>
    <xf numFmtId="9" fontId="42" fillId="0" borderId="0" xfId="2" applyNumberFormat="1" applyFont="1" applyAlignment="1">
      <alignment horizontal="right"/>
    </xf>
    <xf numFmtId="168" fontId="42" fillId="12" borderId="0" xfId="2" applyNumberFormat="1" applyFont="1" applyFill="1" applyAlignment="1">
      <alignment horizontal="right"/>
    </xf>
    <xf numFmtId="168" fontId="40" fillId="0" borderId="0" xfId="3" applyNumberFormat="1" applyFont="1" applyFill="1" applyBorder="1" applyAlignment="1">
      <alignment horizontal="right"/>
    </xf>
    <xf numFmtId="164" fontId="60" fillId="0" borderId="0" xfId="2" applyFont="1"/>
    <xf numFmtId="167" fontId="18" fillId="0" borderId="0" xfId="2" applyNumberFormat="1" applyFont="1" applyAlignment="1">
      <alignment horizontal="right"/>
    </xf>
    <xf numFmtId="9" fontId="52" fillId="12" borderId="0" xfId="3" applyFont="1" applyFill="1" applyBorder="1"/>
    <xf numFmtId="9" fontId="40" fillId="0" borderId="0" xfId="3" applyFont="1" applyFill="1" applyBorder="1" applyAlignment="1">
      <alignment horizontal="right"/>
    </xf>
    <xf numFmtId="9" fontId="40" fillId="0" borderId="0" xfId="3" applyFont="1" applyFill="1" applyAlignment="1">
      <alignment horizontal="right"/>
    </xf>
    <xf numFmtId="168" fontId="39" fillId="0" borderId="0" xfId="3" applyNumberFormat="1" applyFont="1" applyFill="1" applyAlignment="1">
      <alignment horizontal="right"/>
    </xf>
    <xf numFmtId="9" fontId="20" fillId="0" borderId="0" xfId="2" applyNumberFormat="1" applyFont="1"/>
    <xf numFmtId="172" fontId="59" fillId="0" borderId="0" xfId="4" applyNumberFormat="1" applyFont="1" applyFill="1" applyBorder="1"/>
    <xf numFmtId="168" fontId="9" fillId="0" borderId="10" xfId="3" applyNumberFormat="1" applyFont="1" applyBorder="1"/>
    <xf numFmtId="166" fontId="2" fillId="0" borderId="10" xfId="2" applyNumberFormat="1" applyBorder="1"/>
    <xf numFmtId="168" fontId="6" fillId="0" borderId="10" xfId="3" applyNumberFormat="1" applyFont="1" applyBorder="1"/>
    <xf numFmtId="9" fontId="0" fillId="0" borderId="0" xfId="3" applyFont="1" applyBorder="1"/>
    <xf numFmtId="9" fontId="0" fillId="0" borderId="9" xfId="3" applyFont="1" applyBorder="1"/>
    <xf numFmtId="168" fontId="0" fillId="0" borderId="2" xfId="3" applyNumberFormat="1" applyFont="1" applyBorder="1"/>
    <xf numFmtId="168" fontId="0" fillId="0" borderId="12" xfId="3" applyNumberFormat="1" applyFont="1" applyBorder="1"/>
    <xf numFmtId="168" fontId="7" fillId="0" borderId="2" xfId="3" applyNumberFormat="1" applyFont="1" applyBorder="1"/>
    <xf numFmtId="168" fontId="7" fillId="0" borderId="21" xfId="3" applyNumberFormat="1" applyFont="1" applyBorder="1"/>
    <xf numFmtId="168" fontId="25" fillId="0" borderId="0" xfId="3" applyNumberFormat="1" applyFont="1"/>
    <xf numFmtId="9" fontId="30" fillId="0" borderId="0" xfId="3" applyFont="1" applyFill="1"/>
    <xf numFmtId="0" fontId="10" fillId="5" borderId="0" xfId="10" applyFill="1"/>
    <xf numFmtId="0" fontId="10" fillId="0" borderId="0" xfId="10"/>
    <xf numFmtId="0" fontId="53" fillId="13" borderId="4" xfId="10" applyFont="1" applyFill="1" applyBorder="1"/>
    <xf numFmtId="0" fontId="62" fillId="13" borderId="0" xfId="10" applyFont="1" applyFill="1"/>
    <xf numFmtId="0" fontId="53" fillId="13" borderId="0" xfId="10" applyFont="1" applyFill="1" applyAlignment="1">
      <alignment horizontal="center"/>
    </xf>
    <xf numFmtId="0" fontId="53" fillId="13" borderId="3" xfId="10" applyFont="1" applyFill="1" applyBorder="1" applyAlignment="1">
      <alignment horizontal="center"/>
    </xf>
    <xf numFmtId="0" fontId="53" fillId="13" borderId="11" xfId="10" applyFont="1" applyFill="1" applyBorder="1"/>
    <xf numFmtId="0" fontId="53" fillId="13" borderId="2" xfId="10" applyFont="1" applyFill="1" applyBorder="1" applyAlignment="1">
      <alignment horizontal="center"/>
    </xf>
    <xf numFmtId="0" fontId="63" fillId="5" borderId="10" xfId="10" applyFont="1" applyFill="1" applyBorder="1"/>
    <xf numFmtId="191" fontId="64" fillId="5" borderId="0" xfId="10" applyNumberFormat="1" applyFont="1" applyFill="1" applyAlignment="1">
      <alignment horizontal="center"/>
    </xf>
    <xf numFmtId="191" fontId="64" fillId="5" borderId="4" xfId="10" applyNumberFormat="1" applyFont="1" applyFill="1" applyBorder="1" applyAlignment="1">
      <alignment horizontal="center"/>
    </xf>
    <xf numFmtId="191" fontId="64" fillId="5" borderId="3" xfId="10" applyNumberFormat="1" applyFont="1" applyFill="1" applyBorder="1" applyAlignment="1">
      <alignment horizontal="center"/>
    </xf>
    <xf numFmtId="3" fontId="10" fillId="0" borderId="0" xfId="10" applyNumberFormat="1"/>
    <xf numFmtId="0" fontId="65" fillId="5" borderId="10" xfId="10" applyFont="1" applyFill="1" applyBorder="1" applyAlignment="1">
      <alignment horizontal="left" indent="1"/>
    </xf>
    <xf numFmtId="9" fontId="66" fillId="5" borderId="4" xfId="3" applyFont="1" applyFill="1" applyBorder="1" applyAlignment="1">
      <alignment horizontal="center"/>
    </xf>
    <xf numFmtId="9" fontId="64" fillId="5" borderId="0" xfId="3" applyFont="1" applyFill="1" applyBorder="1" applyAlignment="1">
      <alignment horizontal="center"/>
    </xf>
    <xf numFmtId="9" fontId="66" fillId="5" borderId="3" xfId="3" applyFont="1" applyFill="1" applyBorder="1" applyAlignment="1">
      <alignment horizontal="center"/>
    </xf>
    <xf numFmtId="0" fontId="63" fillId="5" borderId="10" xfId="10" applyFont="1" applyFill="1" applyBorder="1" applyAlignment="1">
      <alignment horizontal="left"/>
    </xf>
    <xf numFmtId="0" fontId="65" fillId="5" borderId="29" xfId="10" applyFont="1" applyFill="1" applyBorder="1" applyAlignment="1">
      <alignment horizontal="left" indent="1"/>
    </xf>
    <xf numFmtId="191" fontId="64" fillId="5" borderId="29" xfId="10" applyNumberFormat="1" applyFont="1" applyFill="1" applyBorder="1" applyAlignment="1">
      <alignment horizontal="center"/>
    </xf>
    <xf numFmtId="9" fontId="63" fillId="5" borderId="30" xfId="3" applyFont="1" applyFill="1" applyBorder="1" applyAlignment="1">
      <alignment horizontal="center"/>
    </xf>
    <xf numFmtId="9" fontId="63" fillId="5" borderId="31" xfId="3" applyFont="1" applyFill="1" applyBorder="1" applyAlignment="1">
      <alignment horizontal="center"/>
    </xf>
    <xf numFmtId="9" fontId="63" fillId="5" borderId="32" xfId="3" applyFont="1" applyFill="1" applyBorder="1" applyAlignment="1">
      <alignment horizontal="center"/>
    </xf>
    <xf numFmtId="0" fontId="37" fillId="5" borderId="0" xfId="10" applyFont="1" applyFill="1"/>
    <xf numFmtId="0" fontId="67" fillId="5" borderId="21" xfId="10" applyFont="1" applyFill="1" applyBorder="1"/>
    <xf numFmtId="191" fontId="38" fillId="5" borderId="2" xfId="10" applyNumberFormat="1" applyFont="1" applyFill="1" applyBorder="1" applyAlignment="1">
      <alignment horizontal="center"/>
    </xf>
    <xf numFmtId="191" fontId="38" fillId="5" borderId="11" xfId="10" applyNumberFormat="1" applyFont="1" applyFill="1" applyBorder="1" applyAlignment="1">
      <alignment horizontal="center"/>
    </xf>
    <xf numFmtId="191" fontId="38" fillId="5" borderId="8" xfId="10" applyNumberFormat="1" applyFont="1" applyFill="1" applyBorder="1" applyAlignment="1">
      <alignment horizontal="center"/>
    </xf>
    <xf numFmtId="0" fontId="37" fillId="0" borderId="0" xfId="10" applyFont="1"/>
    <xf numFmtId="3" fontId="37" fillId="0" borderId="0" xfId="10" applyNumberFormat="1" applyFont="1"/>
    <xf numFmtId="191" fontId="63" fillId="5" borderId="0" xfId="10" applyNumberFormat="1" applyFont="1" applyFill="1" applyAlignment="1">
      <alignment horizontal="center"/>
    </xf>
    <xf numFmtId="9" fontId="63" fillId="5" borderId="4" xfId="3" applyFont="1" applyFill="1" applyBorder="1" applyAlignment="1">
      <alignment horizontal="center"/>
    </xf>
    <xf numFmtId="9" fontId="63" fillId="5" borderId="0" xfId="3" applyFont="1" applyFill="1" applyBorder="1" applyAlignment="1">
      <alignment horizontal="center"/>
    </xf>
    <xf numFmtId="9" fontId="63" fillId="5" borderId="3" xfId="3" applyFont="1" applyFill="1" applyBorder="1" applyAlignment="1">
      <alignment horizontal="center"/>
    </xf>
    <xf numFmtId="192" fontId="63" fillId="5" borderId="4" xfId="10" applyNumberFormat="1" applyFont="1" applyFill="1" applyBorder="1" applyAlignment="1">
      <alignment horizontal="center"/>
    </xf>
    <xf numFmtId="192" fontId="63" fillId="5" borderId="0" xfId="10" applyNumberFormat="1" applyFont="1" applyFill="1" applyAlignment="1">
      <alignment horizontal="center"/>
    </xf>
    <xf numFmtId="192" fontId="63" fillId="5" borderId="3" xfId="10" applyNumberFormat="1" applyFont="1" applyFill="1" applyBorder="1" applyAlignment="1">
      <alignment horizontal="center"/>
    </xf>
    <xf numFmtId="191" fontId="63" fillId="5" borderId="4" xfId="10" applyNumberFormat="1" applyFont="1" applyFill="1" applyBorder="1" applyAlignment="1">
      <alignment horizontal="center"/>
    </xf>
    <xf numFmtId="191" fontId="63" fillId="5" borderId="3" xfId="10" applyNumberFormat="1" applyFont="1" applyFill="1" applyBorder="1" applyAlignment="1">
      <alignment horizontal="center"/>
    </xf>
    <xf numFmtId="191" fontId="10" fillId="0" borderId="0" xfId="10" applyNumberFormat="1"/>
    <xf numFmtId="168" fontId="10" fillId="5" borderId="0" xfId="3" applyNumberFormat="1" applyFont="1" applyFill="1" applyBorder="1"/>
    <xf numFmtId="168" fontId="63" fillId="5" borderId="10" xfId="3" applyNumberFormat="1" applyFont="1" applyFill="1" applyBorder="1" applyAlignment="1">
      <alignment horizontal="left" indent="1"/>
    </xf>
    <xf numFmtId="168" fontId="63" fillId="5" borderId="0" xfId="3" applyNumberFormat="1" applyFont="1" applyFill="1" applyBorder="1" applyAlignment="1">
      <alignment horizontal="center"/>
    </xf>
    <xf numFmtId="168" fontId="66" fillId="5" borderId="4" xfId="3" applyNumberFormat="1" applyFont="1" applyFill="1" applyBorder="1" applyAlignment="1">
      <alignment horizontal="center"/>
    </xf>
    <xf numFmtId="168" fontId="66" fillId="5" borderId="3" xfId="3" applyNumberFormat="1" applyFont="1" applyFill="1" applyBorder="1" applyAlignment="1">
      <alignment horizontal="center"/>
    </xf>
    <xf numFmtId="168" fontId="10" fillId="0" borderId="0" xfId="3" applyNumberFormat="1" applyFont="1" applyFill="1" applyBorder="1"/>
    <xf numFmtId="168" fontId="10" fillId="0" borderId="0" xfId="3" applyNumberFormat="1" applyFont="1"/>
    <xf numFmtId="168" fontId="63" fillId="5" borderId="29" xfId="3" applyNumberFormat="1" applyFont="1" applyFill="1" applyBorder="1" applyAlignment="1">
      <alignment horizontal="left" indent="1"/>
    </xf>
    <xf numFmtId="168" fontId="63" fillId="5" borderId="31" xfId="3" applyNumberFormat="1" applyFont="1" applyFill="1" applyBorder="1" applyAlignment="1">
      <alignment horizontal="center"/>
    </xf>
    <xf numFmtId="168" fontId="63" fillId="5" borderId="30" xfId="3" applyNumberFormat="1" applyFont="1" applyFill="1" applyBorder="1" applyAlignment="1">
      <alignment horizontal="center"/>
    </xf>
    <xf numFmtId="168" fontId="63" fillId="5" borderId="32" xfId="3" applyNumberFormat="1" applyFont="1" applyFill="1" applyBorder="1" applyAlignment="1">
      <alignment horizontal="center"/>
    </xf>
    <xf numFmtId="0" fontId="67" fillId="0" borderId="21" xfId="10" applyFont="1" applyBorder="1"/>
    <xf numFmtId="191" fontId="67" fillId="0" borderId="2" xfId="10" applyNumberFormat="1" applyFont="1" applyBorder="1" applyAlignment="1">
      <alignment horizontal="center"/>
    </xf>
    <xf numFmtId="191" fontId="67" fillId="0" borderId="11" xfId="10" applyNumberFormat="1" applyFont="1" applyBorder="1" applyAlignment="1">
      <alignment horizontal="center"/>
    </xf>
    <xf numFmtId="191" fontId="67" fillId="0" borderId="8" xfId="10" applyNumberFormat="1" applyFont="1" applyBorder="1" applyAlignment="1">
      <alignment horizontal="center"/>
    </xf>
    <xf numFmtId="168" fontId="63" fillId="5" borderId="10" xfId="3" applyNumberFormat="1" applyFont="1" applyFill="1" applyBorder="1"/>
    <xf numFmtId="168" fontId="63" fillId="5" borderId="4" xfId="3" applyNumberFormat="1" applyFont="1" applyFill="1" applyBorder="1" applyAlignment="1">
      <alignment horizontal="center"/>
    </xf>
    <xf numFmtId="168" fontId="63" fillId="5" borderId="3" xfId="3" applyNumberFormat="1" applyFont="1" applyFill="1" applyBorder="1" applyAlignment="1">
      <alignment horizontal="center"/>
    </xf>
    <xf numFmtId="193" fontId="68" fillId="0" borderId="4" xfId="11" applyNumberFormat="1" applyFont="1" applyBorder="1" applyAlignment="1">
      <alignment horizontal="center"/>
    </xf>
    <xf numFmtId="193" fontId="68" fillId="0" borderId="0" xfId="11" applyNumberFormat="1" applyFont="1" applyBorder="1" applyAlignment="1">
      <alignment horizontal="center"/>
    </xf>
    <xf numFmtId="168" fontId="67" fillId="5" borderId="10" xfId="3" applyNumberFormat="1" applyFont="1" applyFill="1" applyBorder="1"/>
    <xf numFmtId="194" fontId="66" fillId="5" borderId="4" xfId="10" applyNumberFormat="1" applyFont="1" applyFill="1" applyBorder="1" applyAlignment="1">
      <alignment horizontal="center"/>
    </xf>
    <xf numFmtId="194" fontId="63" fillId="5" borderId="0" xfId="10" applyNumberFormat="1" applyFont="1" applyFill="1" applyAlignment="1">
      <alignment horizontal="center"/>
    </xf>
    <xf numFmtId="194" fontId="66" fillId="5" borderId="3" xfId="10" applyNumberFormat="1" applyFont="1" applyFill="1" applyBorder="1" applyAlignment="1">
      <alignment horizontal="center"/>
    </xf>
    <xf numFmtId="168" fontId="63" fillId="5" borderId="10" xfId="3" quotePrefix="1" applyNumberFormat="1" applyFont="1" applyFill="1" applyBorder="1"/>
    <xf numFmtId="168" fontId="67" fillId="5" borderId="29" xfId="3" applyNumberFormat="1" applyFont="1" applyFill="1" applyBorder="1"/>
    <xf numFmtId="168" fontId="67" fillId="5" borderId="31" xfId="3" applyNumberFormat="1" applyFont="1" applyFill="1" applyBorder="1" applyAlignment="1">
      <alignment horizontal="center"/>
    </xf>
    <xf numFmtId="191" fontId="67" fillId="5" borderId="30" xfId="10" applyNumberFormat="1" applyFont="1" applyFill="1" applyBorder="1" applyAlignment="1">
      <alignment horizontal="center"/>
    </xf>
    <xf numFmtId="191" fontId="67" fillId="5" borderId="31" xfId="10" applyNumberFormat="1" applyFont="1" applyFill="1" applyBorder="1" applyAlignment="1">
      <alignment horizontal="center"/>
    </xf>
    <xf numFmtId="191" fontId="67" fillId="5" borderId="32" xfId="10" applyNumberFormat="1" applyFont="1" applyFill="1" applyBorder="1" applyAlignment="1">
      <alignment horizontal="center"/>
    </xf>
    <xf numFmtId="168" fontId="67" fillId="5" borderId="21" xfId="3" applyNumberFormat="1" applyFont="1" applyFill="1" applyBorder="1" applyAlignment="1">
      <alignment horizontal="left" indent="1"/>
    </xf>
    <xf numFmtId="168" fontId="63" fillId="5" borderId="2" xfId="3" applyNumberFormat="1" applyFont="1" applyFill="1" applyBorder="1" applyAlignment="1">
      <alignment horizontal="center"/>
    </xf>
    <xf numFmtId="191" fontId="67" fillId="5" borderId="11" xfId="10" applyNumberFormat="1" applyFont="1" applyFill="1" applyBorder="1" applyAlignment="1">
      <alignment horizontal="center"/>
    </xf>
    <xf numFmtId="191" fontId="67" fillId="5" borderId="2" xfId="10" applyNumberFormat="1" applyFont="1" applyFill="1" applyBorder="1" applyAlignment="1">
      <alignment horizontal="center"/>
    </xf>
    <xf numFmtId="191" fontId="67" fillId="5" borderId="8" xfId="10" applyNumberFormat="1" applyFont="1" applyFill="1" applyBorder="1" applyAlignment="1">
      <alignment horizontal="center"/>
    </xf>
    <xf numFmtId="168" fontId="67" fillId="5" borderId="10" xfId="3" applyNumberFormat="1" applyFont="1" applyFill="1" applyBorder="1" applyAlignment="1">
      <alignment horizontal="left" indent="1"/>
    </xf>
    <xf numFmtId="191" fontId="67" fillId="5" borderId="4" xfId="10" applyNumberFormat="1" applyFont="1" applyFill="1" applyBorder="1" applyAlignment="1">
      <alignment horizontal="center"/>
    </xf>
    <xf numFmtId="191" fontId="67" fillId="5" borderId="0" xfId="10" applyNumberFormat="1" applyFont="1" applyFill="1" applyAlignment="1">
      <alignment horizontal="center"/>
    </xf>
    <xf numFmtId="191" fontId="67" fillId="5" borderId="3" xfId="10" applyNumberFormat="1" applyFont="1" applyFill="1" applyBorder="1" applyAlignment="1">
      <alignment horizontal="center"/>
    </xf>
    <xf numFmtId="0" fontId="67" fillId="5" borderId="10" xfId="10" applyFont="1" applyFill="1" applyBorder="1"/>
    <xf numFmtId="2" fontId="67" fillId="5" borderId="0" xfId="10" applyNumberFormat="1" applyFont="1" applyFill="1" applyAlignment="1">
      <alignment horizontal="center"/>
    </xf>
    <xf numFmtId="2" fontId="67" fillId="5" borderId="4" xfId="10" applyNumberFormat="1" applyFont="1" applyFill="1" applyBorder="1" applyAlignment="1">
      <alignment horizontal="center"/>
    </xf>
    <xf numFmtId="2" fontId="67" fillId="5" borderId="3" xfId="10" applyNumberFormat="1" applyFont="1" applyFill="1" applyBorder="1" applyAlignment="1">
      <alignment horizontal="center"/>
    </xf>
    <xf numFmtId="9" fontId="10" fillId="0" borderId="0" xfId="11" applyFont="1"/>
    <xf numFmtId="0" fontId="63" fillId="5" borderId="29" xfId="10" applyFont="1" applyFill="1" applyBorder="1"/>
    <xf numFmtId="0" fontId="10" fillId="5" borderId="29" xfId="10" applyFill="1" applyBorder="1"/>
    <xf numFmtId="194" fontId="66" fillId="5" borderId="31" xfId="10" applyNumberFormat="1" applyFont="1" applyFill="1" applyBorder="1" applyAlignment="1">
      <alignment horizontal="center"/>
    </xf>
    <xf numFmtId="194" fontId="63" fillId="5" borderId="31" xfId="10" applyNumberFormat="1" applyFont="1" applyFill="1" applyBorder="1" applyAlignment="1">
      <alignment horizontal="center"/>
    </xf>
    <xf numFmtId="194" fontId="66" fillId="5" borderId="32" xfId="10" applyNumberFormat="1" applyFont="1" applyFill="1" applyBorder="1" applyAlignment="1">
      <alignment horizontal="center"/>
    </xf>
    <xf numFmtId="0" fontId="10" fillId="5" borderId="33" xfId="10" applyFill="1" applyBorder="1"/>
    <xf numFmtId="0" fontId="67" fillId="6" borderId="21" xfId="10" applyFont="1" applyFill="1" applyBorder="1"/>
    <xf numFmtId="0" fontId="10" fillId="5" borderId="21" xfId="10" applyFill="1" applyBorder="1"/>
    <xf numFmtId="0" fontId="67" fillId="6" borderId="26" xfId="10" applyFont="1" applyFill="1" applyBorder="1"/>
    <xf numFmtId="191" fontId="67" fillId="6" borderId="26" xfId="10" applyNumberFormat="1" applyFont="1" applyFill="1" applyBorder="1" applyAlignment="1">
      <alignment horizontal="center"/>
    </xf>
    <xf numFmtId="191" fontId="67" fillId="6" borderId="15" xfId="10" applyNumberFormat="1" applyFont="1" applyFill="1" applyBorder="1" applyAlignment="1">
      <alignment horizontal="center"/>
    </xf>
    <xf numFmtId="191" fontId="67" fillId="6" borderId="18" xfId="10" applyNumberFormat="1" applyFont="1" applyFill="1" applyBorder="1" applyAlignment="1">
      <alignment horizontal="center"/>
    </xf>
    <xf numFmtId="0" fontId="69" fillId="3" borderId="0" xfId="10" applyFont="1" applyFill="1"/>
    <xf numFmtId="164" fontId="2" fillId="6" borderId="2" xfId="2" applyFill="1" applyBorder="1"/>
    <xf numFmtId="164" fontId="2" fillId="0" borderId="0" xfId="2" applyAlignment="1">
      <alignment horizontal="left" indent="1"/>
    </xf>
    <xf numFmtId="9" fontId="12" fillId="0" borderId="0" xfId="3" applyFont="1"/>
    <xf numFmtId="9" fontId="2" fillId="0" borderId="0" xfId="1" applyFont="1"/>
    <xf numFmtId="172" fontId="12" fillId="0" borderId="0" xfId="4" applyNumberFormat="1" applyFont="1" applyFill="1" applyBorder="1"/>
    <xf numFmtId="172" fontId="12" fillId="0" borderId="3" xfId="4" applyNumberFormat="1" applyFont="1" applyFill="1" applyBorder="1"/>
    <xf numFmtId="172" fontId="12" fillId="0" borderId="0" xfId="4" applyNumberFormat="1" applyFont="1" applyFill="1"/>
    <xf numFmtId="175" fontId="12" fillId="0" borderId="0" xfId="4" applyNumberFormat="1" applyFont="1" applyFill="1" applyBorder="1"/>
    <xf numFmtId="172" fontId="12" fillId="0" borderId="2" xfId="4" applyNumberFormat="1" applyFont="1" applyFill="1" applyBorder="1"/>
    <xf numFmtId="0" fontId="5" fillId="4" borderId="10" xfId="2" applyNumberFormat="1" applyFont="1" applyFill="1" applyBorder="1"/>
    <xf numFmtId="186" fontId="2" fillId="0" borderId="10" xfId="4" applyNumberFormat="1" applyFont="1" applyFill="1" applyBorder="1"/>
    <xf numFmtId="172" fontId="8" fillId="0" borderId="20" xfId="4" applyNumberFormat="1" applyFont="1" applyFill="1" applyBorder="1"/>
    <xf numFmtId="168" fontId="25" fillId="0" borderId="10" xfId="3" applyNumberFormat="1" applyFont="1" applyFill="1" applyBorder="1"/>
    <xf numFmtId="41" fontId="2" fillId="0" borderId="21" xfId="2" applyNumberFormat="1" applyBorder="1" applyAlignment="1">
      <alignment horizontal="right"/>
    </xf>
    <xf numFmtId="172" fontId="8" fillId="0" borderId="10" xfId="4" applyNumberFormat="1" applyFont="1" applyFill="1" applyBorder="1"/>
    <xf numFmtId="186" fontId="8" fillId="0" borderId="10" xfId="4" applyNumberFormat="1" applyFont="1" applyFill="1" applyBorder="1"/>
    <xf numFmtId="172" fontId="12" fillId="0" borderId="8" xfId="4" applyNumberFormat="1" applyFont="1" applyFill="1" applyBorder="1"/>
    <xf numFmtId="172" fontId="12" fillId="0" borderId="10" xfId="4" applyNumberFormat="1" applyFont="1" applyFill="1" applyBorder="1"/>
    <xf numFmtId="9" fontId="11" fillId="0" borderId="0" xfId="1" applyFont="1" applyFill="1" applyBorder="1"/>
    <xf numFmtId="186" fontId="2" fillId="0" borderId="9" xfId="4" applyNumberFormat="1" applyFont="1" applyFill="1" applyBorder="1"/>
    <xf numFmtId="9" fontId="11" fillId="0" borderId="9" xfId="1" applyFont="1" applyFill="1" applyBorder="1"/>
    <xf numFmtId="164" fontId="8" fillId="0" borderId="24" xfId="2" applyFont="1" applyBorder="1"/>
    <xf numFmtId="9" fontId="25" fillId="5" borderId="10" xfId="3" applyFont="1" applyFill="1" applyBorder="1"/>
    <xf numFmtId="168" fontId="25" fillId="5" borderId="10" xfId="3" applyNumberFormat="1" applyFont="1" applyFill="1" applyBorder="1"/>
    <xf numFmtId="167" fontId="8" fillId="0" borderId="9" xfId="4" applyNumberFormat="1" applyFont="1" applyFill="1" applyBorder="1"/>
    <xf numFmtId="167" fontId="8" fillId="0" borderId="10" xfId="4" applyNumberFormat="1" applyFont="1" applyFill="1" applyBorder="1"/>
    <xf numFmtId="172" fontId="8" fillId="0" borderId="26" xfId="4" applyNumberFormat="1" applyFont="1" applyFill="1" applyBorder="1"/>
    <xf numFmtId="167" fontId="2" fillId="0" borderId="10" xfId="2" applyNumberFormat="1" applyBorder="1"/>
    <xf numFmtId="164" fontId="8" fillId="0" borderId="26" xfId="2" applyFont="1" applyBorder="1"/>
    <xf numFmtId="164" fontId="2" fillId="0" borderId="10" xfId="4" applyNumberFormat="1" applyFont="1" applyFill="1" applyBorder="1"/>
    <xf numFmtId="164" fontId="8" fillId="0" borderId="26" xfId="4" applyNumberFormat="1" applyFont="1" applyFill="1" applyBorder="1"/>
    <xf numFmtId="168" fontId="25" fillId="10" borderId="10" xfId="3" applyNumberFormat="1" applyFont="1" applyFill="1" applyBorder="1"/>
    <xf numFmtId="172" fontId="8" fillId="0" borderId="17" xfId="4" applyNumberFormat="1" applyFont="1" applyBorder="1"/>
    <xf numFmtId="186" fontId="8" fillId="0" borderId="10" xfId="4" applyNumberFormat="1" applyFont="1" applyBorder="1"/>
    <xf numFmtId="167" fontId="2" fillId="0" borderId="10" xfId="4" applyNumberFormat="1" applyFont="1" applyFill="1" applyBorder="1"/>
    <xf numFmtId="172" fontId="2" fillId="0" borderId="20" xfId="4" applyNumberFormat="1" applyFont="1" applyFill="1" applyBorder="1"/>
    <xf numFmtId="9" fontId="25" fillId="0" borderId="10" xfId="3" applyFont="1" applyBorder="1"/>
    <xf numFmtId="0" fontId="5" fillId="4" borderId="9" xfId="2" applyNumberFormat="1" applyFont="1" applyFill="1" applyBorder="1" applyAlignment="1">
      <alignment horizontal="right"/>
    </xf>
    <xf numFmtId="164" fontId="8" fillId="5" borderId="23" xfId="2" applyFont="1" applyFill="1" applyBorder="1"/>
    <xf numFmtId="164" fontId="8" fillId="5" borderId="24" xfId="2" applyFont="1" applyFill="1" applyBorder="1"/>
    <xf numFmtId="168" fontId="11" fillId="5" borderId="20" xfId="3" applyNumberFormat="1" applyFont="1" applyFill="1" applyBorder="1"/>
    <xf numFmtId="9" fontId="11" fillId="5" borderId="10" xfId="3" applyFont="1" applyFill="1" applyBorder="1"/>
    <xf numFmtId="164" fontId="8" fillId="0" borderId="20" xfId="2" applyFont="1" applyBorder="1"/>
    <xf numFmtId="168" fontId="11" fillId="5" borderId="10" xfId="3" applyNumberFormat="1" applyFont="1" applyFill="1" applyBorder="1"/>
    <xf numFmtId="164" fontId="8" fillId="0" borderId="14" xfId="2" applyFont="1" applyBorder="1"/>
    <xf numFmtId="9" fontId="12" fillId="0" borderId="3" xfId="3" applyFont="1" applyFill="1" applyBorder="1"/>
    <xf numFmtId="9" fontId="12" fillId="0" borderId="9" xfId="3" applyFont="1" applyFill="1" applyBorder="1"/>
    <xf numFmtId="164" fontId="12" fillId="0" borderId="0" xfId="4" applyNumberFormat="1" applyFont="1" applyFill="1" applyBorder="1"/>
    <xf numFmtId="164" fontId="12" fillId="0" borderId="3" xfId="4" applyNumberFormat="1" applyFont="1" applyFill="1" applyBorder="1"/>
    <xf numFmtId="164" fontId="12" fillId="0" borderId="10" xfId="4" applyNumberFormat="1" applyFont="1" applyFill="1" applyBorder="1"/>
    <xf numFmtId="172" fontId="8" fillId="5" borderId="10" xfId="3" applyNumberFormat="1" applyFont="1" applyFill="1" applyBorder="1"/>
    <xf numFmtId="9" fontId="12" fillId="6" borderId="0" xfId="3" applyFont="1" applyFill="1" applyBorder="1"/>
    <xf numFmtId="188" fontId="2" fillId="0" borderId="0" xfId="3" applyNumberFormat="1" applyFont="1" applyFill="1" applyBorder="1"/>
    <xf numFmtId="188" fontId="2" fillId="0" borderId="9" xfId="3" applyNumberFormat="1" applyFont="1" applyFill="1" applyBorder="1"/>
    <xf numFmtId="9" fontId="2" fillId="5" borderId="10" xfId="2" applyNumberFormat="1" applyFill="1" applyBorder="1"/>
    <xf numFmtId="166" fontId="2" fillId="5" borderId="9" xfId="2" applyNumberFormat="1" applyFill="1" applyBorder="1"/>
    <xf numFmtId="166" fontId="2" fillId="5" borderId="10" xfId="2" applyNumberFormat="1" applyFill="1" applyBorder="1"/>
    <xf numFmtId="164" fontId="12" fillId="0" borderId="0" xfId="7" applyFont="1"/>
    <xf numFmtId="9" fontId="11" fillId="0" borderId="10" xfId="8" applyFont="1" applyFill="1" applyBorder="1"/>
    <xf numFmtId="164" fontId="11" fillId="0" borderId="10" xfId="7" applyFont="1" applyFill="1" applyBorder="1"/>
    <xf numFmtId="164" fontId="2" fillId="0" borderId="12" xfId="7" applyFont="1" applyFill="1" applyBorder="1"/>
    <xf numFmtId="164" fontId="2" fillId="0" borderId="21" xfId="7" applyFont="1" applyFill="1" applyBorder="1"/>
    <xf numFmtId="164" fontId="8" fillId="0" borderId="14" xfId="7" applyFont="1" applyFill="1" applyBorder="1"/>
    <xf numFmtId="164" fontId="8" fillId="0" borderId="20" xfId="7" applyFont="1" applyFill="1" applyBorder="1"/>
    <xf numFmtId="164" fontId="12" fillId="0" borderId="0" xfId="7" applyFont="1" applyFill="1"/>
    <xf numFmtId="164" fontId="12" fillId="0" borderId="0" xfId="7" applyFont="1" applyFill="1" applyBorder="1"/>
    <xf numFmtId="164" fontId="12" fillId="0" borderId="3" xfId="7" applyFont="1" applyFill="1" applyBorder="1"/>
    <xf numFmtId="9" fontId="12" fillId="0" borderId="0" xfId="8" applyFont="1" applyFill="1"/>
    <xf numFmtId="9" fontId="12" fillId="0" borderId="0" xfId="8" applyFont="1" applyFill="1" applyBorder="1"/>
    <xf numFmtId="9" fontId="12" fillId="0" borderId="3" xfId="8" applyFont="1" applyFill="1" applyBorder="1"/>
    <xf numFmtId="9" fontId="2" fillId="0" borderId="10" xfId="8" applyFont="1" applyFill="1" applyBorder="1"/>
    <xf numFmtId="164" fontId="8" fillId="0" borderId="24" xfId="7" applyFont="1" applyFill="1" applyBorder="1"/>
    <xf numFmtId="164" fontId="8" fillId="0" borderId="23" xfId="7" applyFont="1" applyFill="1" applyBorder="1"/>
    <xf numFmtId="9" fontId="11" fillId="0" borderId="10" xfId="8" applyFont="1" applyFill="1" applyBorder="1" applyAlignment="1">
      <alignment horizontal="right"/>
    </xf>
    <xf numFmtId="0" fontId="5" fillId="4" borderId="9" xfId="7" applyNumberFormat="1" applyFont="1" applyFill="1" applyBorder="1" applyAlignment="1">
      <alignment horizontal="right"/>
    </xf>
    <xf numFmtId="164" fontId="8" fillId="0" borderId="26" xfId="7" applyFont="1" applyFill="1" applyBorder="1"/>
    <xf numFmtId="168" fontId="2" fillId="0" borderId="10" xfId="3" applyNumberFormat="1" applyFont="1" applyFill="1" applyBorder="1"/>
    <xf numFmtId="164" fontId="8" fillId="0" borderId="10" xfId="7" applyFont="1" applyBorder="1"/>
    <xf numFmtId="168" fontId="8" fillId="0" borderId="10" xfId="7" applyNumberFormat="1" applyFont="1" applyFill="1" applyBorder="1"/>
    <xf numFmtId="164" fontId="2" fillId="0" borderId="10" xfId="7" applyFont="1" applyBorder="1"/>
    <xf numFmtId="164" fontId="2" fillId="5" borderId="10" xfId="7" applyFont="1" applyFill="1" applyBorder="1"/>
    <xf numFmtId="9" fontId="2" fillId="0" borderId="10" xfId="3" applyFont="1" applyBorder="1"/>
    <xf numFmtId="164" fontId="8" fillId="6" borderId="10" xfId="7" applyFont="1" applyFill="1" applyBorder="1"/>
    <xf numFmtId="167" fontId="8" fillId="0" borderId="10" xfId="7" applyNumberFormat="1" applyFont="1" applyFill="1" applyBorder="1"/>
    <xf numFmtId="164" fontId="8" fillId="6" borderId="9" xfId="7" applyFont="1" applyFill="1" applyBorder="1"/>
    <xf numFmtId="9" fontId="8" fillId="0" borderId="10" xfId="8" applyFont="1" applyFill="1" applyBorder="1"/>
    <xf numFmtId="9" fontId="8" fillId="5" borderId="10" xfId="3" applyFont="1" applyFill="1" applyBorder="1"/>
    <xf numFmtId="164" fontId="8" fillId="5" borderId="17" xfId="2" applyFont="1" applyFill="1" applyBorder="1"/>
    <xf numFmtId="9" fontId="11" fillId="0" borderId="10" xfId="8" applyFont="1" applyBorder="1"/>
    <xf numFmtId="164" fontId="4" fillId="4" borderId="9" xfId="2" applyFont="1" applyFill="1" applyBorder="1"/>
    <xf numFmtId="164" fontId="4" fillId="4" borderId="10" xfId="2" applyFont="1" applyFill="1" applyBorder="1"/>
    <xf numFmtId="1" fontId="8" fillId="0" borderId="10" xfId="2" applyNumberFormat="1" applyFont="1" applyBorder="1"/>
    <xf numFmtId="168" fontId="12" fillId="0" borderId="3" xfId="3" applyNumberFormat="1" applyFont="1" applyFill="1" applyBorder="1"/>
    <xf numFmtId="168" fontId="12" fillId="0" borderId="9" xfId="3" applyNumberFormat="1" applyFont="1" applyFill="1" applyBorder="1"/>
    <xf numFmtId="168" fontId="12" fillId="0" borderId="10" xfId="3" applyNumberFormat="1" applyFont="1" applyFill="1" applyBorder="1"/>
    <xf numFmtId="168" fontId="8" fillId="0" borderId="10" xfId="3" applyNumberFormat="1" applyFont="1" applyFill="1" applyBorder="1"/>
    <xf numFmtId="9" fontId="12" fillId="0" borderId="10" xfId="3" applyFont="1" applyFill="1" applyBorder="1"/>
    <xf numFmtId="168" fontId="71" fillId="0" borderId="0" xfId="3" applyNumberFormat="1" applyFont="1" applyFill="1" applyBorder="1"/>
    <xf numFmtId="167" fontId="2" fillId="0" borderId="2" xfId="2" applyNumberFormat="1" applyBorder="1"/>
    <xf numFmtId="168" fontId="12" fillId="0" borderId="0" xfId="3" applyNumberFormat="1" applyFont="1"/>
    <xf numFmtId="168" fontId="12" fillId="0" borderId="3" xfId="3" applyNumberFormat="1" applyFont="1" applyBorder="1"/>
    <xf numFmtId="168" fontId="12" fillId="0" borderId="0" xfId="3" applyNumberFormat="1" applyFont="1" applyBorder="1"/>
    <xf numFmtId="168" fontId="12" fillId="0" borderId="9" xfId="3" applyNumberFormat="1" applyFont="1" applyBorder="1"/>
    <xf numFmtId="9" fontId="12" fillId="0" borderId="3" xfId="3" applyFont="1" applyBorder="1"/>
    <xf numFmtId="9" fontId="12" fillId="0" borderId="0" xfId="3" applyFont="1" applyBorder="1"/>
    <xf numFmtId="9" fontId="12" fillId="0" borderId="9" xfId="3" applyFont="1" applyBorder="1"/>
    <xf numFmtId="168" fontId="12" fillId="0" borderId="2" xfId="3" applyNumberFormat="1" applyFont="1" applyBorder="1"/>
    <xf numFmtId="168" fontId="12" fillId="0" borderId="8" xfId="3" applyNumberFormat="1" applyFont="1" applyBorder="1"/>
    <xf numFmtId="168" fontId="12" fillId="0" borderId="12" xfId="3" applyNumberFormat="1" applyFont="1" applyBorder="1"/>
    <xf numFmtId="168" fontId="12" fillId="0" borderId="10" xfId="3" applyNumberFormat="1" applyFont="1" applyBorder="1"/>
    <xf numFmtId="9" fontId="12" fillId="0" borderId="10" xfId="3" applyFont="1" applyBorder="1"/>
    <xf numFmtId="168" fontId="2" fillId="0" borderId="21" xfId="3" applyNumberFormat="1" applyFont="1" applyBorder="1"/>
    <xf numFmtId="172" fontId="2" fillId="0" borderId="2" xfId="2" applyNumberFormat="1" applyBorder="1"/>
    <xf numFmtId="172" fontId="2" fillId="0" borderId="8" xfId="2" applyNumberFormat="1" applyBorder="1"/>
    <xf numFmtId="172" fontId="2" fillId="0" borderId="3" xfId="2" applyNumberFormat="1" applyBorder="1"/>
    <xf numFmtId="172" fontId="2" fillId="0" borderId="6" xfId="2" applyNumberFormat="1" applyBorder="1"/>
    <xf numFmtId="172" fontId="2" fillId="0" borderId="7" xfId="2" applyNumberFormat="1" applyBorder="1"/>
    <xf numFmtId="43" fontId="2" fillId="0" borderId="3" xfId="2" applyNumberFormat="1" applyBorder="1"/>
    <xf numFmtId="3" fontId="12" fillId="0" borderId="0" xfId="3" applyNumberFormat="1" applyFont="1" applyFill="1" applyBorder="1"/>
    <xf numFmtId="3" fontId="12" fillId="0" borderId="3" xfId="3" applyNumberFormat="1" applyFont="1" applyFill="1" applyBorder="1"/>
    <xf numFmtId="176" fontId="12" fillId="0" borderId="0" xfId="4" applyNumberFormat="1" applyFont="1" applyFill="1" applyBorder="1"/>
    <xf numFmtId="172" fontId="12" fillId="0" borderId="0" xfId="4" applyNumberFormat="1" applyFont="1" applyFill="1" applyBorder="1" applyAlignment="1">
      <alignment horizontal="left" indent="1"/>
    </xf>
    <xf numFmtId="176" fontId="12" fillId="0" borderId="0" xfId="3" applyNumberFormat="1" applyFont="1" applyFill="1" applyBorder="1"/>
    <xf numFmtId="171" fontId="12" fillId="0" borderId="0" xfId="4" applyNumberFormat="1" applyFont="1" applyFill="1" applyBorder="1"/>
    <xf numFmtId="171" fontId="12" fillId="0" borderId="3" xfId="4" applyNumberFormat="1" applyFont="1" applyFill="1" applyBorder="1"/>
    <xf numFmtId="43" fontId="12" fillId="0" borderId="0" xfId="4" applyFont="1" applyFill="1"/>
    <xf numFmtId="43" fontId="12" fillId="0" borderId="0" xfId="4" applyFont="1" applyFill="1" applyBorder="1"/>
    <xf numFmtId="171" fontId="12" fillId="0" borderId="0" xfId="4" applyNumberFormat="1" applyFont="1" applyFill="1"/>
    <xf numFmtId="184" fontId="12" fillId="0" borderId="0" xfId="4" applyNumberFormat="1" applyFont="1" applyFill="1"/>
    <xf numFmtId="184" fontId="12" fillId="0" borderId="0" xfId="3" applyNumberFormat="1" applyFont="1" applyFill="1"/>
    <xf numFmtId="185" fontId="12" fillId="0" borderId="0" xfId="3" applyNumberFormat="1" applyFont="1" applyFill="1"/>
    <xf numFmtId="185" fontId="12" fillId="0" borderId="0" xfId="3" applyNumberFormat="1" applyFont="1" applyFill="1" applyBorder="1"/>
    <xf numFmtId="9" fontId="12" fillId="0" borderId="0" xfId="1" applyFont="1" applyFill="1" applyBorder="1"/>
    <xf numFmtId="9" fontId="7" fillId="0" borderId="0" xfId="1" applyFont="1" applyFill="1" applyBorder="1"/>
    <xf numFmtId="9" fontId="11" fillId="0" borderId="0" xfId="1" applyFont="1" applyBorder="1"/>
    <xf numFmtId="9" fontId="26" fillId="0" borderId="0" xfId="1" applyFont="1" applyBorder="1"/>
    <xf numFmtId="168" fontId="25" fillId="0" borderId="10" xfId="3" applyNumberFormat="1" applyFont="1" applyBorder="1"/>
    <xf numFmtId="181" fontId="8" fillId="0" borderId="10" xfId="2" applyNumberFormat="1" applyFont="1" applyBorder="1"/>
    <xf numFmtId="182" fontId="2" fillId="0" borderId="10" xfId="2" applyNumberFormat="1" applyBorder="1"/>
    <xf numFmtId="168" fontId="2" fillId="0" borderId="10" xfId="3" applyNumberFormat="1" applyFont="1" applyBorder="1"/>
    <xf numFmtId="168" fontId="25" fillId="0" borderId="10" xfId="2" applyNumberFormat="1" applyFont="1" applyBorder="1"/>
    <xf numFmtId="168" fontId="25" fillId="0" borderId="9" xfId="2" applyNumberFormat="1" applyFont="1" applyBorder="1"/>
    <xf numFmtId="164" fontId="2" fillId="5" borderId="10" xfId="2" applyFill="1" applyBorder="1"/>
    <xf numFmtId="164" fontId="8" fillId="5" borderId="10" xfId="2" applyFont="1" applyFill="1" applyBorder="1"/>
    <xf numFmtId="168" fontId="12" fillId="5" borderId="0" xfId="3" applyNumberFormat="1" applyFont="1" applyFill="1" applyBorder="1"/>
    <xf numFmtId="168" fontId="2" fillId="0" borderId="3" xfId="1" applyNumberFormat="1" applyFont="1" applyBorder="1"/>
    <xf numFmtId="0" fontId="63" fillId="5" borderId="10" xfId="10" applyFont="1" applyFill="1" applyBorder="1" applyAlignment="1">
      <alignment horizontal="left" indent="1"/>
    </xf>
    <xf numFmtId="3" fontId="7" fillId="0" borderId="0" xfId="3" applyNumberFormat="1" applyFont="1" applyFill="1" applyBorder="1"/>
    <xf numFmtId="3" fontId="6" fillId="0" borderId="0" xfId="3" applyNumberFormat="1" applyFont="1" applyFill="1" applyBorder="1"/>
    <xf numFmtId="9" fontId="2" fillId="0" borderId="5" xfId="2" applyNumberFormat="1" applyBorder="1"/>
    <xf numFmtId="9" fontId="2" fillId="0" borderId="3" xfId="2" applyNumberFormat="1" applyBorder="1"/>
    <xf numFmtId="9" fontId="2" fillId="0" borderId="0" xfId="4" applyNumberFormat="1" applyFont="1" applyFill="1" applyBorder="1"/>
    <xf numFmtId="9" fontId="2" fillId="0" borderId="3" xfId="4" applyNumberFormat="1" applyFont="1" applyFill="1" applyBorder="1"/>
    <xf numFmtId="9" fontId="2" fillId="0" borderId="9" xfId="4" applyNumberFormat="1" applyFont="1" applyFill="1" applyBorder="1"/>
    <xf numFmtId="9" fontId="2" fillId="0" borderId="10" xfId="4" applyNumberFormat="1" applyFont="1" applyBorder="1"/>
    <xf numFmtId="9" fontId="8" fillId="0" borderId="5" xfId="2" applyNumberFormat="1" applyFont="1" applyBorder="1"/>
    <xf numFmtId="9" fontId="8" fillId="0" borderId="3" xfId="2" applyNumberFormat="1" applyFont="1" applyBorder="1"/>
    <xf numFmtId="9" fontId="8" fillId="0" borderId="0" xfId="4" applyNumberFormat="1" applyFont="1" applyFill="1" applyBorder="1"/>
    <xf numFmtId="9" fontId="8" fillId="0" borderId="3" xfId="4" applyNumberFormat="1" applyFont="1" applyFill="1" applyBorder="1"/>
    <xf numFmtId="9" fontId="8" fillId="0" borderId="9" xfId="4" applyNumberFormat="1" applyFont="1" applyFill="1" applyBorder="1"/>
    <xf numFmtId="9" fontId="8" fillId="0" borderId="10" xfId="4" applyNumberFormat="1" applyFont="1" applyBorder="1"/>
    <xf numFmtId="9" fontId="7" fillId="0" borderId="10" xfId="4" applyNumberFormat="1" applyFont="1" applyBorder="1"/>
    <xf numFmtId="9" fontId="9" fillId="0" borderId="10" xfId="4" applyNumberFormat="1" applyFont="1" applyBorder="1"/>
    <xf numFmtId="9" fontId="2" fillId="0" borderId="10" xfId="1" applyFont="1" applyBorder="1"/>
    <xf numFmtId="172" fontId="8" fillId="0" borderId="9" xfId="4" applyNumberFormat="1" applyFont="1" applyBorder="1"/>
    <xf numFmtId="172" fontId="9" fillId="0" borderId="9" xfId="4" applyNumberFormat="1" applyFont="1" applyBorder="1"/>
    <xf numFmtId="9" fontId="2" fillId="0" borderId="0" xfId="4" applyNumberFormat="1" applyFont="1" applyBorder="1"/>
    <xf numFmtId="9" fontId="2" fillId="0" borderId="9" xfId="4" applyNumberFormat="1" applyFont="1" applyBorder="1"/>
    <xf numFmtId="9" fontId="2" fillId="0" borderId="10" xfId="4" applyNumberFormat="1" applyFont="1" applyFill="1" applyBorder="1"/>
    <xf numFmtId="9" fontId="7" fillId="0" borderId="0" xfId="4" applyNumberFormat="1" applyFont="1" applyBorder="1"/>
    <xf numFmtId="9" fontId="7" fillId="0" borderId="9" xfId="4" applyNumberFormat="1" applyFont="1" applyBorder="1"/>
    <xf numFmtId="9" fontId="8" fillId="0" borderId="0" xfId="2" applyNumberFormat="1" applyFont="1"/>
    <xf numFmtId="167" fontId="2" fillId="5" borderId="0" xfId="2" applyNumberFormat="1" applyFill="1" applyAlignment="1">
      <alignment horizontal="left"/>
    </xf>
    <xf numFmtId="9" fontId="2" fillId="0" borderId="10" xfId="2" applyNumberFormat="1" applyBorder="1"/>
    <xf numFmtId="168" fontId="9" fillId="0" borderId="10" xfId="1" applyNumberFormat="1" applyFont="1" applyFill="1" applyBorder="1"/>
    <xf numFmtId="164" fontId="12" fillId="0" borderId="0" xfId="7" applyFont="1" applyAlignment="1">
      <alignment horizontal="left"/>
    </xf>
    <xf numFmtId="9" fontId="25" fillId="0" borderId="0" xfId="3" applyFont="1" applyBorder="1"/>
    <xf numFmtId="164" fontId="11" fillId="0" borderId="3" xfId="8" applyNumberFormat="1" applyFont="1" applyFill="1" applyBorder="1" applyAlignment="1">
      <alignment horizontal="right"/>
    </xf>
    <xf numFmtId="164" fontId="11" fillId="0" borderId="9" xfId="8" applyNumberFormat="1" applyFont="1" applyFill="1" applyBorder="1" applyAlignment="1">
      <alignment horizontal="right"/>
    </xf>
    <xf numFmtId="3" fontId="2" fillId="0" borderId="0" xfId="3" applyNumberFormat="1" applyFont="1" applyFill="1" applyBorder="1"/>
    <xf numFmtId="3" fontId="8" fillId="0" borderId="0" xfId="3" applyNumberFormat="1" applyFont="1" applyFill="1" applyBorder="1"/>
    <xf numFmtId="9" fontId="2" fillId="5" borderId="0" xfId="2" applyNumberFormat="1" applyFill="1" applyAlignment="1">
      <alignment horizontal="left" indent="1"/>
    </xf>
    <xf numFmtId="3" fontId="9" fillId="0" borderId="0" xfId="3" applyNumberFormat="1" applyFont="1" applyFill="1" applyBorder="1"/>
    <xf numFmtId="9" fontId="11" fillId="0" borderId="6" xfId="1" applyFont="1" applyBorder="1"/>
    <xf numFmtId="164" fontId="8" fillId="0" borderId="34" xfId="2" applyFont="1" applyBorder="1"/>
    <xf numFmtId="172" fontId="2" fillId="0" borderId="34" xfId="4" applyNumberFormat="1" applyFont="1" applyBorder="1"/>
    <xf numFmtId="172" fontId="2" fillId="0" borderId="34" xfId="4" applyNumberFormat="1" applyFont="1" applyFill="1" applyBorder="1"/>
    <xf numFmtId="172" fontId="7" fillId="0" borderId="34" xfId="4" applyNumberFormat="1" applyFont="1" applyBorder="1"/>
    <xf numFmtId="186" fontId="2" fillId="0" borderId="9" xfId="14" applyNumberFormat="1" applyFont="1" applyBorder="1"/>
    <xf numFmtId="164" fontId="8" fillId="8" borderId="14" xfId="2" applyFont="1" applyFill="1" applyBorder="1"/>
    <xf numFmtId="9" fontId="32" fillId="0" borderId="0" xfId="3" applyFont="1" applyFill="1" applyBorder="1"/>
    <xf numFmtId="186" fontId="18" fillId="0" borderId="0" xfId="14" applyNumberFormat="1" applyFont="1" applyFill="1"/>
    <xf numFmtId="9" fontId="2" fillId="0" borderId="0" xfId="1" applyFont="1" applyFill="1"/>
    <xf numFmtId="9" fontId="8" fillId="0" borderId="0" xfId="7" applyNumberFormat="1" applyFont="1"/>
    <xf numFmtId="9" fontId="8" fillId="0" borderId="9" xfId="2" applyNumberFormat="1" applyFont="1" applyBorder="1"/>
    <xf numFmtId="9" fontId="8" fillId="0" borderId="10" xfId="2" applyNumberFormat="1" applyFont="1" applyBorder="1"/>
    <xf numFmtId="9" fontId="7" fillId="0" borderId="10" xfId="1" applyFont="1" applyBorder="1"/>
    <xf numFmtId="9" fontId="49" fillId="0" borderId="10" xfId="2" applyNumberFormat="1" applyFont="1" applyBorder="1"/>
    <xf numFmtId="9" fontId="7" fillId="0" borderId="0" xfId="1" applyFont="1"/>
    <xf numFmtId="9" fontId="7" fillId="0" borderId="0" xfId="1" applyFont="1" applyFill="1"/>
    <xf numFmtId="164" fontId="9" fillId="0" borderId="0" xfId="2" applyFont="1" applyAlignment="1">
      <alignment horizontal="right"/>
    </xf>
    <xf numFmtId="186" fontId="2" fillId="0" borderId="10" xfId="14" applyNumberFormat="1" applyFont="1" applyFill="1" applyBorder="1"/>
    <xf numFmtId="164" fontId="70" fillId="0" borderId="0" xfId="7" applyFont="1"/>
    <xf numFmtId="0" fontId="2" fillId="0" borderId="0" xfId="7" applyNumberFormat="1" applyFont="1" applyBorder="1"/>
    <xf numFmtId="0" fontId="2" fillId="5" borderId="0" xfId="7" applyNumberFormat="1" applyFont="1" applyFill="1" applyBorder="1"/>
    <xf numFmtId="1" fontId="2" fillId="5" borderId="0" xfId="7" applyNumberFormat="1" applyFont="1" applyFill="1" applyBorder="1"/>
    <xf numFmtId="1" fontId="2" fillId="5" borderId="3" xfId="7" applyNumberFormat="1" applyFont="1" applyFill="1" applyBorder="1"/>
    <xf numFmtId="1" fontId="2" fillId="5" borderId="9" xfId="7" applyNumberFormat="1" applyFont="1" applyFill="1" applyBorder="1"/>
    <xf numFmtId="1" fontId="2" fillId="5" borderId="10" xfId="7" applyNumberFormat="1" applyFont="1" applyFill="1" applyBorder="1"/>
    <xf numFmtId="9" fontId="7" fillId="5" borderId="10" xfId="1" applyFont="1" applyFill="1" applyBorder="1"/>
    <xf numFmtId="3" fontId="8" fillId="0" borderId="0" xfId="7" applyNumberFormat="1" applyFont="1"/>
    <xf numFmtId="3" fontId="70" fillId="0" borderId="0" xfId="7" applyNumberFormat="1" applyFont="1"/>
    <xf numFmtId="3" fontId="8" fillId="0" borderId="0" xfId="7" applyNumberFormat="1" applyFont="1" applyBorder="1"/>
    <xf numFmtId="3" fontId="8" fillId="0" borderId="0" xfId="7" applyNumberFormat="1" applyFont="1" applyFill="1"/>
    <xf numFmtId="3" fontId="2" fillId="0" borderId="3" xfId="3" applyNumberFormat="1" applyFont="1" applyFill="1" applyBorder="1"/>
    <xf numFmtId="3" fontId="2" fillId="0" borderId="9" xfId="3" applyNumberFormat="1" applyFont="1" applyFill="1" applyBorder="1"/>
    <xf numFmtId="3" fontId="2" fillId="0" borderId="10" xfId="3" applyNumberFormat="1" applyFont="1" applyFill="1" applyBorder="1"/>
    <xf numFmtId="3" fontId="7" fillId="0" borderId="10" xfId="3" applyNumberFormat="1" applyFont="1" applyFill="1" applyBorder="1"/>
    <xf numFmtId="3" fontId="2" fillId="0" borderId="0" xfId="7" applyNumberFormat="1" applyFont="1"/>
    <xf numFmtId="3" fontId="72" fillId="0" borderId="0" xfId="7" applyNumberFormat="1" applyFont="1"/>
    <xf numFmtId="3" fontId="8" fillId="0" borderId="3" xfId="3" applyNumberFormat="1" applyFont="1" applyFill="1" applyBorder="1"/>
    <xf numFmtId="3" fontId="8" fillId="0" borderId="9" xfId="3" applyNumberFormat="1" applyFont="1" applyFill="1" applyBorder="1"/>
    <xf numFmtId="3" fontId="8" fillId="0" borderId="10" xfId="3" applyNumberFormat="1" applyFont="1" applyFill="1" applyBorder="1"/>
    <xf numFmtId="3" fontId="9" fillId="0" borderId="10" xfId="3" applyNumberFormat="1" applyFont="1" applyFill="1" applyBorder="1"/>
    <xf numFmtId="3" fontId="6" fillId="0" borderId="10" xfId="3" applyNumberFormat="1" applyFont="1" applyFill="1" applyBorder="1"/>
    <xf numFmtId="168" fontId="72" fillId="0" borderId="0" xfId="7" applyNumberFormat="1" applyFont="1"/>
    <xf numFmtId="168" fontId="8" fillId="0" borderId="0" xfId="7" applyNumberFormat="1" applyFont="1" applyBorder="1"/>
    <xf numFmtId="168" fontId="8" fillId="0" borderId="0" xfId="7" applyNumberFormat="1" applyFont="1" applyFill="1"/>
    <xf numFmtId="168" fontId="70" fillId="0" borderId="0" xfId="7" applyNumberFormat="1" applyFont="1"/>
    <xf numFmtId="3" fontId="6" fillId="0" borderId="9" xfId="3" applyNumberFormat="1" applyFont="1" applyFill="1" applyBorder="1"/>
    <xf numFmtId="3" fontId="9" fillId="0" borderId="10" xfId="14" applyNumberFormat="1" applyFont="1" applyFill="1" applyBorder="1"/>
    <xf numFmtId="3" fontId="8" fillId="0" borderId="10" xfId="14" applyNumberFormat="1" applyFont="1" applyFill="1" applyBorder="1"/>
    <xf numFmtId="3" fontId="6" fillId="0" borderId="3" xfId="3" applyNumberFormat="1" applyFont="1" applyFill="1" applyBorder="1"/>
    <xf numFmtId="9" fontId="26" fillId="0" borderId="0" xfId="1" applyFont="1" applyFill="1" applyBorder="1"/>
    <xf numFmtId="186" fontId="11" fillId="0" borderId="0" xfId="14" applyNumberFormat="1" applyFont="1" applyFill="1" applyBorder="1"/>
    <xf numFmtId="9" fontId="2" fillId="0" borderId="0" xfId="1" applyFont="1" applyFill="1" applyAlignment="1">
      <alignment horizontal="right"/>
    </xf>
    <xf numFmtId="9" fontId="25" fillId="0" borderId="9" xfId="3" applyFont="1" applyBorder="1"/>
    <xf numFmtId="188" fontId="11" fillId="0" borderId="9" xfId="3" applyNumberFormat="1" applyFont="1" applyFill="1" applyBorder="1"/>
    <xf numFmtId="9" fontId="2" fillId="5" borderId="10" xfId="1" applyFont="1" applyFill="1" applyBorder="1"/>
    <xf numFmtId="164" fontId="8" fillId="0" borderId="10" xfId="5" applyNumberFormat="1" applyFont="1" applyBorder="1" applyAlignment="1"/>
    <xf numFmtId="164" fontId="7" fillId="0" borderId="0" xfId="2" applyFont="1" applyAlignment="1">
      <alignment horizontal="right"/>
    </xf>
    <xf numFmtId="169" fontId="2" fillId="0" borderId="0" xfId="2" quotePrefix="1" applyNumberFormat="1" applyAlignment="1">
      <alignment horizontal="right"/>
    </xf>
    <xf numFmtId="169" fontId="7" fillId="0" borderId="0" xfId="2" applyNumberFormat="1" applyFont="1"/>
    <xf numFmtId="169" fontId="7" fillId="0" borderId="0" xfId="2" applyNumberFormat="1" applyFont="1" applyAlignment="1">
      <alignment horizontal="right"/>
    </xf>
    <xf numFmtId="186" fontId="2" fillId="0" borderId="10" xfId="14" applyNumberFormat="1" applyFont="1" applyBorder="1"/>
    <xf numFmtId="9" fontId="6" fillId="0" borderId="0" xfId="3" applyFont="1" applyFill="1" applyBorder="1"/>
    <xf numFmtId="9" fontId="2" fillId="0" borderId="0" xfId="1" applyFont="1" applyAlignment="1">
      <alignment horizontal="right"/>
    </xf>
    <xf numFmtId="172" fontId="2" fillId="0" borderId="6" xfId="4" applyNumberFormat="1" applyFont="1" applyBorder="1"/>
    <xf numFmtId="9" fontId="6" fillId="5" borderId="10" xfId="3" applyFont="1" applyFill="1" applyBorder="1"/>
    <xf numFmtId="43" fontId="11" fillId="0" borderId="0" xfId="14" applyFont="1" applyFill="1" applyBorder="1"/>
    <xf numFmtId="9" fontId="2" fillId="0" borderId="35" xfId="3" applyFont="1" applyFill="1" applyBorder="1"/>
    <xf numFmtId="186" fontId="11" fillId="0" borderId="0" xfId="14" applyNumberFormat="1" applyFont="1" applyBorder="1"/>
    <xf numFmtId="172" fontId="12" fillId="6" borderId="0" xfId="4" applyNumberFormat="1" applyFont="1" applyFill="1" applyBorder="1"/>
    <xf numFmtId="172" fontId="7" fillId="6" borderId="0" xfId="4" applyNumberFormat="1" applyFont="1" applyFill="1" applyBorder="1"/>
    <xf numFmtId="164" fontId="2" fillId="0" borderId="4" xfId="2" applyBorder="1" applyAlignment="1">
      <alignment horizontal="right"/>
    </xf>
    <xf numFmtId="173" fontId="5" fillId="3" borderId="4" xfId="2" applyNumberFormat="1" applyFont="1" applyFill="1" applyBorder="1"/>
    <xf numFmtId="9" fontId="2" fillId="0" borderId="4" xfId="1" applyFont="1" applyBorder="1"/>
    <xf numFmtId="172" fontId="7" fillId="0" borderId="4" xfId="4" applyNumberFormat="1" applyFont="1" applyBorder="1"/>
    <xf numFmtId="172" fontId="12" fillId="0" borderId="4" xfId="4" applyNumberFormat="1" applyFont="1" applyBorder="1"/>
    <xf numFmtId="172" fontId="6" fillId="0" borderId="4" xfId="4" applyNumberFormat="1" applyFont="1" applyBorder="1"/>
    <xf numFmtId="176" fontId="6" fillId="0" borderId="4" xfId="4" applyNumberFormat="1" applyFont="1" applyFill="1" applyBorder="1"/>
    <xf numFmtId="172" fontId="9" fillId="0" borderId="13" xfId="4" applyNumberFormat="1" applyFont="1" applyBorder="1"/>
    <xf numFmtId="176" fontId="7" fillId="0" borderId="11" xfId="4" applyNumberFormat="1" applyFont="1" applyBorder="1"/>
    <xf numFmtId="172" fontId="9" fillId="0" borderId="4" xfId="4" applyNumberFormat="1" applyFont="1" applyBorder="1"/>
    <xf numFmtId="168" fontId="7" fillId="0" borderId="4" xfId="3" applyNumberFormat="1" applyFont="1" applyBorder="1"/>
    <xf numFmtId="168" fontId="9" fillId="0" borderId="4" xfId="3" applyNumberFormat="1" applyFont="1" applyBorder="1"/>
    <xf numFmtId="9" fontId="8" fillId="0" borderId="4" xfId="3" applyFont="1" applyBorder="1"/>
    <xf numFmtId="168" fontId="7" fillId="0" borderId="4" xfId="3" applyNumberFormat="1" applyFont="1" applyFill="1" applyBorder="1"/>
    <xf numFmtId="43" fontId="2" fillId="0" borderId="4" xfId="3" applyNumberFormat="1" applyFont="1" applyFill="1" applyBorder="1"/>
    <xf numFmtId="172" fontId="6" fillId="0" borderId="4" xfId="4" applyNumberFormat="1" applyFont="1" applyFill="1" applyBorder="1"/>
    <xf numFmtId="172" fontId="9" fillId="0" borderId="13" xfId="4" applyNumberFormat="1" applyFont="1" applyFill="1" applyBorder="1"/>
    <xf numFmtId="176" fontId="6" fillId="0" borderId="11" xfId="4" applyNumberFormat="1" applyFont="1" applyFill="1" applyBorder="1"/>
    <xf numFmtId="168" fontId="2" fillId="0" borderId="11" xfId="3" applyNumberFormat="1" applyFont="1" applyBorder="1"/>
    <xf numFmtId="172" fontId="7" fillId="0" borderId="11" xfId="4" applyNumberFormat="1" applyFont="1" applyBorder="1"/>
    <xf numFmtId="172" fontId="7" fillId="0" borderId="11" xfId="4" applyNumberFormat="1" applyFont="1" applyFill="1" applyBorder="1"/>
    <xf numFmtId="172" fontId="19" fillId="0" borderId="4" xfId="4" applyNumberFormat="1" applyFont="1" applyBorder="1"/>
    <xf numFmtId="172" fontId="7" fillId="0" borderId="4" xfId="4" applyNumberFormat="1" applyFont="1" applyFill="1" applyBorder="1"/>
    <xf numFmtId="172" fontId="9" fillId="0" borderId="4" xfId="4" applyNumberFormat="1" applyFont="1" applyFill="1" applyBorder="1"/>
    <xf numFmtId="168" fontId="7" fillId="0" borderId="11" xfId="3" applyNumberFormat="1" applyFont="1" applyFill="1" applyBorder="1"/>
    <xf numFmtId="9" fontId="8" fillId="0" borderId="10" xfId="3" applyFont="1" applyFill="1" applyBorder="1"/>
    <xf numFmtId="9" fontId="2" fillId="0" borderId="10" xfId="1" applyFont="1" applyFill="1" applyBorder="1"/>
    <xf numFmtId="1" fontId="8" fillId="0" borderId="10" xfId="7" applyNumberFormat="1" applyFont="1" applyFill="1" applyBorder="1"/>
    <xf numFmtId="173" fontId="2" fillId="14" borderId="0" xfId="2" applyNumberFormat="1" applyFill="1" applyAlignment="1">
      <alignment horizontal="right"/>
    </xf>
    <xf numFmtId="168" fontId="42" fillId="14" borderId="0" xfId="4" applyNumberFormat="1" applyFont="1" applyFill="1" applyBorder="1"/>
    <xf numFmtId="41" fontId="20" fillId="14" borderId="2" xfId="2" applyNumberFormat="1" applyFont="1" applyFill="1" applyBorder="1" applyAlignment="1">
      <alignment horizontal="right"/>
    </xf>
    <xf numFmtId="164" fontId="2" fillId="14" borderId="0" xfId="2" applyFill="1"/>
    <xf numFmtId="172" fontId="33" fillId="3" borderId="4" xfId="4" applyNumberFormat="1" applyFont="1" applyFill="1" applyBorder="1" applyAlignment="1">
      <alignment horizontal="right"/>
    </xf>
    <xf numFmtId="172" fontId="4" fillId="3" borderId="4" xfId="2" applyNumberFormat="1" applyFont="1" applyFill="1" applyBorder="1"/>
    <xf numFmtId="165" fontId="5" fillId="3" borderId="4" xfId="2" applyNumberFormat="1" applyFont="1" applyFill="1" applyBorder="1"/>
    <xf numFmtId="172" fontId="9" fillId="0" borderId="16" xfId="4" applyNumberFormat="1" applyFont="1" applyFill="1" applyBorder="1"/>
    <xf numFmtId="172" fontId="8" fillId="0" borderId="4" xfId="4" applyNumberFormat="1" applyFont="1" applyFill="1" applyBorder="1"/>
    <xf numFmtId="164" fontId="36" fillId="0" borderId="4" xfId="2" applyFont="1" applyBorder="1"/>
    <xf numFmtId="172" fontId="9" fillId="0" borderId="36" xfId="4" applyNumberFormat="1" applyFont="1" applyFill="1" applyBorder="1"/>
    <xf numFmtId="172" fontId="35" fillId="0" borderId="4" xfId="4" applyNumberFormat="1" applyFont="1" applyFill="1" applyBorder="1" applyAlignment="1">
      <alignment horizontal="right"/>
    </xf>
    <xf numFmtId="164" fontId="36" fillId="0" borderId="4" xfId="2" applyFont="1" applyBorder="1" applyAlignment="1">
      <alignment horizontal="right"/>
    </xf>
    <xf numFmtId="168" fontId="26" fillId="0" borderId="4" xfId="3" applyNumberFormat="1" applyFont="1" applyFill="1" applyBorder="1"/>
    <xf numFmtId="9" fontId="26" fillId="0" borderId="4" xfId="3" applyFont="1" applyFill="1" applyBorder="1"/>
    <xf numFmtId="172" fontId="9" fillId="0" borderId="16" xfId="4" applyNumberFormat="1" applyFont="1" applyBorder="1"/>
    <xf numFmtId="168" fontId="26" fillId="0" borderId="4" xfId="4" applyNumberFormat="1" applyFont="1" applyFill="1" applyBorder="1"/>
    <xf numFmtId="172" fontId="7" fillId="5" borderId="4" xfId="4" applyNumberFormat="1" applyFont="1" applyFill="1" applyBorder="1"/>
    <xf numFmtId="186" fontId="11" fillId="0" borderId="4" xfId="14" applyNumberFormat="1" applyFont="1" applyBorder="1"/>
    <xf numFmtId="9" fontId="2" fillId="0" borderId="4" xfId="1" applyFont="1" applyBorder="1" applyAlignment="1">
      <alignment horizontal="right"/>
    </xf>
    <xf numFmtId="168" fontId="30" fillId="0" borderId="4" xfId="3" applyNumberFormat="1" applyFont="1" applyFill="1" applyBorder="1"/>
    <xf numFmtId="168" fontId="18" fillId="0" borderId="4" xfId="3" applyNumberFormat="1" applyFont="1" applyFill="1" applyBorder="1"/>
    <xf numFmtId="186" fontId="18" fillId="0" borderId="4" xfId="14" applyNumberFormat="1" applyFont="1" applyFill="1" applyBorder="1"/>
    <xf numFmtId="9" fontId="2" fillId="0" borderId="4" xfId="1" applyFont="1" applyFill="1" applyBorder="1"/>
    <xf numFmtId="9" fontId="26" fillId="0" borderId="4" xfId="1" applyFont="1" applyBorder="1"/>
    <xf numFmtId="172" fontId="7" fillId="0" borderId="37" xfId="4" applyNumberFormat="1" applyFont="1" applyBorder="1"/>
    <xf numFmtId="9" fontId="26" fillId="0" borderId="4" xfId="1" applyFont="1" applyFill="1" applyBorder="1"/>
    <xf numFmtId="186" fontId="11" fillId="0" borderId="4" xfId="14" applyNumberFormat="1" applyFont="1" applyFill="1" applyBorder="1"/>
    <xf numFmtId="9" fontId="2" fillId="0" borderId="4" xfId="1" applyFont="1" applyFill="1" applyBorder="1" applyAlignment="1">
      <alignment horizontal="right"/>
    </xf>
    <xf numFmtId="9" fontId="20" fillId="0" borderId="4" xfId="3" applyFont="1" applyFill="1" applyBorder="1"/>
    <xf numFmtId="9" fontId="20" fillId="0" borderId="11" xfId="3" applyFont="1" applyFill="1" applyBorder="1"/>
    <xf numFmtId="172" fontId="9" fillId="0" borderId="4" xfId="3" applyNumberFormat="1" applyFont="1" applyFill="1" applyBorder="1"/>
    <xf numFmtId="172" fontId="6" fillId="0" borderId="4" xfId="3" applyNumberFormat="1" applyFont="1" applyFill="1" applyBorder="1"/>
    <xf numFmtId="172" fontId="7" fillId="0" borderId="4" xfId="3" applyNumberFormat="1" applyFont="1" applyFill="1" applyBorder="1"/>
    <xf numFmtId="172" fontId="7" fillId="0" borderId="3" xfId="4" applyNumberFormat="1" applyFont="1" applyBorder="1"/>
    <xf numFmtId="9" fontId="30" fillId="0" borderId="4" xfId="3" applyFont="1" applyFill="1" applyBorder="1"/>
    <xf numFmtId="168" fontId="30" fillId="0" borderId="11" xfId="3" applyNumberFormat="1" applyFont="1" applyFill="1" applyBorder="1"/>
    <xf numFmtId="172" fontId="34" fillId="0" borderId="4" xfId="2" applyNumberFormat="1" applyFont="1" applyBorder="1" applyAlignment="1">
      <alignment horizontal="right"/>
    </xf>
    <xf numFmtId="165" fontId="8" fillId="6" borderId="4" xfId="2" applyNumberFormat="1" applyFont="1" applyFill="1" applyBorder="1" applyAlignment="1">
      <alignment horizontal="right"/>
    </xf>
    <xf numFmtId="172" fontId="9" fillId="0" borderId="4" xfId="2" applyNumberFormat="1" applyFont="1" applyBorder="1"/>
    <xf numFmtId="9" fontId="9" fillId="0" borderId="4" xfId="3" applyFont="1" applyFill="1" applyBorder="1"/>
    <xf numFmtId="172" fontId="7" fillId="0" borderId="11" xfId="2" applyNumberFormat="1" applyFont="1" applyBorder="1"/>
    <xf numFmtId="172" fontId="7" fillId="0" borderId="4" xfId="2" applyNumberFormat="1" applyFont="1" applyBorder="1"/>
    <xf numFmtId="172" fontId="6" fillId="0" borderId="4" xfId="2" applyNumberFormat="1" applyFont="1" applyBorder="1"/>
    <xf numFmtId="172" fontId="9" fillId="0" borderId="13" xfId="2" applyNumberFormat="1" applyFont="1" applyBorder="1"/>
    <xf numFmtId="168" fontId="26" fillId="0" borderId="4" xfId="2" applyNumberFormat="1" applyFont="1" applyBorder="1"/>
    <xf numFmtId="164" fontId="7" fillId="0" borderId="4" xfId="2" applyFont="1" applyBorder="1"/>
    <xf numFmtId="172" fontId="2" fillId="0" borderId="4" xfId="2" applyNumberFormat="1" applyBorder="1"/>
    <xf numFmtId="172" fontId="7" fillId="0" borderId="13" xfId="2" applyNumberFormat="1" applyFont="1" applyBorder="1"/>
    <xf numFmtId="3" fontId="7" fillId="0" borderId="4" xfId="3" applyNumberFormat="1" applyFont="1" applyFill="1" applyBorder="1"/>
    <xf numFmtId="172" fontId="20" fillId="0" borderId="4" xfId="2" applyNumberFormat="1" applyFont="1" applyBorder="1"/>
    <xf numFmtId="43" fontId="9" fillId="0" borderId="4" xfId="2" applyNumberFormat="1" applyFont="1" applyBorder="1"/>
    <xf numFmtId="43" fontId="7" fillId="0" borderId="4" xfId="2" applyNumberFormat="1" applyFont="1" applyBorder="1"/>
    <xf numFmtId="43" fontId="8" fillId="0" borderId="4" xfId="2" applyNumberFormat="1" applyFont="1" applyBorder="1"/>
    <xf numFmtId="165" fontId="5" fillId="4" borderId="4" xfId="2" applyNumberFormat="1" applyFont="1" applyFill="1" applyBorder="1" applyAlignment="1">
      <alignment horizontal="right"/>
    </xf>
    <xf numFmtId="172" fontId="6" fillId="0" borderId="11" xfId="4" applyNumberFormat="1" applyFont="1" applyFill="1" applyBorder="1"/>
    <xf numFmtId="176" fontId="6" fillId="0" borderId="4" xfId="3" applyNumberFormat="1" applyFont="1" applyFill="1" applyBorder="1"/>
    <xf numFmtId="176" fontId="7" fillId="0" borderId="4" xfId="3" applyNumberFormat="1" applyFont="1" applyFill="1" applyBorder="1"/>
    <xf numFmtId="171" fontId="7" fillId="0" borderId="4" xfId="4" applyNumberFormat="1" applyFont="1" applyFill="1" applyBorder="1"/>
    <xf numFmtId="171" fontId="9" fillId="0" borderId="4" xfId="4" applyNumberFormat="1" applyFont="1" applyFill="1" applyBorder="1"/>
    <xf numFmtId="171" fontId="8" fillId="0" borderId="4" xfId="4" applyNumberFormat="1" applyFont="1" applyFill="1" applyBorder="1"/>
    <xf numFmtId="172" fontId="7" fillId="6" borderId="4" xfId="4" applyNumberFormat="1" applyFont="1" applyFill="1" applyBorder="1"/>
    <xf numFmtId="43" fontId="2" fillId="0" borderId="4" xfId="4" applyFont="1" applyFill="1" applyBorder="1"/>
    <xf numFmtId="165" fontId="5" fillId="0" borderId="4" xfId="2" applyNumberFormat="1" applyFont="1" applyBorder="1" applyAlignment="1">
      <alignment horizontal="right"/>
    </xf>
    <xf numFmtId="43" fontId="7" fillId="0" borderId="4" xfId="4" applyFont="1" applyFill="1" applyBorder="1"/>
    <xf numFmtId="185" fontId="7" fillId="0" borderId="4" xfId="3" applyNumberFormat="1" applyFont="1" applyFill="1" applyBorder="1"/>
    <xf numFmtId="9" fontId="7" fillId="0" borderId="4" xfId="3" applyFont="1" applyFill="1" applyBorder="1"/>
    <xf numFmtId="172" fontId="30" fillId="0" borderId="0" xfId="4" applyNumberFormat="1" applyFont="1" applyFill="1" applyBorder="1" applyAlignment="1">
      <alignment horizontal="right"/>
    </xf>
    <xf numFmtId="172" fontId="20" fillId="0" borderId="4" xfId="4" applyNumberFormat="1" applyFont="1" applyFill="1" applyBorder="1"/>
    <xf numFmtId="164" fontId="35" fillId="0" borderId="4" xfId="2" applyFont="1" applyBorder="1" applyAlignment="1">
      <alignment horizontal="right"/>
    </xf>
    <xf numFmtId="164" fontId="9" fillId="0" borderId="4" xfId="2" applyFont="1" applyBorder="1" applyAlignment="1">
      <alignment horizontal="right"/>
    </xf>
    <xf numFmtId="9" fontId="7" fillId="0" borderId="4" xfId="1" applyFont="1" applyFill="1" applyBorder="1"/>
    <xf numFmtId="175" fontId="7" fillId="0" borderId="4" xfId="4" applyNumberFormat="1" applyFont="1" applyFill="1" applyBorder="1"/>
    <xf numFmtId="3" fontId="17" fillId="0" borderId="9" xfId="3" applyNumberFormat="1" applyFont="1" applyFill="1" applyBorder="1"/>
    <xf numFmtId="3" fontId="12" fillId="0" borderId="9" xfId="3" applyNumberFormat="1" applyFont="1" applyFill="1" applyBorder="1"/>
    <xf numFmtId="9" fontId="61" fillId="0" borderId="0" xfId="3" applyFont="1" applyFill="1" applyBorder="1"/>
    <xf numFmtId="9" fontId="74" fillId="0" borderId="0" xfId="3" applyFont="1" applyFill="1" applyBorder="1"/>
    <xf numFmtId="168" fontId="17" fillId="0" borderId="0" xfId="3" applyNumberFormat="1" applyFont="1" applyFill="1" applyBorder="1"/>
    <xf numFmtId="173" fontId="17" fillId="0" borderId="0" xfId="2" applyNumberFormat="1" applyFont="1"/>
    <xf numFmtId="172" fontId="12" fillId="0" borderId="0" xfId="3" applyNumberFormat="1" applyFont="1" applyFill="1" applyBorder="1"/>
    <xf numFmtId="172" fontId="17" fillId="0" borderId="6" xfId="4" applyNumberFormat="1" applyFont="1" applyFill="1" applyBorder="1"/>
    <xf numFmtId="164" fontId="75" fillId="0" borderId="0" xfId="2" applyFont="1"/>
    <xf numFmtId="186" fontId="12" fillId="0" borderId="0" xfId="4" applyNumberFormat="1" applyFont="1" applyFill="1" applyBorder="1"/>
    <xf numFmtId="167" fontId="12" fillId="0" borderId="0" xfId="2" applyNumberFormat="1" applyFont="1"/>
    <xf numFmtId="179" fontId="2" fillId="0" borderId="35" xfId="2" applyNumberFormat="1" applyBorder="1"/>
    <xf numFmtId="164" fontId="2" fillId="0" borderId="35" xfId="2" applyBorder="1"/>
    <xf numFmtId="164" fontId="2" fillId="5" borderId="35" xfId="2" applyFill="1" applyBorder="1"/>
    <xf numFmtId="179" fontId="8" fillId="0" borderId="35" xfId="2" applyNumberFormat="1" applyFont="1" applyBorder="1"/>
    <xf numFmtId="179" fontId="2" fillId="5" borderId="35" xfId="2" applyNumberFormat="1" applyFill="1" applyBorder="1"/>
    <xf numFmtId="179" fontId="11" fillId="0" borderId="35" xfId="2" applyNumberFormat="1" applyFont="1" applyBorder="1"/>
    <xf numFmtId="179" fontId="8" fillId="5" borderId="35" xfId="2" applyNumberFormat="1" applyFont="1" applyFill="1" applyBorder="1"/>
    <xf numFmtId="164" fontId="8" fillId="0" borderId="38" xfId="2" applyFont="1" applyBorder="1"/>
    <xf numFmtId="168" fontId="11" fillId="0" borderId="3" xfId="3" applyNumberFormat="1" applyFont="1" applyFill="1" applyBorder="1" applyAlignment="1"/>
    <xf numFmtId="168" fontId="25" fillId="0" borderId="3" xfId="3" applyNumberFormat="1" applyFont="1" applyFill="1" applyBorder="1" applyAlignment="1"/>
    <xf numFmtId="168" fontId="31" fillId="0" borderId="3" xfId="3" applyNumberFormat="1" applyFont="1" applyFill="1" applyBorder="1" applyAlignment="1"/>
    <xf numFmtId="168" fontId="76" fillId="0" borderId="0" xfId="3" applyNumberFormat="1" applyFont="1" applyFill="1" applyBorder="1"/>
    <xf numFmtId="168" fontId="76" fillId="0" borderId="9" xfId="3" applyNumberFormat="1" applyFont="1" applyFill="1" applyBorder="1"/>
    <xf numFmtId="186" fontId="8" fillId="0" borderId="10" xfId="3" applyNumberFormat="1" applyFont="1" applyFill="1" applyBorder="1"/>
    <xf numFmtId="186" fontId="7" fillId="0" borderId="10" xfId="14" applyNumberFormat="1" applyFont="1" applyFill="1" applyBorder="1"/>
    <xf numFmtId="168" fontId="19" fillId="0" borderId="4" xfId="3" applyNumberFormat="1" applyFont="1" applyFill="1" applyBorder="1"/>
    <xf numFmtId="3" fontId="9" fillId="0" borderId="9" xfId="3" applyNumberFormat="1" applyFont="1" applyFill="1" applyBorder="1"/>
    <xf numFmtId="3" fontId="7" fillId="0" borderId="9" xfId="3" applyNumberFormat="1" applyFont="1" applyFill="1" applyBorder="1"/>
    <xf numFmtId="164" fontId="2" fillId="10" borderId="10" xfId="2" applyFill="1" applyBorder="1"/>
    <xf numFmtId="9" fontId="8" fillId="5" borderId="0" xfId="1" applyFont="1" applyFill="1" applyBorder="1"/>
    <xf numFmtId="164" fontId="49" fillId="0" borderId="20" xfId="2" applyFont="1" applyBorder="1"/>
    <xf numFmtId="167" fontId="7" fillId="0" borderId="9" xfId="4" applyNumberFormat="1" applyFont="1" applyFill="1" applyBorder="1"/>
    <xf numFmtId="168" fontId="7" fillId="0" borderId="0" xfId="1" applyNumberFormat="1" applyFont="1"/>
    <xf numFmtId="49" fontId="77" fillId="0" borderId="0" xfId="0" applyNumberFormat="1" applyFont="1"/>
    <xf numFmtId="49" fontId="78" fillId="0" borderId="0" xfId="0" applyNumberFormat="1" applyFont="1"/>
    <xf numFmtId="49" fontId="79" fillId="0" borderId="0" xfId="0" applyNumberFormat="1" applyFont="1" applyAlignment="1">
      <alignment horizontal="left" vertical="center"/>
    </xf>
    <xf numFmtId="49" fontId="79" fillId="0" borderId="0" xfId="0" applyNumberFormat="1" applyFont="1"/>
    <xf numFmtId="49" fontId="73" fillId="0" borderId="0" xfId="0" applyNumberFormat="1" applyFont="1"/>
    <xf numFmtId="49" fontId="80" fillId="0" borderId="0" xfId="0" applyNumberFormat="1" applyFont="1"/>
    <xf numFmtId="49" fontId="73" fillId="0" borderId="26" xfId="0" applyNumberFormat="1" applyFont="1" applyBorder="1"/>
    <xf numFmtId="0" fontId="73" fillId="0" borderId="0" xfId="0" applyFont="1"/>
    <xf numFmtId="2" fontId="77" fillId="0" borderId="0" xfId="0" applyNumberFormat="1" applyFont="1"/>
    <xf numFmtId="49" fontId="73" fillId="0" borderId="26" xfId="0" applyNumberFormat="1" applyFont="1" applyBorder="1"/>
    <xf numFmtId="173" fontId="53" fillId="13" borderId="2" xfId="10" applyNumberFormat="1" applyFont="1" applyFill="1" applyBorder="1" applyAlignment="1">
      <alignment horizontal="center"/>
    </xf>
    <xf numFmtId="173" fontId="53" fillId="13" borderId="8" xfId="10" applyNumberFormat="1" applyFont="1" applyFill="1" applyBorder="1" applyAlignment="1">
      <alignment horizontal="center"/>
    </xf>
    <xf numFmtId="9" fontId="73" fillId="0" borderId="26" xfId="1" applyFont="1" applyBorder="1"/>
  </cellXfs>
  <cellStyles count="15">
    <cellStyle name="_x000a_386grabber=M" xfId="12" xr:uid="{009B7D9B-6CEB-4EEB-BB2F-AE8DF5D3D53B}"/>
    <cellStyle name="_Pension2" xfId="13" xr:uid="{A78C5F0A-3E27-48A3-8C4E-26F3001EC3E4}"/>
    <cellStyle name="Comma" xfId="14" builtinId="3"/>
    <cellStyle name="Comma 2" xfId="4" xr:uid="{2C4F8C1B-30EE-44B2-961D-6FAAFCEFF89C}"/>
    <cellStyle name="Normal" xfId="0" builtinId="0"/>
    <cellStyle name="Normal - Style1 2 2" xfId="10" xr:uid="{5197A00F-B783-431D-8EB7-D4F5D88BF80F}"/>
    <cellStyle name="Normal 2" xfId="2" xr:uid="{0D17A848-6378-4FB3-A5AB-48CD755B3653}"/>
    <cellStyle name="Normal 2 2" xfId="9" xr:uid="{A82568E5-81A2-41CA-BD81-61F50323CA8D}"/>
    <cellStyle name="Normal 8" xfId="7" xr:uid="{E8A781B2-40C8-4A2F-A96B-95616F5A0A91}"/>
    <cellStyle name="Percent" xfId="1" builtinId="5"/>
    <cellStyle name="Percent 2" xfId="3" xr:uid="{A9A2B56E-B02F-4CF8-88BC-83D2C1C265CC}"/>
    <cellStyle name="Percent 2 2" xfId="6" xr:uid="{4F0FAC24-7DDB-4D78-8A2C-1E5367DF3737}"/>
    <cellStyle name="Percent 2 3" xfId="8" xr:uid="{68E8894F-7973-4B71-BD5E-0D558FE1EA5B}"/>
    <cellStyle name="Percent 3" xfId="11" xr:uid="{B5D7D037-C775-476D-8861-B31D8E904B8E}"/>
    <cellStyle name="Style 3" xfId="5" xr:uid="{765DBAA9-EF75-4490-9F81-96DBCC3DB3BC}"/>
  </cellStyles>
  <dxfs count="3">
    <dxf>
      <font>
        <color rgb="FF00B050"/>
      </font>
    </dxf>
    <dxf>
      <font>
        <color rgb="FFFF0000"/>
      </font>
    </dxf>
    <dxf>
      <font>
        <color rgb="FFFF99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41</xdr:rowOff>
    </xdr:to>
    <xdr:pic>
      <xdr:nvPicPr>
        <xdr:cNvPr id="3" name="Picture 2">
          <a:extLst>
            <a:ext uri="{FF2B5EF4-FFF2-40B4-BE49-F238E27FC236}">
              <a16:creationId xmlns:a16="http://schemas.microsoft.com/office/drawing/2014/main" id="{8D55D22D-1863-126E-47F0-6E83D4E72A5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183</xdr:row>
      <xdr:rowOff>1</xdr:rowOff>
    </xdr:from>
    <xdr:to>
      <xdr:col>10</xdr:col>
      <xdr:colOff>527050</xdr:colOff>
      <xdr:row>203</xdr:row>
      <xdr:rowOff>28576</xdr:rowOff>
    </xdr:to>
    <xdr:pic>
      <xdr:nvPicPr>
        <xdr:cNvPr id="5" name="Picture 4">
          <a:extLst>
            <a:ext uri="{FF2B5EF4-FFF2-40B4-BE49-F238E27FC236}">
              <a16:creationId xmlns:a16="http://schemas.microsoft.com/office/drawing/2014/main" id="{4E685D4F-E583-18B5-CB7E-A7E033C393E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5042476"/>
          <a:ext cx="6496050" cy="3838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31</xdr:col>
      <xdr:colOff>68580</xdr:colOff>
      <xdr:row>2</xdr:row>
      <xdr:rowOff>100965</xdr:rowOff>
    </xdr:from>
    <xdr:to>
      <xdr:col>40</xdr:col>
      <xdr:colOff>180975</xdr:colOff>
      <xdr:row>61</xdr:row>
      <xdr:rowOff>66675</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22680" y="386715"/>
          <a:ext cx="6046470" cy="5394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106</xdr:col>
      <xdr:colOff>0</xdr:colOff>
      <xdr:row>86</xdr:row>
      <xdr:rowOff>0</xdr:rowOff>
    </xdr:from>
    <xdr:to>
      <xdr:col>118</xdr:col>
      <xdr:colOff>89802</xdr:colOff>
      <xdr:row>110</xdr:row>
      <xdr:rowOff>91440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6649700" y="8677275"/>
          <a:ext cx="7176402" cy="3520440"/>
        </a:xfrm>
        <a:prstGeom prst="rect">
          <a:avLst/>
        </a:prstGeom>
      </xdr:spPr>
    </xdr:pic>
    <xdr:clientData/>
  </xdr:twoCellAnchor>
  <xdr:twoCellAnchor editAs="oneCell">
    <xdr:from>
      <xdr:col>114</xdr:col>
      <xdr:colOff>373380</xdr:colOff>
      <xdr:row>143</xdr:row>
      <xdr:rowOff>22860</xdr:rowOff>
    </xdr:from>
    <xdr:to>
      <xdr:col>122</xdr:col>
      <xdr:colOff>365760</xdr:colOff>
      <xdr:row>165</xdr:row>
      <xdr:rowOff>110479</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21747480" y="16844010"/>
          <a:ext cx="4716780" cy="3230869"/>
        </a:xfrm>
        <a:prstGeom prst="rect">
          <a:avLst/>
        </a:prstGeom>
      </xdr:spPr>
    </xdr:pic>
    <xdr:clientData/>
  </xdr:twoCellAnchor>
  <xdr:twoCellAnchor editAs="oneCell">
    <xdr:from>
      <xdr:col>123</xdr:col>
      <xdr:colOff>1</xdr:colOff>
      <xdr:row>145</xdr:row>
      <xdr:rowOff>0</xdr:rowOff>
    </xdr:from>
    <xdr:to>
      <xdr:col>133</xdr:col>
      <xdr:colOff>190501</xdr:colOff>
      <xdr:row>166</xdr:row>
      <xdr:rowOff>9799</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26689051" y="17106900"/>
          <a:ext cx="6096000" cy="3010174"/>
        </a:xfrm>
        <a:prstGeom prst="rect">
          <a:avLst/>
        </a:prstGeom>
      </xdr:spPr>
    </xdr:pic>
    <xdr:clientData/>
  </xdr:twoCellAnchor>
  <xdr:twoCellAnchor editAs="oneCell">
    <xdr:from>
      <xdr:col>134</xdr:col>
      <xdr:colOff>0</xdr:colOff>
      <xdr:row>145</xdr:row>
      <xdr:rowOff>1</xdr:rowOff>
    </xdr:from>
    <xdr:to>
      <xdr:col>145</xdr:col>
      <xdr:colOff>15240</xdr:colOff>
      <xdr:row>166</xdr:row>
      <xdr:rowOff>34920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33185100" y="17106901"/>
          <a:ext cx="6511290" cy="3035294"/>
        </a:xfrm>
        <a:prstGeom prst="rect">
          <a:avLst/>
        </a:prstGeom>
      </xdr:spPr>
    </xdr:pic>
    <xdr:clientData/>
  </xdr:twoCellAnchor>
  <xdr:twoCellAnchor editAs="oneCell">
    <xdr:from>
      <xdr:col>106</xdr:col>
      <xdr:colOff>28575</xdr:colOff>
      <xdr:row>114</xdr:row>
      <xdr:rowOff>114300</xdr:rowOff>
    </xdr:from>
    <xdr:to>
      <xdr:col>119</xdr:col>
      <xdr:colOff>483870</xdr:colOff>
      <xdr:row>140</xdr:row>
      <xdr:rowOff>116614</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16678275" y="12792075"/>
          <a:ext cx="8132445" cy="371325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aerospace/1_Companies/Safran/0_Models/safran%20wip%20RL_Recre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Valuation Summary"/>
      <sheetName val="Divisional"/>
      <sheetName val="Quarterlies"/>
      <sheetName val="IS"/>
      <sheetName val="CF"/>
      <sheetName val="BS"/>
      <sheetName val="Propulsion"/>
      <sheetName val="Civil OE"/>
      <sheetName val="Civil AM"/>
      <sheetName val="Equipment"/>
      <sheetName val="Interiors"/>
      <sheetName val="DCF"/>
      <sheetName val="SOTP"/>
      <sheetName val="Bull Bear Base "/>
      <sheetName val="Exhibits"/>
      <sheetName val="Charts"/>
      <sheetName val="Consensus"/>
      <sheetName val="Changes"/>
      <sheetName val="First Take"/>
      <sheetName val="FX"/>
      <sheetName val="Engines"/>
      <sheetName val="GE"/>
      <sheetName val="Returns"/>
      <sheetName val="MWA Pension"/>
      <sheetName val="MW GEG"/>
      <sheetName val="mwareDates"/>
      <sheetName val="_Log"/>
      <sheetName val="mwareSettings"/>
      <sheetName val="Bull Bear Base"/>
      <sheetName val="Zodiac Merger Model"/>
      <sheetName val="AFOSHEET"/>
    </sheetNames>
    <sheetDataSet>
      <sheetData sheetId="0"/>
      <sheetData sheetId="1">
        <row r="2">
          <cell r="A2" t="str">
            <v>Year End December, EUR</v>
          </cell>
        </row>
        <row r="3">
          <cell r="A3" t="str">
            <v>€m</v>
          </cell>
          <cell r="B3">
            <v>2004</v>
          </cell>
          <cell r="C3">
            <v>2005</v>
          </cell>
          <cell r="D3">
            <v>2006</v>
          </cell>
          <cell r="E3">
            <v>2007</v>
          </cell>
          <cell r="F3">
            <v>2008</v>
          </cell>
          <cell r="G3">
            <v>2009</v>
          </cell>
          <cell r="H3">
            <v>2010</v>
          </cell>
          <cell r="I3">
            <v>2011</v>
          </cell>
          <cell r="J3">
            <v>2012</v>
          </cell>
          <cell r="K3">
            <v>2013</v>
          </cell>
          <cell r="L3">
            <v>2014</v>
          </cell>
          <cell r="M3">
            <v>2015</v>
          </cell>
          <cell r="N3">
            <v>2016</v>
          </cell>
          <cell r="O3">
            <v>2017</v>
          </cell>
          <cell r="P3">
            <v>2018</v>
          </cell>
          <cell r="Q3">
            <v>2019</v>
          </cell>
          <cell r="R3">
            <v>2020</v>
          </cell>
          <cell r="S3">
            <v>2021</v>
          </cell>
          <cell r="T3">
            <v>2022</v>
          </cell>
          <cell r="U3">
            <v>2023</v>
          </cell>
          <cell r="V3">
            <v>2024</v>
          </cell>
        </row>
        <row r="4">
          <cell r="A4" t="str">
            <v>Average Share Price (€)</v>
          </cell>
          <cell r="B4">
            <v>16.828969465648868</v>
          </cell>
          <cell r="C4">
            <v>17.054192307692315</v>
          </cell>
          <cell r="D4">
            <v>18.013423076923072</v>
          </cell>
          <cell r="E4">
            <v>17.406551724137923</v>
          </cell>
          <cell r="F4">
            <v>12.009041984732823</v>
          </cell>
          <cell r="G4">
            <v>10.292528735632187</v>
          </cell>
          <cell r="H4">
            <v>20.295804597701142</v>
          </cell>
          <cell r="I4">
            <v>25.50098076923075</v>
          </cell>
          <cell r="J4">
            <v>27.764482758620687</v>
          </cell>
          <cell r="K4">
            <v>40.948582375478907</v>
          </cell>
          <cell r="L4">
            <v>49.524693486590017</v>
          </cell>
          <cell r="M4">
            <v>64.78</v>
          </cell>
          <cell r="N4">
            <v>61.2</v>
          </cell>
          <cell r="O4">
            <v>89</v>
          </cell>
          <cell r="P4">
            <v>120</v>
          </cell>
          <cell r="Q4">
            <v>128.80000000000001</v>
          </cell>
          <cell r="R4">
            <v>116.15</v>
          </cell>
          <cell r="S4">
            <v>114.2</v>
          </cell>
          <cell r="T4">
            <v>105</v>
          </cell>
          <cell r="U4">
            <v>159.46</v>
          </cell>
          <cell r="V4">
            <v>167.9</v>
          </cell>
        </row>
        <row r="5">
          <cell r="A5" t="str">
            <v>Average Basic Shares (m)</v>
          </cell>
          <cell r="B5">
            <v>173.494969</v>
          </cell>
          <cell r="C5">
            <v>350.79163199999999</v>
          </cell>
          <cell r="D5">
            <v>409.69396</v>
          </cell>
          <cell r="E5">
            <v>410.77400899999998</v>
          </cell>
          <cell r="F5">
            <v>405.35440199999999</v>
          </cell>
          <cell r="G5">
            <v>399.26678800000002</v>
          </cell>
          <cell r="H5">
            <v>399.55291999999997</v>
          </cell>
          <cell r="I5">
            <v>404.73545999999999</v>
          </cell>
          <cell r="J5">
            <v>415.28082599999999</v>
          </cell>
          <cell r="K5">
            <v>416.29273599999999</v>
          </cell>
          <cell r="L5">
            <v>416.41336799999999</v>
          </cell>
          <cell r="M5">
            <v>417.569031</v>
          </cell>
          <cell r="N5">
            <v>416.32511799999997</v>
          </cell>
          <cell r="O5">
            <v>410.24104299999999</v>
          </cell>
          <cell r="P5">
            <v>430.91181</v>
          </cell>
          <cell r="Q5">
            <v>429.72337199999998</v>
          </cell>
          <cell r="R5">
            <v>426.035732</v>
          </cell>
          <cell r="S5">
            <v>426.65042499999998</v>
          </cell>
          <cell r="T5">
            <v>426.680657</v>
          </cell>
          <cell r="U5">
            <v>418.91159675316692</v>
          </cell>
          <cell r="V5">
            <v>411.77543096970493</v>
          </cell>
        </row>
        <row r="6">
          <cell r="A6" t="str">
            <v>Market capitalisation</v>
          </cell>
          <cell r="B6">
            <v>2919.7415357446966</v>
          </cell>
          <cell r="C6">
            <v>5982.4679520572336</v>
          </cell>
          <cell r="D6">
            <v>7379.9906335399983</v>
          </cell>
          <cell r="E6">
            <v>7150.1590345899967</v>
          </cell>
          <cell r="F6">
            <v>4867.9180323142664</v>
          </cell>
          <cell r="G6">
            <v>4109.4648886735649</v>
          </cell>
          <cell r="H6">
            <v>8109.2479907609159</v>
          </cell>
          <cell r="I6">
            <v>10321.151182085761</v>
          </cell>
          <cell r="J6">
            <v>11530.057333462757</v>
          </cell>
          <cell r="K6">
            <v>17046.597392409494</v>
          </cell>
          <cell r="L6">
            <v>20622.744413918612</v>
          </cell>
          <cell r="M6">
            <v>27050.121828179999</v>
          </cell>
          <cell r="N6">
            <v>25479.097221600001</v>
          </cell>
          <cell r="O6">
            <v>36511.452827000001</v>
          </cell>
          <cell r="P6">
            <v>51709.417200000004</v>
          </cell>
          <cell r="Q6">
            <v>55348.370313600004</v>
          </cell>
          <cell r="R6">
            <v>49484.050271799999</v>
          </cell>
          <cell r="S6">
            <v>48723.478535000002</v>
          </cell>
          <cell r="T6">
            <v>44801.468985</v>
          </cell>
          <cell r="U6">
            <v>66799.643218259997</v>
          </cell>
          <cell r="V6">
            <v>69137.094859813456</v>
          </cell>
        </row>
        <row r="7">
          <cell r="A7" t="str">
            <v>Net debt / (cash)</v>
          </cell>
          <cell r="B7">
            <v>-347</v>
          </cell>
          <cell r="C7">
            <v>473</v>
          </cell>
          <cell r="D7">
            <v>419</v>
          </cell>
          <cell r="E7">
            <v>132</v>
          </cell>
          <cell r="F7">
            <v>587</v>
          </cell>
          <cell r="G7">
            <v>458</v>
          </cell>
          <cell r="H7">
            <v>-48</v>
          </cell>
          <cell r="I7">
            <v>977</v>
          </cell>
          <cell r="J7">
            <v>895</v>
          </cell>
          <cell r="K7">
            <v>1220</v>
          </cell>
          <cell r="L7">
            <v>1503</v>
          </cell>
          <cell r="M7">
            <v>748</v>
          </cell>
          <cell r="N7">
            <v>1383</v>
          </cell>
          <cell r="O7">
            <v>-294</v>
          </cell>
          <cell r="P7">
            <v>3269</v>
          </cell>
          <cell r="Q7">
            <v>4114</v>
          </cell>
          <cell r="R7">
            <v>2792</v>
          </cell>
          <cell r="S7">
            <v>1544</v>
          </cell>
          <cell r="T7">
            <v>-50</v>
          </cell>
          <cell r="U7">
            <v>-537.48212241809597</v>
          </cell>
          <cell r="V7">
            <v>-2101.7844835713022</v>
          </cell>
        </row>
        <row r="8">
          <cell r="A8" t="str">
            <v>Provisions (including pensions)</v>
          </cell>
          <cell r="B8">
            <v>-271</v>
          </cell>
          <cell r="C8">
            <v>-1672</v>
          </cell>
          <cell r="D8">
            <v>-1660.6</v>
          </cell>
          <cell r="E8">
            <v>-1792.1</v>
          </cell>
          <cell r="F8">
            <v>-1971.7</v>
          </cell>
          <cell r="G8">
            <v>-1996.3</v>
          </cell>
          <cell r="H8">
            <v>-2058</v>
          </cell>
          <cell r="I8">
            <v>-2020</v>
          </cell>
          <cell r="J8">
            <v>-2887</v>
          </cell>
          <cell r="K8">
            <v>-2958</v>
          </cell>
          <cell r="L8">
            <v>-3329</v>
          </cell>
          <cell r="M8">
            <v>-3456</v>
          </cell>
          <cell r="N8">
            <v>-3264</v>
          </cell>
          <cell r="O8">
            <v>-3403</v>
          </cell>
          <cell r="P8">
            <v>-2777</v>
          </cell>
          <cell r="Q8">
            <v>-3083</v>
          </cell>
          <cell r="R8">
            <v>-2847</v>
          </cell>
          <cell r="S8">
            <v>-2856</v>
          </cell>
          <cell r="T8">
            <v>-2567</v>
          </cell>
          <cell r="U8">
            <v>-2530</v>
          </cell>
          <cell r="V8">
            <v>-2530</v>
          </cell>
        </row>
        <row r="9">
          <cell r="A9" t="str">
            <v>Minorities</v>
          </cell>
          <cell r="B9">
            <v>-1</v>
          </cell>
          <cell r="C9">
            <v>-164</v>
          </cell>
          <cell r="D9">
            <v>-173</v>
          </cell>
          <cell r="E9">
            <v>-167</v>
          </cell>
          <cell r="F9">
            <v>-141</v>
          </cell>
          <cell r="G9">
            <v>-148</v>
          </cell>
          <cell r="H9">
            <v>-175</v>
          </cell>
          <cell r="I9">
            <v>-154</v>
          </cell>
          <cell r="J9">
            <v>-163</v>
          </cell>
          <cell r="K9">
            <v>-178</v>
          </cell>
          <cell r="L9">
            <v>-225</v>
          </cell>
          <cell r="M9">
            <v>-266</v>
          </cell>
          <cell r="N9">
            <v>-288</v>
          </cell>
          <cell r="O9">
            <v>-303</v>
          </cell>
          <cell r="P9">
            <v>-346</v>
          </cell>
          <cell r="Q9">
            <v>-377</v>
          </cell>
          <cell r="R9">
            <v>-401</v>
          </cell>
          <cell r="S9">
            <v>-429</v>
          </cell>
          <cell r="T9">
            <v>-455</v>
          </cell>
          <cell r="U9">
            <v>-485</v>
          </cell>
          <cell r="V9">
            <v>-515</v>
          </cell>
        </row>
        <row r="10">
          <cell r="A10" t="str">
            <v>Enterprise value - MS</v>
          </cell>
          <cell r="B10">
            <v>2300.7415357446966</v>
          </cell>
          <cell r="C10">
            <v>4619.4679520572336</v>
          </cell>
          <cell r="D10">
            <v>5965.3906335399988</v>
          </cell>
          <cell r="E10">
            <v>5323.0590345899964</v>
          </cell>
          <cell r="F10">
            <v>3342.2180323142666</v>
          </cell>
          <cell r="G10">
            <v>2423.1648886735647</v>
          </cell>
          <cell r="H10">
            <v>5828.2479907609159</v>
          </cell>
          <cell r="I10">
            <v>9124.1511820857613</v>
          </cell>
          <cell r="J10">
            <v>9375.057333462757</v>
          </cell>
          <cell r="K10">
            <v>15130.597392409494</v>
          </cell>
          <cell r="L10">
            <v>18571.744413918612</v>
          </cell>
          <cell r="M10">
            <v>24076.121828179999</v>
          </cell>
          <cell r="N10">
            <v>23310.097221600001</v>
          </cell>
          <cell r="O10">
            <v>32511.452827000001</v>
          </cell>
          <cell r="P10">
            <v>51855.417200000004</v>
          </cell>
          <cell r="Q10">
            <v>56002.370313600004</v>
          </cell>
          <cell r="R10">
            <v>49028.050271799999</v>
          </cell>
          <cell r="S10">
            <v>46982.478535000002</v>
          </cell>
          <cell r="T10">
            <v>41729.468985</v>
          </cell>
          <cell r="U10">
            <v>63247.161095841904</v>
          </cell>
          <cell r="V10">
            <v>63990.310376242152</v>
          </cell>
        </row>
        <row r="12">
          <cell r="A12" t="str">
            <v>Profitability</v>
          </cell>
        </row>
        <row r="13">
          <cell r="A13" t="str">
            <v>Revenues</v>
          </cell>
          <cell r="B13">
            <v>10098</v>
          </cell>
          <cell r="C13">
            <v>10576</v>
          </cell>
          <cell r="D13">
            <v>11329</v>
          </cell>
          <cell r="E13">
            <v>10222</v>
          </cell>
          <cell r="F13">
            <v>10329</v>
          </cell>
          <cell r="G13">
            <v>10448</v>
          </cell>
          <cell r="H13">
            <v>10760</v>
          </cell>
          <cell r="I13">
            <v>11736</v>
          </cell>
          <cell r="J13">
            <v>13560</v>
          </cell>
          <cell r="K13">
            <v>14363</v>
          </cell>
          <cell r="L13">
            <v>15355</v>
          </cell>
          <cell r="M13">
            <v>17414</v>
          </cell>
          <cell r="N13">
            <v>15781</v>
          </cell>
          <cell r="O13">
            <v>16521</v>
          </cell>
          <cell r="P13">
            <v>21050</v>
          </cell>
          <cell r="Q13">
            <v>24640</v>
          </cell>
          <cell r="R13">
            <v>16498</v>
          </cell>
          <cell r="S13">
            <v>15257</v>
          </cell>
          <cell r="T13">
            <v>19035</v>
          </cell>
          <cell r="U13">
            <v>23519.393948057197</v>
          </cell>
          <cell r="V13">
            <v>26871.331799193969</v>
          </cell>
        </row>
        <row r="14">
          <cell r="A14" t="str">
            <v>Adjusted EBITDA</v>
          </cell>
          <cell r="E14">
            <v>1348</v>
          </cell>
          <cell r="F14">
            <v>1098</v>
          </cell>
          <cell r="G14">
            <v>1139</v>
          </cell>
          <cell r="H14">
            <v>1265</v>
          </cell>
          <cell r="I14">
            <v>1531</v>
          </cell>
          <cell r="J14">
            <v>2045</v>
          </cell>
          <cell r="K14">
            <v>2280</v>
          </cell>
          <cell r="L14">
            <v>2728</v>
          </cell>
          <cell r="M14">
            <v>3148</v>
          </cell>
          <cell r="N14">
            <v>2920</v>
          </cell>
          <cell r="O14">
            <v>3436</v>
          </cell>
          <cell r="P14">
            <v>3845</v>
          </cell>
          <cell r="Q14">
            <v>5014</v>
          </cell>
          <cell r="R14">
            <v>2509</v>
          </cell>
          <cell r="S14">
            <v>2942</v>
          </cell>
          <cell r="T14">
            <v>3219</v>
          </cell>
          <cell r="U14">
            <v>4161.6669591878226</v>
          </cell>
          <cell r="V14">
            <v>5075.3243516405637</v>
          </cell>
        </row>
        <row r="15">
          <cell r="A15" t="str">
            <v>Underlying EBIT</v>
          </cell>
          <cell r="B15">
            <v>773</v>
          </cell>
          <cell r="C15">
            <v>687</v>
          </cell>
          <cell r="D15">
            <v>465</v>
          </cell>
          <cell r="E15">
            <v>787</v>
          </cell>
          <cell r="F15">
            <v>666</v>
          </cell>
          <cell r="G15">
            <v>729</v>
          </cell>
          <cell r="H15">
            <v>878</v>
          </cell>
          <cell r="I15">
            <v>1189</v>
          </cell>
          <cell r="J15">
            <v>1444</v>
          </cell>
          <cell r="K15">
            <v>1780</v>
          </cell>
          <cell r="L15">
            <v>2089</v>
          </cell>
          <cell r="M15">
            <v>2432</v>
          </cell>
          <cell r="N15">
            <v>2404</v>
          </cell>
          <cell r="O15">
            <v>2470</v>
          </cell>
          <cell r="P15">
            <v>3023</v>
          </cell>
          <cell r="Q15">
            <v>3820</v>
          </cell>
          <cell r="R15">
            <v>1686</v>
          </cell>
          <cell r="S15">
            <v>1805</v>
          </cell>
          <cell r="T15">
            <v>2408</v>
          </cell>
          <cell r="U15">
            <v>3188.2358147327432</v>
          </cell>
          <cell r="V15">
            <v>3965.8774472537898</v>
          </cell>
        </row>
        <row r="16">
          <cell r="A16" t="str">
            <v>NOPAT</v>
          </cell>
          <cell r="E16">
            <v>553.14246947082768</v>
          </cell>
          <cell r="F16">
            <v>543.36826347305384</v>
          </cell>
          <cell r="G16">
            <v>578.46080305927342</v>
          </cell>
          <cell r="H16">
            <v>662.85269121813042</v>
          </cell>
          <cell r="I16">
            <v>829.18743455497383</v>
          </cell>
          <cell r="J16">
            <v>1152.6767275615568</v>
          </cell>
          <cell r="K16">
            <v>1199.8274799753542</v>
          </cell>
          <cell r="L16">
            <v>1494.7449591280654</v>
          </cell>
          <cell r="M16">
            <v>1784.6446499339499</v>
          </cell>
          <cell r="N16">
            <v>1870.0160570918824</v>
          </cell>
          <cell r="O16">
            <v>1913.5827098919367</v>
          </cell>
          <cell r="P16">
            <v>2307.8817204301076</v>
          </cell>
          <cell r="Q16">
            <v>2787.4572649572651</v>
          </cell>
          <cell r="R16">
            <v>1221.7592745259687</v>
          </cell>
          <cell r="S16">
            <v>1183.2107023411372</v>
          </cell>
          <cell r="T16">
            <v>1651.0835214446952</v>
          </cell>
          <cell r="U16">
            <v>2391.1768610495574</v>
          </cell>
          <cell r="V16">
            <v>2974.4080854403423</v>
          </cell>
        </row>
        <row r="17">
          <cell r="A17" t="str">
            <v>Net Income (adjusted)</v>
          </cell>
          <cell r="E17">
            <v>406</v>
          </cell>
          <cell r="F17">
            <v>297</v>
          </cell>
          <cell r="G17">
            <v>395</v>
          </cell>
          <cell r="H17">
            <v>508</v>
          </cell>
          <cell r="I17">
            <v>644</v>
          </cell>
          <cell r="J17">
            <v>979</v>
          </cell>
          <cell r="K17">
            <v>1193</v>
          </cell>
          <cell r="L17">
            <v>1248</v>
          </cell>
          <cell r="M17">
            <v>1482</v>
          </cell>
          <cell r="N17">
            <v>1804</v>
          </cell>
          <cell r="O17">
            <v>2623</v>
          </cell>
          <cell r="P17">
            <v>1981</v>
          </cell>
          <cell r="Q17">
            <v>2665</v>
          </cell>
          <cell r="R17">
            <v>844</v>
          </cell>
          <cell r="S17">
            <v>760</v>
          </cell>
          <cell r="T17">
            <v>1178</v>
          </cell>
          <cell r="U17">
            <v>2387.0212442689412</v>
          </cell>
          <cell r="V17">
            <v>2999.2388958981605</v>
          </cell>
        </row>
        <row r="18">
          <cell r="A18" t="str">
            <v>Basic EPS (€)</v>
          </cell>
          <cell r="E18">
            <v>0.98837801590314356</v>
          </cell>
          <cell r="F18">
            <v>0.73269217883071125</v>
          </cell>
          <cell r="G18">
            <v>0.98931344121715425</v>
          </cell>
          <cell r="H18">
            <v>1.2714210673269515</v>
          </cell>
          <cell r="I18">
            <v>1.5911627807457247</v>
          </cell>
          <cell r="J18">
            <v>2.3574408898907362</v>
          </cell>
          <cell r="K18">
            <v>2.8657718399390952</v>
          </cell>
          <cell r="L18">
            <v>2.9970219399872868</v>
          </cell>
          <cell r="M18">
            <v>3.5491137751544608</v>
          </cell>
          <cell r="N18">
            <v>4.3331519574564803</v>
          </cell>
          <cell r="O18">
            <v>6.3938019970371425</v>
          </cell>
          <cell r="P18">
            <v>4.5972283748732714</v>
          </cell>
          <cell r="Q18">
            <v>6.2016640789088848</v>
          </cell>
          <cell r="R18">
            <v>1.9810544905186498</v>
          </cell>
          <cell r="S18">
            <v>1.7813178083673538</v>
          </cell>
          <cell r="T18">
            <v>2.760846972259162</v>
          </cell>
          <cell r="U18">
            <v>5.6981503084896294</v>
          </cell>
          <cell r="V18">
            <v>7.2836761747420038</v>
          </cell>
        </row>
        <row r="19">
          <cell r="A19" t="str">
            <v>Diluted ModelWare EPS (€)</v>
          </cell>
          <cell r="E19">
            <v>0.98780595878421973</v>
          </cell>
          <cell r="F19">
            <v>0.73269217883071125</v>
          </cell>
          <cell r="G19">
            <v>0.98483764162361087</v>
          </cell>
          <cell r="H19">
            <v>1.2589103780760142</v>
          </cell>
          <cell r="I19">
            <v>1.5848811473755926</v>
          </cell>
          <cell r="J19">
            <v>2.3538186927513696</v>
          </cell>
          <cell r="K19">
            <v>2.864860044298613</v>
          </cell>
          <cell r="L19">
            <v>2.9970219399872868</v>
          </cell>
          <cell r="M19">
            <v>3.5491137751544608</v>
          </cell>
          <cell r="N19">
            <v>4.2585441669148381</v>
          </cell>
          <cell r="O19">
            <v>6.2823601424960946</v>
          </cell>
          <cell r="P19">
            <v>4.5400830444672078</v>
          </cell>
          <cell r="Q19">
            <v>6.12676448604436</v>
          </cell>
          <cell r="R19">
            <v>1.9161763871695237</v>
          </cell>
          <cell r="S19">
            <v>1.7269311520653794</v>
          </cell>
          <cell r="T19">
            <v>2.6762999591450773</v>
          </cell>
          <cell r="U19">
            <v>5.5205172374525509</v>
          </cell>
          <cell r="V19">
            <v>7.0528059418353477</v>
          </cell>
        </row>
        <row r="20">
          <cell r="A20" t="str">
            <v>DPS (€)</v>
          </cell>
          <cell r="B20">
            <v>0.22</v>
          </cell>
          <cell r="C20">
            <v>0.36</v>
          </cell>
          <cell r="D20">
            <v>0.22</v>
          </cell>
          <cell r="E20">
            <v>0.4</v>
          </cell>
          <cell r="F20">
            <v>0.25</v>
          </cell>
          <cell r="G20">
            <v>0.38</v>
          </cell>
          <cell r="H20">
            <v>0.5</v>
          </cell>
          <cell r="I20">
            <v>0.62</v>
          </cell>
          <cell r="J20">
            <v>0.96</v>
          </cell>
          <cell r="K20">
            <v>1.1200000000000001</v>
          </cell>
          <cell r="L20">
            <v>1.2</v>
          </cell>
          <cell r="M20">
            <v>1.38</v>
          </cell>
          <cell r="N20">
            <v>1.52</v>
          </cell>
          <cell r="O20">
            <v>1.6</v>
          </cell>
          <cell r="P20">
            <v>1.82</v>
          </cell>
          <cell r="Q20">
            <v>0</v>
          </cell>
          <cell r="R20">
            <v>0.43</v>
          </cell>
          <cell r="S20">
            <v>0.5</v>
          </cell>
          <cell r="T20">
            <v>1.35</v>
          </cell>
          <cell r="U20">
            <v>2.2082068949810205</v>
          </cell>
          <cell r="V20">
            <v>2.8211223767341393</v>
          </cell>
        </row>
        <row r="21">
          <cell r="A21" t="str">
            <v>Free Cash Flow to equity</v>
          </cell>
          <cell r="B21">
            <v>58</v>
          </cell>
          <cell r="C21">
            <v>351</v>
          </cell>
          <cell r="D21">
            <v>165</v>
          </cell>
          <cell r="E21">
            <v>374</v>
          </cell>
          <cell r="F21">
            <v>49</v>
          </cell>
          <cell r="G21">
            <v>818</v>
          </cell>
          <cell r="H21">
            <v>934</v>
          </cell>
          <cell r="I21">
            <v>532</v>
          </cell>
          <cell r="J21">
            <v>564</v>
          </cell>
          <cell r="K21">
            <v>699</v>
          </cell>
          <cell r="L21">
            <v>740</v>
          </cell>
          <cell r="M21">
            <v>974</v>
          </cell>
          <cell r="N21">
            <v>1091</v>
          </cell>
          <cell r="O21">
            <v>1438</v>
          </cell>
          <cell r="P21">
            <v>1781</v>
          </cell>
          <cell r="Q21">
            <v>1983</v>
          </cell>
          <cell r="R21">
            <v>1073</v>
          </cell>
          <cell r="S21">
            <v>1680</v>
          </cell>
          <cell r="T21">
            <v>2666</v>
          </cell>
          <cell r="U21">
            <v>2892.2097952348718</v>
          </cell>
          <cell r="V21">
            <v>3015.352728374015</v>
          </cell>
        </row>
        <row r="23">
          <cell r="A23" t="str">
            <v>Growth</v>
          </cell>
        </row>
        <row r="24">
          <cell r="A24" t="str">
            <v>Revenue growth (%)</v>
          </cell>
          <cell r="F24">
            <v>1.046761886127956E-2</v>
          </cell>
          <cell r="G24">
            <v>1.1520960402749525E-2</v>
          </cell>
          <cell r="H24">
            <v>2.9862174578866751E-2</v>
          </cell>
          <cell r="I24">
            <v>9.0706319702602123E-2</v>
          </cell>
          <cell r="J24">
            <v>0.15541922290388555</v>
          </cell>
          <cell r="K24">
            <v>5.9218289085545717E-2</v>
          </cell>
          <cell r="L24">
            <v>6.906635104086889E-2</v>
          </cell>
          <cell r="M24">
            <v>0.13409312927385209</v>
          </cell>
          <cell r="N24">
            <v>-9.3775123463879617E-2</v>
          </cell>
          <cell r="O24">
            <v>4.6891831949813056E-2</v>
          </cell>
          <cell r="P24">
            <v>0.2741359481871557</v>
          </cell>
          <cell r="Q24">
            <v>0.17054631828978617</v>
          </cell>
          <cell r="R24">
            <v>-0.33043831168831173</v>
          </cell>
          <cell r="S24">
            <v>-7.5221238938053103E-2</v>
          </cell>
          <cell r="T24">
            <v>0.24762404142360883</v>
          </cell>
          <cell r="U24">
            <v>0.23558675850050936</v>
          </cell>
          <cell r="V24">
            <v>0.14251803675466967</v>
          </cell>
        </row>
        <row r="25">
          <cell r="A25" t="str">
            <v>Adjusted EBITDA growth (%)</v>
          </cell>
          <cell r="F25">
            <v>-0.18545994065281901</v>
          </cell>
          <cell r="G25">
            <v>3.7340619307832501E-2</v>
          </cell>
          <cell r="H25">
            <v>0.11062335381913968</v>
          </cell>
          <cell r="I25">
            <v>0.21027667984189713</v>
          </cell>
          <cell r="J25">
            <v>0.33572828216851724</v>
          </cell>
          <cell r="K25">
            <v>0.11491442542787289</v>
          </cell>
          <cell r="L25">
            <v>0.19649122807017538</v>
          </cell>
          <cell r="M25">
            <v>0.15395894428152501</v>
          </cell>
          <cell r="N25">
            <v>-7.2426937738246489E-2</v>
          </cell>
          <cell r="O25">
            <v>0.17671232876712328</v>
          </cell>
          <cell r="P25">
            <v>0.11903376018626299</v>
          </cell>
          <cell r="Q25">
            <v>0.30403120936280881</v>
          </cell>
          <cell r="R25">
            <v>-0.49960111687275632</v>
          </cell>
          <cell r="S25">
            <v>0.17257871662016733</v>
          </cell>
          <cell r="T25">
            <v>9.4153636981645139E-2</v>
          </cell>
          <cell r="U25">
            <v>0.29284465957993877</v>
          </cell>
          <cell r="V25">
            <v>0.21954120822562118</v>
          </cell>
        </row>
        <row r="26">
          <cell r="A26" t="str">
            <v>EPS growth (%)</v>
          </cell>
          <cell r="F26">
            <v>-0.25869235551419667</v>
          </cell>
          <cell r="G26">
            <v>0.35024430422606634</v>
          </cell>
          <cell r="H26">
            <v>0.28515495125864221</v>
          </cell>
          <cell r="I26">
            <v>0.25148373079187802</v>
          </cell>
          <cell r="J26">
            <v>0.48158373135518073</v>
          </cell>
          <cell r="K26">
            <v>0.21562829092691249</v>
          </cell>
          <cell r="L26">
            <v>4.5799214794078225E-2</v>
          </cell>
          <cell r="M26">
            <v>0.1842134779865896</v>
          </cell>
          <cell r="N26">
            <v>0.22091097439328999</v>
          </cell>
          <cell r="O26">
            <v>0.47555452931547881</v>
          </cell>
          <cell r="P26">
            <v>-0.28098674669568979</v>
          </cell>
          <cell r="Q26">
            <v>0.34900065282918247</v>
          </cell>
          <cell r="R26">
            <v>-0.68056081959421533</v>
          </cell>
          <cell r="S26">
            <v>-0.10082341657296057</v>
          </cell>
          <cell r="T26">
            <v>0.54989017641359816</v>
          </cell>
          <cell r="U26">
            <v>1.0639138517072224</v>
          </cell>
          <cell r="V26">
            <v>0.27825272771237919</v>
          </cell>
        </row>
        <row r="28">
          <cell r="A28" t="str">
            <v>Margins</v>
          </cell>
        </row>
        <row r="29">
          <cell r="A29" t="str">
            <v>Adjusted EBITDA Margin (%)</v>
          </cell>
          <cell r="E29">
            <v>0.1318724320093915</v>
          </cell>
          <cell r="F29">
            <v>0.1063026430438571</v>
          </cell>
          <cell r="G29">
            <v>0.10901607963246554</v>
          </cell>
          <cell r="H29">
            <v>0.11756505576208179</v>
          </cell>
          <cell r="I29">
            <v>0.130453306066803</v>
          </cell>
          <cell r="J29">
            <v>0.15081120943952803</v>
          </cell>
          <cell r="K29">
            <v>0.15874121005360997</v>
          </cell>
          <cell r="L29">
            <v>0.17766199934874632</v>
          </cell>
          <cell r="M29">
            <v>0.1807740898127943</v>
          </cell>
          <cell r="N29">
            <v>0.18503263418034346</v>
          </cell>
          <cell r="O29">
            <v>0.2079777253192906</v>
          </cell>
          <cell r="P29">
            <v>0.18266033254156769</v>
          </cell>
          <cell r="Q29">
            <v>0.20349025974025975</v>
          </cell>
          <cell r="R29">
            <v>0.15207903988362226</v>
          </cell>
          <cell r="S29">
            <v>0.19282952087566363</v>
          </cell>
          <cell r="T29">
            <v>0.16910953506698187</v>
          </cell>
          <cell r="U29">
            <v>0.17694618187776875</v>
          </cell>
          <cell r="V29">
            <v>0.18887505798253001</v>
          </cell>
        </row>
        <row r="30">
          <cell r="A30" t="str">
            <v>Operating Margin (%)</v>
          </cell>
          <cell r="E30">
            <v>7.6990804147916259E-2</v>
          </cell>
          <cell r="F30">
            <v>6.4478652338077258E-2</v>
          </cell>
          <cell r="G30">
            <v>6.977411944869831E-2</v>
          </cell>
          <cell r="H30">
            <v>8.159851301115241E-2</v>
          </cell>
          <cell r="I30">
            <v>0.10131220177232447</v>
          </cell>
          <cell r="J30">
            <v>0.10648967551622419</v>
          </cell>
          <cell r="K30">
            <v>0.12392954118220427</v>
          </cell>
          <cell r="L30">
            <v>0.13604689026375774</v>
          </cell>
          <cell r="M30">
            <v>0.13965774664063396</v>
          </cell>
          <cell r="N30">
            <v>0.15233508649641975</v>
          </cell>
          <cell r="O30">
            <v>0.14950668845711518</v>
          </cell>
          <cell r="P30">
            <v>0.14361045130641331</v>
          </cell>
          <cell r="Q30">
            <v>0.15503246753246752</v>
          </cell>
          <cell r="R30">
            <v>0.10219420535822524</v>
          </cell>
          <cell r="S30">
            <v>0.11830635118306351</v>
          </cell>
          <cell r="T30">
            <v>0.12650380877331233</v>
          </cell>
          <cell r="U30">
            <v>0.13555773680963004</v>
          </cell>
          <cell r="V30">
            <v>0.14758767733919129</v>
          </cell>
        </row>
        <row r="31">
          <cell r="A31" t="str">
            <v>Pre-Tax Margin (%)</v>
          </cell>
          <cell r="E31">
            <v>5.4112939686052401E-2</v>
          </cell>
          <cell r="F31">
            <v>5.2606086114149853E-2</v>
          </cell>
          <cell r="G31">
            <v>5.5365697076882985E-2</v>
          </cell>
          <cell r="H31">
            <v>6.1603409964510261E-2</v>
          </cell>
          <cell r="I31">
            <v>7.0653326052741466E-2</v>
          </cell>
          <cell r="J31">
            <v>8.5005658374746079E-2</v>
          </cell>
          <cell r="K31">
            <v>8.3535993871430361E-2</v>
          </cell>
          <cell r="L31">
            <v>9.7345813033413567E-2</v>
          </cell>
          <cell r="M31">
            <v>0.10248332662995004</v>
          </cell>
          <cell r="N31">
            <v>0.11849794417919539</v>
          </cell>
          <cell r="O31">
            <v>0.11582729313552065</v>
          </cell>
          <cell r="P31">
            <v>0.10963808648124027</v>
          </cell>
          <cell r="Q31">
            <v>0.11312732406482408</v>
          </cell>
          <cell r="R31">
            <v>7.4054993000725461E-2</v>
          </cell>
          <cell r="S31">
            <v>7.7551989404282443E-2</v>
          </cell>
          <cell r="T31">
            <v>8.6739349695019452E-2</v>
          </cell>
          <cell r="U31">
            <v>0.10166830260722254</v>
          </cell>
          <cell r="V31">
            <v>0.11069075800439346</v>
          </cell>
        </row>
        <row r="32">
          <cell r="A32" t="str">
            <v>Net Margin (%)</v>
          </cell>
          <cell r="E32">
            <v>3.9718254744668363E-2</v>
          </cell>
          <cell r="F32">
            <v>2.8753993610223641E-2</v>
          </cell>
          <cell r="G32">
            <v>3.7806278713629404E-2</v>
          </cell>
          <cell r="H32">
            <v>4.721189591078067E-2</v>
          </cell>
          <cell r="I32">
            <v>5.4873892297205178E-2</v>
          </cell>
          <cell r="J32">
            <v>7.2197640117994094E-2</v>
          </cell>
          <cell r="K32">
            <v>8.3060641927173995E-2</v>
          </cell>
          <cell r="L32">
            <v>8.1276457180071635E-2</v>
          </cell>
          <cell r="M32">
            <v>8.5103939359136321E-2</v>
          </cell>
          <cell r="N32">
            <v>0.11431468221278752</v>
          </cell>
          <cell r="O32">
            <v>0.15876762907814296</v>
          </cell>
          <cell r="P32">
            <v>9.4109263657957243E-2</v>
          </cell>
          <cell r="Q32">
            <v>0.10815746753246754</v>
          </cell>
          <cell r="R32">
            <v>5.1157716086798401E-2</v>
          </cell>
          <cell r="S32">
            <v>4.9813200498132003E-2</v>
          </cell>
          <cell r="T32">
            <v>6.1885999474651954E-2</v>
          </cell>
          <cell r="U32">
            <v>0.10149161366745674</v>
          </cell>
          <cell r="V32">
            <v>0.11161482126420416</v>
          </cell>
        </row>
        <row r="33">
          <cell r="A33" t="str">
            <v>Dividend cover by EPS (x)</v>
          </cell>
          <cell r="E33">
            <v>2.4709450397578587</v>
          </cell>
          <cell r="F33">
            <v>2.930768715322845</v>
          </cell>
          <cell r="G33">
            <v>2.6034564242556693</v>
          </cell>
          <cell r="H33">
            <v>2.542842134653903</v>
          </cell>
          <cell r="I33">
            <v>2.566391581847943</v>
          </cell>
          <cell r="J33">
            <v>2.4556675936361838</v>
          </cell>
          <cell r="K33">
            <v>2.5587248570884777</v>
          </cell>
          <cell r="L33">
            <v>2.497518283322739</v>
          </cell>
          <cell r="M33">
            <v>2.571821576198885</v>
          </cell>
          <cell r="N33">
            <v>2.8507578667476845</v>
          </cell>
          <cell r="O33">
            <v>3.9961262481482138</v>
          </cell>
          <cell r="P33">
            <v>2.5259496565237756</v>
          </cell>
          <cell r="Q33" t="str">
            <v>-</v>
          </cell>
          <cell r="R33" t="str">
            <v>-</v>
          </cell>
          <cell r="S33">
            <v>3.5626356167347075</v>
          </cell>
          <cell r="T33">
            <v>2.0450718313030829</v>
          </cell>
          <cell r="U33">
            <v>2.5804422228011408</v>
          </cell>
          <cell r="V33">
            <v>2.5818363055820077</v>
          </cell>
        </row>
        <row r="34">
          <cell r="A34" t="str">
            <v>Payout Ratio (%)</v>
          </cell>
          <cell r="E34">
            <v>0.40493782857142857</v>
          </cell>
          <cell r="F34">
            <v>0.34120740909090908</v>
          </cell>
          <cell r="G34">
            <v>0.38585040207594939</v>
          </cell>
          <cell r="H34">
            <v>0.3971688602362205</v>
          </cell>
          <cell r="I34">
            <v>0.39119652664596272</v>
          </cell>
          <cell r="J34">
            <v>0.40784789540347294</v>
          </cell>
          <cell r="K34">
            <v>0.39094405404861693</v>
          </cell>
          <cell r="L34">
            <v>0.40039746923076924</v>
          </cell>
          <cell r="M34">
            <v>0.38882946206477725</v>
          </cell>
          <cell r="N34">
            <v>0.35692949055432371</v>
          </cell>
          <cell r="O34">
            <v>0.25468135600457498</v>
          </cell>
          <cell r="P34">
            <v>0.40087372459363957</v>
          </cell>
          <cell r="Q34">
            <v>0</v>
          </cell>
          <cell r="R34">
            <v>0.22440522849526065</v>
          </cell>
          <cell r="S34">
            <v>0.28953094013157893</v>
          </cell>
          <cell r="T34">
            <v>0.50442776243633269</v>
          </cell>
          <cell r="U34">
            <v>0.4</v>
          </cell>
          <cell r="V34">
            <v>0.4</v>
          </cell>
        </row>
        <row r="35">
          <cell r="A35" t="str">
            <v>P&amp;L tax rate (%)</v>
          </cell>
          <cell r="E35">
            <v>0.29715061058344638</v>
          </cell>
          <cell r="F35">
            <v>0.18413173652694612</v>
          </cell>
          <cell r="G35">
            <v>0.20650095602294455</v>
          </cell>
          <cell r="H35">
            <v>0.24504249291784702</v>
          </cell>
          <cell r="I35">
            <v>0.30261780104712044</v>
          </cell>
          <cell r="J35">
            <v>0.20174741858617951</v>
          </cell>
          <cell r="K35">
            <v>0.325939617991374</v>
          </cell>
          <cell r="L35">
            <v>0.28446866485013622</v>
          </cell>
          <cell r="M35">
            <v>0.26618229854689562</v>
          </cell>
          <cell r="N35">
            <v>0.22212310437109722</v>
          </cell>
          <cell r="O35">
            <v>0.22527015793848712</v>
          </cell>
          <cell r="P35">
            <v>0.23655913978494625</v>
          </cell>
          <cell r="Q35">
            <v>0.27029914529914528</v>
          </cell>
          <cell r="R35">
            <v>0.27535037098103876</v>
          </cell>
          <cell r="S35">
            <v>0.34448160535117056</v>
          </cell>
          <cell r="T35">
            <v>0.31433408577878102</v>
          </cell>
          <cell r="U35">
            <v>0.25</v>
          </cell>
          <cell r="V35">
            <v>0.25</v>
          </cell>
        </row>
        <row r="36">
          <cell r="A36" t="str">
            <v>Cash tax rate (%)</v>
          </cell>
          <cell r="E36">
            <v>0.28765264586160111</v>
          </cell>
          <cell r="F36">
            <v>0.3847305389221557</v>
          </cell>
          <cell r="G36">
            <v>0.13957934990439771</v>
          </cell>
          <cell r="H36">
            <v>0.14589235127478753</v>
          </cell>
          <cell r="I36">
            <v>0.25235602094240839</v>
          </cell>
          <cell r="J36">
            <v>0.18903891977760126</v>
          </cell>
          <cell r="K36">
            <v>0.10536044362292052</v>
          </cell>
          <cell r="L36">
            <v>0.15204359673024523</v>
          </cell>
          <cell r="M36">
            <v>0.26816380449141347</v>
          </cell>
          <cell r="N36">
            <v>0.13024085637823371</v>
          </cell>
          <cell r="O36">
            <v>0.24189526184538654</v>
          </cell>
          <cell r="P36">
            <v>0.19688542825361513</v>
          </cell>
          <cell r="Q36">
            <v>0.23691239316239315</v>
          </cell>
          <cell r="R36">
            <v>0.11788953009068426</v>
          </cell>
          <cell r="S36">
            <v>0.25250836120401338</v>
          </cell>
          <cell r="T36">
            <v>0.13148984198645597</v>
          </cell>
          <cell r="U36">
            <v>0.25</v>
          </cell>
          <cell r="V36">
            <v>0.25</v>
          </cell>
        </row>
        <row r="38">
          <cell r="A38" t="str">
            <v>Valuation Metrics</v>
          </cell>
        </row>
        <row r="39">
          <cell r="A39" t="str">
            <v>Price/Book</v>
          </cell>
          <cell r="B39">
            <v>2.3470591123349651</v>
          </cell>
          <cell r="C39">
            <v>1.3282566501015172</v>
          </cell>
          <cell r="D39">
            <v>1.7008505723761231</v>
          </cell>
          <cell r="E39">
            <v>1.6482616492830791</v>
          </cell>
          <cell r="F39">
            <v>1.3040230464276095</v>
          </cell>
          <cell r="G39">
            <v>0.94405350072905236</v>
          </cell>
          <cell r="H39">
            <v>1.7901209692628954</v>
          </cell>
          <cell r="I39">
            <v>2.0775264054117879</v>
          </cell>
          <cell r="J39">
            <v>1.9763553879778466</v>
          </cell>
          <cell r="K39">
            <v>2.5691932769268266</v>
          </cell>
          <cell r="L39">
            <v>3.2912135994124818</v>
          </cell>
          <cell r="M39">
            <v>4.8072013200959658</v>
          </cell>
          <cell r="N39">
            <v>3.9072377275877934</v>
          </cell>
          <cell r="O39">
            <v>3.5375886858831511</v>
          </cell>
          <cell r="P39">
            <v>4.3253381179422838</v>
          </cell>
          <cell r="Q39">
            <v>4.4740417358014719</v>
          </cell>
          <cell r="R39">
            <v>4.0071301540043729</v>
          </cell>
          <cell r="S39">
            <v>3.7943679257845964</v>
          </cell>
          <cell r="T39">
            <v>4.3032820079723368</v>
          </cell>
          <cell r="U39">
            <v>6.0924712370149274</v>
          </cell>
          <cell r="V39">
            <v>5.6339186174766951</v>
          </cell>
        </row>
        <row r="40">
          <cell r="A40" t="str">
            <v>EV/ Invested Capital</v>
          </cell>
          <cell r="B40">
            <v>1.9868234332855756</v>
          </cell>
          <cell r="C40">
            <v>0.58771856896402463</v>
          </cell>
          <cell r="D40">
            <v>0.76313043796085445</v>
          </cell>
          <cell r="E40">
            <v>0.71845850109191478</v>
          </cell>
          <cell r="F40">
            <v>0.4680977636294491</v>
          </cell>
          <cell r="G40">
            <v>0.30739120749379228</v>
          </cell>
          <cell r="H40">
            <v>0.76971051119399314</v>
          </cell>
          <cell r="I40">
            <v>1.0133442005870459</v>
          </cell>
          <cell r="J40">
            <v>0.89141935280619544</v>
          </cell>
          <cell r="K40">
            <v>1.2554428636250825</v>
          </cell>
          <cell r="L40">
            <v>1.5698854111511928</v>
          </cell>
          <cell r="M40">
            <v>2.4592565708049028</v>
          </cell>
          <cell r="N40">
            <v>2.1015233701406419</v>
          </cell>
          <cell r="O40">
            <v>2.224830823718607</v>
          </cell>
          <cell r="P40">
            <v>2.6432570700377207</v>
          </cell>
          <cell r="Q40">
            <v>2.6624688748502425</v>
          </cell>
          <cell r="R40">
            <v>2.5327022560078518</v>
          </cell>
          <cell r="S40">
            <v>2.540142654357699</v>
          </cell>
          <cell r="T40">
            <v>3.2171358403361343</v>
          </cell>
          <cell r="U40">
            <v>4.7976989840415376</v>
          </cell>
          <cell r="V40">
            <v>4.9911333358540722</v>
          </cell>
        </row>
        <row r="41">
          <cell r="A41" t="str">
            <v>P/E</v>
          </cell>
          <cell r="E41">
            <v>17.621428145221667</v>
          </cell>
          <cell r="F41">
            <v>16.390296405098539</v>
          </cell>
          <cell r="G41">
            <v>10.450990397426164</v>
          </cell>
          <cell r="H41">
            <v>16.121723159292014</v>
          </cell>
          <cell r="I41">
            <v>16.090153391917035</v>
          </cell>
          <cell r="J41">
            <v>11.795506104239019</v>
          </cell>
          <cell r="K41">
            <v>14.293397144119167</v>
          </cell>
          <cell r="L41">
            <v>16.524634947050171</v>
          </cell>
          <cell r="M41">
            <v>18.252443878663968</v>
          </cell>
          <cell r="N41">
            <v>14.371108435476719</v>
          </cell>
          <cell r="O41">
            <v>14.166650427754481</v>
          </cell>
          <cell r="P41">
            <v>26.431234588591618</v>
          </cell>
          <cell r="Q41">
            <v>21.02251527594747</v>
          </cell>
          <cell r="R41">
            <v>60.615505324940756</v>
          </cell>
          <cell r="S41">
            <v>66.128866726052635</v>
          </cell>
          <cell r="T41">
            <v>39.233270411714763</v>
          </cell>
          <cell r="U41">
            <v>28.884974566909062</v>
          </cell>
          <cell r="V41">
            <v>23.806127856724707</v>
          </cell>
        </row>
        <row r="42">
          <cell r="A42" t="str">
            <v>EV/Sales</v>
          </cell>
          <cell r="E42">
            <v>0.52074535654372889</v>
          </cell>
          <cell r="F42">
            <v>0.32357614796342982</v>
          </cell>
          <cell r="G42">
            <v>0.23192619531714823</v>
          </cell>
          <cell r="H42">
            <v>0.54165873520082863</v>
          </cell>
          <cell r="I42">
            <v>0.77744982805775065</v>
          </cell>
          <cell r="J42">
            <v>0.69137590954740091</v>
          </cell>
          <cell r="K42">
            <v>1.0534426925022276</v>
          </cell>
          <cell r="L42">
            <v>1.2094916583470279</v>
          </cell>
          <cell r="M42">
            <v>1.3825727476846215</v>
          </cell>
          <cell r="N42">
            <v>1.47709886709334</v>
          </cell>
          <cell r="O42">
            <v>1.9678864976091037</v>
          </cell>
          <cell r="P42">
            <v>2.4634402470308792</v>
          </cell>
          <cell r="Q42">
            <v>2.2728234705194805</v>
          </cell>
          <cell r="R42">
            <v>2.9717571991635348</v>
          </cell>
          <cell r="S42">
            <v>3.079404767319919</v>
          </cell>
          <cell r="T42">
            <v>2.1922494869976359</v>
          </cell>
          <cell r="U42">
            <v>2.6891492712577483</v>
          </cell>
          <cell r="V42">
            <v>2.3813598393422986</v>
          </cell>
        </row>
        <row r="43">
          <cell r="A43" t="str">
            <v>EV/EBIT</v>
          </cell>
          <cell r="E43">
            <v>6.7637344785133369</v>
          </cell>
          <cell r="F43">
            <v>5.0183453938652649</v>
          </cell>
          <cell r="G43">
            <v>3.3239573232833535</v>
          </cell>
          <cell r="H43">
            <v>6.6380956614589017</v>
          </cell>
          <cell r="I43">
            <v>7.6738025080620362</v>
          </cell>
          <cell r="J43">
            <v>6.4924219760822419</v>
          </cell>
          <cell r="K43">
            <v>8.5003356137131991</v>
          </cell>
          <cell r="L43">
            <v>8.8902558228428017</v>
          </cell>
          <cell r="M43">
            <v>9.8997211464555921</v>
          </cell>
          <cell r="N43">
            <v>9.6963798758735447</v>
          </cell>
          <cell r="O43">
            <v>13.162531508906882</v>
          </cell>
          <cell r="P43">
            <v>17.15362791928548</v>
          </cell>
          <cell r="Q43">
            <v>14.660306364816755</v>
          </cell>
          <cell r="R43">
            <v>29.079507871767497</v>
          </cell>
          <cell r="S43">
            <v>26.029073980609418</v>
          </cell>
          <cell r="T43">
            <v>17.329513698089702</v>
          </cell>
          <cell r="U43">
            <v>19.837667215071935</v>
          </cell>
          <cell r="V43">
            <v>16.135221329280576</v>
          </cell>
        </row>
        <row r="44">
          <cell r="A44" t="str">
            <v>EV/EBITDA</v>
          </cell>
          <cell r="E44">
            <v>3.9488568505860506</v>
          </cell>
          <cell r="F44">
            <v>3.0439144192297509</v>
          </cell>
          <cell r="G44">
            <v>2.1274494193797757</v>
          </cell>
          <cell r="H44">
            <v>4.6073106646331352</v>
          </cell>
          <cell r="I44">
            <v>5.9596023397033058</v>
          </cell>
          <cell r="J44">
            <v>4.584380114162717</v>
          </cell>
          <cell r="K44">
            <v>6.6362269264953921</v>
          </cell>
          <cell r="L44">
            <v>6.8078241986505175</v>
          </cell>
          <cell r="M44">
            <v>7.6480691957369755</v>
          </cell>
          <cell r="N44">
            <v>7.982910007397261</v>
          </cell>
          <cell r="O44">
            <v>9.4620060614086157</v>
          </cell>
          <cell r="P44">
            <v>13.486454408322498</v>
          </cell>
          <cell r="Q44">
            <v>11.169200301874751</v>
          </cell>
          <cell r="R44">
            <v>19.540872966042247</v>
          </cell>
          <cell r="S44">
            <v>15.969571221957853</v>
          </cell>
          <cell r="T44">
            <v>12.963488345759552</v>
          </cell>
          <cell r="U44">
            <v>15.197554661650535</v>
          </cell>
          <cell r="V44">
            <v>12.608122347009749</v>
          </cell>
        </row>
        <row r="45">
          <cell r="A45" t="str">
            <v>Free Cash Flow Yield (%)</v>
          </cell>
          <cell r="B45">
            <v>1.9864772032023983E-2</v>
          </cell>
          <cell r="C45">
            <v>5.8671438411851275E-2</v>
          </cell>
          <cell r="D45">
            <v>2.2357751952979593E-2</v>
          </cell>
          <cell r="E45">
            <v>5.2306528874493191E-2</v>
          </cell>
          <cell r="F45">
            <v>1.0065904905285517E-2</v>
          </cell>
          <cell r="G45">
            <v>0.19905268013228614</v>
          </cell>
          <cell r="H45">
            <v>0.11517714109423356</v>
          </cell>
          <cell r="I45">
            <v>5.1544637862042261E-2</v>
          </cell>
          <cell r="J45">
            <v>4.8915628403958425E-2</v>
          </cell>
          <cell r="K45">
            <v>4.1005250720079225E-2</v>
          </cell>
          <cell r="L45">
            <v>3.5882712074953638E-2</v>
          </cell>
          <cell r="M45">
            <v>3.6007231545453385E-2</v>
          </cell>
          <cell r="N45">
            <v>4.281941351811714E-2</v>
          </cell>
          <cell r="O45">
            <v>3.9384902233652222E-2</v>
          </cell>
          <cell r="P45">
            <v>3.444246902090399E-2</v>
          </cell>
          <cell r="Q45">
            <v>3.5827613148579809E-2</v>
          </cell>
          <cell r="R45">
            <v>2.1683754545279852E-2</v>
          </cell>
          <cell r="S45">
            <v>3.448029677916345E-2</v>
          </cell>
          <cell r="T45">
            <v>5.9506977346939334E-2</v>
          </cell>
          <cell r="U45">
            <v>4.3296785070915958E-2</v>
          </cell>
          <cell r="V45">
            <v>4.3614108091873487E-2</v>
          </cell>
        </row>
        <row r="46">
          <cell r="A46" t="str">
            <v>Dividend Yield (%)</v>
          </cell>
          <cell r="B46">
            <v>1.3072695891989223E-2</v>
          </cell>
          <cell r="C46">
            <v>2.1109179110031587E-2</v>
          </cell>
          <cell r="D46">
            <v>1.2213114579085258E-2</v>
          </cell>
          <cell r="E46">
            <v>2.297985300818163E-2</v>
          </cell>
          <cell r="F46">
            <v>2.0817647262606518E-2</v>
          </cell>
          <cell r="G46">
            <v>3.6919984365402857E-2</v>
          </cell>
          <cell r="H46">
            <v>2.4635633319835658E-2</v>
          </cell>
          <cell r="I46">
            <v>2.4312790382873678E-2</v>
          </cell>
          <cell r="J46">
            <v>3.4576549051753044E-2</v>
          </cell>
          <cell r="K46">
            <v>2.7351374211935741E-2</v>
          </cell>
          <cell r="L46">
            <v>2.423033673746872E-2</v>
          </cell>
          <cell r="M46">
            <v>2.1302871256560666E-2</v>
          </cell>
          <cell r="N46">
            <v>2.4836601307189541E-2</v>
          </cell>
          <cell r="O46">
            <v>1.7977528089887642E-2</v>
          </cell>
          <cell r="P46">
            <v>1.5166666666666667E-2</v>
          </cell>
          <cell r="Q46">
            <v>0</v>
          </cell>
          <cell r="R46">
            <v>3.7021093413689191E-3</v>
          </cell>
          <cell r="S46">
            <v>4.3782837127845885E-3</v>
          </cell>
          <cell r="T46">
            <v>1.2857142857142859E-2</v>
          </cell>
          <cell r="U46">
            <v>1.3848030195541329E-2</v>
          </cell>
          <cell r="V46">
            <v>1.680239652611161E-2</v>
          </cell>
        </row>
        <row r="48">
          <cell r="A48" t="str">
            <v>Leverage</v>
          </cell>
        </row>
        <row r="49">
          <cell r="A49" t="str">
            <v>Net (Debt) / Cash</v>
          </cell>
          <cell r="B49">
            <v>347</v>
          </cell>
          <cell r="C49">
            <v>-473</v>
          </cell>
          <cell r="D49">
            <v>-419</v>
          </cell>
          <cell r="E49">
            <v>-132</v>
          </cell>
          <cell r="F49">
            <v>-587</v>
          </cell>
          <cell r="G49">
            <v>-458</v>
          </cell>
          <cell r="H49">
            <v>48</v>
          </cell>
          <cell r="I49">
            <v>-977</v>
          </cell>
          <cell r="J49">
            <v>-895</v>
          </cell>
          <cell r="K49">
            <v>-1220</v>
          </cell>
          <cell r="L49">
            <v>-1503</v>
          </cell>
          <cell r="M49">
            <v>-748</v>
          </cell>
          <cell r="N49">
            <v>-1383</v>
          </cell>
          <cell r="O49">
            <v>294</v>
          </cell>
          <cell r="P49">
            <v>-3269</v>
          </cell>
          <cell r="Q49">
            <v>-4114</v>
          </cell>
          <cell r="R49">
            <v>-2792</v>
          </cell>
          <cell r="S49">
            <v>-1544</v>
          </cell>
          <cell r="T49">
            <v>50</v>
          </cell>
          <cell r="U49">
            <v>537.48212241809597</v>
          </cell>
          <cell r="V49">
            <v>2101.7844835713022</v>
          </cell>
        </row>
        <row r="50">
          <cell r="A50" t="str">
            <v>Net Debt / EBITDA</v>
          </cell>
          <cell r="E50">
            <v>9.7922848664688422E-2</v>
          </cell>
          <cell r="F50">
            <v>0.53460837887067392</v>
          </cell>
          <cell r="G50">
            <v>0.40210711150131695</v>
          </cell>
          <cell r="H50">
            <v>-3.7944664031620556E-2</v>
          </cell>
          <cell r="I50">
            <v>0.63814500326583934</v>
          </cell>
          <cell r="J50">
            <v>0.43765281173594134</v>
          </cell>
          <cell r="K50">
            <v>0.53508771929824561</v>
          </cell>
          <cell r="L50">
            <v>0.55095307917888559</v>
          </cell>
          <cell r="M50">
            <v>0.23761118170266837</v>
          </cell>
          <cell r="N50">
            <v>0.47363013698630135</v>
          </cell>
          <cell r="O50">
            <v>-8.5564610011641437E-2</v>
          </cell>
          <cell r="P50">
            <v>0.85019505851755528</v>
          </cell>
          <cell r="Q50">
            <v>0.82050259274032711</v>
          </cell>
          <cell r="R50">
            <v>1.1127939418094859</v>
          </cell>
          <cell r="S50">
            <v>0.52481305234534326</v>
          </cell>
          <cell r="T50">
            <v>-1.5532774153463809E-2</v>
          </cell>
          <cell r="U50">
            <v>-0.12915068113066627</v>
          </cell>
          <cell r="V50">
            <v>-0.41411825884426773</v>
          </cell>
        </row>
        <row r="51">
          <cell r="A51" t="str">
            <v>Net Debt / Equity</v>
          </cell>
          <cell r="B51">
            <v>0.27893890675241156</v>
          </cell>
          <cell r="C51">
            <v>-0.1050177619893428</v>
          </cell>
          <cell r="D51">
            <v>-9.6566029038949064E-2</v>
          </cell>
          <cell r="E51">
            <v>3.0428769017980636E-2</v>
          </cell>
          <cell r="F51">
            <v>0.15724618269488347</v>
          </cell>
          <cell r="G51">
            <v>0.10521479439467034</v>
          </cell>
          <cell r="H51">
            <v>-1.0596026490066225E-2</v>
          </cell>
          <cell r="I51">
            <v>0.19665861513687602</v>
          </cell>
          <cell r="J51">
            <v>0.1534110387384299</v>
          </cell>
          <cell r="K51">
            <v>0.1838733986435569</v>
          </cell>
          <cell r="L51">
            <v>0.23986594318544527</v>
          </cell>
          <cell r="M51">
            <v>0.13293051359516617</v>
          </cell>
          <cell r="N51">
            <v>0.21208403619076829</v>
          </cell>
          <cell r="O51">
            <v>-2.8485611859315956E-2</v>
          </cell>
          <cell r="P51">
            <v>0.27344207444583857</v>
          </cell>
          <cell r="Q51">
            <v>0.33255193597930643</v>
          </cell>
          <cell r="R51">
            <v>0.22609118147218399</v>
          </cell>
          <cell r="S51">
            <v>0.12023985670897905</v>
          </cell>
          <cell r="T51">
            <v>-4.8026126212659687E-3</v>
          </cell>
          <cell r="U51">
            <v>-4.9021135645030814E-2</v>
          </cell>
          <cell r="V51">
            <v>-0.17127249497431299</v>
          </cell>
        </row>
        <row r="53">
          <cell r="A53" t="str">
            <v>Returns</v>
          </cell>
        </row>
        <row r="54">
          <cell r="A54" t="str">
            <v>Equity</v>
          </cell>
          <cell r="B54">
            <v>1244</v>
          </cell>
          <cell r="C54">
            <v>4504</v>
          </cell>
          <cell r="D54">
            <v>4339</v>
          </cell>
          <cell r="E54">
            <v>4338</v>
          </cell>
          <cell r="F54">
            <v>3733</v>
          </cell>
          <cell r="G54">
            <v>4353</v>
          </cell>
          <cell r="H54">
            <v>4530</v>
          </cell>
          <cell r="I54">
            <v>4968</v>
          </cell>
          <cell r="J54">
            <v>5834</v>
          </cell>
          <cell r="K54">
            <v>6635</v>
          </cell>
          <cell r="L54">
            <v>6266</v>
          </cell>
          <cell r="M54">
            <v>5627</v>
          </cell>
          <cell r="N54">
            <v>6521</v>
          </cell>
          <cell r="O54">
            <v>10321</v>
          </cell>
          <cell r="P54">
            <v>11955</v>
          </cell>
          <cell r="Q54">
            <v>12371</v>
          </cell>
          <cell r="R54">
            <v>12349</v>
          </cell>
          <cell r="S54">
            <v>12841</v>
          </cell>
          <cell r="T54">
            <v>10411</v>
          </cell>
          <cell r="U54">
            <v>10964.293571452166</v>
          </cell>
          <cell r="V54">
            <v>12271.582100129519</v>
          </cell>
        </row>
        <row r="55">
          <cell r="A55" t="str">
            <v>Minorities</v>
          </cell>
          <cell r="B55">
            <v>1</v>
          </cell>
          <cell r="C55">
            <v>164</v>
          </cell>
          <cell r="D55">
            <v>173</v>
          </cell>
          <cell r="E55">
            <v>167</v>
          </cell>
          <cell r="F55">
            <v>141</v>
          </cell>
          <cell r="G55">
            <v>148</v>
          </cell>
          <cell r="H55">
            <v>175</v>
          </cell>
          <cell r="I55">
            <v>154</v>
          </cell>
          <cell r="J55">
            <v>163</v>
          </cell>
          <cell r="K55">
            <v>178</v>
          </cell>
          <cell r="L55">
            <v>225</v>
          </cell>
          <cell r="M55">
            <v>266</v>
          </cell>
          <cell r="N55">
            <v>288</v>
          </cell>
          <cell r="O55">
            <v>303</v>
          </cell>
          <cell r="P55">
            <v>346</v>
          </cell>
          <cell r="Q55">
            <v>377</v>
          </cell>
          <cell r="R55">
            <v>401</v>
          </cell>
          <cell r="S55">
            <v>429</v>
          </cell>
          <cell r="T55">
            <v>455</v>
          </cell>
          <cell r="U55">
            <v>485</v>
          </cell>
          <cell r="V55">
            <v>515</v>
          </cell>
        </row>
        <row r="56">
          <cell r="A56" t="str">
            <v>Pensions</v>
          </cell>
          <cell r="B56">
            <v>271</v>
          </cell>
          <cell r="C56">
            <v>1777</v>
          </cell>
          <cell r="D56">
            <v>2077</v>
          </cell>
          <cell r="E56">
            <v>2185</v>
          </cell>
          <cell r="F56">
            <v>2356</v>
          </cell>
          <cell r="G56">
            <v>2354</v>
          </cell>
          <cell r="H56">
            <v>2424</v>
          </cell>
          <cell r="I56">
            <v>2438</v>
          </cell>
          <cell r="J56">
            <v>2887</v>
          </cell>
          <cell r="K56">
            <v>2958</v>
          </cell>
          <cell r="L56">
            <v>3329</v>
          </cell>
          <cell r="M56">
            <v>3456</v>
          </cell>
          <cell r="N56">
            <v>3264</v>
          </cell>
          <cell r="O56">
            <v>3403</v>
          </cell>
          <cell r="P56">
            <v>2777</v>
          </cell>
          <cell r="Q56">
            <v>3083</v>
          </cell>
          <cell r="R56">
            <v>2847</v>
          </cell>
          <cell r="S56">
            <v>2856</v>
          </cell>
          <cell r="T56">
            <v>2567</v>
          </cell>
          <cell r="U56">
            <v>2530</v>
          </cell>
          <cell r="V56">
            <v>2530</v>
          </cell>
        </row>
        <row r="57">
          <cell r="A57" t="str">
            <v>Deferred tax</v>
          </cell>
          <cell r="B57">
            <v>-11</v>
          </cell>
          <cell r="C57">
            <v>942</v>
          </cell>
          <cell r="D57">
            <v>809</v>
          </cell>
          <cell r="E57">
            <v>587</v>
          </cell>
          <cell r="F57">
            <v>323</v>
          </cell>
          <cell r="G57">
            <v>570</v>
          </cell>
          <cell r="H57">
            <v>491</v>
          </cell>
          <cell r="I57">
            <v>467</v>
          </cell>
          <cell r="J57">
            <v>738</v>
          </cell>
          <cell r="K57">
            <v>1061</v>
          </cell>
          <cell r="L57">
            <v>507</v>
          </cell>
          <cell r="M57">
            <v>-307</v>
          </cell>
          <cell r="N57">
            <v>-364</v>
          </cell>
          <cell r="O57">
            <v>880</v>
          </cell>
          <cell r="P57">
            <v>1271</v>
          </cell>
          <cell r="Q57">
            <v>1089</v>
          </cell>
          <cell r="R57">
            <v>969</v>
          </cell>
          <cell r="S57">
            <v>826</v>
          </cell>
          <cell r="T57">
            <v>-412</v>
          </cell>
          <cell r="U57">
            <v>-259</v>
          </cell>
          <cell r="V57">
            <v>-394</v>
          </cell>
        </row>
        <row r="58">
          <cell r="A58" t="str">
            <v>Gross interest bearing debt</v>
          </cell>
          <cell r="B58">
            <v>32</v>
          </cell>
          <cell r="C58">
            <v>1409</v>
          </cell>
          <cell r="D58">
            <v>1162</v>
          </cell>
          <cell r="E58">
            <v>899</v>
          </cell>
          <cell r="F58">
            <v>1554</v>
          </cell>
          <cell r="G58">
            <v>2575</v>
          </cell>
          <cell r="H58">
            <v>2051</v>
          </cell>
          <cell r="I58">
            <v>2445</v>
          </cell>
          <cell r="J58">
            <v>3125</v>
          </cell>
          <cell r="K58">
            <v>2767</v>
          </cell>
          <cell r="L58">
            <v>3136</v>
          </cell>
          <cell r="M58">
            <v>2593</v>
          </cell>
          <cell r="N58">
            <v>3309</v>
          </cell>
          <cell r="O58">
            <v>4620</v>
          </cell>
          <cell r="P58">
            <v>5599</v>
          </cell>
          <cell r="Q58">
            <v>6746</v>
          </cell>
          <cell r="R58">
            <v>6539</v>
          </cell>
          <cell r="S58">
            <v>6791</v>
          </cell>
          <cell r="T58">
            <v>6637</v>
          </cell>
          <cell r="U58">
            <v>6394</v>
          </cell>
          <cell r="V58">
            <v>5721</v>
          </cell>
        </row>
        <row r="59">
          <cell r="A59" t="str">
            <v xml:space="preserve">Cash </v>
          </cell>
          <cell r="B59">
            <v>-379</v>
          </cell>
          <cell r="C59">
            <v>-936</v>
          </cell>
          <cell r="D59">
            <v>-743</v>
          </cell>
          <cell r="E59">
            <v>-767</v>
          </cell>
          <cell r="F59">
            <v>-967</v>
          </cell>
          <cell r="G59">
            <v>-2117</v>
          </cell>
          <cell r="H59">
            <v>-2099</v>
          </cell>
          <cell r="I59">
            <v>-1468</v>
          </cell>
          <cell r="J59">
            <v>-2230</v>
          </cell>
          <cell r="K59">
            <v>-1547</v>
          </cell>
          <cell r="L59">
            <v>-1633</v>
          </cell>
          <cell r="M59">
            <v>-1845</v>
          </cell>
          <cell r="N59">
            <v>-1926</v>
          </cell>
          <cell r="O59">
            <v>-4914</v>
          </cell>
          <cell r="P59">
            <v>-2330</v>
          </cell>
          <cell r="Q59">
            <v>-2632</v>
          </cell>
          <cell r="R59">
            <v>-3747</v>
          </cell>
          <cell r="S59">
            <v>-5247</v>
          </cell>
          <cell r="T59">
            <v>-6687</v>
          </cell>
          <cell r="U59">
            <v>-6931.482122418096</v>
          </cell>
          <cell r="V59">
            <v>-7822.7844835713022</v>
          </cell>
        </row>
        <row r="60">
          <cell r="A60" t="str">
            <v>MS adjustments</v>
          </cell>
          <cell r="B60">
            <v>-86</v>
          </cell>
          <cell r="C60">
            <v>3356</v>
          </cell>
          <cell r="D60">
            <v>3478</v>
          </cell>
          <cell r="E60">
            <v>3071</v>
          </cell>
          <cell r="F60">
            <v>3407</v>
          </cell>
          <cell r="G60">
            <v>3530</v>
          </cell>
          <cell r="H60">
            <v>3042</v>
          </cell>
          <cell r="I60">
            <v>4036</v>
          </cell>
          <cell r="J60">
            <v>4683</v>
          </cell>
          <cell r="K60">
            <v>5417</v>
          </cell>
          <cell r="L60">
            <v>5564</v>
          </cell>
          <cell r="M60">
            <v>4163</v>
          </cell>
          <cell r="N60">
            <v>4571</v>
          </cell>
          <cell r="O60">
            <v>4292</v>
          </cell>
          <cell r="P60">
            <v>7663</v>
          </cell>
          <cell r="Q60">
            <v>8663</v>
          </cell>
          <cell r="R60">
            <v>7009</v>
          </cell>
          <cell r="S60">
            <v>5655</v>
          </cell>
          <cell r="T60">
            <v>2560</v>
          </cell>
          <cell r="U60">
            <v>2218.517877581904</v>
          </cell>
          <cell r="V60">
            <v>549.21551642869781</v>
          </cell>
        </row>
        <row r="61">
          <cell r="A61" t="str">
            <v>Capital employed</v>
          </cell>
          <cell r="B61">
            <v>1158</v>
          </cell>
          <cell r="C61">
            <v>7860</v>
          </cell>
          <cell r="D61">
            <v>7817</v>
          </cell>
          <cell r="E61">
            <v>7409</v>
          </cell>
          <cell r="F61">
            <v>7140</v>
          </cell>
          <cell r="G61">
            <v>7883</v>
          </cell>
          <cell r="H61">
            <v>7572</v>
          </cell>
          <cell r="I61">
            <v>9004</v>
          </cell>
          <cell r="J61">
            <v>10517</v>
          </cell>
          <cell r="K61">
            <v>12052</v>
          </cell>
          <cell r="L61">
            <v>11830</v>
          </cell>
          <cell r="M61">
            <v>9790</v>
          </cell>
          <cell r="N61">
            <v>11092</v>
          </cell>
          <cell r="O61">
            <v>14613</v>
          </cell>
          <cell r="P61">
            <v>19618</v>
          </cell>
          <cell r="Q61">
            <v>21034</v>
          </cell>
          <cell r="R61">
            <v>19358</v>
          </cell>
          <cell r="S61">
            <v>18496</v>
          </cell>
          <cell r="T61">
            <v>12971</v>
          </cell>
          <cell r="U61">
            <v>13182.81144903407</v>
          </cell>
          <cell r="V61">
            <v>12820.797616558217</v>
          </cell>
        </row>
        <row r="62">
          <cell r="A62" t="str">
            <v>Goodwill</v>
          </cell>
          <cell r="B62">
            <v>97</v>
          </cell>
          <cell r="C62">
            <v>1519</v>
          </cell>
          <cell r="D62">
            <v>1589</v>
          </cell>
          <cell r="E62">
            <v>1561</v>
          </cell>
          <cell r="F62">
            <v>1756</v>
          </cell>
          <cell r="G62">
            <v>2126</v>
          </cell>
          <cell r="H62">
            <v>2298</v>
          </cell>
          <cell r="I62">
            <v>3126</v>
          </cell>
          <cell r="J62">
            <v>3078</v>
          </cell>
          <cell r="K62">
            <v>3399</v>
          </cell>
          <cell r="L62">
            <v>3420</v>
          </cell>
          <cell r="M62">
            <v>3590</v>
          </cell>
          <cell r="N62">
            <v>1864</v>
          </cell>
          <cell r="O62">
            <v>1831</v>
          </cell>
          <cell r="P62">
            <v>5173</v>
          </cell>
          <cell r="Q62">
            <v>5199</v>
          </cell>
          <cell r="R62">
            <v>5060</v>
          </cell>
          <cell r="S62">
            <v>5068</v>
          </cell>
          <cell r="T62">
            <v>4994</v>
          </cell>
          <cell r="U62">
            <v>4858</v>
          </cell>
          <cell r="V62">
            <v>4858</v>
          </cell>
        </row>
        <row r="63">
          <cell r="A63" t="str">
            <v>Capital employed ex goodwill</v>
          </cell>
          <cell r="B63">
            <v>1061</v>
          </cell>
          <cell r="C63">
            <v>6341</v>
          </cell>
          <cell r="D63">
            <v>6228</v>
          </cell>
          <cell r="E63">
            <v>5848</v>
          </cell>
          <cell r="F63">
            <v>5384</v>
          </cell>
          <cell r="G63">
            <v>5757</v>
          </cell>
          <cell r="H63">
            <v>5274</v>
          </cell>
          <cell r="I63">
            <v>5878</v>
          </cell>
          <cell r="J63">
            <v>7439</v>
          </cell>
          <cell r="K63">
            <v>8653</v>
          </cell>
          <cell r="L63">
            <v>8410</v>
          </cell>
          <cell r="M63">
            <v>6200</v>
          </cell>
          <cell r="N63">
            <v>9228</v>
          </cell>
          <cell r="O63">
            <v>12782</v>
          </cell>
          <cell r="P63">
            <v>14445</v>
          </cell>
          <cell r="Q63">
            <v>15835</v>
          </cell>
          <cell r="R63">
            <v>14298</v>
          </cell>
          <cell r="S63">
            <v>13428</v>
          </cell>
          <cell r="T63">
            <v>7977</v>
          </cell>
          <cell r="U63">
            <v>8324.8114490340704</v>
          </cell>
          <cell r="V63">
            <v>7962.7976165582168</v>
          </cell>
        </row>
        <row r="65">
          <cell r="A65" t="str">
            <v>ROCE reported (avg)</v>
          </cell>
          <cell r="E65">
            <v>7.2657621104798065E-2</v>
          </cell>
          <cell r="F65">
            <v>7.4694929338518637E-2</v>
          </cell>
          <cell r="G65">
            <v>7.7010025036180985E-2</v>
          </cell>
          <cell r="H65">
            <v>8.5778413616063462E-2</v>
          </cell>
          <cell r="I65">
            <v>0.10004674644727</v>
          </cell>
          <cell r="J65">
            <v>0.11809607372179262</v>
          </cell>
          <cell r="K65">
            <v>0.10632526740000481</v>
          </cell>
          <cell r="L65">
            <v>0.12517753614672686</v>
          </cell>
          <cell r="M65">
            <v>0.16509201201979185</v>
          </cell>
          <cell r="N65">
            <v>0.17910315650721984</v>
          </cell>
          <cell r="O65">
            <v>0.14888797587177099</v>
          </cell>
          <cell r="P65">
            <v>0.13484161844118533</v>
          </cell>
          <cell r="Q65">
            <v>0.13713752164504897</v>
          </cell>
          <cell r="R65">
            <v>6.0495111632301882E-2</v>
          </cell>
          <cell r="S65">
            <v>6.2514434529568189E-2</v>
          </cell>
          <cell r="T65">
            <v>0.10494063758506977</v>
          </cell>
          <cell r="U65">
            <v>0.18285494377821324</v>
          </cell>
          <cell r="V65">
            <v>0.22876886650138492</v>
          </cell>
        </row>
        <row r="66">
          <cell r="A66" t="str">
            <v>ROCE ex-goodwill (avg)</v>
          </cell>
          <cell r="E66">
            <v>9.1610213559262618E-2</v>
          </cell>
          <cell r="F66">
            <v>9.6753608168278812E-2</v>
          </cell>
          <cell r="G66">
            <v>0.10384360525253988</v>
          </cell>
          <cell r="H66">
            <v>0.12017998209013334</v>
          </cell>
          <cell r="I66">
            <v>0.14870649830612873</v>
          </cell>
          <cell r="J66">
            <v>0.17311357326147883</v>
          </cell>
          <cell r="K66">
            <v>0.14912098930839601</v>
          </cell>
          <cell r="L66">
            <v>0.17520306618157011</v>
          </cell>
          <cell r="M66">
            <v>0.24430453797863791</v>
          </cell>
          <cell r="N66">
            <v>0.24241846734403455</v>
          </cell>
          <cell r="O66">
            <v>0.17388302679617781</v>
          </cell>
          <cell r="P66">
            <v>0.16952890295883555</v>
          </cell>
          <cell r="Q66">
            <v>0.18411210468674141</v>
          </cell>
          <cell r="R66">
            <v>8.1091114361395725E-2</v>
          </cell>
          <cell r="S66">
            <v>8.5350263459650674E-2</v>
          </cell>
          <cell r="T66">
            <v>0.15427082657740671</v>
          </cell>
          <cell r="U66">
            <v>0.29336333186349561</v>
          </cell>
          <cell r="V66">
            <v>0.36523569217090368</v>
          </cell>
        </row>
        <row r="67">
          <cell r="A67" t="str">
            <v>ROE reported (avg)</v>
          </cell>
          <cell r="E67">
            <v>9.3580730667281314E-2</v>
          </cell>
          <cell r="F67">
            <v>7.3596828150167271E-2</v>
          </cell>
          <cell r="G67">
            <v>9.7699727924808313E-2</v>
          </cell>
          <cell r="H67">
            <v>0.11437577395024204</v>
          </cell>
          <cell r="I67">
            <v>0.13560749631501368</v>
          </cell>
          <cell r="J67">
            <v>0.18126272912423624</v>
          </cell>
          <cell r="K67">
            <v>0.19135455930708156</v>
          </cell>
          <cell r="L67">
            <v>0.19347337415704208</v>
          </cell>
          <cell r="M67">
            <v>0.24922223156478601</v>
          </cell>
          <cell r="N67">
            <v>0.29700362199539021</v>
          </cell>
          <cell r="O67">
            <v>0.31148319676997982</v>
          </cell>
          <cell r="P67">
            <v>0.17785957981684325</v>
          </cell>
          <cell r="Q67">
            <v>0.21910712817561456</v>
          </cell>
          <cell r="R67">
            <v>6.8284789644012939E-2</v>
          </cell>
          <cell r="S67">
            <v>6.0341405319571259E-2</v>
          </cell>
          <cell r="T67">
            <v>0.10132461723722691</v>
          </cell>
          <cell r="U67">
            <v>0.22334394952656314</v>
          </cell>
          <cell r="V67">
            <v>0.25815587398467088</v>
          </cell>
        </row>
        <row r="69">
          <cell r="A69" t="str">
            <v>Capital intensity</v>
          </cell>
        </row>
        <row r="70">
          <cell r="A70" t="str">
            <v>Gross Capital Expenditure</v>
          </cell>
          <cell r="C70">
            <v>601</v>
          </cell>
          <cell r="D70">
            <v>689</v>
          </cell>
          <cell r="E70">
            <v>639</v>
          </cell>
          <cell r="F70">
            <v>671</v>
          </cell>
          <cell r="G70">
            <v>585</v>
          </cell>
          <cell r="H70">
            <v>525</v>
          </cell>
          <cell r="I70">
            <v>715</v>
          </cell>
          <cell r="J70">
            <v>1053</v>
          </cell>
          <cell r="K70">
            <v>1421</v>
          </cell>
          <cell r="L70">
            <v>1617</v>
          </cell>
          <cell r="M70">
            <v>1779</v>
          </cell>
          <cell r="N70">
            <v>1392</v>
          </cell>
          <cell r="O70">
            <v>1288</v>
          </cell>
          <cell r="P70">
            <v>1290</v>
          </cell>
          <cell r="Q70">
            <v>1162</v>
          </cell>
          <cell r="R70">
            <v>793</v>
          </cell>
          <cell r="S70">
            <v>756</v>
          </cell>
          <cell r="T70">
            <v>879</v>
          </cell>
          <cell r="U70">
            <v>1074.2500518588286</v>
          </cell>
          <cell r="V70">
            <v>1173.4956989601969</v>
          </cell>
        </row>
        <row r="71">
          <cell r="A71" t="str">
            <v>Capital Expenditure as a % of Sales</v>
          </cell>
          <cell r="B71">
            <v>0</v>
          </cell>
          <cell r="C71">
            <v>5.68267776096823E-2</v>
          </cell>
          <cell r="D71">
            <v>6.0817371347868306E-2</v>
          </cell>
          <cell r="E71">
            <v>6.2512228526707098E-2</v>
          </cell>
          <cell r="F71">
            <v>6.4962726304579346E-2</v>
          </cell>
          <cell r="G71">
            <v>5.5991577335375194E-2</v>
          </cell>
          <cell r="H71">
            <v>4.8791821561338287E-2</v>
          </cell>
          <cell r="I71">
            <v>6.0923653715064759E-2</v>
          </cell>
          <cell r="J71">
            <v>7.7654867256637172E-2</v>
          </cell>
          <cell r="K71">
            <v>9.8934762932534989E-2</v>
          </cell>
          <cell r="L71">
            <v>0.10530771735591013</v>
          </cell>
          <cell r="M71">
            <v>0.10215918226714138</v>
          </cell>
          <cell r="N71">
            <v>8.8207337938026736E-2</v>
          </cell>
          <cell r="O71">
            <v>7.7961382482900549E-2</v>
          </cell>
          <cell r="P71">
            <v>6.1282660332541566E-2</v>
          </cell>
          <cell r="Q71">
            <v>4.7159090909090907E-2</v>
          </cell>
          <cell r="R71">
            <v>4.8066432294823616E-2</v>
          </cell>
          <cell r="S71">
            <v>4.9551025758668155E-2</v>
          </cell>
          <cell r="T71">
            <v>4.6178092986603622E-2</v>
          </cell>
          <cell r="U71">
            <v>4.5675073695832465E-2</v>
          </cell>
          <cell r="V71">
            <v>4.3670916935921913E-2</v>
          </cell>
        </row>
        <row r="72">
          <cell r="A72" t="str">
            <v>Capital Expenditure/Depreciation</v>
          </cell>
          <cell r="C72">
            <v>1.3445190156599554</v>
          </cell>
          <cell r="D72">
            <v>1.1818181818181819</v>
          </cell>
          <cell r="E72">
            <v>1.23121387283237</v>
          </cell>
          <cell r="F72">
            <v>1.2402957486136783</v>
          </cell>
          <cell r="G72">
            <v>1.0121107266435987</v>
          </cell>
          <cell r="H72">
            <v>0.85784313725490191</v>
          </cell>
          <cell r="I72">
            <v>1.0800604229607251</v>
          </cell>
          <cell r="J72">
            <v>1.4604715672676838</v>
          </cell>
          <cell r="K72">
            <v>1.8648293963254594</v>
          </cell>
          <cell r="L72">
            <v>1.9767726161369192</v>
          </cell>
          <cell r="M72">
            <v>1.9295010845986984</v>
          </cell>
          <cell r="N72">
            <v>1.9173553719008265</v>
          </cell>
          <cell r="O72">
            <v>1.6059850374064837</v>
          </cell>
          <cell r="P72">
            <v>1.0669975186104219</v>
          </cell>
          <cell r="Q72">
            <v>0.86010362694300513</v>
          </cell>
          <cell r="R72">
            <v>0.59356287425149701</v>
          </cell>
          <cell r="S72">
            <v>0.59108678655199376</v>
          </cell>
          <cell r="T72">
            <v>0.69212598425196847</v>
          </cell>
          <cell r="U72">
            <v>0.7879019459308102</v>
          </cell>
          <cell r="V72">
            <v>0.78261904141255267</v>
          </cell>
        </row>
      </sheetData>
      <sheetData sheetId="2"/>
      <sheetData sheetId="3"/>
      <sheetData sheetId="4">
        <row r="29">
          <cell r="K29">
            <v>-138</v>
          </cell>
        </row>
      </sheetData>
      <sheetData sheetId="5"/>
      <sheetData sheetId="6"/>
      <sheetData sheetId="7"/>
      <sheetData sheetId="8"/>
      <sheetData sheetId="9"/>
      <sheetData sheetId="10"/>
      <sheetData sheetId="11"/>
      <sheetData sheetId="12">
        <row r="2">
          <cell r="B2" t="str">
            <v>€m</v>
          </cell>
          <cell r="C2">
            <v>2013</v>
          </cell>
          <cell r="D2">
            <v>2014</v>
          </cell>
          <cell r="E2">
            <v>2015</v>
          </cell>
          <cell r="F2">
            <v>2016</v>
          </cell>
          <cell r="G2">
            <v>2017</v>
          </cell>
          <cell r="H2">
            <v>2018</v>
          </cell>
          <cell r="I2">
            <v>2019</v>
          </cell>
          <cell r="J2">
            <v>2020</v>
          </cell>
          <cell r="K2">
            <v>2021</v>
          </cell>
          <cell r="L2">
            <v>2022</v>
          </cell>
          <cell r="M2">
            <v>2023</v>
          </cell>
          <cell r="N2">
            <v>2024</v>
          </cell>
          <cell r="O2">
            <v>2025</v>
          </cell>
          <cell r="P2">
            <v>2026</v>
          </cell>
          <cell r="Q2">
            <v>2027</v>
          </cell>
          <cell r="R2">
            <v>2028</v>
          </cell>
          <cell r="S2">
            <v>2029</v>
          </cell>
          <cell r="T2">
            <v>2030</v>
          </cell>
          <cell r="U2">
            <v>2031</v>
          </cell>
        </row>
        <row r="3">
          <cell r="B3" t="str">
            <v>Revenues</v>
          </cell>
          <cell r="C3">
            <v>14363</v>
          </cell>
          <cell r="D3">
            <v>15355</v>
          </cell>
          <cell r="E3">
            <v>17414</v>
          </cell>
          <cell r="F3">
            <v>15781</v>
          </cell>
          <cell r="G3">
            <v>16521</v>
          </cell>
          <cell r="H3">
            <v>21050</v>
          </cell>
          <cell r="I3">
            <v>24640</v>
          </cell>
          <cell r="J3">
            <v>16498</v>
          </cell>
          <cell r="K3">
            <v>15257</v>
          </cell>
          <cell r="L3">
            <v>19035</v>
          </cell>
          <cell r="M3">
            <v>23519.393948057197</v>
          </cell>
          <cell r="N3">
            <v>26871.331799193969</v>
          </cell>
          <cell r="O3">
            <v>29517.410086517484</v>
          </cell>
          <cell r="P3">
            <v>32249.094632433207</v>
          </cell>
          <cell r="Q3">
            <v>34917.180585141577</v>
          </cell>
          <cell r="R3">
            <v>35781.140752768937</v>
          </cell>
          <cell r="S3">
            <v>36939.201406951601</v>
          </cell>
          <cell r="T3">
            <v>38052.618517082577</v>
          </cell>
          <cell r="U3">
            <v>39199.596116176886</v>
          </cell>
          <cell r="V3">
            <v>40375.583999662194</v>
          </cell>
        </row>
        <row r="4">
          <cell r="B4" t="str">
            <v>growth</v>
          </cell>
          <cell r="D4">
            <v>6.906635104086889E-2</v>
          </cell>
          <cell r="E4">
            <v>0.13409312927385209</v>
          </cell>
          <cell r="F4">
            <v>-9.3775123463879617E-2</v>
          </cell>
          <cell r="G4">
            <v>4.6891831949813056E-2</v>
          </cell>
          <cell r="H4">
            <v>0.2741359481871557</v>
          </cell>
          <cell r="I4">
            <v>0.17054631828978617</v>
          </cell>
          <cell r="J4">
            <v>-0.33043831168831173</v>
          </cell>
          <cell r="K4">
            <v>-7.5221238938053103E-2</v>
          </cell>
          <cell r="L4">
            <v>0.24762404142360883</v>
          </cell>
          <cell r="M4">
            <v>0.23558675850050936</v>
          </cell>
          <cell r="N4">
            <v>0.14251803675466967</v>
          </cell>
          <cell r="O4">
            <v>9.8472167553782519E-2</v>
          </cell>
          <cell r="P4">
            <v>9.2544858709113553E-2</v>
          </cell>
          <cell r="Q4">
            <v>8.2733669987282488E-2</v>
          </cell>
          <cell r="R4">
            <v>2.4743125107729913E-2</v>
          </cell>
          <cell r="S4">
            <v>3.2365112733110601E-2</v>
          </cell>
          <cell r="T4">
            <v>3.0141883628308275E-2</v>
          </cell>
          <cell r="U4">
            <v>3.0141883628308275E-2</v>
          </cell>
          <cell r="V4">
            <v>0.03</v>
          </cell>
        </row>
        <row r="6">
          <cell r="B6" t="str">
            <v>Underlying EBIT</v>
          </cell>
          <cell r="C6">
            <v>1780</v>
          </cell>
          <cell r="D6">
            <v>2089</v>
          </cell>
          <cell r="E6">
            <v>2432</v>
          </cell>
          <cell r="F6">
            <v>2404</v>
          </cell>
          <cell r="G6">
            <v>2470</v>
          </cell>
          <cell r="H6">
            <v>3023</v>
          </cell>
          <cell r="I6">
            <v>3820</v>
          </cell>
          <cell r="J6">
            <v>1686</v>
          </cell>
          <cell r="K6">
            <v>1805</v>
          </cell>
          <cell r="L6">
            <v>2408</v>
          </cell>
          <cell r="M6">
            <v>3188.2358147327432</v>
          </cell>
          <cell r="N6">
            <v>3965.8774472537898</v>
          </cell>
          <cell r="O6">
            <v>4835.0697310786745</v>
          </cell>
          <cell r="P6">
            <v>5806.933258178251</v>
          </cell>
          <cell r="Q6">
            <v>6582.3474056215109</v>
          </cell>
          <cell r="R6">
            <v>6912.0965186180438</v>
          </cell>
          <cell r="S6">
            <v>7483.4590550165549</v>
          </cell>
          <cell r="T6">
            <v>8013.2854261626071</v>
          </cell>
          <cell r="U6">
            <v>8254.8209429584185</v>
          </cell>
          <cell r="V6">
            <v>8075.1167999324389</v>
          </cell>
        </row>
        <row r="7">
          <cell r="B7" t="str">
            <v>margin</v>
          </cell>
          <cell r="C7">
            <v>0.12392954118220427</v>
          </cell>
          <cell r="D7">
            <v>0.13604689026375774</v>
          </cell>
          <cell r="E7">
            <v>0.13965774664063396</v>
          </cell>
          <cell r="F7">
            <v>0.15233508649641975</v>
          </cell>
          <cell r="G7">
            <v>0.14950668845711518</v>
          </cell>
          <cell r="H7">
            <v>0.14361045130641331</v>
          </cell>
          <cell r="I7">
            <v>0.15503246753246752</v>
          </cell>
          <cell r="J7">
            <v>0.10219420535822524</v>
          </cell>
          <cell r="K7">
            <v>0.11830635118306351</v>
          </cell>
          <cell r="L7">
            <v>0.12650380877331233</v>
          </cell>
          <cell r="M7">
            <v>0.13555773680963004</v>
          </cell>
          <cell r="N7">
            <v>0.14758767733919129</v>
          </cell>
          <cell r="O7">
            <v>0.163803996248545</v>
          </cell>
          <cell r="P7">
            <v>0.1800650010291503</v>
          </cell>
          <cell r="Q7">
            <v>0.18851314153418558</v>
          </cell>
          <cell r="R7">
            <v>0.19317708639803913</v>
          </cell>
          <cell r="S7">
            <v>0.20258854468922655</v>
          </cell>
          <cell r="T7">
            <v>0.21058433659605538</v>
          </cell>
          <cell r="U7">
            <v>0.21058433659605538</v>
          </cell>
          <cell r="V7">
            <v>0.2</v>
          </cell>
        </row>
        <row r="9">
          <cell r="B9" t="str">
            <v xml:space="preserve">  Less JV</v>
          </cell>
          <cell r="C9">
            <v>-52</v>
          </cell>
          <cell r="D9">
            <v>-45</v>
          </cell>
          <cell r="E9">
            <v>-46</v>
          </cell>
          <cell r="F9">
            <v>-99</v>
          </cell>
          <cell r="G9">
            <v>-177</v>
          </cell>
          <cell r="H9">
            <v>-227</v>
          </cell>
          <cell r="I9">
            <v>-205</v>
          </cell>
          <cell r="J9">
            <v>-84</v>
          </cell>
          <cell r="K9">
            <v>-69</v>
          </cell>
          <cell r="L9">
            <v>-97</v>
          </cell>
          <cell r="M9">
            <v>-100</v>
          </cell>
          <cell r="N9">
            <v>-150</v>
          </cell>
          <cell r="O9">
            <v>-200</v>
          </cell>
          <cell r="P9">
            <v>-200</v>
          </cell>
          <cell r="Q9">
            <v>-200</v>
          </cell>
          <cell r="R9">
            <v>-200</v>
          </cell>
          <cell r="S9">
            <v>-200</v>
          </cell>
          <cell r="T9">
            <v>-200</v>
          </cell>
          <cell r="U9">
            <v>-200</v>
          </cell>
          <cell r="V9">
            <v>-206</v>
          </cell>
        </row>
        <row r="10">
          <cell r="B10" t="str">
            <v>Underlying EBIT ex JVs</v>
          </cell>
          <cell r="C10">
            <v>1728</v>
          </cell>
          <cell r="D10">
            <v>2044</v>
          </cell>
          <cell r="E10">
            <v>2386</v>
          </cell>
          <cell r="F10">
            <v>2305</v>
          </cell>
          <cell r="G10">
            <v>2293</v>
          </cell>
          <cell r="H10">
            <v>2796</v>
          </cell>
          <cell r="I10">
            <v>3615</v>
          </cell>
          <cell r="J10">
            <v>1602</v>
          </cell>
          <cell r="K10">
            <v>1736</v>
          </cell>
          <cell r="L10">
            <v>2311</v>
          </cell>
          <cell r="M10">
            <v>3088.2358147327432</v>
          </cell>
          <cell r="N10">
            <v>3815.8774472537898</v>
          </cell>
          <cell r="O10">
            <v>4635.0697310786745</v>
          </cell>
          <cell r="P10">
            <v>5606.933258178251</v>
          </cell>
          <cell r="Q10">
            <v>6382.3474056215109</v>
          </cell>
          <cell r="R10">
            <v>6712.0965186180438</v>
          </cell>
          <cell r="S10">
            <v>7283.4590550165549</v>
          </cell>
          <cell r="T10">
            <v>7813.2854261626071</v>
          </cell>
          <cell r="U10">
            <v>8054.8209429584185</v>
          </cell>
          <cell r="V10">
            <v>7869.1167999324389</v>
          </cell>
        </row>
        <row r="11">
          <cell r="B11" t="str">
            <v>margin</v>
          </cell>
          <cell r="C11">
            <v>0.12030912761957809</v>
          </cell>
          <cell r="D11">
            <v>0.13311624877889938</v>
          </cell>
          <cell r="E11">
            <v>0.13701619386700356</v>
          </cell>
          <cell r="F11">
            <v>0.14606171978962043</v>
          </cell>
          <cell r="G11">
            <v>0.13879305126808306</v>
          </cell>
          <cell r="H11">
            <v>0.13282660332541568</v>
          </cell>
          <cell r="I11">
            <v>0.14671266233766234</v>
          </cell>
          <cell r="J11">
            <v>9.7102679112619716E-2</v>
          </cell>
          <cell r="K11">
            <v>0.11378383692731206</v>
          </cell>
          <cell r="L11">
            <v>0.12140793275545049</v>
          </cell>
          <cell r="M11">
            <v>0.13130592657077564</v>
          </cell>
          <cell r="N11">
            <v>0.1420055200750508</v>
          </cell>
          <cell r="O11">
            <v>0.1570283340405875</v>
          </cell>
          <cell r="P11">
            <v>0.17386327653798092</v>
          </cell>
          <cell r="Q11">
            <v>0.1827853022112963</v>
          </cell>
          <cell r="R11">
            <v>0.18758754968142333</v>
          </cell>
          <cell r="S11">
            <v>0.19717424247417212</v>
          </cell>
          <cell r="T11">
            <v>0.20532845650700932</v>
          </cell>
          <cell r="U11">
            <v>0.20548224321205075</v>
          </cell>
          <cell r="V11">
            <v>0.19489790661599538</v>
          </cell>
        </row>
        <row r="13">
          <cell r="B13" t="str">
            <v>Cash tax</v>
          </cell>
          <cell r="C13">
            <v>-171</v>
          </cell>
          <cell r="D13">
            <v>-279</v>
          </cell>
          <cell r="E13">
            <v>-406</v>
          </cell>
          <cell r="F13">
            <v>-292</v>
          </cell>
          <cell r="G13">
            <v>-582</v>
          </cell>
          <cell r="H13">
            <v>-531</v>
          </cell>
          <cell r="I13">
            <v>-887</v>
          </cell>
          <cell r="J13">
            <v>-143</v>
          </cell>
          <cell r="K13">
            <v>-302</v>
          </cell>
          <cell r="L13">
            <v>-233</v>
          </cell>
          <cell r="M13">
            <v>-809.67374808964712</v>
          </cell>
          <cell r="N13">
            <v>-1014.4462986327202</v>
          </cell>
          <cell r="O13">
            <v>-1240.2275733218696</v>
          </cell>
          <cell r="P13">
            <v>-1495.573155665589</v>
          </cell>
          <cell r="Q13">
            <v>-1707.788440496</v>
          </cell>
          <cell r="R13">
            <v>-1809.3116997926452</v>
          </cell>
          <cell r="S13">
            <v>-1973.1913475815261</v>
          </cell>
          <cell r="T13">
            <v>-2125.3544568504858</v>
          </cell>
          <cell r="U13">
            <v>-2245.4600753317309</v>
          </cell>
          <cell r="V13">
            <v>-1967.2791999831097</v>
          </cell>
        </row>
        <row r="14">
          <cell r="B14" t="str">
            <v>implied tax rate</v>
          </cell>
          <cell r="C14">
            <v>9.8958333333333329E-2</v>
          </cell>
          <cell r="D14">
            <v>0.13649706457925637</v>
          </cell>
          <cell r="E14">
            <v>0.17015926236378875</v>
          </cell>
          <cell r="F14">
            <v>0.12668112798264641</v>
          </cell>
          <cell r="G14">
            <v>0.25381596162232883</v>
          </cell>
          <cell r="H14">
            <v>0.18991416309012876</v>
          </cell>
          <cell r="I14">
            <v>0.24536652835408021</v>
          </cell>
          <cell r="J14">
            <v>8.9263420724094877E-2</v>
          </cell>
          <cell r="K14">
            <v>0.17396313364055299</v>
          </cell>
          <cell r="L14">
            <v>0.10082215491129382</v>
          </cell>
          <cell r="M14">
            <v>0.26218002661163897</v>
          </cell>
          <cell r="N14">
            <v>0.26584876287439385</v>
          </cell>
          <cell r="O14">
            <v>0.26757473895290107</v>
          </cell>
          <cell r="P14">
            <v>0.26673639346146161</v>
          </cell>
          <cell r="Q14">
            <v>0.26757998773175468</v>
          </cell>
          <cell r="R14">
            <v>0.26955984538869016</v>
          </cell>
          <cell r="S14">
            <v>0.27091404409316627</v>
          </cell>
          <cell r="T14">
            <v>0.27201802326762375</v>
          </cell>
          <cell r="U14">
            <v>0.27201802326762375</v>
          </cell>
          <cell r="V14">
            <v>0.25</v>
          </cell>
        </row>
        <row r="16">
          <cell r="B16" t="str">
            <v>NOPAT</v>
          </cell>
          <cell r="C16">
            <v>1557</v>
          </cell>
          <cell r="D16">
            <v>1765</v>
          </cell>
          <cell r="E16">
            <v>1980</v>
          </cell>
          <cell r="F16">
            <v>2013</v>
          </cell>
          <cell r="G16">
            <v>1711</v>
          </cell>
          <cell r="H16">
            <v>2265</v>
          </cell>
          <cell r="I16">
            <v>2728</v>
          </cell>
          <cell r="J16">
            <v>1459</v>
          </cell>
          <cell r="K16">
            <v>1434</v>
          </cell>
          <cell r="L16">
            <v>2078</v>
          </cell>
          <cell r="M16">
            <v>2278.5620666430959</v>
          </cell>
          <cell r="N16">
            <v>2801.4311486210695</v>
          </cell>
          <cell r="O16">
            <v>3394.8421577568051</v>
          </cell>
          <cell r="P16">
            <v>4111.3601025126618</v>
          </cell>
          <cell r="Q16">
            <v>4674.5589651255104</v>
          </cell>
          <cell r="R16">
            <v>4902.7848188253984</v>
          </cell>
          <cell r="S16">
            <v>5310.2677074350286</v>
          </cell>
          <cell r="T16">
            <v>5687.9309693121213</v>
          </cell>
          <cell r="U16">
            <v>5809.3608676266877</v>
          </cell>
          <cell r="V16">
            <v>5901.8375999493292</v>
          </cell>
        </row>
        <row r="17">
          <cell r="B17" t="str">
            <v>growth</v>
          </cell>
          <cell r="D17">
            <v>0.13359023763648037</v>
          </cell>
          <cell r="E17">
            <v>0.12181303116147313</v>
          </cell>
          <cell r="F17">
            <v>1.6666666666666607E-2</v>
          </cell>
          <cell r="G17">
            <v>-0.15002483854942872</v>
          </cell>
          <cell r="H17">
            <v>0.32378725891291649</v>
          </cell>
          <cell r="I17">
            <v>0.20441501103752757</v>
          </cell>
          <cell r="J17">
            <v>-0.46517595307917892</v>
          </cell>
          <cell r="K17">
            <v>-1.7135023989033549E-2</v>
          </cell>
          <cell r="L17">
            <v>0.44909344490934444</v>
          </cell>
          <cell r="M17">
            <v>9.6516875189170293E-2</v>
          </cell>
          <cell r="N17">
            <v>0.22947326721202432</v>
          </cell>
          <cell r="O17">
            <v>0.21182423470511735</v>
          </cell>
          <cell r="P17">
            <v>0.21106075377280775</v>
          </cell>
          <cell r="Q17">
            <v>0.13698602130926196</v>
          </cell>
          <cell r="R17">
            <v>4.8822970338499028E-2</v>
          </cell>
          <cell r="S17">
            <v>8.3112537806065534E-2</v>
          </cell>
          <cell r="T17">
            <v>7.1119439298383602E-2</v>
          </cell>
          <cell r="U17">
            <v>2.1348694098031862E-2</v>
          </cell>
          <cell r="V17">
            <v>1.5918572529721509E-2</v>
          </cell>
        </row>
        <row r="19">
          <cell r="B19" t="str">
            <v>D&amp;A (clean)</v>
          </cell>
          <cell r="C19">
            <v>500</v>
          </cell>
          <cell r="D19">
            <v>639</v>
          </cell>
          <cell r="E19">
            <v>716</v>
          </cell>
          <cell r="F19">
            <v>516</v>
          </cell>
          <cell r="G19">
            <v>966</v>
          </cell>
          <cell r="H19">
            <v>822</v>
          </cell>
          <cell r="I19">
            <v>1194</v>
          </cell>
          <cell r="J19">
            <v>823</v>
          </cell>
          <cell r="K19">
            <v>1137</v>
          </cell>
          <cell r="L19">
            <v>811</v>
          </cell>
          <cell r="M19">
            <v>973.43114445507922</v>
          </cell>
          <cell r="N19">
            <v>1109.4469043867743</v>
          </cell>
          <cell r="O19">
            <v>1216.5141212165499</v>
          </cell>
          <cell r="P19">
            <v>1327.2861244872852</v>
          </cell>
          <cell r="Q19">
            <v>1435.8186271784641</v>
          </cell>
          <cell r="R19">
            <v>1471.0043615327763</v>
          </cell>
          <cell r="S19">
            <v>1518.0822516395699</v>
          </cell>
          <cell r="T19">
            <v>1563.3284485010872</v>
          </cell>
          <cell r="U19">
            <v>1567.9838446470756</v>
          </cell>
        </row>
        <row r="20">
          <cell r="B20" t="str">
            <v>% sales</v>
          </cell>
          <cell r="C20">
            <v>3.4811668871405695E-2</v>
          </cell>
          <cell r="D20">
            <v>4.1615109084988604E-2</v>
          </cell>
          <cell r="E20">
            <v>4.1116343172160327E-2</v>
          </cell>
          <cell r="F20">
            <v>3.2697547683923703E-2</v>
          </cell>
          <cell r="G20">
            <v>5.8471036862175411E-2</v>
          </cell>
          <cell r="H20">
            <v>3.9049881235154398E-2</v>
          </cell>
          <cell r="I20">
            <v>4.8457792207792207E-2</v>
          </cell>
          <cell r="J20">
            <v>4.988483452539702E-2</v>
          </cell>
          <cell r="K20">
            <v>7.4523169692600116E-2</v>
          </cell>
          <cell r="L20">
            <v>4.2605726293669557E-2</v>
          </cell>
          <cell r="M20">
            <v>4.1388445068138706E-2</v>
          </cell>
          <cell r="N20">
            <v>4.1287380643338756E-2</v>
          </cell>
          <cell r="O20">
            <v>4.1213443782868023E-2</v>
          </cell>
          <cell r="P20">
            <v>4.1157314325110432E-2</v>
          </cell>
          <cell r="Q20">
            <v>4.112069196644854E-2</v>
          </cell>
          <cell r="R20">
            <v>4.1111164445447206E-2</v>
          </cell>
          <cell r="S20">
            <v>4.109678048843475E-2</v>
          </cell>
          <cell r="T20">
            <v>4.1083334325580721E-2</v>
          </cell>
          <cell r="U20">
            <v>0.04</v>
          </cell>
        </row>
        <row r="22">
          <cell r="B22" t="str">
            <v>Gross cash flow</v>
          </cell>
          <cell r="C22">
            <v>2057</v>
          </cell>
          <cell r="D22">
            <v>2404</v>
          </cell>
          <cell r="E22">
            <v>2696</v>
          </cell>
          <cell r="F22">
            <v>2529</v>
          </cell>
          <cell r="G22">
            <v>2677</v>
          </cell>
          <cell r="H22">
            <v>3087</v>
          </cell>
          <cell r="I22">
            <v>3922</v>
          </cell>
          <cell r="J22">
            <v>2282</v>
          </cell>
          <cell r="K22">
            <v>2571</v>
          </cell>
          <cell r="L22">
            <v>2889</v>
          </cell>
          <cell r="M22">
            <v>3251.9932110981754</v>
          </cell>
          <cell r="N22">
            <v>3910.8780530078438</v>
          </cell>
          <cell r="O22">
            <v>4611.3562789733551</v>
          </cell>
          <cell r="P22">
            <v>5438.6462269999465</v>
          </cell>
          <cell r="Q22">
            <v>6110.3775923039748</v>
          </cell>
          <cell r="R22">
            <v>6373.7891803581751</v>
          </cell>
          <cell r="S22">
            <v>6828.3499590745987</v>
          </cell>
          <cell r="T22">
            <v>7251.2594178132085</v>
          </cell>
          <cell r="U22">
            <v>7377.3447122737634</v>
          </cell>
        </row>
        <row r="24">
          <cell r="B24" t="str">
            <v>Capex &amp; intangible additions</v>
          </cell>
          <cell r="C24">
            <v>-1421</v>
          </cell>
          <cell r="D24">
            <v>-1617</v>
          </cell>
          <cell r="E24">
            <v>-1779</v>
          </cell>
          <cell r="F24">
            <v>-1392</v>
          </cell>
          <cell r="G24">
            <v>-1288</v>
          </cell>
          <cell r="H24">
            <v>-1290</v>
          </cell>
          <cell r="I24">
            <v>-1162</v>
          </cell>
          <cell r="J24">
            <v>-793</v>
          </cell>
          <cell r="K24">
            <v>-756</v>
          </cell>
          <cell r="L24">
            <v>-879</v>
          </cell>
          <cell r="M24">
            <v>-1074.2500518588286</v>
          </cell>
          <cell r="N24">
            <v>-1173.4956989601969</v>
          </cell>
          <cell r="O24">
            <v>-1257.1456858914851</v>
          </cell>
          <cell r="P24">
            <v>-1366.7441010510113</v>
          </cell>
          <cell r="Q24">
            <v>-1472.4369008188232</v>
          </cell>
          <cell r="R24">
            <v>-1506.0772855555006</v>
          </cell>
          <cell r="S24">
            <v>-1551.3552545843645</v>
          </cell>
          <cell r="T24">
            <v>-1594.699467230791</v>
          </cell>
          <cell r="U24">
            <v>-1567.9838446470756</v>
          </cell>
        </row>
        <row r="25">
          <cell r="C25">
            <v>2.8420000000000001</v>
          </cell>
          <cell r="D25">
            <v>2.5305164319248825</v>
          </cell>
          <cell r="E25">
            <v>2.4846368715083798</v>
          </cell>
          <cell r="F25">
            <v>2.6976744186046511</v>
          </cell>
          <cell r="G25">
            <v>1.3333333333333333</v>
          </cell>
          <cell r="H25">
            <v>1.5693430656934306</v>
          </cell>
          <cell r="I25">
            <v>0.97319932998324954</v>
          </cell>
          <cell r="J25">
            <v>0.96354799513973266</v>
          </cell>
          <cell r="K25">
            <v>0.66490765171503963</v>
          </cell>
          <cell r="L25">
            <v>1.0838471023427867</v>
          </cell>
          <cell r="M25">
            <v>1.1035706613436815</v>
          </cell>
          <cell r="N25">
            <v>1.0577303828783264</v>
          </cell>
          <cell r="O25">
            <v>1.033399994267475</v>
          </cell>
          <cell r="P25">
            <v>1.029728312408124</v>
          </cell>
          <cell r="Q25">
            <v>1.0255034117451993</v>
          </cell>
          <cell r="R25">
            <v>1.0238428416256893</v>
          </cell>
          <cell r="S25">
            <v>1.0219177866738505</v>
          </cell>
          <cell r="T25">
            <v>1.02006681242178</v>
          </cell>
          <cell r="U25">
            <v>1</v>
          </cell>
        </row>
        <row r="27">
          <cell r="B27" t="str">
            <v>Change in working capital</v>
          </cell>
          <cell r="C27">
            <v>174</v>
          </cell>
          <cell r="D27">
            <v>-111</v>
          </cell>
          <cell r="E27">
            <v>-60</v>
          </cell>
          <cell r="F27">
            <v>-168</v>
          </cell>
          <cell r="G27">
            <v>316</v>
          </cell>
          <cell r="H27">
            <v>-27</v>
          </cell>
          <cell r="I27">
            <v>-897</v>
          </cell>
          <cell r="J27">
            <v>-8</v>
          </cell>
          <cell r="K27">
            <v>250</v>
          </cell>
          <cell r="L27">
            <v>729</v>
          </cell>
          <cell r="M27">
            <v>548.39102001351546</v>
          </cell>
          <cell r="N27">
            <v>132.63796951503076</v>
          </cell>
          <cell r="O27">
            <v>-135.17940407195135</v>
          </cell>
          <cell r="P27">
            <v>172.51032933520358</v>
          </cell>
          <cell r="Q27">
            <v>-394.59753994136634</v>
          </cell>
          <cell r="R27">
            <v>-162.94925549004915</v>
          </cell>
          <cell r="S27">
            <v>-766.05479209268935</v>
          </cell>
          <cell r="T27">
            <v>-958.39018783198594</v>
          </cell>
          <cell r="U27">
            <v>0</v>
          </cell>
        </row>
        <row r="28">
          <cell r="B28" t="str">
            <v>% sales</v>
          </cell>
          <cell r="C28">
            <v>-1.2114460767249181E-2</v>
          </cell>
          <cell r="D28">
            <v>7.2289156626506026E-3</v>
          </cell>
          <cell r="E28">
            <v>3.4455036177787985E-3</v>
          </cell>
          <cell r="F28">
            <v>1.064571319941702E-2</v>
          </cell>
          <cell r="G28">
            <v>-1.9127171478724048E-2</v>
          </cell>
          <cell r="H28">
            <v>1.2826603325415678E-3</v>
          </cell>
          <cell r="I28">
            <v>3.6404220779220779E-2</v>
          </cell>
          <cell r="J28">
            <v>4.8490726148624078E-4</v>
          </cell>
          <cell r="K28">
            <v>-1.6385921216490792E-2</v>
          </cell>
          <cell r="L28">
            <v>-3.8297872340425532E-2</v>
          </cell>
          <cell r="M28">
            <v>-2.331654553789278E-2</v>
          </cell>
          <cell r="N28">
            <v>-4.9360400335278273E-3</v>
          </cell>
          <cell r="O28">
            <v>4.5796498973226839E-3</v>
          </cell>
          <cell r="P28">
            <v>-5.3493076720891371E-3</v>
          </cell>
          <cell r="Q28">
            <v>1.1300956529957655E-2</v>
          </cell>
          <cell r="R28">
            <v>4.5540542325341951E-3</v>
          </cell>
          <cell r="S28">
            <v>2.0738260788402567E-2</v>
          </cell>
          <cell r="T28">
            <v>2.5185919528816277E-2</v>
          </cell>
          <cell r="U28">
            <v>0</v>
          </cell>
        </row>
        <row r="30">
          <cell r="B30" t="str">
            <v xml:space="preserve">  JV divi</v>
          </cell>
          <cell r="F30">
            <v>24</v>
          </cell>
          <cell r="G30">
            <v>44</v>
          </cell>
          <cell r="H30">
            <v>65</v>
          </cell>
          <cell r="I30">
            <v>77</v>
          </cell>
          <cell r="J30">
            <v>18</v>
          </cell>
          <cell r="K30">
            <v>596</v>
          </cell>
          <cell r="L30">
            <v>26</v>
          </cell>
          <cell r="M30">
            <v>35.61643835616438</v>
          </cell>
          <cell r="N30">
            <v>53.42465753424657</v>
          </cell>
          <cell r="O30">
            <v>71.232876712328761</v>
          </cell>
          <cell r="P30">
            <v>71.232876712328761</v>
          </cell>
          <cell r="Q30">
            <v>71.232876712328761</v>
          </cell>
          <cell r="R30">
            <v>71.232876712328761</v>
          </cell>
          <cell r="S30">
            <v>71.232876712328761</v>
          </cell>
          <cell r="T30">
            <v>71.232876712328761</v>
          </cell>
          <cell r="U30">
            <v>71.232876712328761</v>
          </cell>
        </row>
        <row r="31">
          <cell r="B31" t="str">
            <v>Unlevered FCF pre adj</v>
          </cell>
          <cell r="C31">
            <v>810</v>
          </cell>
          <cell r="D31">
            <v>676</v>
          </cell>
          <cell r="E31">
            <v>857</v>
          </cell>
          <cell r="F31">
            <v>993</v>
          </cell>
          <cell r="G31">
            <v>1749</v>
          </cell>
          <cell r="H31">
            <v>1835</v>
          </cell>
          <cell r="I31">
            <v>1940</v>
          </cell>
          <cell r="J31">
            <v>1499</v>
          </cell>
          <cell r="K31">
            <v>2661</v>
          </cell>
          <cell r="L31">
            <v>2765</v>
          </cell>
          <cell r="M31">
            <v>2761.7506176090264</v>
          </cell>
          <cell r="N31">
            <v>2923.4449810969245</v>
          </cell>
          <cell r="O31">
            <v>3290.2640657222473</v>
          </cell>
          <cell r="P31">
            <v>4315.6453319964676</v>
          </cell>
          <cell r="Q31">
            <v>4314.5760282561141</v>
          </cell>
          <cell r="R31">
            <v>4775.9955160249538</v>
          </cell>
          <cell r="S31">
            <v>4582.1727891098735</v>
          </cell>
          <cell r="T31">
            <v>4769.4026394627599</v>
          </cell>
          <cell r="U31">
            <v>5880.5937443390167</v>
          </cell>
          <cell r="V31">
            <v>5901.8375999493292</v>
          </cell>
        </row>
        <row r="32">
          <cell r="B32" t="str">
            <v>Cash conversion (to NOPAT)</v>
          </cell>
          <cell r="C32">
            <v>0.52023121387283233</v>
          </cell>
          <cell r="D32">
            <v>0.3830028328611898</v>
          </cell>
          <cell r="E32">
            <v>0.43282828282828284</v>
          </cell>
          <cell r="F32">
            <v>0.49329359165424741</v>
          </cell>
          <cell r="G32">
            <v>1.022209234365868</v>
          </cell>
          <cell r="H32">
            <v>0.8101545253863135</v>
          </cell>
          <cell r="I32">
            <v>0.71114369501466279</v>
          </cell>
          <cell r="J32">
            <v>1.0274160383824538</v>
          </cell>
          <cell r="K32">
            <v>1.8556485355648535</v>
          </cell>
          <cell r="L32">
            <v>1.3306063522617901</v>
          </cell>
          <cell r="M32">
            <v>1.2120585425517028</v>
          </cell>
          <cell r="N32">
            <v>1.0435541071697989</v>
          </cell>
          <cell r="O32">
            <v>0.96919500607837994</v>
          </cell>
          <cell r="P32">
            <v>1.049687992389418</v>
          </cell>
          <cell r="Q32">
            <v>0.92299103732458088</v>
          </cell>
          <cell r="R32">
            <v>0.97413932948604898</v>
          </cell>
          <cell r="S32">
            <v>0.8628892254705478</v>
          </cell>
          <cell r="T32">
            <v>0.83851275010103632</v>
          </cell>
          <cell r="U32">
            <v>1.0122617407207877</v>
          </cell>
          <cell r="V32">
            <v>1</v>
          </cell>
        </row>
        <row r="34">
          <cell r="B34" t="str">
            <v>Year</v>
          </cell>
          <cell r="M34">
            <v>1</v>
          </cell>
          <cell r="N34">
            <v>2</v>
          </cell>
          <cell r="O34">
            <v>3</v>
          </cell>
          <cell r="P34">
            <v>4</v>
          </cell>
          <cell r="Q34">
            <v>5</v>
          </cell>
          <cell r="R34">
            <v>6</v>
          </cell>
          <cell r="S34">
            <v>7</v>
          </cell>
          <cell r="T34">
            <v>8</v>
          </cell>
          <cell r="U34">
            <v>9</v>
          </cell>
          <cell r="V34">
            <v>10</v>
          </cell>
        </row>
        <row r="35">
          <cell r="B35" t="str">
            <v>Discount factor</v>
          </cell>
          <cell r="M35">
            <v>1.075</v>
          </cell>
          <cell r="N35">
            <v>1.1556249999999999</v>
          </cell>
          <cell r="O35">
            <v>1.2422968749999999</v>
          </cell>
          <cell r="P35">
            <v>1.3354691406249999</v>
          </cell>
          <cell r="Q35">
            <v>1.4356293261718749</v>
          </cell>
          <cell r="R35">
            <v>1.5433015256347653</v>
          </cell>
          <cell r="S35">
            <v>1.6590491400573728</v>
          </cell>
          <cell r="T35">
            <v>1.7834778255616757</v>
          </cell>
          <cell r="U35">
            <v>1.9172386624788014</v>
          </cell>
          <cell r="V35">
            <v>2.0610315621647111</v>
          </cell>
        </row>
        <row r="36">
          <cell r="B36" t="str">
            <v>NPV</v>
          </cell>
          <cell r="M36">
            <v>2569.0703419618853</v>
          </cell>
          <cell r="N36">
            <v>2529.7522821823036</v>
          </cell>
          <cell r="O36">
            <v>2648.5328361807619</v>
          </cell>
          <cell r="P36">
            <v>3231.5575109258943</v>
          </cell>
          <cell r="Q36">
            <v>3005.3551774126749</v>
          </cell>
          <cell r="R36">
            <v>3094.6613067466319</v>
          </cell>
          <cell r="S36">
            <v>2761.9271053968987</v>
          </cell>
          <cell r="T36">
            <v>2674.2147118990497</v>
          </cell>
          <cell r="U36">
            <v>3067.2205080279291</v>
          </cell>
          <cell r="V36">
            <v>66511.49175448365</v>
          </cell>
        </row>
        <row r="38">
          <cell r="B38" t="str">
            <v>DCF summary</v>
          </cell>
        </row>
        <row r="39">
          <cell r="B39" t="str">
            <v>EV of operations</v>
          </cell>
          <cell r="L39">
            <v>92093.783535217677</v>
          </cell>
        </row>
        <row r="40">
          <cell r="B40" t="str">
            <v>Net debt (FY22)</v>
          </cell>
          <cell r="L40">
            <v>50</v>
          </cell>
        </row>
        <row r="41">
          <cell r="B41" t="str">
            <v>Provisions (incl. pension)</v>
          </cell>
          <cell r="L41">
            <v>-2567</v>
          </cell>
        </row>
        <row r="42">
          <cell r="B42" t="str">
            <v>Minorities</v>
          </cell>
          <cell r="L42">
            <v>-455</v>
          </cell>
        </row>
        <row r="43">
          <cell r="B43" t="str">
            <v>Equity value</v>
          </cell>
          <cell r="L43">
            <v>89121.783535217677</v>
          </cell>
          <cell r="O43" t="str">
            <v>Valuation sensitivity</v>
          </cell>
        </row>
        <row r="44">
          <cell r="B44" t="str">
            <v>Shares (m)</v>
          </cell>
          <cell r="L44">
            <v>426.680657</v>
          </cell>
          <cell r="R44" t="str">
            <v>Terminal Growth Rate</v>
          </cell>
        </row>
        <row r="45">
          <cell r="B45" t="str">
            <v>DCF valuation (€)</v>
          </cell>
          <cell r="L45">
            <v>208.87233126956042</v>
          </cell>
          <cell r="Q45">
            <v>208.87233126956042</v>
          </cell>
          <cell r="R45">
            <v>1.9999999999999997E-2</v>
          </cell>
          <cell r="S45">
            <v>2.4999999999999998E-2</v>
          </cell>
          <cell r="T45">
            <v>0.03</v>
          </cell>
          <cell r="U45">
            <v>3.4999999999999996E-2</v>
          </cell>
          <cell r="V45">
            <v>3.9999999999999994E-2</v>
          </cell>
        </row>
        <row r="46">
          <cell r="P46" t="str">
            <v>WACC</v>
          </cell>
          <cell r="Q46">
            <v>8.5000000000000006E-2</v>
          </cell>
          <cell r="R46">
            <v>190.92234689611152</v>
          </cell>
          <cell r="S46">
            <v>191.63018933109544</v>
          </cell>
          <cell r="T46">
            <v>192.33803176607935</v>
          </cell>
          <cell r="U46">
            <v>193.0458742010633</v>
          </cell>
          <cell r="V46">
            <v>193.75371663604716</v>
          </cell>
        </row>
      </sheetData>
      <sheetData sheetId="13"/>
      <sheetData sheetId="14"/>
      <sheetData sheetId="15">
        <row r="4">
          <cell r="B4" t="str">
            <v>Year end December (EUR mn)</v>
          </cell>
        </row>
      </sheetData>
      <sheetData sheetId="16"/>
      <sheetData sheetId="17">
        <row r="3">
          <cell r="B3" t="str">
            <v>€m</v>
          </cell>
        </row>
      </sheetData>
      <sheetData sheetId="18"/>
      <sheetData sheetId="19"/>
      <sheetData sheetId="20">
        <row r="2">
          <cell r="D2">
            <v>2015</v>
          </cell>
        </row>
      </sheetData>
      <sheetData sheetId="21">
        <row r="2">
          <cell r="B2" t="str">
            <v>Engine</v>
          </cell>
        </row>
      </sheetData>
      <sheetData sheetId="22"/>
      <sheetData sheetId="23">
        <row r="120">
          <cell r="I120">
            <v>2011</v>
          </cell>
        </row>
      </sheetData>
      <sheetData sheetId="24"/>
      <sheetData sheetId="25"/>
      <sheetData sheetId="26"/>
      <sheetData sheetId="27"/>
      <sheetData sheetId="28"/>
      <sheetData sheetId="29"/>
      <sheetData sheetId="30">
        <row r="121">
          <cell r="A121" t="str">
            <v>Revenue</v>
          </cell>
        </row>
      </sheetData>
      <sheetData sheetId="3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350" row="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785470BC-E8B2-4989-8A65-B8371A88E3BD}">
  <we:reference id="4e2fd29d-dad0-40b3-af3c-a16e347a5ddc" version="1.0.0.12" store="EXCatalog" storeType="EXCatalog"/>
  <we:alternateReferences/>
  <we:properties>
    <we:property name="Office.AutoShowTaskpaneWithDocument" value="true"/>
    <we:property name="claude.fileId" value="&quot;973004f0-ed84-4ed6-8d5f-87a54b51e085&quot;"/>
  </we:properties>
  <we:bindings/>
  <we:snapshot xmlns:r="http://schemas.openxmlformats.org/officeDocument/2006/relationships"/>
</we:webextension>
</file>

<file path=xl/webextensions/webextension2.xml><?xml version="1.0" encoding="utf-8"?>
<we:webextension xmlns:we="http://schemas.microsoft.com/office/webextensions/webextension/2010/11" id="{FFB494BF-3682-421C-A7A0-64842D51ED47}">
  <we:reference id="cba9fc06-6fc9-492e-9525-923870a3b909" version="1.0.0.0" store="EXCatalog" storeType="EXCatalog"/>
  <we:alternateReferences/>
  <we:properties>
    <we:property name="bps.codex_control.document_id" value="&quot;4ef3093e-2d4e-4dce-a9e5-25689af162b2&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010A7-0144-4556-965E-143A159DF607}">
  <dimension ref="A1:H429"/>
  <sheetViews>
    <sheetView showGridLines="0" tabSelected="1" workbookViewId="0">
      <selection activeCell="M143" sqref="M143:M144"/>
    </sheetView>
  </sheetViews>
  <sheetFormatPr defaultRowHeight="15" x14ac:dyDescent="0.25"/>
  <sheetData>
    <row r="1" spans="1:8" ht="23.25" customHeight="1" x14ac:dyDescent="0.25">
      <c r="A1" s="1730"/>
      <c r="B1" s="1731"/>
      <c r="C1" s="1731"/>
      <c r="D1" s="1731"/>
      <c r="E1" s="1731"/>
      <c r="F1" s="1731"/>
      <c r="G1" s="1731"/>
      <c r="H1" s="1731"/>
    </row>
    <row r="2" spans="1:8" x14ac:dyDescent="0.25">
      <c r="A2" s="1728" t="s">
        <v>1185</v>
      </c>
      <c r="B2" s="1731"/>
      <c r="C2" s="1731"/>
      <c r="D2" s="1731"/>
      <c r="E2" s="1731"/>
      <c r="F2" s="1731"/>
      <c r="G2" s="1731"/>
      <c r="H2" s="1731"/>
    </row>
    <row r="3" spans="1:8" x14ac:dyDescent="0.25">
      <c r="A3" s="1728" t="s">
        <v>1186</v>
      </c>
      <c r="B3" s="1731"/>
      <c r="C3" s="1731"/>
      <c r="D3" s="1731"/>
      <c r="E3" s="1731"/>
      <c r="F3" s="1731"/>
      <c r="G3" s="1731"/>
      <c r="H3" s="1731"/>
    </row>
    <row r="4" spans="1:8" x14ac:dyDescent="0.25">
      <c r="A4" s="1728" t="s">
        <v>1187</v>
      </c>
      <c r="B4" s="1731"/>
      <c r="C4" s="1731"/>
      <c r="D4" s="1731"/>
      <c r="E4" s="1731"/>
      <c r="F4" s="1731"/>
      <c r="G4" s="1731"/>
      <c r="H4" s="1731"/>
    </row>
    <row r="5" spans="1:8" x14ac:dyDescent="0.25">
      <c r="A5" s="1728" t="s">
        <v>1188</v>
      </c>
      <c r="B5" s="1731"/>
      <c r="C5" s="1731"/>
      <c r="D5" s="1731"/>
      <c r="E5" s="1731"/>
      <c r="F5" s="1731"/>
      <c r="G5" s="1731"/>
      <c r="H5" s="1731"/>
    </row>
    <row r="6" spans="1:8" x14ac:dyDescent="0.25">
      <c r="A6" s="1728"/>
      <c r="B6" s="1731"/>
      <c r="C6" s="1731"/>
      <c r="D6" s="1731"/>
      <c r="E6" s="1731"/>
      <c r="F6" s="1731"/>
      <c r="G6" s="1731"/>
      <c r="H6" s="1731"/>
    </row>
    <row r="7" spans="1:8" x14ac:dyDescent="0.25">
      <c r="A7" s="1728" t="s">
        <v>1189</v>
      </c>
      <c r="B7" s="1731"/>
      <c r="C7" s="1731"/>
      <c r="D7" s="1731"/>
      <c r="E7" s="1731"/>
      <c r="F7" s="1731"/>
      <c r="G7" s="1731"/>
      <c r="H7" s="1731"/>
    </row>
    <row r="8" spans="1:8" x14ac:dyDescent="0.25">
      <c r="A8" s="1728" t="s">
        <v>1190</v>
      </c>
      <c r="B8" s="1731"/>
      <c r="C8" s="1731"/>
      <c r="D8" s="1731"/>
      <c r="E8" s="1731"/>
      <c r="F8" s="1731"/>
      <c r="G8" s="1731"/>
      <c r="H8" s="1731"/>
    </row>
    <row r="9" spans="1:8" x14ac:dyDescent="0.25">
      <c r="A9" s="1728"/>
      <c r="B9" s="1731"/>
      <c r="C9" s="1731"/>
      <c r="D9" s="1731"/>
      <c r="E9" s="1731"/>
      <c r="F9" s="1731"/>
      <c r="G9" s="1731"/>
      <c r="H9" s="1731"/>
    </row>
    <row r="10" spans="1:8" x14ac:dyDescent="0.25">
      <c r="A10" s="1728" t="s">
        <v>1191</v>
      </c>
      <c r="B10" s="1731"/>
      <c r="C10" s="1731"/>
      <c r="D10" s="1731"/>
      <c r="E10" s="1731"/>
      <c r="F10" s="1731"/>
      <c r="G10" s="1731"/>
      <c r="H10" s="1731"/>
    </row>
    <row r="11" spans="1:8" x14ac:dyDescent="0.25">
      <c r="A11" s="1728" t="s">
        <v>1192</v>
      </c>
      <c r="B11" s="1731"/>
      <c r="C11" s="1731"/>
      <c r="D11" s="1731"/>
      <c r="E11" s="1731"/>
      <c r="F11" s="1731"/>
      <c r="G11" s="1731"/>
      <c r="H11" s="1731"/>
    </row>
    <row r="12" spans="1:8" x14ac:dyDescent="0.25">
      <c r="A12" s="1728" t="s">
        <v>1193</v>
      </c>
      <c r="B12" s="1731"/>
      <c r="C12" s="1731"/>
      <c r="D12" s="1731"/>
      <c r="E12" s="1731"/>
      <c r="F12" s="1731"/>
      <c r="G12" s="1731"/>
      <c r="H12" s="1731"/>
    </row>
    <row r="13" spans="1:8" x14ac:dyDescent="0.25">
      <c r="A13" s="1728" t="s">
        <v>1194</v>
      </c>
      <c r="B13" s="1731"/>
      <c r="C13" s="1731"/>
      <c r="D13" s="1731"/>
      <c r="E13" s="1731"/>
      <c r="F13" s="1731"/>
      <c r="G13" s="1731"/>
      <c r="H13" s="1731"/>
    </row>
    <row r="14" spans="1:8" x14ac:dyDescent="0.25">
      <c r="A14" s="1728" t="s">
        <v>1195</v>
      </c>
      <c r="B14" s="1731"/>
      <c r="C14" s="1731"/>
      <c r="D14" s="1731"/>
      <c r="E14" s="1731"/>
      <c r="F14" s="1731"/>
      <c r="G14" s="1731"/>
      <c r="H14" s="1731"/>
    </row>
    <row r="15" spans="1:8" x14ac:dyDescent="0.25">
      <c r="A15" s="1728" t="s">
        <v>1196</v>
      </c>
      <c r="B15" s="1731"/>
      <c r="C15" s="1731"/>
      <c r="D15" s="1731"/>
      <c r="E15" s="1731"/>
      <c r="F15" s="1731"/>
      <c r="G15" s="1731"/>
      <c r="H15" s="1731"/>
    </row>
    <row r="16" spans="1:8" x14ac:dyDescent="0.25">
      <c r="A16" s="1728"/>
      <c r="B16" s="1731"/>
      <c r="C16" s="1731"/>
      <c r="D16" s="1731"/>
      <c r="E16" s="1731"/>
      <c r="F16" s="1731"/>
      <c r="G16" s="1731"/>
      <c r="H16" s="1731"/>
    </row>
    <row r="17" spans="1:8" x14ac:dyDescent="0.25">
      <c r="A17" s="1728" t="s">
        <v>1197</v>
      </c>
      <c r="B17" s="1731"/>
      <c r="C17" s="1731"/>
      <c r="D17" s="1731"/>
      <c r="E17" s="1731"/>
      <c r="F17" s="1731"/>
      <c r="G17" s="1731"/>
      <c r="H17" s="1731"/>
    </row>
    <row r="18" spans="1:8" x14ac:dyDescent="0.25">
      <c r="A18" s="1728"/>
      <c r="B18" s="1731"/>
      <c r="C18" s="1731"/>
      <c r="D18" s="1731"/>
      <c r="E18" s="1731"/>
      <c r="F18" s="1731"/>
      <c r="G18" s="1731"/>
      <c r="H18" s="1731"/>
    </row>
    <row r="19" spans="1:8" x14ac:dyDescent="0.25">
      <c r="A19" s="1728" t="s">
        <v>1198</v>
      </c>
      <c r="B19" s="1731"/>
      <c r="C19" s="1731"/>
      <c r="D19" s="1731"/>
      <c r="E19" s="1731"/>
      <c r="F19" s="1731"/>
      <c r="G19" s="1731"/>
      <c r="H19" s="1731"/>
    </row>
    <row r="20" spans="1:8" x14ac:dyDescent="0.25">
      <c r="A20" s="1728"/>
      <c r="B20" s="1731"/>
      <c r="C20" s="1731"/>
      <c r="D20" s="1731"/>
      <c r="E20" s="1731"/>
      <c r="F20" s="1731"/>
      <c r="G20" s="1731"/>
      <c r="H20" s="1731"/>
    </row>
    <row r="21" spans="1:8" x14ac:dyDescent="0.25">
      <c r="A21" s="1729" t="s">
        <v>1199</v>
      </c>
      <c r="B21" s="1731"/>
      <c r="C21" s="1731"/>
      <c r="D21" s="1731"/>
      <c r="E21" s="1731"/>
      <c r="F21" s="1731"/>
      <c r="G21" s="1731"/>
      <c r="H21" s="1731"/>
    </row>
    <row r="22" spans="1:8" x14ac:dyDescent="0.25">
      <c r="A22" s="1731"/>
      <c r="B22" s="1731"/>
      <c r="C22" s="1731"/>
      <c r="D22" s="1731"/>
      <c r="E22" s="1731"/>
      <c r="F22" s="1731"/>
      <c r="G22" s="1731"/>
      <c r="H22" s="1731"/>
    </row>
    <row r="23" spans="1:8" x14ac:dyDescent="0.25">
      <c r="A23" s="1732" t="s">
        <v>1200</v>
      </c>
      <c r="B23" s="1731"/>
      <c r="C23" s="1731"/>
      <c r="D23" s="1731"/>
      <c r="E23" s="1731"/>
      <c r="F23" s="1731"/>
      <c r="G23" s="1731"/>
      <c r="H23" s="1731"/>
    </row>
    <row r="24" spans="1:8" x14ac:dyDescent="0.25">
      <c r="A24" s="1732" t="s">
        <v>1201</v>
      </c>
      <c r="B24" s="1731"/>
      <c r="C24" s="1731"/>
      <c r="D24" s="1731"/>
      <c r="E24" s="1731"/>
      <c r="F24" s="1731"/>
      <c r="G24" s="1731"/>
      <c r="H24" s="1731"/>
    </row>
    <row r="25" spans="1:8" x14ac:dyDescent="0.25">
      <c r="A25" s="1732" t="s">
        <v>1202</v>
      </c>
      <c r="B25" s="1731"/>
      <c r="C25" s="1731"/>
      <c r="D25" s="1731"/>
      <c r="E25" s="1731"/>
      <c r="F25" s="1731"/>
      <c r="G25" s="1731"/>
      <c r="H25" s="1731"/>
    </row>
    <row r="26" spans="1:8" x14ac:dyDescent="0.25">
      <c r="A26" s="1732" t="s">
        <v>1203</v>
      </c>
      <c r="B26" s="1731"/>
      <c r="C26" s="1731"/>
      <c r="D26" s="1731"/>
      <c r="E26" s="1731"/>
      <c r="F26" s="1731"/>
      <c r="G26" s="1731"/>
      <c r="H26" s="1731"/>
    </row>
    <row r="27" spans="1:8" x14ac:dyDescent="0.25">
      <c r="A27" s="1731"/>
      <c r="B27" s="1731"/>
      <c r="C27" s="1731"/>
      <c r="D27" s="1731"/>
      <c r="E27" s="1731"/>
      <c r="F27" s="1731"/>
      <c r="G27" s="1731"/>
      <c r="H27" s="1731"/>
    </row>
    <row r="28" spans="1:8" x14ac:dyDescent="0.25">
      <c r="A28" s="1732" t="s">
        <v>1204</v>
      </c>
      <c r="B28" s="1731"/>
      <c r="C28" s="1731"/>
      <c r="D28" s="1731"/>
      <c r="E28" s="1731"/>
      <c r="F28" s="1731"/>
      <c r="G28" s="1731"/>
      <c r="H28" s="1731"/>
    </row>
    <row r="29" spans="1:8" x14ac:dyDescent="0.25">
      <c r="A29" s="1732" t="s">
        <v>1205</v>
      </c>
      <c r="B29" s="1731"/>
      <c r="C29" s="1731"/>
      <c r="D29" s="1731"/>
      <c r="E29" s="1731"/>
      <c r="F29" s="1731"/>
      <c r="G29" s="1731"/>
      <c r="H29" s="1731"/>
    </row>
    <row r="30" spans="1:8" x14ac:dyDescent="0.25">
      <c r="A30" s="1732" t="s">
        <v>1206</v>
      </c>
      <c r="B30" s="1731"/>
      <c r="C30" s="1731"/>
      <c r="D30" s="1731"/>
      <c r="E30" s="1731"/>
      <c r="F30" s="1731"/>
      <c r="G30" s="1731"/>
      <c r="H30" s="1731"/>
    </row>
    <row r="31" spans="1:8" x14ac:dyDescent="0.25">
      <c r="A31" s="1732" t="s">
        <v>1207</v>
      </c>
      <c r="B31" s="1731"/>
      <c r="C31" s="1731"/>
      <c r="D31" s="1731"/>
      <c r="E31" s="1731"/>
      <c r="F31" s="1731"/>
      <c r="G31" s="1731"/>
      <c r="H31" s="1731"/>
    </row>
    <row r="32" spans="1:8" x14ac:dyDescent="0.25">
      <c r="A32" s="1732" t="s">
        <v>1208</v>
      </c>
      <c r="B32" s="1731"/>
      <c r="C32" s="1731"/>
      <c r="D32" s="1731"/>
      <c r="E32" s="1731"/>
      <c r="F32" s="1731"/>
      <c r="G32" s="1731"/>
      <c r="H32" s="1731"/>
    </row>
    <row r="33" spans="1:8" x14ac:dyDescent="0.25">
      <c r="A33" s="1732" t="s">
        <v>1209</v>
      </c>
      <c r="B33" s="1731"/>
      <c r="C33" s="1731"/>
      <c r="D33" s="1731"/>
      <c r="E33" s="1731"/>
      <c r="F33" s="1731"/>
      <c r="G33" s="1731"/>
      <c r="H33" s="1731"/>
    </row>
    <row r="34" spans="1:8" x14ac:dyDescent="0.25">
      <c r="A34" s="1732" t="s">
        <v>1210</v>
      </c>
      <c r="B34" s="1731"/>
      <c r="C34" s="1731"/>
      <c r="D34" s="1731"/>
      <c r="E34" s="1731"/>
      <c r="F34" s="1731"/>
      <c r="G34" s="1731"/>
      <c r="H34" s="1731"/>
    </row>
    <row r="35" spans="1:8" x14ac:dyDescent="0.25">
      <c r="A35" s="1732" t="s">
        <v>1211</v>
      </c>
      <c r="B35" s="1731"/>
      <c r="C35" s="1731"/>
      <c r="D35" s="1731"/>
      <c r="E35" s="1731"/>
      <c r="F35" s="1731"/>
      <c r="G35" s="1731"/>
      <c r="H35" s="1731"/>
    </row>
    <row r="36" spans="1:8" x14ac:dyDescent="0.25">
      <c r="A36" s="1732" t="s">
        <v>1212</v>
      </c>
      <c r="B36" s="1731"/>
      <c r="C36" s="1731"/>
      <c r="D36" s="1731"/>
      <c r="E36" s="1731"/>
      <c r="F36" s="1731"/>
      <c r="G36" s="1731"/>
      <c r="H36" s="1731"/>
    </row>
    <row r="37" spans="1:8" x14ac:dyDescent="0.25">
      <c r="A37" s="1732" t="s">
        <v>1213</v>
      </c>
      <c r="B37" s="1731"/>
      <c r="C37" s="1731"/>
      <c r="D37" s="1731"/>
      <c r="E37" s="1731"/>
      <c r="F37" s="1731"/>
      <c r="G37" s="1731"/>
      <c r="H37" s="1731"/>
    </row>
    <row r="38" spans="1:8" x14ac:dyDescent="0.25">
      <c r="A38" s="1732" t="s">
        <v>1214</v>
      </c>
      <c r="B38" s="1731"/>
      <c r="C38" s="1731"/>
      <c r="D38" s="1731"/>
      <c r="E38" s="1731"/>
      <c r="F38" s="1731"/>
      <c r="G38" s="1731"/>
      <c r="H38" s="1731"/>
    </row>
    <row r="39" spans="1:8" x14ac:dyDescent="0.25">
      <c r="A39" s="1732" t="s">
        <v>1215</v>
      </c>
      <c r="B39" s="1731"/>
      <c r="C39" s="1731"/>
      <c r="D39" s="1731"/>
      <c r="E39" s="1731"/>
      <c r="F39" s="1731"/>
      <c r="G39" s="1731"/>
      <c r="H39" s="1731"/>
    </row>
    <row r="40" spans="1:8" x14ac:dyDescent="0.25">
      <c r="A40" s="1732" t="s">
        <v>1216</v>
      </c>
      <c r="B40" s="1731"/>
      <c r="C40" s="1731"/>
      <c r="D40" s="1731"/>
      <c r="E40" s="1731"/>
      <c r="F40" s="1731"/>
      <c r="G40" s="1731"/>
      <c r="H40" s="1731"/>
    </row>
    <row r="41" spans="1:8" x14ac:dyDescent="0.25">
      <c r="A41" s="1731"/>
      <c r="B41" s="1731"/>
      <c r="C41" s="1731"/>
      <c r="D41" s="1731"/>
      <c r="E41" s="1731"/>
      <c r="F41" s="1731"/>
      <c r="G41" s="1731"/>
      <c r="H41" s="1731"/>
    </row>
    <row r="42" spans="1:8" x14ac:dyDescent="0.25">
      <c r="A42" s="1732" t="s">
        <v>1217</v>
      </c>
      <c r="B42" s="1731"/>
      <c r="C42" s="1731"/>
      <c r="D42" s="1731"/>
      <c r="E42" s="1731"/>
      <c r="F42" s="1731"/>
      <c r="G42" s="1731"/>
      <c r="H42" s="1731"/>
    </row>
    <row r="43" spans="1:8" x14ac:dyDescent="0.25">
      <c r="A43" s="1732" t="s">
        <v>1218</v>
      </c>
      <c r="B43" s="1731"/>
      <c r="C43" s="1731"/>
      <c r="D43" s="1731"/>
      <c r="E43" s="1731"/>
      <c r="F43" s="1731"/>
      <c r="G43" s="1731"/>
      <c r="H43" s="1731"/>
    </row>
    <row r="44" spans="1:8" x14ac:dyDescent="0.25">
      <c r="A44" s="1732" t="s">
        <v>1219</v>
      </c>
      <c r="B44" s="1731"/>
      <c r="C44" s="1731"/>
      <c r="D44" s="1731"/>
      <c r="E44" s="1731"/>
      <c r="F44" s="1731"/>
      <c r="G44" s="1731"/>
      <c r="H44" s="1731"/>
    </row>
    <row r="45" spans="1:8" x14ac:dyDescent="0.25">
      <c r="A45" s="1732" t="s">
        <v>1220</v>
      </c>
      <c r="B45" s="1731"/>
      <c r="C45" s="1731"/>
      <c r="D45" s="1731"/>
      <c r="E45" s="1731"/>
      <c r="F45" s="1731"/>
      <c r="G45" s="1731"/>
      <c r="H45" s="1731"/>
    </row>
    <row r="46" spans="1:8" x14ac:dyDescent="0.25">
      <c r="A46" s="1731"/>
      <c r="B46" s="1731"/>
      <c r="C46" s="1731"/>
      <c r="D46" s="1731"/>
      <c r="E46" s="1731"/>
      <c r="F46" s="1731"/>
      <c r="G46" s="1731"/>
      <c r="H46" s="1731"/>
    </row>
    <row r="47" spans="1:8" x14ac:dyDescent="0.25">
      <c r="A47" s="1732" t="s">
        <v>1221</v>
      </c>
      <c r="B47" s="1731"/>
      <c r="C47" s="1731"/>
      <c r="D47" s="1731"/>
      <c r="E47" s="1731"/>
      <c r="F47" s="1731"/>
      <c r="G47" s="1731"/>
      <c r="H47" s="1731"/>
    </row>
    <row r="48" spans="1:8" x14ac:dyDescent="0.25">
      <c r="A48" s="1732" t="s">
        <v>1222</v>
      </c>
      <c r="B48" s="1731"/>
      <c r="C48" s="1731"/>
      <c r="D48" s="1731"/>
      <c r="E48" s="1731"/>
      <c r="F48" s="1731"/>
      <c r="G48" s="1731"/>
      <c r="H48" s="1731"/>
    </row>
    <row r="49" spans="1:8" x14ac:dyDescent="0.25">
      <c r="A49" s="1732" t="s">
        <v>1223</v>
      </c>
      <c r="B49" s="1731"/>
      <c r="C49" s="1731"/>
      <c r="D49" s="1731"/>
      <c r="E49" s="1731"/>
      <c r="F49" s="1731"/>
      <c r="G49" s="1731"/>
      <c r="H49" s="1731"/>
    </row>
    <row r="50" spans="1:8" x14ac:dyDescent="0.25">
      <c r="A50" s="1732" t="s">
        <v>1224</v>
      </c>
      <c r="B50" s="1731"/>
      <c r="C50" s="1731"/>
      <c r="D50" s="1731"/>
      <c r="E50" s="1731"/>
      <c r="F50" s="1731"/>
      <c r="G50" s="1731"/>
      <c r="H50" s="1731"/>
    </row>
    <row r="51" spans="1:8" x14ac:dyDescent="0.25">
      <c r="A51" s="1732" t="s">
        <v>1225</v>
      </c>
      <c r="B51" s="1731"/>
      <c r="C51" s="1731"/>
      <c r="D51" s="1731"/>
      <c r="E51" s="1731"/>
      <c r="F51" s="1731"/>
      <c r="G51" s="1731"/>
      <c r="H51" s="1731"/>
    </row>
    <row r="52" spans="1:8" x14ac:dyDescent="0.25">
      <c r="A52" s="1732" t="s">
        <v>1226</v>
      </c>
      <c r="B52" s="1731"/>
      <c r="C52" s="1731"/>
      <c r="D52" s="1731"/>
      <c r="E52" s="1731"/>
      <c r="F52" s="1731"/>
      <c r="G52" s="1731"/>
      <c r="H52" s="1731"/>
    </row>
    <row r="53" spans="1:8" x14ac:dyDescent="0.25">
      <c r="A53" s="1731"/>
      <c r="B53" s="1731"/>
      <c r="C53" s="1731"/>
      <c r="D53" s="1731"/>
      <c r="E53" s="1731"/>
      <c r="F53" s="1731"/>
      <c r="G53" s="1731"/>
      <c r="H53" s="1731"/>
    </row>
    <row r="54" spans="1:8" ht="15.75" x14ac:dyDescent="0.25">
      <c r="A54" s="1733" t="s">
        <v>1227</v>
      </c>
      <c r="B54" s="1731"/>
      <c r="C54" s="1731"/>
      <c r="D54" s="1731"/>
      <c r="E54" s="1731"/>
      <c r="F54" s="1731"/>
      <c r="G54" s="1731"/>
      <c r="H54" s="1731"/>
    </row>
    <row r="55" spans="1:8" x14ac:dyDescent="0.25">
      <c r="A55" s="1731"/>
      <c r="B55" s="1731"/>
      <c r="C55" s="1731"/>
      <c r="D55" s="1731"/>
      <c r="E55" s="1731"/>
      <c r="F55" s="1731"/>
      <c r="G55" s="1731"/>
      <c r="H55" s="1731"/>
    </row>
    <row r="56" spans="1:8" x14ac:dyDescent="0.25">
      <c r="A56" s="1732" t="s">
        <v>1228</v>
      </c>
      <c r="B56" s="1731"/>
      <c r="C56" s="1731"/>
      <c r="D56" s="1731"/>
      <c r="E56" s="1731"/>
      <c r="F56" s="1731"/>
      <c r="G56" s="1731"/>
      <c r="H56" s="1731"/>
    </row>
    <row r="57" spans="1:8" x14ac:dyDescent="0.25">
      <c r="A57" s="1732" t="s">
        <v>1229</v>
      </c>
      <c r="B57" s="1731"/>
      <c r="C57" s="1731"/>
      <c r="D57" s="1731"/>
      <c r="E57" s="1731"/>
      <c r="F57" s="1731"/>
      <c r="G57" s="1731"/>
      <c r="H57" s="1731"/>
    </row>
    <row r="58" spans="1:8" x14ac:dyDescent="0.25">
      <c r="A58" s="1732" t="s">
        <v>1230</v>
      </c>
      <c r="B58" s="1731"/>
      <c r="C58" s="1731"/>
      <c r="D58" s="1731"/>
      <c r="E58" s="1731"/>
      <c r="F58" s="1731"/>
      <c r="G58" s="1731"/>
      <c r="H58" s="1731"/>
    </row>
    <row r="59" spans="1:8" x14ac:dyDescent="0.25">
      <c r="A59" s="1732" t="s">
        <v>1231</v>
      </c>
      <c r="B59" s="1731"/>
      <c r="C59" s="1731"/>
      <c r="D59" s="1731"/>
      <c r="E59" s="1731"/>
      <c r="F59" s="1731"/>
      <c r="G59" s="1731"/>
      <c r="H59" s="1731"/>
    </row>
    <row r="60" spans="1:8" x14ac:dyDescent="0.25">
      <c r="A60" s="1731"/>
      <c r="B60" s="1731"/>
      <c r="C60" s="1731"/>
      <c r="D60" s="1731"/>
      <c r="E60" s="1731"/>
      <c r="F60" s="1731"/>
      <c r="G60" s="1731"/>
      <c r="H60" s="1731"/>
    </row>
    <row r="61" spans="1:8" x14ac:dyDescent="0.25">
      <c r="A61" s="1732" t="s">
        <v>1033</v>
      </c>
      <c r="B61" s="1731"/>
      <c r="C61" s="1731"/>
      <c r="D61" s="1731"/>
      <c r="E61" s="1731"/>
      <c r="F61" s="1731"/>
      <c r="G61" s="1731"/>
      <c r="H61" s="1731"/>
    </row>
    <row r="62" spans="1:8" x14ac:dyDescent="0.25">
      <c r="A62" s="1731"/>
      <c r="B62" s="1731"/>
      <c r="C62" s="1731"/>
      <c r="D62" s="1731"/>
      <c r="E62" s="1731"/>
      <c r="F62" s="1731"/>
      <c r="G62" s="1731"/>
      <c r="H62" s="1731"/>
    </row>
    <row r="63" spans="1:8" ht="15.75" x14ac:dyDescent="0.25">
      <c r="A63" s="1733" t="s">
        <v>1232</v>
      </c>
      <c r="B63" s="1731"/>
      <c r="C63" s="1731"/>
      <c r="D63" s="1731"/>
      <c r="E63" s="1731"/>
      <c r="F63" s="1731"/>
      <c r="G63" s="1731"/>
      <c r="H63" s="1731"/>
    </row>
    <row r="64" spans="1:8" x14ac:dyDescent="0.25">
      <c r="A64" s="1731"/>
      <c r="B64" s="1731"/>
      <c r="C64" s="1731"/>
      <c r="D64" s="1731"/>
      <c r="E64" s="1731"/>
      <c r="F64" s="1731"/>
      <c r="G64" s="1731"/>
      <c r="H64" s="1731"/>
    </row>
    <row r="65" spans="1:8" x14ac:dyDescent="0.25">
      <c r="A65" s="1732" t="s">
        <v>1233</v>
      </c>
      <c r="B65" s="1731"/>
      <c r="C65" s="1731"/>
      <c r="D65" s="1731"/>
      <c r="E65" s="1731"/>
      <c r="F65" s="1731"/>
      <c r="G65" s="1731"/>
      <c r="H65" s="1731"/>
    </row>
    <row r="66" spans="1:8" x14ac:dyDescent="0.25">
      <c r="A66" s="1732" t="s">
        <v>1234</v>
      </c>
      <c r="B66" s="1731"/>
      <c r="C66" s="1731"/>
      <c r="D66" s="1731"/>
      <c r="E66" s="1731"/>
      <c r="F66" s="1731"/>
      <c r="G66" s="1731"/>
      <c r="H66" s="1731"/>
    </row>
    <row r="67" spans="1:8" x14ac:dyDescent="0.25">
      <c r="A67" s="1732" t="s">
        <v>1235</v>
      </c>
      <c r="B67" s="1731"/>
      <c r="C67" s="1731"/>
      <c r="D67" s="1731"/>
      <c r="E67" s="1731"/>
      <c r="F67" s="1731"/>
      <c r="G67" s="1731"/>
      <c r="H67" s="1731"/>
    </row>
    <row r="68" spans="1:8" x14ac:dyDescent="0.25">
      <c r="A68" s="1731"/>
      <c r="B68" s="1731"/>
      <c r="C68" s="1731"/>
      <c r="D68" s="1731"/>
      <c r="E68" s="1731"/>
      <c r="F68" s="1731"/>
      <c r="G68" s="1731"/>
      <c r="H68" s="1731"/>
    </row>
    <row r="69" spans="1:8" ht="15.75" x14ac:dyDescent="0.25">
      <c r="A69" s="1733" t="s">
        <v>1236</v>
      </c>
      <c r="B69" s="1731"/>
      <c r="C69" s="1731"/>
      <c r="D69" s="1731"/>
      <c r="E69" s="1731"/>
      <c r="F69" s="1731"/>
      <c r="G69" s="1731"/>
      <c r="H69" s="1731"/>
    </row>
    <row r="70" spans="1:8" x14ac:dyDescent="0.25">
      <c r="A70" s="1731"/>
      <c r="B70" s="1731"/>
      <c r="C70" s="1731"/>
      <c r="D70" s="1731"/>
      <c r="E70" s="1731"/>
      <c r="F70" s="1731"/>
      <c r="G70" s="1731"/>
      <c r="H70" s="1731"/>
    </row>
    <row r="71" spans="1:8" x14ac:dyDescent="0.25">
      <c r="A71" s="1732" t="s">
        <v>1237</v>
      </c>
      <c r="B71" s="1731"/>
      <c r="C71" s="1731"/>
      <c r="D71" s="1731"/>
      <c r="E71" s="1731"/>
      <c r="F71" s="1731"/>
      <c r="G71" s="1731"/>
      <c r="H71" s="1731"/>
    </row>
    <row r="72" spans="1:8" x14ac:dyDescent="0.25">
      <c r="A72" s="1732" t="s">
        <v>1238</v>
      </c>
      <c r="B72" s="1731"/>
      <c r="C72" s="1731"/>
      <c r="D72" s="1731"/>
      <c r="E72" s="1731"/>
      <c r="F72" s="1731"/>
      <c r="G72" s="1731"/>
      <c r="H72" s="1731"/>
    </row>
    <row r="73" spans="1:8" x14ac:dyDescent="0.25">
      <c r="A73" s="1731"/>
      <c r="B73" s="1731"/>
      <c r="C73" s="1731"/>
      <c r="D73" s="1731"/>
      <c r="E73" s="1731"/>
      <c r="F73" s="1731"/>
      <c r="G73" s="1731"/>
      <c r="H73" s="1731"/>
    </row>
    <row r="74" spans="1:8" x14ac:dyDescent="0.25">
      <c r="A74" s="1732" t="s">
        <v>1239</v>
      </c>
      <c r="B74" s="1731"/>
      <c r="C74" s="1731"/>
      <c r="D74" s="1731"/>
      <c r="E74" s="1731"/>
      <c r="F74" s="1731"/>
      <c r="G74" s="1731"/>
      <c r="H74" s="1731"/>
    </row>
    <row r="75" spans="1:8" x14ac:dyDescent="0.25">
      <c r="A75" s="1732" t="s">
        <v>1240</v>
      </c>
      <c r="B75" s="1731"/>
      <c r="C75" s="1731"/>
      <c r="D75" s="1731"/>
      <c r="E75" s="1731"/>
      <c r="F75" s="1731"/>
      <c r="G75" s="1731"/>
      <c r="H75" s="1731"/>
    </row>
    <row r="76" spans="1:8" x14ac:dyDescent="0.25">
      <c r="A76" s="1731"/>
      <c r="B76" s="1731"/>
      <c r="C76" s="1731"/>
      <c r="D76" s="1731"/>
      <c r="E76" s="1731"/>
      <c r="F76" s="1731"/>
      <c r="G76" s="1731"/>
      <c r="H76" s="1731"/>
    </row>
    <row r="77" spans="1:8" x14ac:dyDescent="0.25">
      <c r="A77" s="1732" t="s">
        <v>1241</v>
      </c>
      <c r="B77" s="1731"/>
      <c r="C77" s="1731"/>
      <c r="D77" s="1731"/>
      <c r="E77" s="1731"/>
      <c r="F77" s="1731"/>
      <c r="G77" s="1731"/>
      <c r="H77" s="1731"/>
    </row>
    <row r="78" spans="1:8" x14ac:dyDescent="0.25">
      <c r="A78" s="1732" t="s">
        <v>1242</v>
      </c>
      <c r="B78" s="1731"/>
      <c r="C78" s="1731"/>
      <c r="D78" s="1731"/>
      <c r="E78" s="1731"/>
      <c r="F78" s="1731"/>
      <c r="G78" s="1731"/>
      <c r="H78" s="1731"/>
    </row>
    <row r="79" spans="1:8" x14ac:dyDescent="0.25">
      <c r="A79" s="1731"/>
      <c r="B79" s="1731"/>
      <c r="C79" s="1731"/>
      <c r="D79" s="1731"/>
      <c r="E79" s="1731"/>
      <c r="F79" s="1731"/>
      <c r="G79" s="1731"/>
      <c r="H79" s="1731"/>
    </row>
    <row r="80" spans="1:8" x14ac:dyDescent="0.25">
      <c r="A80" s="1732" t="s">
        <v>1243</v>
      </c>
      <c r="B80" s="1731"/>
      <c r="C80" s="1731"/>
      <c r="D80" s="1731"/>
      <c r="E80" s="1731"/>
      <c r="F80" s="1731"/>
      <c r="G80" s="1731"/>
      <c r="H80" s="1731"/>
    </row>
    <row r="81" spans="1:8" x14ac:dyDescent="0.25">
      <c r="A81" s="1732" t="s">
        <v>1244</v>
      </c>
      <c r="B81" s="1731"/>
      <c r="C81" s="1731"/>
      <c r="D81" s="1731"/>
      <c r="E81" s="1731"/>
      <c r="F81" s="1731"/>
      <c r="G81" s="1731"/>
      <c r="H81" s="1731"/>
    </row>
    <row r="82" spans="1:8" x14ac:dyDescent="0.25">
      <c r="A82" s="1731"/>
      <c r="B82" s="1731"/>
      <c r="C82" s="1731"/>
      <c r="D82" s="1731"/>
      <c r="E82" s="1731"/>
      <c r="F82" s="1731"/>
      <c r="G82" s="1731"/>
      <c r="H82" s="1731"/>
    </row>
    <row r="83" spans="1:8" x14ac:dyDescent="0.25">
      <c r="A83" s="1732" t="s">
        <v>1245</v>
      </c>
      <c r="B83" s="1731"/>
      <c r="C83" s="1731"/>
      <c r="D83" s="1731"/>
      <c r="E83" s="1731"/>
      <c r="F83" s="1731"/>
      <c r="G83" s="1731"/>
      <c r="H83" s="1731"/>
    </row>
    <row r="84" spans="1:8" x14ac:dyDescent="0.25">
      <c r="A84" s="1732" t="s">
        <v>1246</v>
      </c>
      <c r="B84" s="1731"/>
      <c r="C84" s="1731"/>
      <c r="D84" s="1731"/>
      <c r="E84" s="1731"/>
      <c r="F84" s="1731"/>
      <c r="G84" s="1731"/>
      <c r="H84" s="1731"/>
    </row>
    <row r="85" spans="1:8" x14ac:dyDescent="0.25">
      <c r="A85" s="1732" t="s">
        <v>1247</v>
      </c>
      <c r="B85" s="1731"/>
      <c r="C85" s="1731"/>
      <c r="D85" s="1731"/>
      <c r="E85" s="1731"/>
      <c r="F85" s="1731"/>
      <c r="G85" s="1731"/>
      <c r="H85" s="1731"/>
    </row>
    <row r="86" spans="1:8" x14ac:dyDescent="0.25">
      <c r="A86" s="1731"/>
      <c r="B86" s="1731"/>
      <c r="C86" s="1731"/>
      <c r="D86" s="1731"/>
      <c r="E86" s="1731"/>
      <c r="F86" s="1731"/>
      <c r="G86" s="1731"/>
      <c r="H86" s="1731"/>
    </row>
    <row r="87" spans="1:8" x14ac:dyDescent="0.25">
      <c r="A87" s="1732" t="s">
        <v>1248</v>
      </c>
      <c r="B87" s="1731"/>
      <c r="C87" s="1731"/>
      <c r="D87" s="1731"/>
      <c r="E87" s="1731"/>
      <c r="F87" s="1731"/>
      <c r="G87" s="1731"/>
      <c r="H87" s="1731"/>
    </row>
    <row r="88" spans="1:8" x14ac:dyDescent="0.25">
      <c r="A88" s="1732" t="s">
        <v>1249</v>
      </c>
      <c r="B88" s="1731"/>
      <c r="C88" s="1731"/>
      <c r="D88" s="1731"/>
      <c r="E88" s="1731"/>
      <c r="F88" s="1731"/>
      <c r="G88" s="1731"/>
      <c r="H88" s="1731"/>
    </row>
    <row r="89" spans="1:8" x14ac:dyDescent="0.25">
      <c r="A89" s="1732" t="s">
        <v>1250</v>
      </c>
      <c r="B89" s="1731"/>
      <c r="C89" s="1731"/>
      <c r="D89" s="1731"/>
      <c r="E89" s="1731"/>
      <c r="F89" s="1731"/>
      <c r="G89" s="1731"/>
      <c r="H89" s="1731"/>
    </row>
    <row r="90" spans="1:8" x14ac:dyDescent="0.25">
      <c r="A90" s="1732" t="s">
        <v>1251</v>
      </c>
      <c r="B90" s="1731"/>
      <c r="C90" s="1731"/>
      <c r="D90" s="1731"/>
      <c r="E90" s="1731"/>
      <c r="F90" s="1731"/>
      <c r="G90" s="1731"/>
      <c r="H90" s="1731"/>
    </row>
    <row r="91" spans="1:8" x14ac:dyDescent="0.25">
      <c r="A91" s="1732" t="s">
        <v>1252</v>
      </c>
      <c r="B91" s="1731"/>
      <c r="C91" s="1731"/>
      <c r="D91" s="1731"/>
      <c r="E91" s="1731"/>
      <c r="F91" s="1731"/>
      <c r="G91" s="1731"/>
      <c r="H91" s="1731"/>
    </row>
    <row r="92" spans="1:8" x14ac:dyDescent="0.25">
      <c r="A92" s="1732" t="s">
        <v>1253</v>
      </c>
      <c r="B92" s="1731"/>
      <c r="C92" s="1731"/>
      <c r="D92" s="1731"/>
      <c r="E92" s="1731"/>
      <c r="F92" s="1731"/>
      <c r="G92" s="1731"/>
      <c r="H92" s="1731"/>
    </row>
    <row r="93" spans="1:8" x14ac:dyDescent="0.25">
      <c r="A93" s="1731"/>
      <c r="B93" s="1731"/>
      <c r="C93" s="1731"/>
      <c r="D93" s="1731"/>
      <c r="E93" s="1731"/>
      <c r="F93" s="1731"/>
      <c r="G93" s="1731"/>
      <c r="H93" s="1731"/>
    </row>
    <row r="94" spans="1:8" x14ac:dyDescent="0.25">
      <c r="A94" s="1732" t="s">
        <v>1254</v>
      </c>
      <c r="B94" s="1731"/>
      <c r="C94" s="1731"/>
      <c r="D94" s="1731"/>
      <c r="E94" s="1731"/>
      <c r="F94" s="1731"/>
      <c r="G94" s="1731"/>
      <c r="H94" s="1731"/>
    </row>
    <row r="95" spans="1:8" x14ac:dyDescent="0.25">
      <c r="A95" s="1732" t="s">
        <v>1255</v>
      </c>
      <c r="B95" s="1731"/>
      <c r="C95" s="1731"/>
      <c r="D95" s="1731"/>
      <c r="E95" s="1731"/>
      <c r="F95" s="1731"/>
      <c r="G95" s="1731"/>
      <c r="H95" s="1731"/>
    </row>
    <row r="96" spans="1:8" x14ac:dyDescent="0.25">
      <c r="A96" s="1732" t="s">
        <v>1256</v>
      </c>
      <c r="B96" s="1731"/>
      <c r="C96" s="1731"/>
      <c r="D96" s="1731"/>
      <c r="E96" s="1731"/>
      <c r="F96" s="1731"/>
      <c r="G96" s="1731"/>
      <c r="H96" s="1731"/>
    </row>
    <row r="97" spans="1:8" x14ac:dyDescent="0.25">
      <c r="A97" s="1732" t="s">
        <v>1257</v>
      </c>
      <c r="B97" s="1731"/>
      <c r="C97" s="1731"/>
      <c r="D97" s="1731"/>
      <c r="E97" s="1731"/>
      <c r="F97" s="1731"/>
      <c r="G97" s="1731"/>
      <c r="H97" s="1731"/>
    </row>
    <row r="98" spans="1:8" x14ac:dyDescent="0.25">
      <c r="A98" s="1732" t="s">
        <v>1258</v>
      </c>
      <c r="B98" s="1731"/>
      <c r="C98" s="1731"/>
      <c r="D98" s="1731"/>
      <c r="E98" s="1731"/>
      <c r="F98" s="1731"/>
      <c r="G98" s="1731"/>
      <c r="H98" s="1731"/>
    </row>
    <row r="99" spans="1:8" x14ac:dyDescent="0.25">
      <c r="A99" s="1732" t="s">
        <v>1259</v>
      </c>
      <c r="B99" s="1731"/>
      <c r="C99" s="1731"/>
      <c r="D99" s="1731"/>
      <c r="E99" s="1731"/>
      <c r="F99" s="1731"/>
      <c r="G99" s="1731"/>
      <c r="H99" s="1731"/>
    </row>
    <row r="100" spans="1:8" x14ac:dyDescent="0.25">
      <c r="A100" s="1732" t="s">
        <v>1260</v>
      </c>
      <c r="B100" s="1731"/>
      <c r="C100" s="1731"/>
      <c r="D100" s="1731"/>
      <c r="E100" s="1731"/>
      <c r="F100" s="1731"/>
      <c r="G100" s="1731"/>
      <c r="H100" s="1731"/>
    </row>
    <row r="101" spans="1:8" x14ac:dyDescent="0.25">
      <c r="A101" s="1731"/>
      <c r="B101" s="1731"/>
      <c r="C101" s="1731"/>
      <c r="D101" s="1731"/>
      <c r="E101" s="1731"/>
      <c r="F101" s="1731"/>
      <c r="G101" s="1731"/>
      <c r="H101" s="1731"/>
    </row>
    <row r="102" spans="1:8" x14ac:dyDescent="0.25">
      <c r="A102" s="1732" t="s">
        <v>1261</v>
      </c>
      <c r="B102" s="1731"/>
      <c r="C102" s="1731"/>
      <c r="D102" s="1731"/>
      <c r="E102" s="1731"/>
      <c r="F102" s="1731"/>
      <c r="G102" s="1731"/>
      <c r="H102" s="1731"/>
    </row>
    <row r="103" spans="1:8" x14ac:dyDescent="0.25">
      <c r="A103" s="1732" t="s">
        <v>1262</v>
      </c>
      <c r="B103" s="1731"/>
      <c r="C103" s="1731"/>
      <c r="D103" s="1731"/>
      <c r="E103" s="1731"/>
      <c r="F103" s="1731"/>
      <c r="G103" s="1731"/>
      <c r="H103" s="1731"/>
    </row>
    <row r="104" spans="1:8" x14ac:dyDescent="0.25">
      <c r="A104" s="1731"/>
      <c r="B104" s="1731"/>
      <c r="C104" s="1731"/>
      <c r="D104" s="1731"/>
      <c r="E104" s="1731"/>
      <c r="F104" s="1731"/>
      <c r="G104" s="1731"/>
      <c r="H104" s="1731"/>
    </row>
    <row r="105" spans="1:8" ht="15.75" x14ac:dyDescent="0.25">
      <c r="A105" s="1733" t="s">
        <v>1263</v>
      </c>
      <c r="B105" s="1731"/>
      <c r="C105" s="1731"/>
      <c r="D105" s="1731"/>
      <c r="E105" s="1731"/>
      <c r="F105" s="1731"/>
      <c r="G105" s="1731"/>
      <c r="H105" s="1731"/>
    </row>
    <row r="106" spans="1:8" x14ac:dyDescent="0.25">
      <c r="A106" s="1731"/>
      <c r="B106" s="1731"/>
      <c r="C106" s="1731"/>
      <c r="D106" s="1731"/>
      <c r="E106" s="1731"/>
      <c r="F106" s="1731"/>
      <c r="G106" s="1731"/>
      <c r="H106" s="1731"/>
    </row>
    <row r="107" spans="1:8" x14ac:dyDescent="0.25">
      <c r="A107" s="1732" t="s">
        <v>1264</v>
      </c>
      <c r="B107" s="1731"/>
      <c r="C107" s="1731"/>
      <c r="D107" s="1731"/>
      <c r="E107" s="1731"/>
      <c r="F107" s="1731"/>
      <c r="G107" s="1731"/>
      <c r="H107" s="1731"/>
    </row>
    <row r="108" spans="1:8" x14ac:dyDescent="0.25">
      <c r="A108" s="1732" t="s">
        <v>1265</v>
      </c>
      <c r="B108" s="1731"/>
      <c r="C108" s="1731"/>
      <c r="D108" s="1731"/>
      <c r="E108" s="1731"/>
      <c r="F108" s="1731"/>
      <c r="G108" s="1731"/>
      <c r="H108" s="1731"/>
    </row>
    <row r="109" spans="1:8" x14ac:dyDescent="0.25">
      <c r="A109" s="1732" t="s">
        <v>1266</v>
      </c>
      <c r="B109" s="1731"/>
      <c r="C109" s="1731"/>
      <c r="D109" s="1731"/>
      <c r="E109" s="1731"/>
      <c r="F109" s="1731"/>
      <c r="G109" s="1731"/>
      <c r="H109" s="1731"/>
    </row>
    <row r="110" spans="1:8" x14ac:dyDescent="0.25">
      <c r="A110" s="1732" t="s">
        <v>1267</v>
      </c>
      <c r="B110" s="1731"/>
      <c r="C110" s="1731"/>
      <c r="D110" s="1731"/>
      <c r="E110" s="1731"/>
      <c r="F110" s="1731"/>
      <c r="G110" s="1731"/>
      <c r="H110" s="1731"/>
    </row>
    <row r="111" spans="1:8" x14ac:dyDescent="0.25">
      <c r="A111" s="1732" t="s">
        <v>1268</v>
      </c>
      <c r="B111" s="1731"/>
      <c r="C111" s="1731"/>
      <c r="D111" s="1731"/>
      <c r="E111" s="1731"/>
      <c r="F111" s="1731"/>
      <c r="G111" s="1731"/>
      <c r="H111" s="1731"/>
    </row>
    <row r="112" spans="1:8" x14ac:dyDescent="0.25">
      <c r="A112" s="1732" t="s">
        <v>1269</v>
      </c>
      <c r="B112" s="1731"/>
      <c r="C112" s="1731"/>
      <c r="D112" s="1731"/>
      <c r="E112" s="1731"/>
      <c r="F112" s="1731"/>
      <c r="G112" s="1731"/>
      <c r="H112" s="1731"/>
    </row>
    <row r="113" spans="1:8" x14ac:dyDescent="0.25">
      <c r="A113" s="1732" t="s">
        <v>1270</v>
      </c>
      <c r="B113" s="1731"/>
      <c r="C113" s="1731"/>
      <c r="D113" s="1731"/>
      <c r="E113" s="1731"/>
      <c r="F113" s="1731"/>
      <c r="G113" s="1731"/>
      <c r="H113" s="1731"/>
    </row>
    <row r="114" spans="1:8" x14ac:dyDescent="0.25">
      <c r="A114" s="1732" t="s">
        <v>1271</v>
      </c>
      <c r="B114" s="1731"/>
      <c r="C114" s="1731"/>
      <c r="D114" s="1731"/>
      <c r="E114" s="1731"/>
      <c r="F114" s="1731"/>
      <c r="G114" s="1731"/>
      <c r="H114" s="1731"/>
    </row>
    <row r="115" spans="1:8" x14ac:dyDescent="0.25">
      <c r="A115" s="1732" t="s">
        <v>1272</v>
      </c>
      <c r="B115" s="1731"/>
      <c r="C115" s="1731"/>
      <c r="D115" s="1731"/>
      <c r="E115" s="1731"/>
      <c r="F115" s="1731"/>
      <c r="G115" s="1731"/>
      <c r="H115" s="1731"/>
    </row>
    <row r="116" spans="1:8" x14ac:dyDescent="0.25">
      <c r="A116" s="1731"/>
      <c r="B116" s="1731"/>
      <c r="C116" s="1731"/>
      <c r="D116" s="1731"/>
      <c r="E116" s="1731"/>
      <c r="F116" s="1731"/>
      <c r="G116" s="1731"/>
      <c r="H116" s="1731"/>
    </row>
    <row r="117" spans="1:8" ht="15.75" x14ac:dyDescent="0.25">
      <c r="A117" s="1733" t="s">
        <v>1273</v>
      </c>
      <c r="B117" s="1731"/>
      <c r="C117" s="1731"/>
      <c r="D117" s="1731"/>
      <c r="E117" s="1731"/>
      <c r="F117" s="1731"/>
      <c r="G117" s="1731"/>
      <c r="H117" s="1731"/>
    </row>
    <row r="118" spans="1:8" x14ac:dyDescent="0.25">
      <c r="A118" s="1731"/>
      <c r="B118" s="1731"/>
      <c r="C118" s="1731"/>
      <c r="D118" s="1731"/>
      <c r="E118" s="1731"/>
      <c r="F118" s="1731"/>
      <c r="G118" s="1731"/>
      <c r="H118" s="1731"/>
    </row>
    <row r="119" spans="1:8" x14ac:dyDescent="0.25">
      <c r="A119" s="1732" t="s">
        <v>1274</v>
      </c>
      <c r="B119" s="1731"/>
      <c r="C119" s="1731"/>
      <c r="D119" s="1731"/>
      <c r="E119" s="1731"/>
      <c r="F119" s="1731"/>
      <c r="G119" s="1731"/>
      <c r="H119" s="1731"/>
    </row>
    <row r="120" spans="1:8" x14ac:dyDescent="0.25">
      <c r="A120" s="1731"/>
      <c r="B120" s="1731"/>
      <c r="C120" s="1731"/>
      <c r="D120" s="1731"/>
      <c r="E120" s="1731"/>
      <c r="F120" s="1731"/>
      <c r="G120" s="1731"/>
      <c r="H120" s="1731"/>
    </row>
    <row r="121" spans="1:8" x14ac:dyDescent="0.25">
      <c r="A121" s="1732" t="s">
        <v>1275</v>
      </c>
      <c r="B121" s="1731"/>
      <c r="C121" s="1731"/>
      <c r="D121" s="1731"/>
      <c r="E121" s="1731"/>
      <c r="F121" s="1731"/>
      <c r="G121" s="1731"/>
      <c r="H121" s="1731"/>
    </row>
    <row r="122" spans="1:8" x14ac:dyDescent="0.25">
      <c r="A122" s="1732" t="s">
        <v>1276</v>
      </c>
      <c r="B122" s="1731"/>
      <c r="C122" s="1731"/>
      <c r="D122" s="1731"/>
      <c r="E122" s="1731"/>
      <c r="F122" s="1731"/>
      <c r="G122" s="1731"/>
      <c r="H122" s="1731"/>
    </row>
    <row r="123" spans="1:8" x14ac:dyDescent="0.25">
      <c r="A123" s="1731"/>
      <c r="B123" s="1731"/>
      <c r="C123" s="1731"/>
      <c r="D123" s="1731"/>
      <c r="E123" s="1731"/>
      <c r="F123" s="1731"/>
      <c r="G123" s="1731"/>
      <c r="H123" s="1731"/>
    </row>
    <row r="124" spans="1:8" x14ac:dyDescent="0.25">
      <c r="A124" s="1732" t="s">
        <v>1277</v>
      </c>
      <c r="B124" s="1731"/>
      <c r="C124" s="1731"/>
      <c r="D124" s="1731"/>
      <c r="E124" s="1731"/>
      <c r="F124" s="1731"/>
      <c r="G124" s="1731"/>
      <c r="H124" s="1731"/>
    </row>
    <row r="125" spans="1:8" x14ac:dyDescent="0.25">
      <c r="A125" s="1732" t="s">
        <v>1278</v>
      </c>
      <c r="B125" s="1731"/>
      <c r="C125" s="1731"/>
      <c r="D125" s="1731"/>
      <c r="E125" s="1731"/>
      <c r="F125" s="1731"/>
      <c r="G125" s="1731"/>
      <c r="H125" s="1731"/>
    </row>
    <row r="126" spans="1:8" x14ac:dyDescent="0.25">
      <c r="A126" s="1732" t="s">
        <v>1279</v>
      </c>
      <c r="B126" s="1731"/>
      <c r="C126" s="1731"/>
      <c r="D126" s="1731"/>
      <c r="E126" s="1731"/>
      <c r="F126" s="1731"/>
      <c r="G126" s="1731"/>
      <c r="H126" s="1731"/>
    </row>
    <row r="127" spans="1:8" x14ac:dyDescent="0.25">
      <c r="A127" s="1732" t="s">
        <v>1280</v>
      </c>
      <c r="B127" s="1731"/>
      <c r="C127" s="1731"/>
      <c r="D127" s="1731"/>
      <c r="E127" s="1731"/>
      <c r="F127" s="1731"/>
      <c r="G127" s="1731"/>
      <c r="H127" s="1731"/>
    </row>
    <row r="128" spans="1:8" x14ac:dyDescent="0.25">
      <c r="A128" s="1732" t="s">
        <v>1281</v>
      </c>
      <c r="B128" s="1731"/>
      <c r="C128" s="1731"/>
      <c r="D128" s="1731"/>
      <c r="E128" s="1731"/>
      <c r="F128" s="1731"/>
      <c r="G128" s="1731"/>
      <c r="H128" s="1731"/>
    </row>
    <row r="129" spans="1:8" x14ac:dyDescent="0.25">
      <c r="A129" s="1732" t="s">
        <v>1282</v>
      </c>
      <c r="B129" s="1731"/>
      <c r="C129" s="1731"/>
      <c r="D129" s="1731"/>
      <c r="E129" s="1731"/>
      <c r="F129" s="1731"/>
      <c r="G129" s="1731"/>
      <c r="H129" s="1731"/>
    </row>
    <row r="130" spans="1:8" x14ac:dyDescent="0.25">
      <c r="A130" s="1732" t="s">
        <v>1283</v>
      </c>
      <c r="B130" s="1731"/>
      <c r="C130" s="1731"/>
      <c r="D130" s="1731"/>
      <c r="E130" s="1731"/>
      <c r="F130" s="1731"/>
      <c r="G130" s="1731"/>
      <c r="H130" s="1731"/>
    </row>
    <row r="131" spans="1:8" x14ac:dyDescent="0.25">
      <c r="A131" s="1731"/>
      <c r="B131" s="1731"/>
      <c r="C131" s="1731"/>
      <c r="D131" s="1731"/>
      <c r="E131" s="1731"/>
      <c r="F131" s="1731"/>
      <c r="G131" s="1731"/>
      <c r="H131" s="1731"/>
    </row>
    <row r="132" spans="1:8" x14ac:dyDescent="0.25">
      <c r="A132" s="1734"/>
      <c r="B132" s="1737" t="s">
        <v>1284</v>
      </c>
      <c r="C132" s="1737"/>
      <c r="D132" s="1737" t="s">
        <v>1285</v>
      </c>
      <c r="E132" s="1737"/>
      <c r="F132" s="1737"/>
      <c r="G132" s="1737" t="s">
        <v>1286</v>
      </c>
      <c r="H132" s="1737"/>
    </row>
    <row r="133" spans="1:8" x14ac:dyDescent="0.25">
      <c r="A133" s="1734" t="s">
        <v>1287</v>
      </c>
      <c r="B133" s="1734" t="s">
        <v>1288</v>
      </c>
      <c r="C133" s="1734" t="s">
        <v>1289</v>
      </c>
      <c r="D133" s="1734" t="s">
        <v>1288</v>
      </c>
      <c r="E133" s="1734" t="s">
        <v>1290</v>
      </c>
      <c r="F133" s="1734" t="s">
        <v>1291</v>
      </c>
      <c r="G133" s="1734" t="s">
        <v>1288</v>
      </c>
      <c r="H133" s="1734" t="s">
        <v>1292</v>
      </c>
    </row>
    <row r="134" spans="1:8" x14ac:dyDescent="0.25">
      <c r="A134" s="1734" t="s">
        <v>1293</v>
      </c>
      <c r="B134" s="1734">
        <v>1529</v>
      </c>
      <c r="C134" s="1740">
        <v>0.42</v>
      </c>
      <c r="D134" s="1734">
        <v>442</v>
      </c>
      <c r="E134" s="1740">
        <v>0.47</v>
      </c>
      <c r="F134" s="1740">
        <v>0.28999999999999998</v>
      </c>
      <c r="G134" s="1734">
        <v>750</v>
      </c>
      <c r="H134" s="1740">
        <v>0.43</v>
      </c>
    </row>
    <row r="135" spans="1:8" x14ac:dyDescent="0.25">
      <c r="A135" s="1734" t="s">
        <v>1294</v>
      </c>
      <c r="B135" s="1734">
        <v>1582</v>
      </c>
      <c r="C135" s="1740">
        <v>0.43</v>
      </c>
      <c r="D135" s="1734">
        <v>396</v>
      </c>
      <c r="E135" s="1740">
        <v>0.42</v>
      </c>
      <c r="F135" s="1740">
        <v>0.25</v>
      </c>
      <c r="G135" s="1734">
        <v>773</v>
      </c>
      <c r="H135" s="1740">
        <v>0.44</v>
      </c>
    </row>
    <row r="136" spans="1:8" x14ac:dyDescent="0.25">
      <c r="A136" s="1734" t="s">
        <v>1295</v>
      </c>
      <c r="B136" s="1734">
        <v>3</v>
      </c>
      <c r="C136" s="1740">
        <v>0</v>
      </c>
      <c r="D136" s="1734">
        <v>1</v>
      </c>
      <c r="E136" s="1740">
        <v>0</v>
      </c>
      <c r="F136" s="1740">
        <v>0.33</v>
      </c>
      <c r="G136" s="1734">
        <v>1</v>
      </c>
      <c r="H136" s="1740">
        <v>0</v>
      </c>
    </row>
    <row r="137" spans="1:8" x14ac:dyDescent="0.25">
      <c r="A137" s="1734" t="s">
        <v>1296</v>
      </c>
      <c r="B137" s="1734">
        <v>560</v>
      </c>
      <c r="C137" s="1740">
        <v>0.15</v>
      </c>
      <c r="D137" s="1734">
        <v>97</v>
      </c>
      <c r="E137" s="1740">
        <v>0.1</v>
      </c>
      <c r="F137" s="1740">
        <v>0.17</v>
      </c>
      <c r="G137" s="1734">
        <v>217</v>
      </c>
      <c r="H137" s="1740">
        <v>0.12</v>
      </c>
    </row>
    <row r="138" spans="1:8" x14ac:dyDescent="0.25">
      <c r="A138" s="1734" t="s">
        <v>100</v>
      </c>
      <c r="B138" s="1734">
        <v>3674</v>
      </c>
      <c r="C138" s="1734"/>
      <c r="D138" s="1734">
        <v>936</v>
      </c>
      <c r="E138" s="1734"/>
      <c r="F138" s="1734"/>
      <c r="G138" s="1734">
        <v>1741</v>
      </c>
      <c r="H138" s="1734"/>
    </row>
    <row r="139" spans="1:8" x14ac:dyDescent="0.25">
      <c r="A139" s="1731"/>
      <c r="B139" s="1731"/>
      <c r="C139" s="1731"/>
      <c r="D139" s="1731"/>
      <c r="E139" s="1731"/>
      <c r="F139" s="1731"/>
      <c r="G139" s="1731"/>
      <c r="H139" s="1731"/>
    </row>
    <row r="140" spans="1:8" x14ac:dyDescent="0.25">
      <c r="A140" s="1732" t="s">
        <v>1297</v>
      </c>
      <c r="B140" s="1731"/>
      <c r="C140" s="1731"/>
      <c r="D140" s="1731"/>
      <c r="E140" s="1731"/>
      <c r="F140" s="1731"/>
      <c r="G140" s="1731"/>
      <c r="H140" s="1731"/>
    </row>
    <row r="141" spans="1:8" x14ac:dyDescent="0.25">
      <c r="A141" s="1732" t="s">
        <v>1298</v>
      </c>
      <c r="B141" s="1731"/>
      <c r="C141" s="1731"/>
      <c r="D141" s="1731"/>
      <c r="E141" s="1731"/>
      <c r="F141" s="1731"/>
      <c r="G141" s="1731"/>
      <c r="H141" s="1731"/>
    </row>
    <row r="142" spans="1:8" x14ac:dyDescent="0.25">
      <c r="A142" s="1732" t="s">
        <v>1299</v>
      </c>
      <c r="B142" s="1731"/>
      <c r="C142" s="1731"/>
      <c r="D142" s="1731"/>
      <c r="E142" s="1731"/>
      <c r="F142" s="1731"/>
      <c r="G142" s="1731"/>
      <c r="H142" s="1731"/>
    </row>
    <row r="143" spans="1:8" x14ac:dyDescent="0.25">
      <c r="A143" s="1732" t="s">
        <v>1300</v>
      </c>
      <c r="B143" s="1731"/>
      <c r="C143" s="1731"/>
      <c r="D143" s="1731"/>
      <c r="E143" s="1731"/>
      <c r="F143" s="1731"/>
      <c r="G143" s="1731"/>
      <c r="H143" s="1731"/>
    </row>
    <row r="144" spans="1:8" x14ac:dyDescent="0.25">
      <c r="A144" s="1731"/>
      <c r="B144" s="1731"/>
      <c r="C144" s="1731"/>
      <c r="D144" s="1731"/>
      <c r="E144" s="1731"/>
      <c r="F144" s="1731"/>
      <c r="G144" s="1731"/>
      <c r="H144" s="1731"/>
    </row>
    <row r="145" spans="1:8" ht="15.75" x14ac:dyDescent="0.25">
      <c r="A145" s="1733" t="s">
        <v>1301</v>
      </c>
      <c r="B145" s="1731"/>
      <c r="C145" s="1731"/>
      <c r="D145" s="1731"/>
      <c r="E145" s="1731"/>
      <c r="F145" s="1731"/>
      <c r="G145" s="1731"/>
      <c r="H145" s="1731"/>
    </row>
    <row r="146" spans="1:8" x14ac:dyDescent="0.25">
      <c r="A146" s="1731"/>
      <c r="B146" s="1731"/>
      <c r="C146" s="1731"/>
      <c r="D146" s="1731"/>
      <c r="E146" s="1731"/>
      <c r="F146" s="1731"/>
      <c r="G146" s="1731"/>
      <c r="H146" s="1731"/>
    </row>
    <row r="147" spans="1:8" x14ac:dyDescent="0.25">
      <c r="A147" s="1732" t="s">
        <v>1302</v>
      </c>
      <c r="B147" s="1731"/>
      <c r="C147" s="1731"/>
      <c r="D147" s="1731"/>
      <c r="E147" s="1731"/>
      <c r="F147" s="1731"/>
      <c r="G147" s="1731"/>
      <c r="H147" s="1731"/>
    </row>
    <row r="148" spans="1:8" x14ac:dyDescent="0.25">
      <c r="A148" s="1732" t="s">
        <v>1303</v>
      </c>
      <c r="B148" s="1731"/>
      <c r="C148" s="1731"/>
      <c r="D148" s="1731"/>
      <c r="E148" s="1731"/>
      <c r="F148" s="1731"/>
      <c r="G148" s="1731"/>
      <c r="H148" s="1731"/>
    </row>
    <row r="149" spans="1:8" x14ac:dyDescent="0.25">
      <c r="A149" s="1731"/>
      <c r="B149" s="1731"/>
      <c r="C149" s="1731"/>
      <c r="D149" s="1731"/>
      <c r="E149" s="1731"/>
      <c r="F149" s="1731"/>
      <c r="G149" s="1731"/>
      <c r="H149" s="1731"/>
    </row>
    <row r="150" spans="1:8" x14ac:dyDescent="0.25">
      <c r="A150" s="1732" t="s">
        <v>1304</v>
      </c>
      <c r="B150" s="1731"/>
      <c r="C150" s="1731"/>
      <c r="D150" s="1731"/>
      <c r="E150" s="1731"/>
      <c r="F150" s="1731"/>
      <c r="G150" s="1731"/>
      <c r="H150" s="1731"/>
    </row>
    <row r="151" spans="1:8" x14ac:dyDescent="0.25">
      <c r="A151" s="1732" t="s">
        <v>1305</v>
      </c>
      <c r="B151" s="1731"/>
      <c r="C151" s="1731"/>
      <c r="D151" s="1731"/>
      <c r="E151" s="1731"/>
      <c r="F151" s="1731"/>
      <c r="G151" s="1731"/>
      <c r="H151" s="1731"/>
    </row>
    <row r="152" spans="1:8" x14ac:dyDescent="0.25">
      <c r="A152" s="1732" t="s">
        <v>1306</v>
      </c>
      <c r="B152" s="1731"/>
      <c r="C152" s="1731"/>
      <c r="D152" s="1731"/>
      <c r="E152" s="1731"/>
      <c r="F152" s="1731"/>
      <c r="G152" s="1731"/>
      <c r="H152" s="1731"/>
    </row>
    <row r="153" spans="1:8" x14ac:dyDescent="0.25">
      <c r="A153" s="1731"/>
      <c r="B153" s="1731"/>
      <c r="C153" s="1731"/>
      <c r="D153" s="1731"/>
      <c r="E153" s="1731"/>
      <c r="F153" s="1731"/>
      <c r="G153" s="1731"/>
      <c r="H153" s="1731"/>
    </row>
    <row r="154" spans="1:8" x14ac:dyDescent="0.25">
      <c r="A154" s="1732" t="s">
        <v>1307</v>
      </c>
      <c r="B154" s="1731"/>
      <c r="C154" s="1731"/>
      <c r="D154" s="1731"/>
      <c r="E154" s="1731"/>
      <c r="F154" s="1731"/>
      <c r="G154" s="1731"/>
      <c r="H154" s="1731"/>
    </row>
    <row r="155" spans="1:8" x14ac:dyDescent="0.25">
      <c r="A155" s="1732" t="s">
        <v>1308</v>
      </c>
      <c r="B155" s="1731"/>
      <c r="C155" s="1731"/>
      <c r="D155" s="1731"/>
      <c r="E155" s="1731"/>
      <c r="F155" s="1731"/>
      <c r="G155" s="1731"/>
      <c r="H155" s="1731"/>
    </row>
    <row r="156" spans="1:8" x14ac:dyDescent="0.25">
      <c r="A156" s="1732" t="s">
        <v>1309</v>
      </c>
      <c r="B156" s="1731"/>
      <c r="C156" s="1731"/>
      <c r="D156" s="1731"/>
      <c r="E156" s="1731"/>
      <c r="F156" s="1731"/>
      <c r="G156" s="1731"/>
      <c r="H156" s="1731"/>
    </row>
    <row r="157" spans="1:8" x14ac:dyDescent="0.25">
      <c r="A157" s="1731"/>
      <c r="B157" s="1731"/>
      <c r="C157" s="1731"/>
      <c r="D157" s="1731"/>
      <c r="E157" s="1731"/>
      <c r="F157" s="1731"/>
      <c r="G157" s="1731"/>
      <c r="H157" s="1731"/>
    </row>
    <row r="158" spans="1:8" x14ac:dyDescent="0.25">
      <c r="A158" s="1732" t="s">
        <v>1310</v>
      </c>
      <c r="B158" s="1731"/>
      <c r="C158" s="1731"/>
      <c r="D158" s="1731"/>
      <c r="E158" s="1731"/>
      <c r="F158" s="1731"/>
      <c r="G158" s="1731"/>
      <c r="H158" s="1731"/>
    </row>
    <row r="159" spans="1:8" x14ac:dyDescent="0.25">
      <c r="A159" s="1732" t="s">
        <v>1311</v>
      </c>
      <c r="B159" s="1731"/>
      <c r="C159" s="1731"/>
      <c r="D159" s="1731"/>
      <c r="E159" s="1731"/>
      <c r="F159" s="1731"/>
      <c r="G159" s="1731"/>
      <c r="H159" s="1731"/>
    </row>
    <row r="160" spans="1:8" x14ac:dyDescent="0.25">
      <c r="A160" s="1732" t="s">
        <v>1312</v>
      </c>
      <c r="B160" s="1731"/>
      <c r="C160" s="1731"/>
      <c r="D160" s="1731"/>
      <c r="E160" s="1731"/>
      <c r="F160" s="1731"/>
      <c r="G160" s="1731"/>
      <c r="H160" s="1731"/>
    </row>
    <row r="161" spans="1:8" x14ac:dyDescent="0.25">
      <c r="A161" s="1731"/>
      <c r="B161" s="1731"/>
      <c r="C161" s="1731"/>
      <c r="D161" s="1731"/>
      <c r="E161" s="1731"/>
      <c r="F161" s="1731"/>
      <c r="G161" s="1731"/>
      <c r="H161" s="1731"/>
    </row>
    <row r="162" spans="1:8" x14ac:dyDescent="0.25">
      <c r="A162" s="1732" t="s">
        <v>1313</v>
      </c>
      <c r="B162" s="1731"/>
      <c r="C162" s="1731"/>
      <c r="D162" s="1731"/>
      <c r="E162" s="1731"/>
      <c r="F162" s="1731"/>
      <c r="G162" s="1731"/>
      <c r="H162" s="1731"/>
    </row>
    <row r="163" spans="1:8" x14ac:dyDescent="0.25">
      <c r="A163" s="1732" t="s">
        <v>1314</v>
      </c>
      <c r="B163" s="1731"/>
      <c r="C163" s="1731"/>
      <c r="D163" s="1731"/>
      <c r="E163" s="1731"/>
      <c r="F163" s="1731"/>
      <c r="G163" s="1731"/>
      <c r="H163" s="1731"/>
    </row>
    <row r="164" spans="1:8" x14ac:dyDescent="0.25">
      <c r="A164" s="1731"/>
      <c r="B164" s="1731"/>
      <c r="C164" s="1731"/>
      <c r="D164" s="1731"/>
      <c r="E164" s="1731"/>
      <c r="F164" s="1731"/>
      <c r="G164" s="1731"/>
      <c r="H164" s="1731"/>
    </row>
    <row r="165" spans="1:8" ht="15.75" x14ac:dyDescent="0.25">
      <c r="A165" s="1733" t="s">
        <v>1315</v>
      </c>
      <c r="B165" s="1731"/>
      <c r="C165" s="1731"/>
      <c r="D165" s="1731"/>
      <c r="E165" s="1731"/>
      <c r="F165" s="1731"/>
      <c r="G165" s="1731"/>
      <c r="H165" s="1731"/>
    </row>
    <row r="166" spans="1:8" x14ac:dyDescent="0.25">
      <c r="A166" s="1731"/>
      <c r="B166" s="1731"/>
      <c r="C166" s="1731"/>
      <c r="D166" s="1731"/>
      <c r="E166" s="1731"/>
      <c r="F166" s="1731"/>
      <c r="G166" s="1731"/>
      <c r="H166" s="1731"/>
    </row>
    <row r="167" spans="1:8" x14ac:dyDescent="0.25">
      <c r="A167" s="1732" t="s">
        <v>1316</v>
      </c>
      <c r="B167" s="1731"/>
      <c r="C167" s="1731"/>
      <c r="D167" s="1731"/>
      <c r="E167" s="1731"/>
      <c r="F167" s="1731"/>
      <c r="G167" s="1731"/>
      <c r="H167" s="1731"/>
    </row>
    <row r="168" spans="1:8" x14ac:dyDescent="0.25">
      <c r="A168" s="1732" t="s">
        <v>1317</v>
      </c>
      <c r="B168" s="1731"/>
      <c r="C168" s="1731"/>
      <c r="D168" s="1731"/>
      <c r="E168" s="1731"/>
      <c r="F168" s="1731"/>
      <c r="G168" s="1731"/>
      <c r="H168" s="1731"/>
    </row>
    <row r="169" spans="1:8" x14ac:dyDescent="0.25">
      <c r="A169" s="1731"/>
      <c r="B169" s="1731"/>
      <c r="C169" s="1731"/>
      <c r="D169" s="1731"/>
      <c r="E169" s="1731"/>
      <c r="F169" s="1731"/>
      <c r="G169" s="1731"/>
      <c r="H169" s="1731"/>
    </row>
    <row r="170" spans="1:8" x14ac:dyDescent="0.25">
      <c r="A170" s="1732" t="s">
        <v>1318</v>
      </c>
      <c r="B170" s="1731"/>
      <c r="C170" s="1731"/>
      <c r="D170" s="1731"/>
      <c r="E170" s="1731"/>
      <c r="F170" s="1731"/>
      <c r="G170" s="1731"/>
      <c r="H170" s="1731"/>
    </row>
    <row r="171" spans="1:8" x14ac:dyDescent="0.25">
      <c r="A171" s="1732" t="s">
        <v>1319</v>
      </c>
      <c r="B171" s="1731"/>
      <c r="C171" s="1731"/>
      <c r="D171" s="1731"/>
      <c r="E171" s="1731"/>
      <c r="F171" s="1731"/>
      <c r="G171" s="1731"/>
      <c r="H171" s="1731"/>
    </row>
    <row r="172" spans="1:8" x14ac:dyDescent="0.25">
      <c r="A172" s="1731"/>
      <c r="B172" s="1731"/>
      <c r="C172" s="1731"/>
      <c r="D172" s="1731"/>
      <c r="E172" s="1731"/>
      <c r="F172" s="1731"/>
      <c r="G172" s="1731"/>
      <c r="H172" s="1731"/>
    </row>
    <row r="173" spans="1:8" x14ac:dyDescent="0.25">
      <c r="A173" s="1732" t="s">
        <v>1320</v>
      </c>
      <c r="B173" s="1731"/>
      <c r="C173" s="1731"/>
      <c r="D173" s="1731"/>
      <c r="E173" s="1731"/>
      <c r="F173" s="1731"/>
      <c r="G173" s="1731"/>
      <c r="H173" s="1731"/>
    </row>
    <row r="174" spans="1:8" x14ac:dyDescent="0.25">
      <c r="A174" s="1732" t="s">
        <v>1321</v>
      </c>
      <c r="B174" s="1731"/>
      <c r="C174" s="1731"/>
      <c r="D174" s="1731"/>
      <c r="E174" s="1731"/>
      <c r="F174" s="1731"/>
      <c r="G174" s="1731"/>
      <c r="H174" s="1731"/>
    </row>
    <row r="175" spans="1:8" x14ac:dyDescent="0.25">
      <c r="A175" s="1731"/>
      <c r="B175" s="1731"/>
      <c r="C175" s="1731"/>
      <c r="D175" s="1731"/>
      <c r="E175" s="1731"/>
      <c r="F175" s="1731"/>
      <c r="G175" s="1731"/>
      <c r="H175" s="1731"/>
    </row>
    <row r="176" spans="1:8" x14ac:dyDescent="0.25">
      <c r="A176" s="1732" t="s">
        <v>1322</v>
      </c>
      <c r="B176" s="1731"/>
      <c r="C176" s="1731"/>
      <c r="D176" s="1731"/>
      <c r="E176" s="1731"/>
      <c r="F176" s="1731"/>
      <c r="G176" s="1731"/>
      <c r="H176" s="1731"/>
    </row>
    <row r="177" spans="1:8" x14ac:dyDescent="0.25">
      <c r="A177" s="1732" t="s">
        <v>1323</v>
      </c>
      <c r="B177" s="1731"/>
      <c r="C177" s="1731"/>
      <c r="D177" s="1731"/>
      <c r="E177" s="1731"/>
      <c r="F177" s="1731"/>
      <c r="G177" s="1731"/>
      <c r="H177" s="1731"/>
    </row>
    <row r="178" spans="1:8" x14ac:dyDescent="0.25">
      <c r="A178" s="1732" t="s">
        <v>1324</v>
      </c>
      <c r="B178" s="1731"/>
      <c r="C178" s="1731"/>
      <c r="D178" s="1731"/>
      <c r="E178" s="1731"/>
      <c r="F178" s="1731"/>
      <c r="G178" s="1731"/>
      <c r="H178" s="1731"/>
    </row>
    <row r="179" spans="1:8" x14ac:dyDescent="0.25">
      <c r="A179" s="1731"/>
      <c r="B179" s="1731"/>
      <c r="C179" s="1731"/>
      <c r="D179" s="1731"/>
      <c r="E179" s="1731"/>
      <c r="F179" s="1731"/>
      <c r="G179" s="1731"/>
      <c r="H179" s="1731"/>
    </row>
    <row r="180" spans="1:8" x14ac:dyDescent="0.25">
      <c r="A180" s="1732" t="s">
        <v>1033</v>
      </c>
      <c r="B180" s="1731"/>
      <c r="C180" s="1731"/>
      <c r="D180" s="1731"/>
      <c r="E180" s="1731"/>
      <c r="F180" s="1731"/>
      <c r="G180" s="1731"/>
      <c r="H180" s="1731"/>
    </row>
    <row r="181" spans="1:8" x14ac:dyDescent="0.25">
      <c r="A181" s="1731"/>
      <c r="B181" s="1731"/>
      <c r="C181" s="1731"/>
      <c r="D181" s="1731"/>
      <c r="E181" s="1731"/>
      <c r="F181" s="1731"/>
      <c r="G181" s="1731"/>
      <c r="H181" s="1731"/>
    </row>
    <row r="182" spans="1:8" ht="15.75" x14ac:dyDescent="0.25">
      <c r="A182" s="1733" t="s">
        <v>1325</v>
      </c>
      <c r="B182" s="1731"/>
      <c r="C182" s="1731"/>
      <c r="D182" s="1731"/>
      <c r="E182" s="1731"/>
      <c r="F182" s="1731"/>
      <c r="G182" s="1731"/>
      <c r="H182" s="1731"/>
    </row>
    <row r="183" spans="1:8" x14ac:dyDescent="0.25">
      <c r="A183" s="1731"/>
      <c r="B183" s="1731"/>
      <c r="C183" s="1731"/>
      <c r="D183" s="1731"/>
      <c r="E183" s="1731"/>
      <c r="F183" s="1731"/>
      <c r="G183" s="1731"/>
      <c r="H183" s="1731"/>
    </row>
    <row r="184" spans="1:8" x14ac:dyDescent="0.25">
      <c r="A184" s="1731"/>
      <c r="B184" s="1731"/>
      <c r="C184" s="1731"/>
      <c r="D184" s="1731"/>
      <c r="E184" s="1731"/>
      <c r="F184" s="1731"/>
      <c r="G184" s="1731"/>
      <c r="H184" s="1731"/>
    </row>
    <row r="185" spans="1:8" x14ac:dyDescent="0.25">
      <c r="A185" s="1731"/>
      <c r="B185" s="1731"/>
      <c r="C185" s="1731"/>
      <c r="D185" s="1731"/>
      <c r="E185" s="1731"/>
      <c r="F185" s="1731"/>
      <c r="G185" s="1731"/>
      <c r="H185" s="1731"/>
    </row>
    <row r="186" spans="1:8" x14ac:dyDescent="0.25">
      <c r="A186" s="1731"/>
      <c r="B186" s="1731"/>
      <c r="C186" s="1731"/>
      <c r="D186" s="1731"/>
      <c r="E186" s="1731"/>
      <c r="F186" s="1731"/>
      <c r="G186" s="1731"/>
      <c r="H186" s="1731"/>
    </row>
    <row r="187" spans="1:8" x14ac:dyDescent="0.25">
      <c r="A187" s="1731"/>
      <c r="B187" s="1731"/>
      <c r="C187" s="1731"/>
      <c r="D187" s="1731"/>
      <c r="E187" s="1731"/>
      <c r="F187" s="1731"/>
      <c r="G187" s="1731"/>
      <c r="H187" s="1731"/>
    </row>
    <row r="188" spans="1:8" x14ac:dyDescent="0.25">
      <c r="A188" s="1731"/>
      <c r="B188" s="1731"/>
      <c r="C188" s="1731"/>
      <c r="D188" s="1731"/>
      <c r="E188" s="1731"/>
      <c r="F188" s="1731"/>
      <c r="G188" s="1731"/>
      <c r="H188" s="1731"/>
    </row>
    <row r="189" spans="1:8" x14ac:dyDescent="0.25">
      <c r="A189" s="1731"/>
      <c r="B189" s="1731"/>
      <c r="C189" s="1731"/>
      <c r="D189" s="1731"/>
      <c r="E189" s="1731"/>
      <c r="F189" s="1731"/>
      <c r="G189" s="1731"/>
      <c r="H189" s="1731"/>
    </row>
    <row r="190" spans="1:8" x14ac:dyDescent="0.25">
      <c r="A190" s="1731"/>
      <c r="B190" s="1731"/>
      <c r="C190" s="1731"/>
      <c r="D190" s="1731"/>
      <c r="E190" s="1731"/>
      <c r="F190" s="1731"/>
      <c r="G190" s="1731"/>
      <c r="H190" s="1731"/>
    </row>
    <row r="191" spans="1:8" x14ac:dyDescent="0.25">
      <c r="A191" s="1731"/>
      <c r="B191" s="1731"/>
      <c r="C191" s="1731"/>
      <c r="D191" s="1731"/>
      <c r="E191" s="1731"/>
      <c r="F191" s="1731"/>
      <c r="G191" s="1731"/>
      <c r="H191" s="1731"/>
    </row>
    <row r="192" spans="1:8" x14ac:dyDescent="0.25">
      <c r="A192" s="1731"/>
      <c r="B192" s="1731"/>
      <c r="C192" s="1731"/>
      <c r="D192" s="1731"/>
      <c r="E192" s="1731"/>
      <c r="F192" s="1731"/>
      <c r="G192" s="1731"/>
      <c r="H192" s="1731"/>
    </row>
    <row r="193" spans="1:8" x14ac:dyDescent="0.25">
      <c r="A193" s="1731"/>
      <c r="B193" s="1731"/>
      <c r="C193" s="1731"/>
      <c r="D193" s="1731"/>
      <c r="E193" s="1731"/>
      <c r="F193" s="1731"/>
      <c r="G193" s="1731"/>
      <c r="H193" s="1731"/>
    </row>
    <row r="194" spans="1:8" x14ac:dyDescent="0.25">
      <c r="A194" s="1731"/>
      <c r="B194" s="1731"/>
      <c r="C194" s="1731"/>
      <c r="D194" s="1731"/>
      <c r="E194" s="1731"/>
      <c r="F194" s="1731"/>
      <c r="G194" s="1731"/>
      <c r="H194" s="1731"/>
    </row>
    <row r="195" spans="1:8" x14ac:dyDescent="0.25">
      <c r="A195" s="1731"/>
      <c r="B195" s="1731"/>
      <c r="C195" s="1731"/>
      <c r="D195" s="1731"/>
      <c r="E195" s="1731"/>
      <c r="F195" s="1731"/>
      <c r="G195" s="1731"/>
      <c r="H195" s="1731"/>
    </row>
    <row r="196" spans="1:8" x14ac:dyDescent="0.25">
      <c r="A196" s="1731"/>
      <c r="B196" s="1731"/>
      <c r="C196" s="1731"/>
      <c r="D196" s="1731"/>
      <c r="E196" s="1731"/>
      <c r="F196" s="1731"/>
      <c r="G196" s="1731"/>
      <c r="H196" s="1731"/>
    </row>
    <row r="197" spans="1:8" x14ac:dyDescent="0.25">
      <c r="A197" s="1731"/>
      <c r="B197" s="1731"/>
      <c r="C197" s="1731"/>
      <c r="D197" s="1731"/>
      <c r="E197" s="1731"/>
      <c r="F197" s="1731"/>
      <c r="G197" s="1731"/>
      <c r="H197" s="1731"/>
    </row>
    <row r="198" spans="1:8" x14ac:dyDescent="0.25">
      <c r="A198" s="1731"/>
      <c r="B198" s="1731"/>
      <c r="C198" s="1731"/>
      <c r="D198" s="1731"/>
      <c r="E198" s="1731"/>
      <c r="F198" s="1731"/>
      <c r="G198" s="1731"/>
      <c r="H198" s="1731"/>
    </row>
    <row r="199" spans="1:8" x14ac:dyDescent="0.25">
      <c r="A199" s="1731"/>
      <c r="B199" s="1731"/>
      <c r="C199" s="1731"/>
      <c r="D199" s="1731"/>
      <c r="E199" s="1731"/>
      <c r="F199" s="1731"/>
      <c r="G199" s="1731"/>
      <c r="H199" s="1731"/>
    </row>
    <row r="200" spans="1:8" x14ac:dyDescent="0.25">
      <c r="A200" s="1731"/>
      <c r="B200" s="1731"/>
      <c r="C200" s="1731"/>
      <c r="D200" s="1731"/>
      <c r="E200" s="1731"/>
      <c r="F200" s="1731"/>
      <c r="G200" s="1731"/>
      <c r="H200" s="1731"/>
    </row>
    <row r="201" spans="1:8" x14ac:dyDescent="0.25">
      <c r="A201" s="1731"/>
      <c r="B201" s="1731"/>
      <c r="C201" s="1731"/>
      <c r="D201" s="1731"/>
      <c r="E201" s="1731"/>
      <c r="F201" s="1731"/>
      <c r="G201" s="1731"/>
      <c r="H201" s="1731"/>
    </row>
    <row r="202" spans="1:8" x14ac:dyDescent="0.25">
      <c r="A202" s="1731"/>
      <c r="B202" s="1731"/>
      <c r="C202" s="1731"/>
      <c r="D202" s="1731"/>
      <c r="E202" s="1731"/>
      <c r="F202" s="1731"/>
      <c r="G202" s="1731"/>
      <c r="H202" s="1731"/>
    </row>
    <row r="203" spans="1:8" x14ac:dyDescent="0.25">
      <c r="A203" s="1731"/>
      <c r="B203" s="1731"/>
      <c r="C203" s="1731"/>
      <c r="D203" s="1731"/>
      <c r="E203" s="1731"/>
      <c r="F203" s="1731"/>
      <c r="G203" s="1731"/>
      <c r="H203" s="1731"/>
    </row>
    <row r="204" spans="1:8" x14ac:dyDescent="0.25">
      <c r="A204" s="1731"/>
      <c r="B204" s="1731"/>
      <c r="C204" s="1731"/>
      <c r="D204" s="1731"/>
      <c r="E204" s="1731"/>
      <c r="F204" s="1731"/>
      <c r="G204" s="1731"/>
      <c r="H204" s="1731"/>
    </row>
    <row r="205" spans="1:8" x14ac:dyDescent="0.25">
      <c r="A205" s="1731"/>
      <c r="B205" s="1731"/>
      <c r="C205" s="1731"/>
      <c r="D205" s="1731"/>
      <c r="E205" s="1731"/>
      <c r="F205" s="1731"/>
      <c r="G205" s="1731"/>
      <c r="H205" s="1731"/>
    </row>
    <row r="206" spans="1:8" ht="15.75" x14ac:dyDescent="0.25">
      <c r="A206" s="1733" t="s">
        <v>1326</v>
      </c>
      <c r="B206" s="1731"/>
      <c r="C206" s="1731"/>
      <c r="D206" s="1731"/>
      <c r="E206" s="1731"/>
      <c r="F206" s="1731"/>
      <c r="G206" s="1731"/>
      <c r="H206" s="1731"/>
    </row>
    <row r="207" spans="1:8" x14ac:dyDescent="0.25">
      <c r="A207" s="1731"/>
      <c r="B207" s="1731"/>
      <c r="C207" s="1731"/>
      <c r="D207" s="1731"/>
      <c r="E207" s="1731"/>
      <c r="F207" s="1731"/>
      <c r="G207" s="1731"/>
      <c r="H207" s="1731"/>
    </row>
    <row r="208" spans="1:8" x14ac:dyDescent="0.25">
      <c r="A208" s="1732" t="s">
        <v>1327</v>
      </c>
      <c r="B208" s="1731"/>
      <c r="C208" s="1731"/>
      <c r="D208" s="1731"/>
      <c r="E208" s="1731"/>
      <c r="F208" s="1731"/>
      <c r="G208" s="1731"/>
      <c r="H208" s="1731"/>
    </row>
    <row r="209" spans="1:8" x14ac:dyDescent="0.25">
      <c r="A209" s="1732" t="s">
        <v>1328</v>
      </c>
      <c r="B209" s="1731"/>
      <c r="C209" s="1731"/>
      <c r="D209" s="1731"/>
      <c r="E209" s="1731"/>
      <c r="F209" s="1731"/>
      <c r="G209" s="1731"/>
      <c r="H209" s="1731"/>
    </row>
    <row r="210" spans="1:8" x14ac:dyDescent="0.25">
      <c r="A210" s="1732" t="s">
        <v>1329</v>
      </c>
      <c r="B210" s="1731"/>
      <c r="C210" s="1731"/>
      <c r="D210" s="1731"/>
      <c r="E210" s="1731"/>
      <c r="F210" s="1731"/>
      <c r="G210" s="1731"/>
      <c r="H210" s="1731"/>
    </row>
    <row r="211" spans="1:8" x14ac:dyDescent="0.25">
      <c r="A211" s="1732" t="s">
        <v>1330</v>
      </c>
      <c r="B211" s="1731"/>
      <c r="C211" s="1731"/>
      <c r="D211" s="1731"/>
      <c r="E211" s="1731"/>
      <c r="F211" s="1731"/>
      <c r="G211" s="1731"/>
      <c r="H211" s="1731"/>
    </row>
    <row r="212" spans="1:8" x14ac:dyDescent="0.25">
      <c r="A212" s="1732" t="s">
        <v>1331</v>
      </c>
      <c r="B212" s="1731"/>
      <c r="C212" s="1731"/>
      <c r="D212" s="1731"/>
      <c r="E212" s="1731"/>
      <c r="F212" s="1731"/>
      <c r="G212" s="1731"/>
      <c r="H212" s="1731"/>
    </row>
    <row r="213" spans="1:8" x14ac:dyDescent="0.25">
      <c r="A213" s="1731"/>
      <c r="B213" s="1731"/>
      <c r="C213" s="1731"/>
      <c r="D213" s="1731"/>
      <c r="E213" s="1731"/>
      <c r="F213" s="1731"/>
      <c r="G213" s="1731"/>
      <c r="H213" s="1731"/>
    </row>
    <row r="214" spans="1:8" x14ac:dyDescent="0.25">
      <c r="A214" s="1732" t="s">
        <v>1332</v>
      </c>
      <c r="B214" s="1731"/>
      <c r="C214" s="1731"/>
      <c r="D214" s="1731"/>
      <c r="E214" s="1731"/>
      <c r="F214" s="1731"/>
      <c r="G214" s="1731"/>
      <c r="H214" s="1731"/>
    </row>
    <row r="215" spans="1:8" x14ac:dyDescent="0.25">
      <c r="A215" s="1732" t="s">
        <v>1333</v>
      </c>
      <c r="B215" s="1731"/>
      <c r="C215" s="1731"/>
      <c r="D215" s="1731"/>
      <c r="E215" s="1731"/>
      <c r="F215" s="1731"/>
      <c r="G215" s="1731"/>
      <c r="H215" s="1731"/>
    </row>
    <row r="216" spans="1:8" x14ac:dyDescent="0.25">
      <c r="A216" s="1732" t="s">
        <v>1334</v>
      </c>
      <c r="B216" s="1731"/>
      <c r="C216" s="1731"/>
      <c r="D216" s="1731"/>
      <c r="E216" s="1731"/>
      <c r="F216" s="1731"/>
      <c r="G216" s="1731"/>
      <c r="H216" s="1731"/>
    </row>
    <row r="217" spans="1:8" x14ac:dyDescent="0.25">
      <c r="A217" s="1731"/>
      <c r="B217" s="1731"/>
      <c r="C217" s="1731"/>
      <c r="D217" s="1731"/>
      <c r="E217" s="1731"/>
      <c r="F217" s="1731"/>
      <c r="G217" s="1731"/>
      <c r="H217" s="1731"/>
    </row>
    <row r="218" spans="1:8" ht="15.75" x14ac:dyDescent="0.25">
      <c r="A218" s="1733" t="s">
        <v>1335</v>
      </c>
      <c r="B218" s="1731"/>
      <c r="C218" s="1731"/>
      <c r="D218" s="1731"/>
      <c r="E218" s="1731"/>
      <c r="F218" s="1731"/>
      <c r="G218" s="1731"/>
      <c r="H218" s="1731"/>
    </row>
    <row r="219" spans="1:8" x14ac:dyDescent="0.25">
      <c r="A219" s="1731"/>
      <c r="B219" s="1731"/>
      <c r="C219" s="1731"/>
      <c r="D219" s="1731"/>
      <c r="E219" s="1731"/>
      <c r="F219" s="1731"/>
      <c r="G219" s="1731"/>
      <c r="H219" s="1731"/>
    </row>
    <row r="220" spans="1:8" x14ac:dyDescent="0.25">
      <c r="A220" s="1732" t="s">
        <v>1336</v>
      </c>
      <c r="B220" s="1731"/>
      <c r="C220" s="1731"/>
      <c r="D220" s="1731"/>
      <c r="E220" s="1731"/>
      <c r="F220" s="1731"/>
      <c r="G220" s="1731"/>
      <c r="H220" s="1731"/>
    </row>
    <row r="221" spans="1:8" x14ac:dyDescent="0.25">
      <c r="A221" s="1732" t="s">
        <v>1337</v>
      </c>
      <c r="B221" s="1731"/>
      <c r="C221" s="1731"/>
      <c r="D221" s="1731"/>
      <c r="E221" s="1731"/>
      <c r="F221" s="1731"/>
      <c r="G221" s="1731"/>
      <c r="H221" s="1731"/>
    </row>
    <row r="222" spans="1:8" x14ac:dyDescent="0.25">
      <c r="A222" s="1732" t="s">
        <v>1338</v>
      </c>
      <c r="B222" s="1731"/>
      <c r="C222" s="1731"/>
      <c r="D222" s="1731"/>
      <c r="E222" s="1731"/>
      <c r="F222" s="1731"/>
      <c r="G222" s="1731"/>
      <c r="H222" s="1731"/>
    </row>
    <row r="223" spans="1:8" x14ac:dyDescent="0.25">
      <c r="A223" s="1732" t="s">
        <v>1339</v>
      </c>
      <c r="B223" s="1731"/>
      <c r="C223" s="1731"/>
      <c r="D223" s="1731"/>
      <c r="E223" s="1731"/>
      <c r="F223" s="1731"/>
      <c r="G223" s="1731"/>
      <c r="H223" s="1731"/>
    </row>
    <row r="224" spans="1:8" x14ac:dyDescent="0.25">
      <c r="A224" s="1732" t="s">
        <v>1340</v>
      </c>
      <c r="B224" s="1731"/>
      <c r="C224" s="1731"/>
      <c r="D224" s="1731"/>
      <c r="E224" s="1731"/>
      <c r="F224" s="1731"/>
      <c r="G224" s="1731"/>
      <c r="H224" s="1731"/>
    </row>
    <row r="225" spans="1:8" x14ac:dyDescent="0.25">
      <c r="A225" s="1732" t="s">
        <v>1341</v>
      </c>
      <c r="B225" s="1731"/>
      <c r="C225" s="1731"/>
      <c r="D225" s="1731"/>
      <c r="E225" s="1731"/>
      <c r="F225" s="1731"/>
      <c r="G225" s="1731"/>
      <c r="H225" s="1731"/>
    </row>
    <row r="226" spans="1:8" x14ac:dyDescent="0.25">
      <c r="A226" s="1732" t="s">
        <v>1342</v>
      </c>
      <c r="B226" s="1731"/>
      <c r="C226" s="1731"/>
      <c r="D226" s="1731"/>
      <c r="E226" s="1731"/>
      <c r="F226" s="1731"/>
      <c r="G226" s="1731"/>
      <c r="H226" s="1731"/>
    </row>
    <row r="227" spans="1:8" x14ac:dyDescent="0.25">
      <c r="A227" s="1731"/>
      <c r="B227" s="1731"/>
      <c r="C227" s="1731"/>
      <c r="D227" s="1731"/>
      <c r="E227" s="1731"/>
      <c r="F227" s="1731"/>
      <c r="G227" s="1731"/>
      <c r="H227" s="1731"/>
    </row>
    <row r="228" spans="1:8" x14ac:dyDescent="0.25">
      <c r="A228" s="1732" t="s">
        <v>1343</v>
      </c>
      <c r="B228" s="1731"/>
      <c r="C228" s="1731"/>
      <c r="D228" s="1731"/>
      <c r="E228" s="1731"/>
      <c r="F228" s="1731"/>
      <c r="G228" s="1731"/>
      <c r="H228" s="1731"/>
    </row>
    <row r="229" spans="1:8" x14ac:dyDescent="0.25">
      <c r="A229" s="1732" t="s">
        <v>1344</v>
      </c>
      <c r="B229" s="1731"/>
      <c r="C229" s="1731"/>
      <c r="D229" s="1731"/>
      <c r="E229" s="1731"/>
      <c r="F229" s="1731"/>
      <c r="G229" s="1731"/>
      <c r="H229" s="1731"/>
    </row>
    <row r="230" spans="1:8" x14ac:dyDescent="0.25">
      <c r="A230" s="1732" t="s">
        <v>1345</v>
      </c>
      <c r="B230" s="1731"/>
      <c r="C230" s="1731"/>
      <c r="D230" s="1731"/>
      <c r="E230" s="1731"/>
      <c r="F230" s="1731"/>
      <c r="G230" s="1731"/>
      <c r="H230" s="1731"/>
    </row>
    <row r="231" spans="1:8" x14ac:dyDescent="0.25">
      <c r="A231" s="1731"/>
      <c r="B231" s="1731"/>
      <c r="C231" s="1731"/>
      <c r="D231" s="1731"/>
      <c r="E231" s="1731"/>
      <c r="F231" s="1731"/>
      <c r="G231" s="1731"/>
      <c r="H231" s="1731"/>
    </row>
    <row r="232" spans="1:8" x14ac:dyDescent="0.25">
      <c r="A232" s="1732" t="s">
        <v>1346</v>
      </c>
      <c r="B232" s="1731"/>
      <c r="C232" s="1731"/>
      <c r="D232" s="1731"/>
      <c r="E232" s="1731"/>
      <c r="F232" s="1731"/>
      <c r="G232" s="1731"/>
      <c r="H232" s="1731"/>
    </row>
    <row r="233" spans="1:8" x14ac:dyDescent="0.25">
      <c r="A233" s="1732" t="s">
        <v>1347</v>
      </c>
      <c r="B233" s="1731"/>
      <c r="C233" s="1731"/>
      <c r="D233" s="1731"/>
      <c r="E233" s="1731"/>
      <c r="F233" s="1731"/>
      <c r="G233" s="1731"/>
      <c r="H233" s="1731"/>
    </row>
    <row r="234" spans="1:8" x14ac:dyDescent="0.25">
      <c r="A234" s="1732" t="s">
        <v>1348</v>
      </c>
      <c r="B234" s="1731"/>
      <c r="C234" s="1731"/>
      <c r="D234" s="1731"/>
      <c r="E234" s="1731"/>
      <c r="F234" s="1731"/>
      <c r="G234" s="1731"/>
      <c r="H234" s="1731"/>
    </row>
    <row r="235" spans="1:8" x14ac:dyDescent="0.25">
      <c r="A235" s="1732" t="s">
        <v>1349</v>
      </c>
      <c r="B235" s="1731"/>
      <c r="C235" s="1731"/>
      <c r="D235" s="1731"/>
      <c r="E235" s="1731"/>
      <c r="F235" s="1731"/>
      <c r="G235" s="1731"/>
      <c r="H235" s="1731"/>
    </row>
    <row r="236" spans="1:8" x14ac:dyDescent="0.25">
      <c r="A236" s="1732" t="s">
        <v>1350</v>
      </c>
      <c r="B236" s="1731"/>
      <c r="C236" s="1731"/>
      <c r="D236" s="1731"/>
      <c r="E236" s="1731"/>
      <c r="F236" s="1731"/>
      <c r="G236" s="1731"/>
      <c r="H236" s="1731"/>
    </row>
    <row r="237" spans="1:8" x14ac:dyDescent="0.25">
      <c r="A237" s="1731"/>
      <c r="B237" s="1731"/>
      <c r="C237" s="1731"/>
      <c r="D237" s="1731"/>
      <c r="E237" s="1731"/>
      <c r="F237" s="1731"/>
      <c r="G237" s="1731"/>
      <c r="H237" s="1731"/>
    </row>
    <row r="238" spans="1:8" x14ac:dyDescent="0.25">
      <c r="A238" s="1732" t="s">
        <v>1351</v>
      </c>
      <c r="B238" s="1731"/>
      <c r="C238" s="1731"/>
      <c r="D238" s="1731"/>
      <c r="E238" s="1731"/>
      <c r="F238" s="1731"/>
      <c r="G238" s="1731"/>
      <c r="H238" s="1731"/>
    </row>
    <row r="239" spans="1:8" x14ac:dyDescent="0.25">
      <c r="A239" s="1732" t="s">
        <v>1352</v>
      </c>
      <c r="B239" s="1731"/>
      <c r="C239" s="1731"/>
      <c r="D239" s="1731"/>
      <c r="E239" s="1731"/>
      <c r="F239" s="1731"/>
      <c r="G239" s="1731"/>
      <c r="H239" s="1731"/>
    </row>
    <row r="240" spans="1:8" x14ac:dyDescent="0.25">
      <c r="A240" s="1732" t="s">
        <v>1353</v>
      </c>
      <c r="B240" s="1731"/>
      <c r="C240" s="1731"/>
      <c r="D240" s="1731"/>
      <c r="E240" s="1731"/>
      <c r="F240" s="1731"/>
      <c r="G240" s="1731"/>
      <c r="H240" s="1731"/>
    </row>
    <row r="241" spans="1:8" x14ac:dyDescent="0.25">
      <c r="A241" s="1732" t="s">
        <v>1354</v>
      </c>
      <c r="B241" s="1731"/>
      <c r="C241" s="1731"/>
      <c r="D241" s="1731"/>
      <c r="E241" s="1731"/>
      <c r="F241" s="1731"/>
      <c r="G241" s="1731"/>
      <c r="H241" s="1731"/>
    </row>
    <row r="242" spans="1:8" x14ac:dyDescent="0.25">
      <c r="A242" s="1732" t="s">
        <v>1355</v>
      </c>
      <c r="B242" s="1731"/>
      <c r="C242" s="1731"/>
      <c r="D242" s="1731"/>
      <c r="E242" s="1731"/>
      <c r="F242" s="1731"/>
      <c r="G242" s="1731"/>
      <c r="H242" s="1731"/>
    </row>
    <row r="243" spans="1:8" x14ac:dyDescent="0.25">
      <c r="A243" s="1732" t="s">
        <v>1356</v>
      </c>
      <c r="B243" s="1731"/>
      <c r="C243" s="1731"/>
      <c r="D243" s="1731"/>
      <c r="E243" s="1731"/>
      <c r="F243" s="1731"/>
      <c r="G243" s="1731"/>
      <c r="H243" s="1731"/>
    </row>
    <row r="244" spans="1:8" x14ac:dyDescent="0.25">
      <c r="A244" s="1731"/>
      <c r="B244" s="1731"/>
      <c r="C244" s="1731"/>
      <c r="D244" s="1731"/>
      <c r="E244" s="1731"/>
      <c r="F244" s="1731"/>
      <c r="G244" s="1731"/>
      <c r="H244" s="1731"/>
    </row>
    <row r="245" spans="1:8" x14ac:dyDescent="0.25">
      <c r="A245" s="1732" t="s">
        <v>1357</v>
      </c>
      <c r="B245" s="1731"/>
      <c r="C245" s="1731"/>
      <c r="D245" s="1731"/>
      <c r="E245" s="1731"/>
      <c r="F245" s="1731"/>
      <c r="G245" s="1731"/>
      <c r="H245" s="1731"/>
    </row>
    <row r="246" spans="1:8" x14ac:dyDescent="0.25">
      <c r="A246" s="1732" t="s">
        <v>1358</v>
      </c>
      <c r="B246" s="1731"/>
      <c r="C246" s="1731"/>
      <c r="D246" s="1731"/>
      <c r="E246" s="1731"/>
      <c r="F246" s="1731"/>
      <c r="G246" s="1731"/>
      <c r="H246" s="1731"/>
    </row>
    <row r="247" spans="1:8" x14ac:dyDescent="0.25">
      <c r="A247" s="1732" t="s">
        <v>1359</v>
      </c>
      <c r="B247" s="1731"/>
      <c r="C247" s="1731"/>
      <c r="D247" s="1731"/>
      <c r="E247" s="1731"/>
      <c r="F247" s="1731"/>
      <c r="G247" s="1731"/>
      <c r="H247" s="1731"/>
    </row>
    <row r="248" spans="1:8" x14ac:dyDescent="0.25">
      <c r="A248" s="1732" t="s">
        <v>1360</v>
      </c>
      <c r="B248" s="1731"/>
      <c r="C248" s="1731"/>
      <c r="D248" s="1731"/>
      <c r="E248" s="1731"/>
      <c r="F248" s="1731"/>
      <c r="G248" s="1731"/>
      <c r="H248" s="1731"/>
    </row>
    <row r="249" spans="1:8" x14ac:dyDescent="0.25">
      <c r="A249" s="1732" t="s">
        <v>1361</v>
      </c>
      <c r="B249" s="1731"/>
      <c r="C249" s="1731"/>
      <c r="D249" s="1731"/>
      <c r="E249" s="1731"/>
      <c r="F249" s="1731"/>
      <c r="G249" s="1731"/>
      <c r="H249" s="1731"/>
    </row>
    <row r="250" spans="1:8" x14ac:dyDescent="0.25">
      <c r="A250" s="1732" t="s">
        <v>1362</v>
      </c>
      <c r="B250" s="1731"/>
      <c r="C250" s="1731"/>
      <c r="D250" s="1731"/>
      <c r="E250" s="1731"/>
      <c r="F250" s="1731"/>
      <c r="G250" s="1731"/>
      <c r="H250" s="1731"/>
    </row>
    <row r="251" spans="1:8" x14ac:dyDescent="0.25">
      <c r="A251" s="1732" t="s">
        <v>1363</v>
      </c>
      <c r="B251" s="1731"/>
      <c r="C251" s="1731"/>
      <c r="D251" s="1731"/>
      <c r="E251" s="1731"/>
      <c r="F251" s="1731"/>
      <c r="G251" s="1731"/>
      <c r="H251" s="1731"/>
    </row>
    <row r="252" spans="1:8" x14ac:dyDescent="0.25">
      <c r="A252" s="1732" t="s">
        <v>1364</v>
      </c>
      <c r="B252" s="1731"/>
      <c r="C252" s="1731"/>
      <c r="D252" s="1731"/>
      <c r="E252" s="1731"/>
      <c r="F252" s="1731"/>
      <c r="G252" s="1731"/>
      <c r="H252" s="1731"/>
    </row>
    <row r="253" spans="1:8" x14ac:dyDescent="0.25">
      <c r="A253" s="1732" t="s">
        <v>1365</v>
      </c>
      <c r="B253" s="1731"/>
      <c r="C253" s="1731"/>
      <c r="D253" s="1731"/>
      <c r="E253" s="1731"/>
      <c r="F253" s="1731"/>
      <c r="G253" s="1731"/>
      <c r="H253" s="1731"/>
    </row>
    <row r="254" spans="1:8" x14ac:dyDescent="0.25">
      <c r="A254" s="1732" t="s">
        <v>1366</v>
      </c>
      <c r="B254" s="1731"/>
      <c r="C254" s="1731"/>
      <c r="D254" s="1731"/>
      <c r="E254" s="1731"/>
      <c r="F254" s="1731"/>
      <c r="G254" s="1731"/>
      <c r="H254" s="1731"/>
    </row>
    <row r="255" spans="1:8" x14ac:dyDescent="0.25">
      <c r="A255" s="1732" t="s">
        <v>1367</v>
      </c>
      <c r="B255" s="1731"/>
      <c r="C255" s="1731"/>
      <c r="D255" s="1731"/>
      <c r="E255" s="1731"/>
      <c r="F255" s="1731"/>
      <c r="G255" s="1731"/>
      <c r="H255" s="1731"/>
    </row>
    <row r="256" spans="1:8" x14ac:dyDescent="0.25">
      <c r="A256" s="1732" t="s">
        <v>1368</v>
      </c>
      <c r="B256" s="1731"/>
      <c r="C256" s="1731"/>
      <c r="D256" s="1731"/>
      <c r="E256" s="1731"/>
      <c r="F256" s="1731"/>
      <c r="G256" s="1731"/>
      <c r="H256" s="1731"/>
    </row>
    <row r="257" spans="1:8" x14ac:dyDescent="0.25">
      <c r="A257" s="1732" t="s">
        <v>1369</v>
      </c>
      <c r="B257" s="1731"/>
      <c r="C257" s="1731"/>
      <c r="D257" s="1731"/>
      <c r="E257" s="1731"/>
      <c r="F257" s="1731"/>
      <c r="G257" s="1731"/>
      <c r="H257" s="1731"/>
    </row>
    <row r="258" spans="1:8" x14ac:dyDescent="0.25">
      <c r="A258" s="1732" t="s">
        <v>1370</v>
      </c>
      <c r="B258" s="1731"/>
      <c r="C258" s="1731"/>
      <c r="D258" s="1731"/>
      <c r="E258" s="1731"/>
      <c r="F258" s="1731"/>
      <c r="G258" s="1731"/>
      <c r="H258" s="1731"/>
    </row>
    <row r="259" spans="1:8" x14ac:dyDescent="0.25">
      <c r="A259" s="1731"/>
      <c r="B259" s="1731"/>
      <c r="C259" s="1731"/>
      <c r="D259" s="1731"/>
      <c r="E259" s="1731"/>
      <c r="F259" s="1731"/>
      <c r="G259" s="1731"/>
      <c r="H259" s="1731"/>
    </row>
    <row r="260" spans="1:8" x14ac:dyDescent="0.25">
      <c r="A260" s="1732" t="s">
        <v>1371</v>
      </c>
      <c r="B260" s="1731"/>
      <c r="C260" s="1731"/>
      <c r="D260" s="1731"/>
      <c r="E260" s="1731"/>
      <c r="F260" s="1731"/>
      <c r="G260" s="1731"/>
      <c r="H260" s="1731"/>
    </row>
    <row r="261" spans="1:8" x14ac:dyDescent="0.25">
      <c r="A261" s="1732" t="s">
        <v>1372</v>
      </c>
      <c r="B261" s="1731"/>
      <c r="C261" s="1731"/>
      <c r="D261" s="1731"/>
      <c r="E261" s="1731"/>
      <c r="F261" s="1731"/>
      <c r="G261" s="1731"/>
      <c r="H261" s="1731"/>
    </row>
    <row r="262" spans="1:8" x14ac:dyDescent="0.25">
      <c r="A262" s="1731"/>
      <c r="B262" s="1731"/>
      <c r="C262" s="1731"/>
      <c r="D262" s="1731"/>
      <c r="E262" s="1731"/>
      <c r="F262" s="1731"/>
      <c r="G262" s="1731"/>
      <c r="H262" s="1731"/>
    </row>
    <row r="263" spans="1:8" x14ac:dyDescent="0.25">
      <c r="A263" s="1732" t="s">
        <v>1373</v>
      </c>
      <c r="B263" s="1731"/>
      <c r="C263" s="1731"/>
      <c r="D263" s="1731"/>
      <c r="E263" s="1731"/>
      <c r="F263" s="1731"/>
      <c r="G263" s="1731"/>
      <c r="H263" s="1731"/>
    </row>
    <row r="264" spans="1:8" x14ac:dyDescent="0.25">
      <c r="A264" s="1732" t="s">
        <v>1374</v>
      </c>
      <c r="B264" s="1731"/>
      <c r="C264" s="1731"/>
      <c r="D264" s="1731"/>
      <c r="E264" s="1731"/>
      <c r="F264" s="1731"/>
      <c r="G264" s="1731"/>
      <c r="H264" s="1731"/>
    </row>
    <row r="265" spans="1:8" x14ac:dyDescent="0.25">
      <c r="A265" s="1732" t="s">
        <v>1375</v>
      </c>
      <c r="B265" s="1731"/>
      <c r="C265" s="1731"/>
      <c r="D265" s="1731"/>
      <c r="E265" s="1731"/>
      <c r="F265" s="1731"/>
      <c r="G265" s="1731"/>
      <c r="H265" s="1731"/>
    </row>
    <row r="266" spans="1:8" x14ac:dyDescent="0.25">
      <c r="A266" s="1732" t="s">
        <v>1376</v>
      </c>
      <c r="B266" s="1731"/>
      <c r="C266" s="1731"/>
      <c r="D266" s="1731"/>
      <c r="E266" s="1731"/>
      <c r="F266" s="1731"/>
      <c r="G266" s="1731"/>
      <c r="H266" s="1731"/>
    </row>
    <row r="267" spans="1:8" x14ac:dyDescent="0.25">
      <c r="A267" s="1732" t="s">
        <v>1377</v>
      </c>
      <c r="B267" s="1731"/>
      <c r="C267" s="1731"/>
      <c r="D267" s="1731"/>
      <c r="E267" s="1731"/>
      <c r="F267" s="1731"/>
      <c r="G267" s="1731"/>
      <c r="H267" s="1731"/>
    </row>
    <row r="268" spans="1:8" x14ac:dyDescent="0.25">
      <c r="A268" s="1732" t="s">
        <v>1378</v>
      </c>
      <c r="B268" s="1731"/>
      <c r="C268" s="1731"/>
      <c r="D268" s="1731"/>
      <c r="E268" s="1731"/>
      <c r="F268" s="1731"/>
      <c r="G268" s="1731"/>
      <c r="H268" s="1731"/>
    </row>
    <row r="269" spans="1:8" x14ac:dyDescent="0.25">
      <c r="A269" s="1732" t="s">
        <v>1379</v>
      </c>
      <c r="B269" s="1731"/>
      <c r="C269" s="1731"/>
      <c r="D269" s="1731"/>
      <c r="E269" s="1731"/>
      <c r="F269" s="1731"/>
      <c r="G269" s="1731"/>
      <c r="H269" s="1731"/>
    </row>
    <row r="270" spans="1:8" x14ac:dyDescent="0.25">
      <c r="A270" s="1732" t="s">
        <v>1380</v>
      </c>
      <c r="B270" s="1731"/>
      <c r="C270" s="1731"/>
      <c r="D270" s="1731"/>
      <c r="E270" s="1731"/>
      <c r="F270" s="1731"/>
      <c r="G270" s="1731"/>
      <c r="H270" s="1731"/>
    </row>
    <row r="271" spans="1:8" x14ac:dyDescent="0.25">
      <c r="A271" s="1732" t="s">
        <v>1381</v>
      </c>
      <c r="B271" s="1731"/>
      <c r="C271" s="1731"/>
      <c r="D271" s="1731"/>
      <c r="E271" s="1731"/>
      <c r="F271" s="1731"/>
      <c r="G271" s="1731"/>
      <c r="H271" s="1731"/>
    </row>
    <row r="272" spans="1:8" x14ac:dyDescent="0.25">
      <c r="A272" s="1732" t="s">
        <v>1382</v>
      </c>
      <c r="B272" s="1731"/>
      <c r="C272" s="1731"/>
      <c r="D272" s="1731"/>
      <c r="E272" s="1731"/>
      <c r="F272" s="1731"/>
      <c r="G272" s="1731"/>
      <c r="H272" s="1731"/>
    </row>
    <row r="273" spans="1:8" x14ac:dyDescent="0.25">
      <c r="A273" s="1732" t="s">
        <v>1383</v>
      </c>
      <c r="B273" s="1731"/>
      <c r="C273" s="1731"/>
      <c r="D273" s="1731"/>
      <c r="E273" s="1731"/>
      <c r="F273" s="1731"/>
      <c r="G273" s="1731"/>
      <c r="H273" s="1731"/>
    </row>
    <row r="274" spans="1:8" x14ac:dyDescent="0.25">
      <c r="A274" s="1732" t="s">
        <v>1384</v>
      </c>
      <c r="B274" s="1731"/>
      <c r="C274" s="1731"/>
      <c r="D274" s="1731"/>
      <c r="E274" s="1731"/>
      <c r="F274" s="1731"/>
      <c r="G274" s="1731"/>
      <c r="H274" s="1731"/>
    </row>
    <row r="275" spans="1:8" x14ac:dyDescent="0.25">
      <c r="A275" s="1732" t="s">
        <v>1385</v>
      </c>
      <c r="B275" s="1731"/>
      <c r="C275" s="1731"/>
      <c r="D275" s="1731"/>
      <c r="E275" s="1731"/>
      <c r="F275" s="1731"/>
      <c r="G275" s="1731"/>
      <c r="H275" s="1731"/>
    </row>
    <row r="276" spans="1:8" x14ac:dyDescent="0.25">
      <c r="A276" s="1732" t="s">
        <v>1386</v>
      </c>
      <c r="B276" s="1731"/>
      <c r="C276" s="1731"/>
      <c r="D276" s="1731"/>
      <c r="E276" s="1731"/>
      <c r="F276" s="1731"/>
      <c r="G276" s="1731"/>
      <c r="H276" s="1731"/>
    </row>
    <row r="277" spans="1:8" x14ac:dyDescent="0.25">
      <c r="A277" s="1732" t="s">
        <v>1387</v>
      </c>
      <c r="B277" s="1731"/>
      <c r="C277" s="1731"/>
      <c r="D277" s="1731"/>
      <c r="E277" s="1731"/>
      <c r="F277" s="1731"/>
      <c r="G277" s="1731"/>
      <c r="H277" s="1731"/>
    </row>
    <row r="278" spans="1:8" x14ac:dyDescent="0.25">
      <c r="A278" s="1732" t="s">
        <v>1388</v>
      </c>
      <c r="B278" s="1731"/>
      <c r="C278" s="1731"/>
      <c r="D278" s="1731"/>
      <c r="E278" s="1731"/>
      <c r="F278" s="1731"/>
      <c r="G278" s="1731"/>
      <c r="H278" s="1731"/>
    </row>
    <row r="279" spans="1:8" x14ac:dyDescent="0.25">
      <c r="A279" s="1731"/>
      <c r="B279" s="1731"/>
      <c r="C279" s="1731"/>
      <c r="D279" s="1731"/>
      <c r="E279" s="1731"/>
      <c r="F279" s="1731"/>
      <c r="G279" s="1731"/>
      <c r="H279" s="1731"/>
    </row>
    <row r="280" spans="1:8" x14ac:dyDescent="0.25">
      <c r="A280" s="1732" t="s">
        <v>1389</v>
      </c>
      <c r="B280" s="1731"/>
      <c r="C280" s="1731"/>
      <c r="D280" s="1731"/>
      <c r="E280" s="1731"/>
      <c r="F280" s="1731"/>
      <c r="G280" s="1731"/>
      <c r="H280" s="1731"/>
    </row>
    <row r="281" spans="1:8" x14ac:dyDescent="0.25">
      <c r="A281" s="1732" t="s">
        <v>1390</v>
      </c>
      <c r="B281" s="1731"/>
      <c r="C281" s="1731"/>
      <c r="D281" s="1731"/>
      <c r="E281" s="1731"/>
      <c r="F281" s="1731"/>
      <c r="G281" s="1731"/>
      <c r="H281" s="1731"/>
    </row>
    <row r="282" spans="1:8" x14ac:dyDescent="0.25">
      <c r="A282" s="1732" t="s">
        <v>1391</v>
      </c>
      <c r="B282" s="1731"/>
      <c r="C282" s="1731"/>
      <c r="D282" s="1731"/>
      <c r="E282" s="1731"/>
      <c r="F282" s="1731"/>
      <c r="G282" s="1731"/>
      <c r="H282" s="1731"/>
    </row>
    <row r="283" spans="1:8" x14ac:dyDescent="0.25">
      <c r="A283" s="1732" t="s">
        <v>1392</v>
      </c>
      <c r="B283" s="1731"/>
      <c r="C283" s="1731"/>
      <c r="D283" s="1731"/>
      <c r="E283" s="1731"/>
      <c r="F283" s="1731"/>
      <c r="G283" s="1731"/>
      <c r="H283" s="1731"/>
    </row>
    <row r="284" spans="1:8" x14ac:dyDescent="0.25">
      <c r="A284" s="1732" t="s">
        <v>1393</v>
      </c>
      <c r="B284" s="1731"/>
      <c r="C284" s="1731"/>
      <c r="D284" s="1731"/>
      <c r="E284" s="1731"/>
      <c r="F284" s="1731"/>
      <c r="G284" s="1731"/>
      <c r="H284" s="1731"/>
    </row>
    <row r="285" spans="1:8" x14ac:dyDescent="0.25">
      <c r="A285" s="1732" t="s">
        <v>1394</v>
      </c>
      <c r="B285" s="1731"/>
      <c r="C285" s="1731"/>
      <c r="D285" s="1731"/>
      <c r="E285" s="1731"/>
      <c r="F285" s="1731"/>
      <c r="G285" s="1731"/>
      <c r="H285" s="1731"/>
    </row>
    <row r="286" spans="1:8" x14ac:dyDescent="0.25">
      <c r="A286" s="1732" t="s">
        <v>1253</v>
      </c>
      <c r="B286" s="1731"/>
      <c r="C286" s="1731"/>
      <c r="D286" s="1731"/>
      <c r="E286" s="1731"/>
      <c r="F286" s="1731"/>
      <c r="G286" s="1731"/>
      <c r="H286" s="1731"/>
    </row>
    <row r="287" spans="1:8" x14ac:dyDescent="0.25">
      <c r="A287" s="1731"/>
      <c r="B287" s="1731"/>
      <c r="C287" s="1731"/>
      <c r="D287" s="1731"/>
      <c r="E287" s="1731"/>
      <c r="F287" s="1731"/>
      <c r="G287" s="1731"/>
      <c r="H287" s="1731"/>
    </row>
    <row r="288" spans="1:8" x14ac:dyDescent="0.25">
      <c r="A288" s="1732" t="s">
        <v>1395</v>
      </c>
      <c r="B288" s="1731"/>
      <c r="C288" s="1731"/>
      <c r="D288" s="1731"/>
      <c r="E288" s="1731"/>
      <c r="F288" s="1731"/>
      <c r="G288" s="1731"/>
      <c r="H288" s="1731"/>
    </row>
    <row r="289" spans="1:8" x14ac:dyDescent="0.25">
      <c r="A289" s="1732" t="s">
        <v>1396</v>
      </c>
      <c r="B289" s="1731"/>
      <c r="C289" s="1731"/>
      <c r="D289" s="1731"/>
      <c r="E289" s="1731"/>
      <c r="F289" s="1731"/>
      <c r="G289" s="1731"/>
      <c r="H289" s="1731"/>
    </row>
    <row r="290" spans="1:8" x14ac:dyDescent="0.25">
      <c r="A290" s="1732" t="s">
        <v>1397</v>
      </c>
      <c r="B290" s="1731"/>
      <c r="C290" s="1731"/>
      <c r="D290" s="1731"/>
      <c r="E290" s="1731"/>
      <c r="F290" s="1731"/>
      <c r="G290" s="1731"/>
      <c r="H290" s="1731"/>
    </row>
    <row r="291" spans="1:8" x14ac:dyDescent="0.25">
      <c r="A291" s="1732" t="s">
        <v>1398</v>
      </c>
      <c r="B291" s="1731"/>
      <c r="C291" s="1731"/>
      <c r="D291" s="1731"/>
      <c r="E291" s="1731"/>
      <c r="F291" s="1731"/>
      <c r="G291" s="1731"/>
      <c r="H291" s="1731"/>
    </row>
    <row r="292" spans="1:8" x14ac:dyDescent="0.25">
      <c r="A292" s="1732" t="s">
        <v>1399</v>
      </c>
      <c r="B292" s="1731"/>
      <c r="C292" s="1731"/>
      <c r="D292" s="1731"/>
      <c r="E292" s="1731"/>
      <c r="F292" s="1731"/>
      <c r="G292" s="1731"/>
      <c r="H292" s="1731"/>
    </row>
    <row r="293" spans="1:8" x14ac:dyDescent="0.25">
      <c r="A293" s="1732" t="s">
        <v>1400</v>
      </c>
      <c r="B293" s="1731"/>
      <c r="C293" s="1731"/>
      <c r="D293" s="1731"/>
      <c r="E293" s="1731"/>
      <c r="F293" s="1731"/>
      <c r="G293" s="1731"/>
      <c r="H293" s="1731"/>
    </row>
    <row r="294" spans="1:8" x14ac:dyDescent="0.25">
      <c r="A294" s="1732" t="s">
        <v>1401</v>
      </c>
      <c r="B294" s="1731"/>
      <c r="C294" s="1731"/>
      <c r="D294" s="1731"/>
      <c r="E294" s="1731"/>
      <c r="F294" s="1731"/>
      <c r="G294" s="1731"/>
      <c r="H294" s="1731"/>
    </row>
    <row r="295" spans="1:8" x14ac:dyDescent="0.25">
      <c r="A295" s="1732" t="s">
        <v>1402</v>
      </c>
      <c r="B295" s="1731"/>
      <c r="C295" s="1731"/>
      <c r="D295" s="1731"/>
      <c r="E295" s="1731"/>
      <c r="F295" s="1731"/>
      <c r="G295" s="1731"/>
      <c r="H295" s="1731"/>
    </row>
    <row r="296" spans="1:8" x14ac:dyDescent="0.25">
      <c r="A296" s="1732" t="s">
        <v>1403</v>
      </c>
      <c r="B296" s="1731"/>
      <c r="C296" s="1731"/>
      <c r="D296" s="1731"/>
      <c r="E296" s="1731"/>
      <c r="F296" s="1731"/>
      <c r="G296" s="1731"/>
      <c r="H296" s="1731"/>
    </row>
    <row r="297" spans="1:8" x14ac:dyDescent="0.25">
      <c r="A297" s="1731"/>
      <c r="B297" s="1731"/>
      <c r="C297" s="1731"/>
      <c r="D297" s="1731"/>
      <c r="E297" s="1731"/>
      <c r="F297" s="1731"/>
      <c r="G297" s="1731"/>
      <c r="H297" s="1731"/>
    </row>
    <row r="298" spans="1:8" x14ac:dyDescent="0.25">
      <c r="A298" s="1732" t="s">
        <v>1404</v>
      </c>
      <c r="B298" s="1731"/>
      <c r="C298" s="1731"/>
      <c r="D298" s="1731"/>
      <c r="E298" s="1731"/>
      <c r="F298" s="1731"/>
      <c r="G298" s="1731"/>
      <c r="H298" s="1731"/>
    </row>
    <row r="299" spans="1:8" x14ac:dyDescent="0.25">
      <c r="A299" s="1732" t="s">
        <v>1405</v>
      </c>
      <c r="B299" s="1731"/>
      <c r="C299" s="1731"/>
      <c r="D299" s="1731"/>
      <c r="E299" s="1731"/>
      <c r="F299" s="1731"/>
      <c r="G299" s="1731"/>
      <c r="H299" s="1731"/>
    </row>
    <row r="300" spans="1:8" x14ac:dyDescent="0.25">
      <c r="A300" s="1732" t="s">
        <v>1406</v>
      </c>
      <c r="B300" s="1731"/>
      <c r="C300" s="1731"/>
      <c r="D300" s="1731"/>
      <c r="E300" s="1731"/>
      <c r="F300" s="1731"/>
      <c r="G300" s="1731"/>
      <c r="H300" s="1731"/>
    </row>
    <row r="301" spans="1:8" x14ac:dyDescent="0.25">
      <c r="A301" s="1732" t="s">
        <v>1407</v>
      </c>
      <c r="B301" s="1731"/>
      <c r="C301" s="1731"/>
      <c r="D301" s="1731"/>
      <c r="E301" s="1731"/>
      <c r="F301" s="1731"/>
      <c r="G301" s="1731"/>
      <c r="H301" s="1731"/>
    </row>
    <row r="302" spans="1:8" x14ac:dyDescent="0.25">
      <c r="A302" s="1732" t="s">
        <v>1408</v>
      </c>
      <c r="B302" s="1731"/>
      <c r="C302" s="1731"/>
      <c r="D302" s="1731"/>
      <c r="E302" s="1731"/>
      <c r="F302" s="1731"/>
      <c r="G302" s="1731"/>
      <c r="H302" s="1731"/>
    </row>
    <row r="303" spans="1:8" x14ac:dyDescent="0.25">
      <c r="A303" s="1732" t="s">
        <v>1409</v>
      </c>
      <c r="B303" s="1731"/>
      <c r="C303" s="1731"/>
      <c r="D303" s="1731"/>
      <c r="E303" s="1731"/>
      <c r="F303" s="1731"/>
      <c r="G303" s="1731"/>
      <c r="H303" s="1731"/>
    </row>
    <row r="304" spans="1:8" x14ac:dyDescent="0.25">
      <c r="A304" s="1732" t="s">
        <v>1410</v>
      </c>
      <c r="B304" s="1731"/>
      <c r="C304" s="1731"/>
      <c r="D304" s="1731"/>
      <c r="E304" s="1731"/>
      <c r="F304" s="1731"/>
      <c r="G304" s="1731"/>
      <c r="H304" s="1731"/>
    </row>
    <row r="305" spans="1:8" x14ac:dyDescent="0.25">
      <c r="A305" s="1731"/>
      <c r="B305" s="1731"/>
      <c r="C305" s="1731"/>
      <c r="D305" s="1731"/>
      <c r="E305" s="1731"/>
      <c r="F305" s="1731"/>
      <c r="G305" s="1731"/>
      <c r="H305" s="1731"/>
    </row>
    <row r="306" spans="1:8" x14ac:dyDescent="0.25">
      <c r="A306" s="1732" t="s">
        <v>1411</v>
      </c>
      <c r="B306" s="1731"/>
      <c r="C306" s="1731"/>
      <c r="D306" s="1731"/>
      <c r="E306" s="1731"/>
      <c r="F306" s="1731"/>
      <c r="G306" s="1731"/>
      <c r="H306" s="1731"/>
    </row>
    <row r="307" spans="1:8" x14ac:dyDescent="0.25">
      <c r="A307" s="1732" t="s">
        <v>1412</v>
      </c>
      <c r="B307" s="1731"/>
      <c r="C307" s="1731"/>
      <c r="D307" s="1731"/>
      <c r="E307" s="1731"/>
      <c r="F307" s="1731"/>
      <c r="G307" s="1731"/>
      <c r="H307" s="1731"/>
    </row>
    <row r="308" spans="1:8" x14ac:dyDescent="0.25">
      <c r="A308" s="1732" t="s">
        <v>1413</v>
      </c>
      <c r="B308" s="1731"/>
      <c r="C308" s="1731"/>
      <c r="D308" s="1731"/>
      <c r="E308" s="1731"/>
      <c r="F308" s="1731"/>
      <c r="G308" s="1731"/>
      <c r="H308" s="1731"/>
    </row>
    <row r="309" spans="1:8" x14ac:dyDescent="0.25">
      <c r="A309" s="1731"/>
      <c r="B309" s="1731"/>
      <c r="C309" s="1731"/>
      <c r="D309" s="1731"/>
      <c r="E309" s="1731"/>
      <c r="F309" s="1731"/>
      <c r="G309" s="1731"/>
      <c r="H309" s="1731"/>
    </row>
    <row r="310" spans="1:8" x14ac:dyDescent="0.25">
      <c r="A310" s="1732" t="s">
        <v>1414</v>
      </c>
      <c r="B310" s="1731"/>
      <c r="C310" s="1731"/>
      <c r="D310" s="1731"/>
      <c r="E310" s="1731"/>
      <c r="F310" s="1731"/>
      <c r="G310" s="1731"/>
      <c r="H310" s="1731"/>
    </row>
    <row r="311" spans="1:8" x14ac:dyDescent="0.25">
      <c r="A311" s="1732" t="s">
        <v>1415</v>
      </c>
      <c r="B311" s="1731"/>
      <c r="C311" s="1731"/>
      <c r="D311" s="1731"/>
      <c r="E311" s="1731"/>
      <c r="F311" s="1731"/>
      <c r="G311" s="1731"/>
      <c r="H311" s="1731"/>
    </row>
    <row r="312" spans="1:8" x14ac:dyDescent="0.25">
      <c r="A312" s="1731"/>
      <c r="B312" s="1731"/>
      <c r="C312" s="1731"/>
      <c r="D312" s="1731"/>
      <c r="E312" s="1731"/>
      <c r="F312" s="1731"/>
      <c r="G312" s="1731"/>
      <c r="H312" s="1731"/>
    </row>
    <row r="313" spans="1:8" x14ac:dyDescent="0.25">
      <c r="A313" s="1732" t="s">
        <v>1416</v>
      </c>
      <c r="B313" s="1731"/>
      <c r="C313" s="1731"/>
      <c r="D313" s="1731"/>
      <c r="E313" s="1731"/>
      <c r="F313" s="1731"/>
      <c r="G313" s="1731"/>
      <c r="H313" s="1731"/>
    </row>
    <row r="314" spans="1:8" x14ac:dyDescent="0.25">
      <c r="A314" s="1732" t="s">
        <v>1417</v>
      </c>
      <c r="B314" s="1731"/>
      <c r="C314" s="1731"/>
      <c r="D314" s="1731"/>
      <c r="E314" s="1731"/>
      <c r="F314" s="1731"/>
      <c r="G314" s="1731"/>
      <c r="H314" s="1731"/>
    </row>
    <row r="315" spans="1:8" x14ac:dyDescent="0.25">
      <c r="A315" s="1732" t="s">
        <v>1418</v>
      </c>
      <c r="B315" s="1731"/>
      <c r="C315" s="1731"/>
      <c r="D315" s="1731"/>
      <c r="E315" s="1731"/>
      <c r="F315" s="1731"/>
      <c r="G315" s="1731"/>
      <c r="H315" s="1731"/>
    </row>
    <row r="316" spans="1:8" x14ac:dyDescent="0.25">
      <c r="A316" s="1732" t="s">
        <v>1419</v>
      </c>
      <c r="B316" s="1731"/>
      <c r="C316" s="1731"/>
      <c r="D316" s="1731"/>
      <c r="E316" s="1731"/>
      <c r="F316" s="1731"/>
      <c r="G316" s="1731"/>
      <c r="H316" s="1731"/>
    </row>
    <row r="317" spans="1:8" x14ac:dyDescent="0.25">
      <c r="A317" s="1732" t="s">
        <v>1420</v>
      </c>
      <c r="B317" s="1731"/>
      <c r="C317" s="1731"/>
      <c r="D317" s="1731"/>
      <c r="E317" s="1731"/>
      <c r="F317" s="1731"/>
      <c r="G317" s="1731"/>
      <c r="H317" s="1731"/>
    </row>
    <row r="318" spans="1:8" x14ac:dyDescent="0.25">
      <c r="A318" s="1732" t="s">
        <v>1421</v>
      </c>
      <c r="B318" s="1731"/>
      <c r="C318" s="1731"/>
      <c r="D318" s="1731"/>
      <c r="E318" s="1731"/>
      <c r="F318" s="1731"/>
      <c r="G318" s="1731"/>
      <c r="H318" s="1731"/>
    </row>
    <row r="319" spans="1:8" x14ac:dyDescent="0.25">
      <c r="A319" s="1732" t="s">
        <v>1422</v>
      </c>
      <c r="B319" s="1731"/>
      <c r="C319" s="1731"/>
      <c r="D319" s="1731"/>
      <c r="E319" s="1731"/>
      <c r="F319" s="1731"/>
      <c r="G319" s="1731"/>
      <c r="H319" s="1731"/>
    </row>
    <row r="320" spans="1:8" x14ac:dyDescent="0.25">
      <c r="A320" s="1732" t="s">
        <v>1423</v>
      </c>
      <c r="B320" s="1731"/>
      <c r="C320" s="1731"/>
      <c r="D320" s="1731"/>
      <c r="E320" s="1731"/>
      <c r="F320" s="1731"/>
      <c r="G320" s="1731"/>
      <c r="H320" s="1731"/>
    </row>
    <row r="321" spans="1:8" x14ac:dyDescent="0.25">
      <c r="A321" s="1732" t="s">
        <v>1424</v>
      </c>
      <c r="B321" s="1731"/>
      <c r="C321" s="1731"/>
      <c r="D321" s="1731"/>
      <c r="E321" s="1731"/>
      <c r="F321" s="1731"/>
      <c r="G321" s="1731"/>
      <c r="H321" s="1731"/>
    </row>
    <row r="322" spans="1:8" x14ac:dyDescent="0.25">
      <c r="A322" s="1732" t="s">
        <v>1425</v>
      </c>
      <c r="B322" s="1731"/>
      <c r="C322" s="1731"/>
      <c r="D322" s="1731"/>
      <c r="E322" s="1731"/>
      <c r="F322" s="1731"/>
      <c r="G322" s="1731"/>
      <c r="H322" s="1731"/>
    </row>
    <row r="323" spans="1:8" x14ac:dyDescent="0.25">
      <c r="A323" s="1732" t="s">
        <v>1426</v>
      </c>
      <c r="B323" s="1731"/>
      <c r="C323" s="1731"/>
      <c r="D323" s="1731"/>
      <c r="E323" s="1731"/>
      <c r="F323" s="1731"/>
      <c r="G323" s="1731"/>
      <c r="H323" s="1731"/>
    </row>
    <row r="324" spans="1:8" x14ac:dyDescent="0.25">
      <c r="A324" s="1732" t="s">
        <v>1427</v>
      </c>
      <c r="B324" s="1731"/>
      <c r="C324" s="1731"/>
      <c r="D324" s="1731"/>
      <c r="E324" s="1731"/>
      <c r="F324" s="1731"/>
      <c r="G324" s="1731"/>
      <c r="H324" s="1731"/>
    </row>
    <row r="325" spans="1:8" x14ac:dyDescent="0.25">
      <c r="A325" s="1732" t="s">
        <v>1428</v>
      </c>
      <c r="B325" s="1731"/>
      <c r="C325" s="1731"/>
      <c r="D325" s="1731"/>
      <c r="E325" s="1731"/>
      <c r="F325" s="1731"/>
      <c r="G325" s="1731"/>
      <c r="H325" s="1731"/>
    </row>
    <row r="326" spans="1:8" x14ac:dyDescent="0.25">
      <c r="A326" s="1731"/>
      <c r="B326" s="1731"/>
      <c r="C326" s="1731"/>
      <c r="D326" s="1731"/>
      <c r="E326" s="1731"/>
      <c r="F326" s="1731"/>
      <c r="G326" s="1731"/>
      <c r="H326" s="1731"/>
    </row>
    <row r="327" spans="1:8" x14ac:dyDescent="0.25">
      <c r="A327" s="1732" t="s">
        <v>1429</v>
      </c>
      <c r="B327" s="1731"/>
      <c r="C327" s="1731"/>
      <c r="D327" s="1731"/>
      <c r="E327" s="1731"/>
      <c r="F327" s="1731"/>
      <c r="G327" s="1731"/>
      <c r="H327" s="1731"/>
    </row>
    <row r="328" spans="1:8" x14ac:dyDescent="0.25">
      <c r="A328" s="1732" t="s">
        <v>1430</v>
      </c>
      <c r="B328" s="1731"/>
      <c r="C328" s="1731"/>
      <c r="D328" s="1731"/>
      <c r="E328" s="1731"/>
      <c r="F328" s="1731"/>
      <c r="G328" s="1731"/>
      <c r="H328" s="1731"/>
    </row>
    <row r="329" spans="1:8" x14ac:dyDescent="0.25">
      <c r="A329" s="1732" t="s">
        <v>1431</v>
      </c>
      <c r="B329" s="1731"/>
      <c r="C329" s="1731"/>
      <c r="D329" s="1731"/>
      <c r="E329" s="1731"/>
      <c r="F329" s="1731"/>
      <c r="G329" s="1731"/>
      <c r="H329" s="1731"/>
    </row>
    <row r="330" spans="1:8" x14ac:dyDescent="0.25">
      <c r="A330" s="1732" t="s">
        <v>1432</v>
      </c>
      <c r="B330" s="1731"/>
      <c r="C330" s="1731"/>
      <c r="D330" s="1731"/>
      <c r="E330" s="1731"/>
      <c r="F330" s="1731"/>
      <c r="G330" s="1731"/>
      <c r="H330" s="1731"/>
    </row>
    <row r="331" spans="1:8" x14ac:dyDescent="0.25">
      <c r="A331" s="1732" t="s">
        <v>1433</v>
      </c>
      <c r="B331" s="1731"/>
      <c r="C331" s="1731"/>
      <c r="D331" s="1731"/>
      <c r="E331" s="1731"/>
      <c r="F331" s="1731"/>
      <c r="G331" s="1731"/>
      <c r="H331" s="1731"/>
    </row>
    <row r="332" spans="1:8" x14ac:dyDescent="0.25">
      <c r="A332" s="1732" t="s">
        <v>1434</v>
      </c>
      <c r="B332" s="1731"/>
      <c r="C332" s="1731"/>
      <c r="D332" s="1731"/>
      <c r="E332" s="1731"/>
      <c r="F332" s="1731"/>
      <c r="G332" s="1731"/>
      <c r="H332" s="1731"/>
    </row>
    <row r="333" spans="1:8" x14ac:dyDescent="0.25">
      <c r="A333" s="1732" t="s">
        <v>1435</v>
      </c>
      <c r="B333" s="1731"/>
      <c r="C333" s="1731"/>
      <c r="D333" s="1731"/>
      <c r="E333" s="1731"/>
      <c r="F333" s="1731"/>
      <c r="G333" s="1731"/>
      <c r="H333" s="1731"/>
    </row>
    <row r="334" spans="1:8" x14ac:dyDescent="0.25">
      <c r="A334" s="1732" t="s">
        <v>1436</v>
      </c>
      <c r="B334" s="1731"/>
      <c r="C334" s="1731"/>
      <c r="D334" s="1731"/>
      <c r="E334" s="1731"/>
      <c r="F334" s="1731"/>
      <c r="G334" s="1731"/>
      <c r="H334" s="1731"/>
    </row>
    <row r="335" spans="1:8" x14ac:dyDescent="0.25">
      <c r="A335" s="1731"/>
      <c r="B335" s="1731"/>
      <c r="C335" s="1731"/>
      <c r="D335" s="1731"/>
      <c r="E335" s="1731"/>
      <c r="F335" s="1731"/>
      <c r="G335" s="1731"/>
      <c r="H335" s="1731"/>
    </row>
    <row r="336" spans="1:8" x14ac:dyDescent="0.25">
      <c r="A336" s="1732" t="s">
        <v>1437</v>
      </c>
      <c r="B336" s="1731"/>
      <c r="C336" s="1731"/>
      <c r="D336" s="1731"/>
      <c r="E336" s="1731"/>
      <c r="F336" s="1731"/>
      <c r="G336" s="1731"/>
      <c r="H336" s="1731"/>
    </row>
    <row r="337" spans="1:8" x14ac:dyDescent="0.25">
      <c r="A337" s="1732" t="s">
        <v>1438</v>
      </c>
      <c r="B337" s="1731"/>
      <c r="C337" s="1731"/>
      <c r="D337" s="1731"/>
      <c r="E337" s="1731"/>
      <c r="F337" s="1731"/>
      <c r="G337" s="1731"/>
      <c r="H337" s="1731"/>
    </row>
    <row r="338" spans="1:8" x14ac:dyDescent="0.25">
      <c r="A338" s="1732" t="s">
        <v>1439</v>
      </c>
      <c r="B338" s="1731"/>
      <c r="C338" s="1731"/>
      <c r="D338" s="1731"/>
      <c r="E338" s="1731"/>
      <c r="F338" s="1731"/>
      <c r="G338" s="1731"/>
      <c r="H338" s="1731"/>
    </row>
    <row r="339" spans="1:8" x14ac:dyDescent="0.25">
      <c r="A339" s="1732" t="s">
        <v>1440</v>
      </c>
      <c r="B339" s="1731"/>
      <c r="C339" s="1731"/>
      <c r="D339" s="1731"/>
      <c r="E339" s="1731"/>
      <c r="F339" s="1731"/>
      <c r="G339" s="1731"/>
      <c r="H339" s="1731"/>
    </row>
    <row r="340" spans="1:8" x14ac:dyDescent="0.25">
      <c r="A340" s="1732" t="s">
        <v>1441</v>
      </c>
      <c r="B340" s="1731"/>
      <c r="C340" s="1731"/>
      <c r="D340" s="1731"/>
      <c r="E340" s="1731"/>
      <c r="F340" s="1731"/>
      <c r="G340" s="1731"/>
      <c r="H340" s="1731"/>
    </row>
    <row r="341" spans="1:8" x14ac:dyDescent="0.25">
      <c r="A341" s="1732" t="s">
        <v>1442</v>
      </c>
      <c r="B341" s="1731"/>
      <c r="C341" s="1731"/>
      <c r="D341" s="1731"/>
      <c r="E341" s="1731"/>
      <c r="F341" s="1731"/>
      <c r="G341" s="1731"/>
      <c r="H341" s="1731"/>
    </row>
    <row r="342" spans="1:8" x14ac:dyDescent="0.25">
      <c r="A342" s="1732" t="s">
        <v>1443</v>
      </c>
      <c r="B342" s="1731"/>
      <c r="C342" s="1731"/>
      <c r="D342" s="1731"/>
      <c r="E342" s="1731"/>
      <c r="F342" s="1731"/>
      <c r="G342" s="1731"/>
      <c r="H342" s="1731"/>
    </row>
    <row r="343" spans="1:8" x14ac:dyDescent="0.25">
      <c r="A343" s="1732" t="s">
        <v>1444</v>
      </c>
      <c r="B343" s="1731"/>
      <c r="C343" s="1731"/>
      <c r="D343" s="1731"/>
      <c r="E343" s="1731"/>
      <c r="F343" s="1731"/>
      <c r="G343" s="1731"/>
      <c r="H343" s="1731"/>
    </row>
    <row r="344" spans="1:8" x14ac:dyDescent="0.25">
      <c r="A344" s="1732" t="s">
        <v>1445</v>
      </c>
      <c r="B344" s="1731"/>
      <c r="C344" s="1731"/>
      <c r="D344" s="1731"/>
      <c r="E344" s="1731"/>
      <c r="F344" s="1731"/>
      <c r="G344" s="1731"/>
      <c r="H344" s="1731"/>
    </row>
    <row r="345" spans="1:8" x14ac:dyDescent="0.25">
      <c r="A345" s="1732" t="s">
        <v>1446</v>
      </c>
      <c r="B345" s="1731"/>
      <c r="C345" s="1731"/>
      <c r="D345" s="1731"/>
      <c r="E345" s="1731"/>
      <c r="F345" s="1731"/>
      <c r="G345" s="1731"/>
      <c r="H345" s="1731"/>
    </row>
    <row r="346" spans="1:8" x14ac:dyDescent="0.25">
      <c r="A346" s="1732" t="s">
        <v>1447</v>
      </c>
      <c r="B346" s="1731"/>
      <c r="C346" s="1731"/>
      <c r="D346" s="1731"/>
      <c r="E346" s="1731"/>
      <c r="F346" s="1731"/>
      <c r="G346" s="1731"/>
      <c r="H346" s="1731"/>
    </row>
    <row r="347" spans="1:8" x14ac:dyDescent="0.25">
      <c r="A347" s="1732" t="s">
        <v>1448</v>
      </c>
      <c r="B347" s="1731"/>
      <c r="C347" s="1731"/>
      <c r="D347" s="1731"/>
      <c r="E347" s="1731"/>
      <c r="F347" s="1731"/>
      <c r="G347" s="1731"/>
      <c r="H347" s="1731"/>
    </row>
    <row r="348" spans="1:8" x14ac:dyDescent="0.25">
      <c r="A348" s="1732" t="s">
        <v>1449</v>
      </c>
      <c r="B348" s="1731"/>
      <c r="C348" s="1731"/>
      <c r="D348" s="1731"/>
      <c r="E348" s="1731"/>
      <c r="F348" s="1731"/>
      <c r="G348" s="1731"/>
      <c r="H348" s="1731"/>
    </row>
    <row r="349" spans="1:8" x14ac:dyDescent="0.25">
      <c r="A349" s="1732" t="s">
        <v>1450</v>
      </c>
      <c r="B349" s="1731"/>
      <c r="C349" s="1731"/>
      <c r="D349" s="1731"/>
      <c r="E349" s="1731"/>
      <c r="F349" s="1731"/>
      <c r="G349" s="1731"/>
      <c r="H349" s="1731"/>
    </row>
    <row r="350" spans="1:8" x14ac:dyDescent="0.25">
      <c r="A350" s="1732" t="s">
        <v>1451</v>
      </c>
      <c r="B350" s="1731"/>
      <c r="C350" s="1731"/>
      <c r="D350" s="1731"/>
      <c r="E350" s="1731"/>
      <c r="F350" s="1731"/>
      <c r="G350" s="1731"/>
      <c r="H350" s="1731"/>
    </row>
    <row r="351" spans="1:8" x14ac:dyDescent="0.25">
      <c r="A351" s="1732" t="s">
        <v>1452</v>
      </c>
      <c r="B351" s="1731"/>
      <c r="C351" s="1731"/>
      <c r="D351" s="1731"/>
      <c r="E351" s="1731"/>
      <c r="F351" s="1731"/>
      <c r="G351" s="1731"/>
      <c r="H351" s="1731"/>
    </row>
    <row r="352" spans="1:8" x14ac:dyDescent="0.25">
      <c r="A352" s="1732" t="s">
        <v>1453</v>
      </c>
      <c r="B352" s="1731"/>
      <c r="C352" s="1731"/>
      <c r="D352" s="1731"/>
      <c r="E352" s="1731"/>
      <c r="F352" s="1731"/>
      <c r="G352" s="1731"/>
      <c r="H352" s="1731"/>
    </row>
    <row r="353" spans="1:8" x14ac:dyDescent="0.25">
      <c r="A353" s="1732" t="s">
        <v>1454</v>
      </c>
      <c r="B353" s="1731"/>
      <c r="C353" s="1731"/>
      <c r="D353" s="1731"/>
      <c r="E353" s="1731"/>
      <c r="F353" s="1731"/>
      <c r="G353" s="1731"/>
      <c r="H353" s="1731"/>
    </row>
    <row r="354" spans="1:8" x14ac:dyDescent="0.25">
      <c r="A354" s="1732" t="s">
        <v>1455</v>
      </c>
      <c r="B354" s="1731"/>
      <c r="C354" s="1731"/>
      <c r="D354" s="1731"/>
      <c r="E354" s="1731"/>
      <c r="F354" s="1731"/>
      <c r="G354" s="1731"/>
      <c r="H354" s="1731"/>
    </row>
    <row r="355" spans="1:8" x14ac:dyDescent="0.25">
      <c r="A355" s="1732" t="s">
        <v>1456</v>
      </c>
      <c r="B355" s="1731"/>
      <c r="C355" s="1731"/>
      <c r="D355" s="1731"/>
      <c r="E355" s="1731"/>
      <c r="F355" s="1731"/>
      <c r="G355" s="1731"/>
      <c r="H355" s="1731"/>
    </row>
    <row r="356" spans="1:8" x14ac:dyDescent="0.25">
      <c r="A356" s="1732" t="s">
        <v>1457</v>
      </c>
      <c r="B356" s="1731"/>
      <c r="C356" s="1731"/>
      <c r="D356" s="1731"/>
      <c r="E356" s="1731"/>
      <c r="F356" s="1731"/>
      <c r="G356" s="1731"/>
      <c r="H356" s="1731"/>
    </row>
    <row r="357" spans="1:8" x14ac:dyDescent="0.25">
      <c r="A357" s="1732" t="s">
        <v>1458</v>
      </c>
      <c r="B357" s="1731"/>
      <c r="C357" s="1731"/>
      <c r="D357" s="1731"/>
      <c r="E357" s="1731"/>
      <c r="F357" s="1731"/>
      <c r="G357" s="1731"/>
      <c r="H357" s="1731"/>
    </row>
    <row r="358" spans="1:8" x14ac:dyDescent="0.25">
      <c r="A358" s="1732" t="s">
        <v>1459</v>
      </c>
      <c r="B358" s="1731"/>
      <c r="C358" s="1731"/>
      <c r="D358" s="1731"/>
      <c r="E358" s="1731"/>
      <c r="F358" s="1731"/>
      <c r="G358" s="1731"/>
      <c r="H358" s="1731"/>
    </row>
    <row r="359" spans="1:8" x14ac:dyDescent="0.25">
      <c r="A359" s="1732" t="s">
        <v>1460</v>
      </c>
      <c r="B359" s="1731"/>
      <c r="C359" s="1731"/>
      <c r="D359" s="1731"/>
      <c r="E359" s="1731"/>
      <c r="F359" s="1731"/>
      <c r="G359" s="1731"/>
      <c r="H359" s="1731"/>
    </row>
    <row r="360" spans="1:8" x14ac:dyDescent="0.25">
      <c r="A360" s="1732" t="s">
        <v>1461</v>
      </c>
      <c r="B360" s="1731"/>
      <c r="C360" s="1731"/>
      <c r="D360" s="1731"/>
      <c r="E360" s="1731"/>
      <c r="F360" s="1731"/>
      <c r="G360" s="1731"/>
      <c r="H360" s="1731"/>
    </row>
    <row r="361" spans="1:8" x14ac:dyDescent="0.25">
      <c r="A361" s="1732" t="s">
        <v>1462</v>
      </c>
      <c r="B361" s="1731"/>
      <c r="C361" s="1731"/>
      <c r="D361" s="1731"/>
      <c r="E361" s="1731"/>
      <c r="F361" s="1731"/>
      <c r="G361" s="1731"/>
      <c r="H361" s="1731"/>
    </row>
    <row r="362" spans="1:8" x14ac:dyDescent="0.25">
      <c r="A362" s="1732" t="s">
        <v>1463</v>
      </c>
      <c r="B362" s="1731"/>
      <c r="C362" s="1731"/>
      <c r="D362" s="1731"/>
      <c r="E362" s="1731"/>
      <c r="F362" s="1731"/>
      <c r="G362" s="1731"/>
      <c r="H362" s="1731"/>
    </row>
    <row r="363" spans="1:8" x14ac:dyDescent="0.25">
      <c r="A363" s="1732" t="s">
        <v>1464</v>
      </c>
      <c r="B363" s="1731"/>
      <c r="C363" s="1731"/>
      <c r="D363" s="1731"/>
      <c r="E363" s="1731"/>
      <c r="F363" s="1731"/>
      <c r="G363" s="1731"/>
      <c r="H363" s="1731"/>
    </row>
    <row r="364" spans="1:8" x14ac:dyDescent="0.25">
      <c r="A364" s="1732" t="s">
        <v>1465</v>
      </c>
      <c r="B364" s="1731"/>
      <c r="C364" s="1731"/>
      <c r="D364" s="1731"/>
      <c r="E364" s="1731"/>
      <c r="F364" s="1731"/>
      <c r="G364" s="1731"/>
      <c r="H364" s="1731"/>
    </row>
    <row r="365" spans="1:8" x14ac:dyDescent="0.25">
      <c r="A365" s="1732" t="s">
        <v>1466</v>
      </c>
      <c r="B365" s="1731"/>
      <c r="C365" s="1731"/>
      <c r="D365" s="1731"/>
      <c r="E365" s="1731"/>
      <c r="F365" s="1731"/>
      <c r="G365" s="1731"/>
      <c r="H365" s="1731"/>
    </row>
    <row r="366" spans="1:8" x14ac:dyDescent="0.25">
      <c r="A366" s="1732" t="s">
        <v>1467</v>
      </c>
      <c r="B366" s="1731"/>
      <c r="C366" s="1731"/>
      <c r="D366" s="1731"/>
      <c r="E366" s="1731"/>
      <c r="F366" s="1731"/>
      <c r="G366" s="1731"/>
      <c r="H366" s="1731"/>
    </row>
    <row r="367" spans="1:8" x14ac:dyDescent="0.25">
      <c r="A367" s="1732" t="s">
        <v>1468</v>
      </c>
      <c r="B367" s="1731"/>
      <c r="C367" s="1731"/>
      <c r="D367" s="1731"/>
      <c r="E367" s="1731"/>
      <c r="F367" s="1731"/>
      <c r="G367" s="1731"/>
      <c r="H367" s="1731"/>
    </row>
    <row r="368" spans="1:8" x14ac:dyDescent="0.25">
      <c r="A368" s="1732" t="s">
        <v>1469</v>
      </c>
      <c r="B368" s="1731"/>
      <c r="C368" s="1731"/>
      <c r="D368" s="1731"/>
      <c r="E368" s="1731"/>
      <c r="F368" s="1731"/>
      <c r="G368" s="1731"/>
      <c r="H368" s="1731"/>
    </row>
    <row r="369" spans="1:8" x14ac:dyDescent="0.25">
      <c r="A369" s="1732" t="s">
        <v>1470</v>
      </c>
      <c r="B369" s="1731"/>
      <c r="C369" s="1731"/>
      <c r="D369" s="1731"/>
      <c r="E369" s="1731"/>
      <c r="F369" s="1731"/>
      <c r="G369" s="1731"/>
      <c r="H369" s="1731"/>
    </row>
    <row r="370" spans="1:8" x14ac:dyDescent="0.25">
      <c r="A370" s="1732" t="s">
        <v>1471</v>
      </c>
      <c r="B370" s="1731"/>
      <c r="C370" s="1731"/>
      <c r="D370" s="1731"/>
      <c r="E370" s="1731"/>
      <c r="F370" s="1731"/>
      <c r="G370" s="1731"/>
      <c r="H370" s="1731"/>
    </row>
    <row r="371" spans="1:8" x14ac:dyDescent="0.25">
      <c r="A371" s="1732" t="s">
        <v>1472</v>
      </c>
      <c r="B371" s="1731"/>
      <c r="C371" s="1731"/>
      <c r="D371" s="1731"/>
      <c r="E371" s="1731"/>
      <c r="F371" s="1731"/>
      <c r="G371" s="1731"/>
      <c r="H371" s="1731"/>
    </row>
    <row r="372" spans="1:8" x14ac:dyDescent="0.25">
      <c r="A372" s="1732" t="s">
        <v>1473</v>
      </c>
      <c r="B372" s="1731"/>
      <c r="C372" s="1731"/>
      <c r="D372" s="1731"/>
      <c r="E372" s="1731"/>
      <c r="F372" s="1731"/>
      <c r="G372" s="1731"/>
      <c r="H372" s="1731"/>
    </row>
    <row r="373" spans="1:8" x14ac:dyDescent="0.25">
      <c r="A373" s="1732" t="s">
        <v>1474</v>
      </c>
      <c r="B373" s="1731"/>
      <c r="C373" s="1731"/>
      <c r="D373" s="1731"/>
      <c r="E373" s="1731"/>
      <c r="F373" s="1731"/>
      <c r="G373" s="1731"/>
      <c r="H373" s="1731"/>
    </row>
    <row r="374" spans="1:8" x14ac:dyDescent="0.25">
      <c r="A374" s="1732" t="s">
        <v>1475</v>
      </c>
      <c r="B374" s="1731"/>
      <c r="C374" s="1731"/>
      <c r="D374" s="1731"/>
      <c r="E374" s="1731"/>
      <c r="F374" s="1731"/>
      <c r="G374" s="1731"/>
      <c r="H374" s="1731"/>
    </row>
    <row r="375" spans="1:8" x14ac:dyDescent="0.25">
      <c r="A375" s="1732" t="s">
        <v>1476</v>
      </c>
      <c r="B375" s="1731"/>
      <c r="C375" s="1731"/>
      <c r="D375" s="1731"/>
      <c r="E375" s="1731"/>
      <c r="F375" s="1731"/>
      <c r="G375" s="1731"/>
      <c r="H375" s="1731"/>
    </row>
    <row r="376" spans="1:8" x14ac:dyDescent="0.25">
      <c r="A376" s="1732" t="s">
        <v>1477</v>
      </c>
      <c r="B376" s="1731"/>
      <c r="C376" s="1731"/>
      <c r="D376" s="1731"/>
      <c r="E376" s="1731"/>
      <c r="F376" s="1731"/>
      <c r="G376" s="1731"/>
      <c r="H376" s="1731"/>
    </row>
    <row r="377" spans="1:8" x14ac:dyDescent="0.25">
      <c r="A377" s="1732" t="s">
        <v>1478</v>
      </c>
      <c r="B377" s="1731"/>
      <c r="C377" s="1731"/>
      <c r="D377" s="1731"/>
      <c r="E377" s="1731"/>
      <c r="F377" s="1731"/>
      <c r="G377" s="1731"/>
      <c r="H377" s="1731"/>
    </row>
    <row r="378" spans="1:8" x14ac:dyDescent="0.25">
      <c r="A378" s="1732" t="s">
        <v>1479</v>
      </c>
      <c r="B378" s="1731"/>
      <c r="C378" s="1731"/>
      <c r="D378" s="1731"/>
      <c r="E378" s="1731"/>
      <c r="F378" s="1731"/>
      <c r="G378" s="1731"/>
      <c r="H378" s="1731"/>
    </row>
    <row r="379" spans="1:8" x14ac:dyDescent="0.25">
      <c r="A379" s="1732" t="s">
        <v>1480</v>
      </c>
      <c r="B379" s="1731"/>
      <c r="C379" s="1731"/>
      <c r="D379" s="1731"/>
      <c r="E379" s="1731"/>
      <c r="F379" s="1731"/>
      <c r="G379" s="1731"/>
      <c r="H379" s="1731"/>
    </row>
    <row r="380" spans="1:8" x14ac:dyDescent="0.25">
      <c r="A380" s="1732" t="s">
        <v>1481</v>
      </c>
      <c r="B380" s="1731"/>
      <c r="C380" s="1731"/>
      <c r="D380" s="1731"/>
      <c r="E380" s="1731"/>
      <c r="F380" s="1731"/>
      <c r="G380" s="1731"/>
      <c r="H380" s="1731"/>
    </row>
    <row r="381" spans="1:8" x14ac:dyDescent="0.25">
      <c r="A381" s="1732" t="s">
        <v>1482</v>
      </c>
      <c r="B381" s="1731"/>
      <c r="C381" s="1731"/>
      <c r="D381" s="1731"/>
      <c r="E381" s="1731"/>
      <c r="F381" s="1731"/>
      <c r="G381" s="1731"/>
      <c r="H381" s="1731"/>
    </row>
    <row r="382" spans="1:8" x14ac:dyDescent="0.25">
      <c r="A382" s="1731"/>
      <c r="B382" s="1731"/>
      <c r="C382" s="1731"/>
      <c r="D382" s="1731"/>
      <c r="E382" s="1731"/>
      <c r="F382" s="1731"/>
      <c r="G382" s="1731"/>
      <c r="H382" s="1731"/>
    </row>
    <row r="383" spans="1:8" x14ac:dyDescent="0.25">
      <c r="A383" s="1732" t="s">
        <v>1483</v>
      </c>
      <c r="B383" s="1731"/>
      <c r="C383" s="1731"/>
      <c r="D383" s="1731"/>
      <c r="E383" s="1731"/>
      <c r="F383" s="1731"/>
      <c r="G383" s="1731"/>
      <c r="H383" s="1731"/>
    </row>
    <row r="384" spans="1:8" x14ac:dyDescent="0.25">
      <c r="A384" s="1732" t="s">
        <v>1484</v>
      </c>
      <c r="B384" s="1731"/>
      <c r="C384" s="1731"/>
      <c r="D384" s="1731"/>
      <c r="E384" s="1731"/>
      <c r="F384" s="1731"/>
      <c r="G384" s="1731"/>
      <c r="H384" s="1731"/>
    </row>
    <row r="385" spans="1:8" x14ac:dyDescent="0.25">
      <c r="A385" s="1732" t="s">
        <v>1485</v>
      </c>
      <c r="B385" s="1731"/>
      <c r="C385" s="1731"/>
      <c r="D385" s="1731"/>
      <c r="E385" s="1731"/>
      <c r="F385" s="1731"/>
      <c r="G385" s="1731"/>
      <c r="H385" s="1731"/>
    </row>
    <row r="386" spans="1:8" x14ac:dyDescent="0.25">
      <c r="A386" s="1732" t="s">
        <v>1486</v>
      </c>
      <c r="B386" s="1731"/>
      <c r="C386" s="1731"/>
      <c r="D386" s="1731"/>
      <c r="E386" s="1731"/>
      <c r="F386" s="1731"/>
      <c r="G386" s="1731"/>
      <c r="H386" s="1731"/>
    </row>
    <row r="387" spans="1:8" x14ac:dyDescent="0.25">
      <c r="A387" s="1732" t="s">
        <v>1487</v>
      </c>
      <c r="B387" s="1731"/>
      <c r="C387" s="1731"/>
      <c r="D387" s="1731"/>
      <c r="E387" s="1731"/>
      <c r="F387" s="1731"/>
      <c r="G387" s="1731"/>
      <c r="H387" s="1731"/>
    </row>
    <row r="388" spans="1:8" x14ac:dyDescent="0.25">
      <c r="A388" s="1732" t="s">
        <v>1488</v>
      </c>
      <c r="B388" s="1731"/>
      <c r="C388" s="1731"/>
      <c r="D388" s="1731"/>
      <c r="E388" s="1731"/>
      <c r="F388" s="1731"/>
      <c r="G388" s="1731"/>
      <c r="H388" s="1731"/>
    </row>
    <row r="389" spans="1:8" x14ac:dyDescent="0.25">
      <c r="A389" s="1732" t="s">
        <v>1489</v>
      </c>
      <c r="B389" s="1731"/>
      <c r="C389" s="1731"/>
      <c r="D389" s="1731"/>
      <c r="E389" s="1731"/>
      <c r="F389" s="1731"/>
      <c r="G389" s="1731"/>
      <c r="H389" s="1731"/>
    </row>
    <row r="390" spans="1:8" x14ac:dyDescent="0.25">
      <c r="A390" s="1732" t="s">
        <v>1490</v>
      </c>
      <c r="B390" s="1731"/>
      <c r="C390" s="1731"/>
      <c r="D390" s="1731"/>
      <c r="E390" s="1731"/>
      <c r="F390" s="1731"/>
      <c r="G390" s="1731"/>
      <c r="H390" s="1731"/>
    </row>
    <row r="391" spans="1:8" x14ac:dyDescent="0.25">
      <c r="A391" s="1731"/>
      <c r="B391" s="1731"/>
      <c r="C391" s="1731"/>
      <c r="D391" s="1731"/>
      <c r="E391" s="1731"/>
      <c r="F391" s="1731"/>
      <c r="G391" s="1731"/>
      <c r="H391" s="1731"/>
    </row>
    <row r="392" spans="1:8" x14ac:dyDescent="0.25">
      <c r="A392" s="1732" t="s">
        <v>1483</v>
      </c>
      <c r="B392" s="1731"/>
      <c r="C392" s="1731"/>
      <c r="D392" s="1731"/>
      <c r="E392" s="1731"/>
      <c r="F392" s="1731"/>
      <c r="G392" s="1731"/>
      <c r="H392" s="1731"/>
    </row>
    <row r="393" spans="1:8" x14ac:dyDescent="0.25">
      <c r="A393" s="1732" t="s">
        <v>1491</v>
      </c>
      <c r="B393" s="1731"/>
      <c r="C393" s="1731"/>
      <c r="D393" s="1731"/>
      <c r="E393" s="1731"/>
      <c r="F393" s="1731"/>
      <c r="G393" s="1731"/>
      <c r="H393" s="1731"/>
    </row>
    <row r="394" spans="1:8" x14ac:dyDescent="0.25">
      <c r="A394" s="1732" t="s">
        <v>1492</v>
      </c>
      <c r="B394" s="1731"/>
      <c r="C394" s="1731"/>
      <c r="D394" s="1731"/>
      <c r="E394" s="1731"/>
      <c r="F394" s="1731"/>
      <c r="G394" s="1731"/>
      <c r="H394" s="1731"/>
    </row>
    <row r="395" spans="1:8" x14ac:dyDescent="0.25">
      <c r="A395" s="1732" t="s">
        <v>1493</v>
      </c>
      <c r="B395" s="1731"/>
      <c r="C395" s="1731"/>
      <c r="D395" s="1731"/>
      <c r="E395" s="1731"/>
      <c r="F395" s="1731"/>
      <c r="G395" s="1731"/>
      <c r="H395" s="1731"/>
    </row>
    <row r="396" spans="1:8" x14ac:dyDescent="0.25">
      <c r="A396" s="1731"/>
      <c r="B396" s="1731"/>
      <c r="C396" s="1731"/>
      <c r="D396" s="1731"/>
      <c r="E396" s="1731"/>
      <c r="F396" s="1731"/>
      <c r="G396" s="1731"/>
      <c r="H396" s="1731"/>
    </row>
    <row r="397" spans="1:8" x14ac:dyDescent="0.25">
      <c r="A397" s="1732" t="s">
        <v>1494</v>
      </c>
      <c r="B397" s="1731"/>
      <c r="C397" s="1731"/>
      <c r="D397" s="1731"/>
      <c r="E397" s="1731"/>
      <c r="F397" s="1731"/>
      <c r="G397" s="1731"/>
      <c r="H397" s="1731"/>
    </row>
    <row r="398" spans="1:8" x14ac:dyDescent="0.25">
      <c r="A398" s="1732" t="s">
        <v>1495</v>
      </c>
      <c r="B398" s="1731"/>
      <c r="C398" s="1731"/>
      <c r="D398" s="1731"/>
      <c r="E398" s="1731"/>
      <c r="F398" s="1731"/>
      <c r="G398" s="1731"/>
      <c r="H398" s="1731"/>
    </row>
    <row r="399" spans="1:8" x14ac:dyDescent="0.25">
      <c r="A399" s="1732" t="s">
        <v>1496</v>
      </c>
      <c r="B399" s="1731"/>
      <c r="C399" s="1731"/>
      <c r="D399" s="1731"/>
      <c r="E399" s="1731"/>
      <c r="F399" s="1731"/>
      <c r="G399" s="1731"/>
      <c r="H399" s="1731"/>
    </row>
    <row r="400" spans="1:8" x14ac:dyDescent="0.25">
      <c r="A400" s="1732" t="s">
        <v>1497</v>
      </c>
      <c r="B400" s="1731"/>
      <c r="C400" s="1731"/>
      <c r="D400" s="1731"/>
      <c r="E400" s="1731"/>
      <c r="F400" s="1731"/>
      <c r="G400" s="1731"/>
      <c r="H400" s="1731"/>
    </row>
    <row r="401" spans="1:8" x14ac:dyDescent="0.25">
      <c r="A401" s="1732" t="s">
        <v>1498</v>
      </c>
      <c r="B401" s="1731"/>
      <c r="C401" s="1731"/>
      <c r="D401" s="1731"/>
      <c r="E401" s="1731"/>
      <c r="F401" s="1731"/>
      <c r="G401" s="1731"/>
      <c r="H401" s="1731"/>
    </row>
    <row r="402" spans="1:8" x14ac:dyDescent="0.25">
      <c r="A402" s="1732" t="s">
        <v>1499</v>
      </c>
      <c r="B402" s="1731"/>
      <c r="C402" s="1731"/>
      <c r="D402" s="1731"/>
      <c r="E402" s="1731"/>
      <c r="F402" s="1731"/>
      <c r="G402" s="1731"/>
      <c r="H402" s="1731"/>
    </row>
    <row r="403" spans="1:8" x14ac:dyDescent="0.25">
      <c r="A403" s="1731"/>
      <c r="B403" s="1731"/>
      <c r="C403" s="1731"/>
      <c r="D403" s="1731"/>
      <c r="E403" s="1731"/>
      <c r="F403" s="1731"/>
      <c r="G403" s="1731"/>
      <c r="H403" s="1731"/>
    </row>
    <row r="404" spans="1:8" x14ac:dyDescent="0.25">
      <c r="A404" s="1732" t="s">
        <v>1500</v>
      </c>
      <c r="B404" s="1731"/>
      <c r="C404" s="1731"/>
      <c r="D404" s="1731"/>
      <c r="E404" s="1731"/>
      <c r="F404" s="1731"/>
      <c r="G404" s="1731"/>
      <c r="H404" s="1731"/>
    </row>
    <row r="405" spans="1:8" x14ac:dyDescent="0.25">
      <c r="A405" s="1732" t="s">
        <v>1501</v>
      </c>
      <c r="B405" s="1731"/>
      <c r="C405" s="1731"/>
      <c r="D405" s="1731"/>
      <c r="E405" s="1731"/>
      <c r="F405" s="1731"/>
      <c r="G405" s="1731"/>
      <c r="H405" s="1731"/>
    </row>
    <row r="406" spans="1:8" x14ac:dyDescent="0.25">
      <c r="A406" s="1732" t="s">
        <v>1502</v>
      </c>
      <c r="B406" s="1731"/>
      <c r="C406" s="1731"/>
      <c r="D406" s="1731"/>
      <c r="E406" s="1731"/>
      <c r="F406" s="1731"/>
      <c r="G406" s="1731"/>
      <c r="H406" s="1731"/>
    </row>
    <row r="407" spans="1:8" x14ac:dyDescent="0.25">
      <c r="A407" s="1732" t="s">
        <v>1503</v>
      </c>
      <c r="B407" s="1731"/>
      <c r="C407" s="1731"/>
      <c r="D407" s="1731"/>
      <c r="E407" s="1731"/>
      <c r="F407" s="1731"/>
      <c r="G407" s="1731"/>
      <c r="H407" s="1731"/>
    </row>
    <row r="408" spans="1:8" x14ac:dyDescent="0.25">
      <c r="A408" s="1732" t="s">
        <v>1504</v>
      </c>
      <c r="B408" s="1731"/>
      <c r="C408" s="1731"/>
      <c r="D408" s="1731"/>
      <c r="E408" s="1731"/>
      <c r="F408" s="1731"/>
      <c r="G408" s="1731"/>
      <c r="H408" s="1731"/>
    </row>
    <row r="409" spans="1:8" x14ac:dyDescent="0.25">
      <c r="A409" s="1731"/>
      <c r="B409" s="1731"/>
      <c r="C409" s="1731"/>
      <c r="D409" s="1731"/>
      <c r="E409" s="1731"/>
      <c r="F409" s="1731"/>
      <c r="G409" s="1731"/>
      <c r="H409" s="1731"/>
    </row>
    <row r="410" spans="1:8" x14ac:dyDescent="0.25">
      <c r="A410" s="1732" t="s">
        <v>1505</v>
      </c>
      <c r="B410" s="1731"/>
      <c r="C410" s="1731"/>
      <c r="D410" s="1731"/>
      <c r="E410" s="1731"/>
      <c r="F410" s="1731"/>
      <c r="G410" s="1731"/>
      <c r="H410" s="1731"/>
    </row>
    <row r="411" spans="1:8" x14ac:dyDescent="0.25">
      <c r="A411" s="1732" t="s">
        <v>1506</v>
      </c>
      <c r="B411" s="1731"/>
      <c r="C411" s="1731"/>
      <c r="D411" s="1731"/>
      <c r="E411" s="1731"/>
      <c r="F411" s="1731"/>
      <c r="G411" s="1731"/>
      <c r="H411" s="1731"/>
    </row>
    <row r="412" spans="1:8" x14ac:dyDescent="0.25">
      <c r="A412" s="1731"/>
      <c r="B412" s="1731"/>
      <c r="C412" s="1731"/>
      <c r="D412" s="1731"/>
      <c r="E412" s="1731"/>
      <c r="F412" s="1731"/>
      <c r="G412" s="1731"/>
      <c r="H412" s="1731"/>
    </row>
    <row r="413" spans="1:8" x14ac:dyDescent="0.25">
      <c r="A413" s="1732" t="s">
        <v>1507</v>
      </c>
      <c r="B413" s="1731"/>
      <c r="C413" s="1731"/>
      <c r="D413" s="1731"/>
      <c r="E413" s="1731"/>
      <c r="F413" s="1731"/>
      <c r="G413" s="1731"/>
      <c r="H413" s="1731"/>
    </row>
    <row r="414" spans="1:8" x14ac:dyDescent="0.25">
      <c r="A414" s="1732" t="s">
        <v>1508</v>
      </c>
      <c r="B414" s="1731"/>
      <c r="C414" s="1731"/>
      <c r="D414" s="1731"/>
      <c r="E414" s="1731"/>
      <c r="F414" s="1731"/>
      <c r="G414" s="1731"/>
      <c r="H414" s="1731"/>
    </row>
    <row r="415" spans="1:8" x14ac:dyDescent="0.25">
      <c r="A415" s="1731"/>
      <c r="B415" s="1731"/>
      <c r="C415" s="1731"/>
      <c r="D415" s="1731"/>
      <c r="E415" s="1731"/>
      <c r="F415" s="1731"/>
      <c r="G415" s="1731"/>
      <c r="H415" s="1731"/>
    </row>
    <row r="416" spans="1:8" x14ac:dyDescent="0.25">
      <c r="A416" s="1732" t="s">
        <v>1509</v>
      </c>
      <c r="B416" s="1731"/>
      <c r="C416" s="1731"/>
      <c r="D416" s="1731"/>
      <c r="E416" s="1731"/>
      <c r="F416" s="1731"/>
      <c r="G416" s="1731"/>
      <c r="H416" s="1731"/>
    </row>
    <row r="417" spans="1:8" x14ac:dyDescent="0.25">
      <c r="A417" s="1732" t="s">
        <v>1510</v>
      </c>
      <c r="B417" s="1731"/>
      <c r="C417" s="1731"/>
      <c r="D417" s="1731"/>
      <c r="E417" s="1731"/>
      <c r="F417" s="1731"/>
      <c r="G417" s="1731"/>
      <c r="H417" s="1731"/>
    </row>
    <row r="418" spans="1:8" x14ac:dyDescent="0.25">
      <c r="A418" s="1732" t="s">
        <v>1511</v>
      </c>
      <c r="B418" s="1731"/>
      <c r="C418" s="1731"/>
      <c r="D418" s="1731"/>
      <c r="E418" s="1731"/>
      <c r="F418" s="1731"/>
      <c r="G418" s="1731"/>
      <c r="H418" s="1731"/>
    </row>
    <row r="419" spans="1:8" x14ac:dyDescent="0.25">
      <c r="A419" s="1732" t="s">
        <v>1512</v>
      </c>
      <c r="B419" s="1731"/>
      <c r="C419" s="1731"/>
      <c r="D419" s="1731"/>
      <c r="E419" s="1731"/>
      <c r="F419" s="1731"/>
      <c r="G419" s="1731"/>
      <c r="H419" s="1731"/>
    </row>
    <row r="420" spans="1:8" x14ac:dyDescent="0.25">
      <c r="A420" s="1731"/>
      <c r="B420" s="1731"/>
      <c r="C420" s="1731"/>
      <c r="D420" s="1731"/>
      <c r="E420" s="1731"/>
      <c r="F420" s="1731"/>
      <c r="G420" s="1731"/>
      <c r="H420" s="1731"/>
    </row>
    <row r="421" spans="1:8" x14ac:dyDescent="0.25">
      <c r="A421" s="1732" t="s">
        <v>1513</v>
      </c>
      <c r="B421" s="1731"/>
      <c r="C421" s="1731"/>
      <c r="D421" s="1731"/>
      <c r="E421" s="1731"/>
      <c r="F421" s="1731"/>
      <c r="G421" s="1731"/>
      <c r="H421" s="1731"/>
    </row>
    <row r="422" spans="1:8" x14ac:dyDescent="0.25">
      <c r="A422" s="1732" t="s">
        <v>1514</v>
      </c>
      <c r="B422" s="1731"/>
      <c r="C422" s="1731"/>
      <c r="D422" s="1731"/>
      <c r="E422" s="1731"/>
      <c r="F422" s="1731"/>
      <c r="G422" s="1731"/>
      <c r="H422" s="1731"/>
    </row>
    <row r="423" spans="1:8" x14ac:dyDescent="0.25">
      <c r="A423" s="1731"/>
      <c r="B423" s="1731"/>
      <c r="C423" s="1731"/>
      <c r="D423" s="1731"/>
      <c r="E423" s="1731"/>
      <c r="F423" s="1731"/>
      <c r="G423" s="1731"/>
      <c r="H423" s="1731"/>
    </row>
    <row r="424" spans="1:8" x14ac:dyDescent="0.25">
      <c r="A424" s="1732" t="s">
        <v>1515</v>
      </c>
      <c r="B424" s="1731"/>
      <c r="C424" s="1731"/>
      <c r="D424" s="1731"/>
      <c r="E424" s="1731"/>
      <c r="F424" s="1731"/>
      <c r="G424" s="1731"/>
      <c r="H424" s="1731"/>
    </row>
    <row r="425" spans="1:8" x14ac:dyDescent="0.25">
      <c r="A425" s="1732" t="s">
        <v>1516</v>
      </c>
      <c r="B425" s="1731"/>
      <c r="C425" s="1731"/>
      <c r="D425" s="1731"/>
      <c r="E425" s="1731"/>
      <c r="F425" s="1731"/>
      <c r="G425" s="1731"/>
      <c r="H425" s="1731"/>
    </row>
    <row r="426" spans="1:8" x14ac:dyDescent="0.25">
      <c r="A426" s="1732" t="s">
        <v>1517</v>
      </c>
      <c r="B426" s="1731"/>
      <c r="C426" s="1731"/>
      <c r="D426" s="1731"/>
      <c r="E426" s="1731"/>
      <c r="F426" s="1731"/>
      <c r="G426" s="1731"/>
      <c r="H426" s="1731"/>
    </row>
    <row r="427" spans="1:8" x14ac:dyDescent="0.25">
      <c r="A427" s="1732" t="s">
        <v>1518</v>
      </c>
      <c r="B427" s="1731"/>
      <c r="C427" s="1731"/>
      <c r="D427" s="1731"/>
      <c r="E427" s="1731"/>
      <c r="F427" s="1731"/>
      <c r="G427" s="1731"/>
      <c r="H427" s="1731"/>
    </row>
    <row r="429" spans="1:8" x14ac:dyDescent="0.25">
      <c r="A429" s="1735" t="s">
        <v>1519</v>
      </c>
    </row>
  </sheetData>
  <mergeCells count="3">
    <mergeCell ref="B132:C132"/>
    <mergeCell ref="D132:F132"/>
    <mergeCell ref="G132:H1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25EA-F7D9-4BB1-BC1D-3605545CE0F8}">
  <sheetPr codeName="Sheet8">
    <tabColor theme="4"/>
    <pageSetUpPr fitToPage="1"/>
  </sheetPr>
  <dimension ref="A1:AE93"/>
  <sheetViews>
    <sheetView showGridLines="0" zoomScaleNormal="100" workbookViewId="0">
      <pane xSplit="1" ySplit="3" topLeftCell="Q4" activePane="bottomRight" state="frozen"/>
      <selection pane="topRight" activeCell="B1" sqref="B1"/>
      <selection pane="bottomLeft" activeCell="A4" sqref="A4"/>
      <selection pane="bottomRight" activeCell="X19" sqref="X19"/>
    </sheetView>
  </sheetViews>
  <sheetFormatPr defaultColWidth="7.140625" defaultRowHeight="11.25" outlineLevelRow="1" outlineLevelCol="1" x14ac:dyDescent="0.2"/>
  <cols>
    <col min="1" max="1" width="35.7109375" style="4" customWidth="1"/>
    <col min="2" max="16" width="7.28515625" style="4" hidden="1" customWidth="1" outlineLevel="1"/>
    <col min="17" max="17" width="7.28515625" style="4" customWidth="1" collapsed="1"/>
    <col min="18" max="29" width="7.28515625" style="4" customWidth="1"/>
    <col min="30" max="16384" width="7.140625" style="4"/>
  </cols>
  <sheetData>
    <row r="1" spans="1:31" ht="18" customHeight="1" x14ac:dyDescent="0.25">
      <c r="A1" s="1" t="s">
        <v>0</v>
      </c>
      <c r="B1" s="2"/>
      <c r="C1" s="2"/>
      <c r="D1" s="2"/>
      <c r="E1" s="2"/>
      <c r="F1" s="2"/>
      <c r="G1" s="2"/>
      <c r="H1" s="2"/>
      <c r="I1" s="2"/>
      <c r="J1" s="2"/>
      <c r="K1" s="2"/>
      <c r="L1" s="2"/>
      <c r="M1" s="2"/>
      <c r="N1" s="2"/>
      <c r="O1" s="2"/>
      <c r="P1" s="2"/>
      <c r="Q1" s="2"/>
      <c r="R1" s="2"/>
      <c r="S1" s="2"/>
      <c r="T1" s="2"/>
      <c r="U1" s="2"/>
      <c r="V1" s="2"/>
      <c r="W1" s="2"/>
      <c r="X1" s="3"/>
      <c r="Y1" s="3"/>
      <c r="Z1" s="3"/>
      <c r="AA1" s="3"/>
      <c r="AB1" s="3"/>
    </row>
    <row r="2" spans="1:31" ht="11.25" customHeight="1" x14ac:dyDescent="0.2">
      <c r="A2" s="5" t="s">
        <v>1</v>
      </c>
      <c r="B2" s="6"/>
      <c r="C2" s="6"/>
      <c r="D2" s="6"/>
      <c r="E2" s="6"/>
      <c r="F2" s="6"/>
      <c r="G2" s="6"/>
      <c r="H2" s="6"/>
      <c r="I2" s="6"/>
      <c r="J2" s="6"/>
      <c r="K2" s="6"/>
      <c r="L2" s="6"/>
      <c r="M2" s="6"/>
      <c r="N2" s="6"/>
      <c r="O2" s="6"/>
      <c r="P2" s="6"/>
      <c r="Q2" s="6"/>
      <c r="R2" s="6"/>
      <c r="S2" s="6"/>
      <c r="T2" s="6"/>
      <c r="U2" s="6"/>
      <c r="V2" s="6"/>
      <c r="W2" s="6"/>
      <c r="X2" s="7"/>
      <c r="Y2" s="7"/>
      <c r="Z2" s="7"/>
      <c r="AA2" s="7"/>
      <c r="AB2" s="7"/>
    </row>
    <row r="3" spans="1:31" ht="11.25" customHeight="1" x14ac:dyDescent="0.2">
      <c r="A3" s="5" t="s">
        <v>2</v>
      </c>
      <c r="B3" s="6">
        <v>2004</v>
      </c>
      <c r="C3" s="6">
        <f>B3+1</f>
        <v>2005</v>
      </c>
      <c r="D3" s="6">
        <f t="shared" ref="D3:AB3" si="0">C3+1</f>
        <v>2006</v>
      </c>
      <c r="E3" s="6">
        <f t="shared" si="0"/>
        <v>2007</v>
      </c>
      <c r="F3" s="6">
        <f t="shared" si="0"/>
        <v>2008</v>
      </c>
      <c r="G3" s="6">
        <f t="shared" si="0"/>
        <v>2009</v>
      </c>
      <c r="H3" s="6">
        <f t="shared" si="0"/>
        <v>2010</v>
      </c>
      <c r="I3" s="6">
        <f t="shared" si="0"/>
        <v>2011</v>
      </c>
      <c r="J3" s="6">
        <f t="shared" si="0"/>
        <v>2012</v>
      </c>
      <c r="K3" s="6">
        <f t="shared" si="0"/>
        <v>2013</v>
      </c>
      <c r="L3" s="6">
        <f t="shared" si="0"/>
        <v>2014</v>
      </c>
      <c r="M3" s="6">
        <f t="shared" si="0"/>
        <v>2015</v>
      </c>
      <c r="N3" s="6">
        <f t="shared" si="0"/>
        <v>2016</v>
      </c>
      <c r="O3" s="6">
        <f t="shared" si="0"/>
        <v>2017</v>
      </c>
      <c r="P3" s="6">
        <f t="shared" si="0"/>
        <v>2018</v>
      </c>
      <c r="Q3" s="6">
        <f t="shared" si="0"/>
        <v>2019</v>
      </c>
      <c r="R3" s="6">
        <f t="shared" si="0"/>
        <v>2020</v>
      </c>
      <c r="S3" s="6">
        <f t="shared" si="0"/>
        <v>2021</v>
      </c>
      <c r="T3" s="6">
        <f t="shared" si="0"/>
        <v>2022</v>
      </c>
      <c r="U3" s="6">
        <f t="shared" si="0"/>
        <v>2023</v>
      </c>
      <c r="V3" s="6">
        <f t="shared" si="0"/>
        <v>2024</v>
      </c>
      <c r="W3" s="6">
        <f t="shared" si="0"/>
        <v>2025</v>
      </c>
      <c r="X3" s="7">
        <f t="shared" si="0"/>
        <v>2026</v>
      </c>
      <c r="Y3" s="7">
        <f t="shared" si="0"/>
        <v>2027</v>
      </c>
      <c r="Z3" s="7">
        <f t="shared" si="0"/>
        <v>2028</v>
      </c>
      <c r="AA3" s="7">
        <f t="shared" si="0"/>
        <v>2029</v>
      </c>
      <c r="AB3" s="7">
        <f t="shared" si="0"/>
        <v>2030</v>
      </c>
    </row>
    <row r="4" spans="1:31" ht="11.25" customHeight="1" x14ac:dyDescent="0.2">
      <c r="A4" s="4" t="s">
        <v>3</v>
      </c>
      <c r="B4" s="8">
        <v>16.828969465648868</v>
      </c>
      <c r="C4" s="8">
        <v>17.054192307692315</v>
      </c>
      <c r="D4" s="8">
        <v>18.013423076923072</v>
      </c>
      <c r="E4" s="8">
        <v>17.406551724137923</v>
      </c>
      <c r="F4" s="8">
        <v>12.009041984732823</v>
      </c>
      <c r="G4" s="8">
        <v>10.292528735632187</v>
      </c>
      <c r="H4" s="8">
        <v>20.295804597701142</v>
      </c>
      <c r="I4" s="8">
        <v>25.50098076923075</v>
      </c>
      <c r="J4" s="8">
        <v>27.764482758620687</v>
      </c>
      <c r="K4" s="8">
        <v>40.948582375478907</v>
      </c>
      <c r="L4" s="8">
        <v>49.524693486590017</v>
      </c>
      <c r="M4" s="8">
        <v>64.78</v>
      </c>
      <c r="N4" s="8">
        <v>61.2</v>
      </c>
      <c r="O4" s="8">
        <v>89</v>
      </c>
      <c r="P4" s="8">
        <v>120</v>
      </c>
      <c r="Q4" s="8">
        <v>128.80000000000001</v>
      </c>
      <c r="R4" s="8">
        <v>116.15</v>
      </c>
      <c r="S4" s="8">
        <v>114.2</v>
      </c>
      <c r="T4" s="8">
        <v>105</v>
      </c>
      <c r="U4" s="8">
        <v>159.46</v>
      </c>
      <c r="V4" s="8">
        <v>212.1</v>
      </c>
      <c r="W4" s="8">
        <v>267.91219999999998</v>
      </c>
      <c r="X4" s="9">
        <v>344.2</v>
      </c>
      <c r="Y4" s="10">
        <f t="shared" ref="Y4:AB4" si="1">X4</f>
        <v>344.2</v>
      </c>
      <c r="Z4" s="10">
        <f t="shared" si="1"/>
        <v>344.2</v>
      </c>
      <c r="AA4" s="10">
        <f t="shared" si="1"/>
        <v>344.2</v>
      </c>
      <c r="AB4" s="10">
        <f t="shared" si="1"/>
        <v>344.2</v>
      </c>
    </row>
    <row r="5" spans="1:31" ht="11.25" customHeight="1" x14ac:dyDescent="0.2">
      <c r="A5" s="4" t="s">
        <v>4</v>
      </c>
      <c r="B5" s="4">
        <f>IS!B94</f>
        <v>173.494969</v>
      </c>
      <c r="C5" s="4">
        <f>IS!C94</f>
        <v>350.79163199999999</v>
      </c>
      <c r="D5" s="4">
        <f>IS!D94</f>
        <v>409.69396</v>
      </c>
      <c r="E5" s="4">
        <f>IS!E94</f>
        <v>410.77400899999998</v>
      </c>
      <c r="F5" s="4">
        <f>IS!F94</f>
        <v>405.35440199999999</v>
      </c>
      <c r="G5" s="4">
        <f>IS!G94</f>
        <v>399.26678800000002</v>
      </c>
      <c r="H5" s="4">
        <f>IS!H94</f>
        <v>399.55291999999997</v>
      </c>
      <c r="I5" s="4">
        <f>IS!I94</f>
        <v>404.73545999999999</v>
      </c>
      <c r="J5" s="4">
        <f>IS!J94</f>
        <v>415.28082599999999</v>
      </c>
      <c r="K5" s="4">
        <f>IS!K94</f>
        <v>416.29273599999999</v>
      </c>
      <c r="L5" s="4">
        <f>IS!L94</f>
        <v>416.41336799999999</v>
      </c>
      <c r="M5" s="4">
        <f>IS!M94</f>
        <v>417.569031</v>
      </c>
      <c r="N5" s="4">
        <f>IS!N94</f>
        <v>416.32511799999997</v>
      </c>
      <c r="O5" s="4">
        <f>IS!O94</f>
        <v>410.24104299999999</v>
      </c>
      <c r="P5" s="4">
        <f>IS!P94</f>
        <v>430.91181</v>
      </c>
      <c r="Q5" s="4">
        <f>IS!Q94</f>
        <v>429.72337199999998</v>
      </c>
      <c r="R5" s="4">
        <f>IS!R94</f>
        <v>426.035732</v>
      </c>
      <c r="S5" s="4">
        <f>IS!S94</f>
        <v>426.65042499999998</v>
      </c>
      <c r="T5" s="4">
        <f>IS!T94</f>
        <v>426.680657</v>
      </c>
      <c r="U5" s="4">
        <f>IS!U94</f>
        <v>417.79549200000002</v>
      </c>
      <c r="V5" s="4">
        <f>IS!V94</f>
        <v>416.14953000000003</v>
      </c>
      <c r="W5" s="4">
        <f>IS!W94</f>
        <v>417.88308599999999</v>
      </c>
      <c r="X5" s="11">
        <f>IS!X94</f>
        <v>415.09841523532828</v>
      </c>
      <c r="Y5" s="11">
        <f>IS!Y94</f>
        <v>411.46680570598494</v>
      </c>
      <c r="Z5" s="11">
        <f>IS!Z94</f>
        <v>407.83519617664149</v>
      </c>
      <c r="AA5" s="11">
        <f>IS!AA94</f>
        <v>406.01939141196982</v>
      </c>
      <c r="AB5" s="11">
        <f>IS!AB94</f>
        <v>406.01939141196982</v>
      </c>
    </row>
    <row r="6" spans="1:31" ht="11.25" customHeight="1" thickBot="1" x14ac:dyDescent="0.25">
      <c r="A6" s="12" t="s">
        <v>5</v>
      </c>
      <c r="B6" s="12">
        <f>B4*B5</f>
        <v>2919.7415357446966</v>
      </c>
      <c r="C6" s="12">
        <f t="shared" ref="C6:AB6" si="2">C4*C5</f>
        <v>5982.4679520572336</v>
      </c>
      <c r="D6" s="12">
        <f t="shared" si="2"/>
        <v>7379.9906335399983</v>
      </c>
      <c r="E6" s="12">
        <f t="shared" si="2"/>
        <v>7150.1590345899967</v>
      </c>
      <c r="F6" s="12">
        <f t="shared" si="2"/>
        <v>4867.9180323142664</v>
      </c>
      <c r="G6" s="12">
        <f t="shared" si="2"/>
        <v>4109.4648886735649</v>
      </c>
      <c r="H6" s="12">
        <f t="shared" si="2"/>
        <v>8109.2479907609159</v>
      </c>
      <c r="I6" s="12">
        <f t="shared" si="2"/>
        <v>10321.151182085761</v>
      </c>
      <c r="J6" s="12">
        <f t="shared" si="2"/>
        <v>11530.057333462757</v>
      </c>
      <c r="K6" s="12">
        <f t="shared" si="2"/>
        <v>17046.597392409494</v>
      </c>
      <c r="L6" s="12">
        <f t="shared" si="2"/>
        <v>20622.744413918612</v>
      </c>
      <c r="M6" s="12">
        <f t="shared" si="2"/>
        <v>27050.121828179999</v>
      </c>
      <c r="N6" s="12">
        <f t="shared" si="2"/>
        <v>25479.097221600001</v>
      </c>
      <c r="O6" s="12">
        <f t="shared" si="2"/>
        <v>36511.452827000001</v>
      </c>
      <c r="P6" s="12">
        <f t="shared" si="2"/>
        <v>51709.417200000004</v>
      </c>
      <c r="Q6" s="12">
        <f t="shared" si="2"/>
        <v>55348.370313600004</v>
      </c>
      <c r="R6" s="12">
        <f t="shared" si="2"/>
        <v>49484.050271799999</v>
      </c>
      <c r="S6" s="12">
        <f t="shared" si="2"/>
        <v>48723.478535000002</v>
      </c>
      <c r="T6" s="12">
        <f t="shared" si="2"/>
        <v>44801.468985</v>
      </c>
      <c r="U6" s="12">
        <f t="shared" si="2"/>
        <v>66621.669154320014</v>
      </c>
      <c r="V6" s="12">
        <f t="shared" si="2"/>
        <v>88265.315312999999</v>
      </c>
      <c r="W6" s="12">
        <f t="shared" si="2"/>
        <v>111955.97691304919</v>
      </c>
      <c r="X6" s="13">
        <f t="shared" si="2"/>
        <v>142876.87452399998</v>
      </c>
      <c r="Y6" s="13">
        <f t="shared" si="2"/>
        <v>141626.87452400001</v>
      </c>
      <c r="Z6" s="13">
        <f t="shared" si="2"/>
        <v>140376.87452399998</v>
      </c>
      <c r="AA6" s="13">
        <f t="shared" si="2"/>
        <v>139751.87452400001</v>
      </c>
      <c r="AB6" s="13">
        <f t="shared" si="2"/>
        <v>139751.87452400001</v>
      </c>
    </row>
    <row r="7" spans="1:31" ht="11.25" customHeight="1" x14ac:dyDescent="0.2">
      <c r="A7" s="4" t="s">
        <v>6</v>
      </c>
      <c r="B7" s="4">
        <f>B58+B59</f>
        <v>-347</v>
      </c>
      <c r="C7" s="4">
        <f>C58+C59</f>
        <v>473</v>
      </c>
      <c r="D7" s="4">
        <f>D58+D59</f>
        <v>419</v>
      </c>
      <c r="E7" s="4">
        <f>E58+E59</f>
        <v>132</v>
      </c>
      <c r="F7" s="4">
        <f t="shared" ref="F7:R7" si="3">F58+F59</f>
        <v>587</v>
      </c>
      <c r="G7" s="4">
        <f t="shared" si="3"/>
        <v>458</v>
      </c>
      <c r="H7" s="4">
        <f t="shared" si="3"/>
        <v>-48</v>
      </c>
      <c r="I7" s="4">
        <f t="shared" si="3"/>
        <v>977</v>
      </c>
      <c r="J7" s="4">
        <f t="shared" si="3"/>
        <v>895</v>
      </c>
      <c r="K7" s="4">
        <f t="shared" si="3"/>
        <v>1220</v>
      </c>
      <c r="L7" s="4">
        <f t="shared" si="3"/>
        <v>1503</v>
      </c>
      <c r="M7" s="4">
        <f t="shared" si="3"/>
        <v>748</v>
      </c>
      <c r="N7" s="4">
        <f t="shared" si="3"/>
        <v>1383</v>
      </c>
      <c r="O7" s="4">
        <f>O58+O59</f>
        <v>-294</v>
      </c>
      <c r="P7" s="4">
        <f t="shared" si="3"/>
        <v>3269</v>
      </c>
      <c r="Q7" s="4">
        <f>Q58+Q59</f>
        <v>4114</v>
      </c>
      <c r="R7" s="4">
        <f t="shared" si="3"/>
        <v>2792</v>
      </c>
      <c r="S7" s="4">
        <f>S58+S59</f>
        <v>1544</v>
      </c>
      <c r="T7" s="4">
        <f>T58+T59</f>
        <v>-14</v>
      </c>
      <c r="U7" s="4">
        <f>U58+U59</f>
        <v>-374</v>
      </c>
      <c r="V7" s="4">
        <f>V58+V59</f>
        <v>-1738</v>
      </c>
      <c r="W7" s="4">
        <f t="shared" ref="W7:AB7" si="4">W58+W59</f>
        <v>-1741</v>
      </c>
      <c r="X7" s="11">
        <f t="shared" si="4"/>
        <v>-4265.5518355188215</v>
      </c>
      <c r="Y7" s="11">
        <f t="shared" si="4"/>
        <v>-6894.1637010823251</v>
      </c>
      <c r="Z7" s="11">
        <f t="shared" si="4"/>
        <v>-9321.8744137743452</v>
      </c>
      <c r="AA7" s="11">
        <f t="shared" si="4"/>
        <v>-13201.697837244672</v>
      </c>
      <c r="AB7" s="11">
        <f t="shared" si="4"/>
        <v>-17002.60464018178</v>
      </c>
    </row>
    <row r="8" spans="1:31" ht="11.25" customHeight="1" x14ac:dyDescent="0.2">
      <c r="A8" s="4" t="s">
        <v>7</v>
      </c>
      <c r="B8" s="4">
        <f>-BS!B30-BS!B41</f>
        <v>-271</v>
      </c>
      <c r="C8" s="4">
        <f>-BS!C30-BS!C41</f>
        <v>-1672</v>
      </c>
      <c r="D8" s="4">
        <f>-BS!D30-BS!D41</f>
        <v>-1660.6</v>
      </c>
      <c r="E8" s="4">
        <f>-BS!E30-BS!E41</f>
        <v>-1792.1</v>
      </c>
      <c r="F8" s="4">
        <f>-BS!F30-BS!F41</f>
        <v>-1971.7</v>
      </c>
      <c r="G8" s="4">
        <f>-BS!G30-BS!G41</f>
        <v>-1996.3</v>
      </c>
      <c r="H8" s="4">
        <f>-BS!H30-BS!H41</f>
        <v>-2058</v>
      </c>
      <c r="I8" s="4">
        <f>-BS!I30-BS!I41</f>
        <v>-2020</v>
      </c>
      <c r="J8" s="4">
        <f>-BS!J30-BS!J41</f>
        <v>-2887</v>
      </c>
      <c r="K8" s="4">
        <f>-BS!K30-BS!K41</f>
        <v>-2958</v>
      </c>
      <c r="L8" s="4">
        <f>-BS!L30-BS!L41</f>
        <v>-3329</v>
      </c>
      <c r="M8" s="4">
        <f>-BS!M30-BS!M41</f>
        <v>-3456</v>
      </c>
      <c r="N8" s="4">
        <f>-BS!N30-BS!N41</f>
        <v>-3264</v>
      </c>
      <c r="O8" s="4">
        <f>-BS!O30-BS!O41</f>
        <v>-3403</v>
      </c>
      <c r="P8" s="4">
        <f>-BS!P30-BS!P41</f>
        <v>-2777</v>
      </c>
      <c r="Q8" s="4">
        <f>-BS!Q30-BS!Q41</f>
        <v>-3083</v>
      </c>
      <c r="R8" s="4">
        <f>-BS!R30-BS!R41</f>
        <v>-2847</v>
      </c>
      <c r="S8" s="4">
        <f>-BS!S30-BS!S41</f>
        <v>-2856</v>
      </c>
      <c r="T8" s="4">
        <f>-BS!T30-BS!T41</f>
        <v>-2567</v>
      </c>
      <c r="U8" s="4">
        <f>-BS!U30-BS!U41</f>
        <v>-2611</v>
      </c>
      <c r="V8" s="4">
        <f>-BS!V30-BS!V41</f>
        <v>-3008</v>
      </c>
      <c r="W8" s="4">
        <f>-BS!W30-BS!W41</f>
        <v>-2899</v>
      </c>
      <c r="X8" s="11">
        <f>-BS!X30-BS!X41</f>
        <v>-2899</v>
      </c>
      <c r="Y8" s="11">
        <f>-BS!Y30-BS!Y41</f>
        <v>-2899</v>
      </c>
      <c r="Z8" s="11">
        <f>-BS!Z30-BS!Z41</f>
        <v>-2899</v>
      </c>
      <c r="AA8" s="11">
        <f>-BS!AA30-BS!AA41</f>
        <v>-2899</v>
      </c>
      <c r="AB8" s="11">
        <f>-BS!AB30-BS!AB41</f>
        <v>-2899</v>
      </c>
    </row>
    <row r="9" spans="1:31" ht="11.25" customHeight="1" x14ac:dyDescent="0.2">
      <c r="A9" s="4" t="s">
        <v>8</v>
      </c>
      <c r="B9" s="4">
        <f>-BS!B49</f>
        <v>-1</v>
      </c>
      <c r="C9" s="4">
        <f>-BS!C49</f>
        <v>-164</v>
      </c>
      <c r="D9" s="4">
        <f>-BS!D49</f>
        <v>-173</v>
      </c>
      <c r="E9" s="4">
        <f>-BS!E49</f>
        <v>-167</v>
      </c>
      <c r="F9" s="4">
        <f>-BS!F49</f>
        <v>-141</v>
      </c>
      <c r="G9" s="4">
        <f>-BS!G49</f>
        <v>-148</v>
      </c>
      <c r="H9" s="4">
        <f>-BS!H49</f>
        <v>-175</v>
      </c>
      <c r="I9" s="4">
        <f>-BS!I49</f>
        <v>-154</v>
      </c>
      <c r="J9" s="4">
        <f>-BS!J49</f>
        <v>-163</v>
      </c>
      <c r="K9" s="4">
        <f>-BS!K49</f>
        <v>-178</v>
      </c>
      <c r="L9" s="4">
        <f>-BS!L49</f>
        <v>-225</v>
      </c>
      <c r="M9" s="4">
        <f>-BS!M49</f>
        <v>-266</v>
      </c>
      <c r="N9" s="4">
        <f>-BS!N49</f>
        <v>-288</v>
      </c>
      <c r="O9" s="4">
        <f>-BS!O49</f>
        <v>-303</v>
      </c>
      <c r="P9" s="4">
        <f>-BS!P49</f>
        <v>-346</v>
      </c>
      <c r="Q9" s="4">
        <f>-BS!Q49</f>
        <v>-377</v>
      </c>
      <c r="R9" s="4">
        <f>-BS!R49</f>
        <v>-401</v>
      </c>
      <c r="S9" s="4">
        <f>-BS!S49</f>
        <v>-429</v>
      </c>
      <c r="T9" s="4">
        <f>-BS!T49</f>
        <v>-455</v>
      </c>
      <c r="U9" s="4">
        <f>-BS!U49</f>
        <v>-511</v>
      </c>
      <c r="V9" s="4">
        <f>-BS!V49</f>
        <v>-549</v>
      </c>
      <c r="W9" s="4">
        <f>-BS!W49</f>
        <v>-622</v>
      </c>
      <c r="X9" s="11">
        <f>-BS!X49</f>
        <v>-669</v>
      </c>
      <c r="Y9" s="11">
        <f>-BS!Y49</f>
        <v>-716</v>
      </c>
      <c r="Z9" s="11">
        <f>-BS!Z49</f>
        <v>-763</v>
      </c>
      <c r="AA9" s="11">
        <f>-BS!AA49</f>
        <v>-810</v>
      </c>
      <c r="AB9" s="11">
        <f>-BS!AB49</f>
        <v>-857</v>
      </c>
    </row>
    <row r="10" spans="1:31" ht="11.25" customHeight="1" thickBot="1" x14ac:dyDescent="0.25">
      <c r="A10" s="12" t="s">
        <v>9</v>
      </c>
      <c r="B10" s="12">
        <f>B6+B8+B7+B9</f>
        <v>2300.7415357446966</v>
      </c>
      <c r="C10" s="12">
        <f t="shared" ref="C10:AB10" si="5">C6+C8+C7+C9</f>
        <v>4619.4679520572336</v>
      </c>
      <c r="D10" s="12">
        <f t="shared" si="5"/>
        <v>5965.3906335399988</v>
      </c>
      <c r="E10" s="12">
        <f t="shared" si="5"/>
        <v>5323.0590345899964</v>
      </c>
      <c r="F10" s="12">
        <f t="shared" si="5"/>
        <v>3342.2180323142666</v>
      </c>
      <c r="G10" s="12">
        <f t="shared" si="5"/>
        <v>2423.1648886735647</v>
      </c>
      <c r="H10" s="12">
        <f t="shared" si="5"/>
        <v>5828.2479907609159</v>
      </c>
      <c r="I10" s="12">
        <f t="shared" si="5"/>
        <v>9124.1511820857613</v>
      </c>
      <c r="J10" s="12">
        <f t="shared" si="5"/>
        <v>9375.057333462757</v>
      </c>
      <c r="K10" s="12">
        <f t="shared" si="5"/>
        <v>15130.597392409494</v>
      </c>
      <c r="L10" s="12">
        <f t="shared" si="5"/>
        <v>18571.744413918612</v>
      </c>
      <c r="M10" s="12">
        <f t="shared" si="5"/>
        <v>24076.121828179999</v>
      </c>
      <c r="N10" s="12">
        <f t="shared" si="5"/>
        <v>23310.097221600001</v>
      </c>
      <c r="O10" s="12">
        <f t="shared" si="5"/>
        <v>32511.452827000001</v>
      </c>
      <c r="P10" s="12">
        <f t="shared" si="5"/>
        <v>51855.417200000004</v>
      </c>
      <c r="Q10" s="12">
        <f t="shared" si="5"/>
        <v>56002.370313600004</v>
      </c>
      <c r="R10" s="12">
        <f t="shared" si="5"/>
        <v>49028.050271799999</v>
      </c>
      <c r="S10" s="12">
        <f t="shared" si="5"/>
        <v>46982.478535000002</v>
      </c>
      <c r="T10" s="12">
        <f t="shared" si="5"/>
        <v>41765.468985</v>
      </c>
      <c r="U10" s="12">
        <f t="shared" si="5"/>
        <v>63125.669154320014</v>
      </c>
      <c r="V10" s="12">
        <f t="shared" si="5"/>
        <v>82970.315312999999</v>
      </c>
      <c r="W10" s="12">
        <f t="shared" si="5"/>
        <v>106693.97691304919</v>
      </c>
      <c r="X10" s="13">
        <f>X6+X8+X7+X9</f>
        <v>135043.32268848116</v>
      </c>
      <c r="Y10" s="13">
        <f t="shared" si="5"/>
        <v>131117.7108229177</v>
      </c>
      <c r="Z10" s="13">
        <f t="shared" si="5"/>
        <v>127393.00011022564</v>
      </c>
      <c r="AA10" s="13">
        <f t="shared" si="5"/>
        <v>122841.17668675534</v>
      </c>
      <c r="AB10" s="13">
        <f t="shared" si="5"/>
        <v>118993.26988381823</v>
      </c>
    </row>
    <row r="11" spans="1:31" ht="11.25" customHeight="1" x14ac:dyDescent="0.25">
      <c r="U11" s="15"/>
      <c r="V11" s="15"/>
      <c r="W11" s="15"/>
      <c r="AE11" s="14"/>
    </row>
    <row r="12" spans="1:31" ht="11.25" customHeight="1" x14ac:dyDescent="0.2">
      <c r="A12" s="5" t="s">
        <v>10</v>
      </c>
      <c r="B12" s="2"/>
      <c r="C12" s="2"/>
      <c r="D12" s="2"/>
      <c r="E12" s="2"/>
      <c r="F12" s="2"/>
      <c r="G12" s="2"/>
      <c r="H12" s="2"/>
      <c r="I12" s="2"/>
      <c r="J12" s="2"/>
      <c r="K12" s="2"/>
      <c r="L12" s="2"/>
      <c r="M12" s="2"/>
      <c r="N12" s="2"/>
      <c r="O12" s="2"/>
      <c r="P12" s="2"/>
      <c r="Q12" s="2"/>
      <c r="R12" s="2"/>
      <c r="S12" s="2"/>
      <c r="T12" s="2"/>
      <c r="U12" s="2"/>
      <c r="V12" s="2"/>
      <c r="W12" s="2"/>
      <c r="X12" s="3"/>
      <c r="Y12" s="3"/>
      <c r="Z12" s="3"/>
      <c r="AA12" s="3"/>
      <c r="AB12" s="3"/>
    </row>
    <row r="13" spans="1:31" ht="11.25" customHeight="1" x14ac:dyDescent="0.2">
      <c r="A13" s="4" t="s">
        <v>11</v>
      </c>
      <c r="B13" s="4">
        <f>Divisional!B13</f>
        <v>10098</v>
      </c>
      <c r="C13" s="4">
        <f>Divisional!C13</f>
        <v>10576</v>
      </c>
      <c r="D13" s="4">
        <f>Divisional!D13</f>
        <v>11329</v>
      </c>
      <c r="E13" s="4">
        <f>IS!E8</f>
        <v>10222</v>
      </c>
      <c r="F13" s="4">
        <f>IS!F8</f>
        <v>10329</v>
      </c>
      <c r="G13" s="4">
        <f>IS!G8</f>
        <v>10448</v>
      </c>
      <c r="H13" s="4">
        <f>IS!H8</f>
        <v>10760</v>
      </c>
      <c r="I13" s="4">
        <f>IS!I8</f>
        <v>11736</v>
      </c>
      <c r="J13" s="4">
        <f>IS!J8</f>
        <v>13560</v>
      </c>
      <c r="K13" s="4">
        <f>IS!K8</f>
        <v>14363</v>
      </c>
      <c r="L13" s="4">
        <f>IS!L8</f>
        <v>15355</v>
      </c>
      <c r="M13" s="4">
        <f>IS!M8</f>
        <v>17414</v>
      </c>
      <c r="N13" s="4">
        <f>IS!N8</f>
        <v>15781</v>
      </c>
      <c r="O13" s="4">
        <f>IS!O8</f>
        <v>16521</v>
      </c>
      <c r="P13" s="4">
        <f>IS!P8</f>
        <v>21050</v>
      </c>
      <c r="Q13" s="4">
        <f>IS!Q8</f>
        <v>24640</v>
      </c>
      <c r="R13" s="4">
        <f>IS!R8</f>
        <v>16498</v>
      </c>
      <c r="S13" s="4">
        <f>IS!S8</f>
        <v>15257</v>
      </c>
      <c r="T13" s="4">
        <f>IS!T8</f>
        <v>19035</v>
      </c>
      <c r="U13" s="4">
        <f>IS!U8</f>
        <v>23199</v>
      </c>
      <c r="V13" s="4">
        <f>IS!V8</f>
        <v>27317</v>
      </c>
      <c r="W13" s="4">
        <f>IS!W8</f>
        <v>31329</v>
      </c>
      <c r="X13" s="11">
        <f>IS!X8</f>
        <v>37016.105572645254</v>
      </c>
      <c r="Y13" s="11">
        <f>IS!Y8</f>
        <v>40521.236480623185</v>
      </c>
      <c r="Z13" s="11">
        <f>IS!Z8</f>
        <v>44358.539477611092</v>
      </c>
      <c r="AA13" s="11">
        <f>IS!AA8</f>
        <v>47477.323753297635</v>
      </c>
      <c r="AB13" s="11">
        <f>IS!AB8</f>
        <v>48855.523167259729</v>
      </c>
      <c r="AC13" s="1342"/>
    </row>
    <row r="14" spans="1:31" ht="11.25" customHeight="1" x14ac:dyDescent="0.2">
      <c r="A14" s="4" t="s">
        <v>12</v>
      </c>
      <c r="E14" s="4">
        <f>IS!E13</f>
        <v>1348</v>
      </c>
      <c r="F14" s="4">
        <f>IS!F13</f>
        <v>1098</v>
      </c>
      <c r="G14" s="4">
        <f>IS!G13</f>
        <v>1139</v>
      </c>
      <c r="H14" s="4">
        <f>IS!H13</f>
        <v>1265</v>
      </c>
      <c r="I14" s="4">
        <f>IS!I13</f>
        <v>1531</v>
      </c>
      <c r="J14" s="4">
        <f>IS!J13</f>
        <v>2045</v>
      </c>
      <c r="K14" s="4">
        <f>IS!K13</f>
        <v>2280</v>
      </c>
      <c r="L14" s="4">
        <f>IS!L13</f>
        <v>2728</v>
      </c>
      <c r="M14" s="4">
        <f>IS!M13</f>
        <v>3148</v>
      </c>
      <c r="N14" s="4">
        <f>IS!N13</f>
        <v>2920</v>
      </c>
      <c r="O14" s="4">
        <f>IS!O13</f>
        <v>3436</v>
      </c>
      <c r="P14" s="4">
        <f>IS!P13</f>
        <v>3845</v>
      </c>
      <c r="Q14" s="4">
        <f>IS!Q13</f>
        <v>5014</v>
      </c>
      <c r="R14" s="4">
        <f>IS!R13</f>
        <v>2509</v>
      </c>
      <c r="S14" s="4">
        <f>IS!S13</f>
        <v>2942</v>
      </c>
      <c r="T14" s="4">
        <f>IS!T13</f>
        <v>3219</v>
      </c>
      <c r="U14" s="4">
        <f>IS!U13</f>
        <v>4159</v>
      </c>
      <c r="V14" s="4">
        <f>IS!V13</f>
        <v>5389</v>
      </c>
      <c r="W14" s="4">
        <f>IS!W13</f>
        <v>6344</v>
      </c>
      <c r="X14" s="11">
        <f>IS!X13</f>
        <v>8257.7802103620652</v>
      </c>
      <c r="Y14" s="11">
        <f>IS!Y13</f>
        <v>9307.1351459070465</v>
      </c>
      <c r="Z14" s="11">
        <f>IS!Z13</f>
        <v>10180.240504285459</v>
      </c>
      <c r="AA14" s="11">
        <f>IS!AA13</f>
        <v>10862.169957020622</v>
      </c>
      <c r="AB14" s="11">
        <f>IS!AB13</f>
        <v>11283.530785301546</v>
      </c>
    </row>
    <row r="15" spans="1:31" ht="11.25" customHeight="1" x14ac:dyDescent="0.25">
      <c r="A15" s="4" t="s">
        <v>13</v>
      </c>
      <c r="B15" s="4">
        <f>Divisional!B48</f>
        <v>773</v>
      </c>
      <c r="C15" s="4">
        <f>Divisional!C48</f>
        <v>687</v>
      </c>
      <c r="D15" s="4">
        <f>Divisional!D48</f>
        <v>465</v>
      </c>
      <c r="E15" s="4">
        <f>IS!E20</f>
        <v>787</v>
      </c>
      <c r="F15" s="4">
        <f>IS!F20</f>
        <v>666</v>
      </c>
      <c r="G15" s="4">
        <f>IS!G20</f>
        <v>729</v>
      </c>
      <c r="H15" s="4">
        <f>IS!H20</f>
        <v>878</v>
      </c>
      <c r="I15" s="4">
        <f>IS!I20</f>
        <v>1189</v>
      </c>
      <c r="J15" s="4">
        <f>IS!J20</f>
        <v>1444</v>
      </c>
      <c r="K15" s="4">
        <f>IS!K20</f>
        <v>1780</v>
      </c>
      <c r="L15" s="4">
        <f>IS!L20</f>
        <v>2089</v>
      </c>
      <c r="M15" s="4">
        <f>IS!M20</f>
        <v>2432</v>
      </c>
      <c r="N15" s="4">
        <f>IS!N20</f>
        <v>2404</v>
      </c>
      <c r="O15" s="4">
        <f>IS!O20</f>
        <v>2470</v>
      </c>
      <c r="P15" s="4">
        <f>IS!P20</f>
        <v>3023</v>
      </c>
      <c r="Q15" s="4">
        <f>IS!Q20</f>
        <v>3820</v>
      </c>
      <c r="R15" s="4">
        <f>IS!R20</f>
        <v>1686</v>
      </c>
      <c r="S15" s="4">
        <f>IS!S20</f>
        <v>1805</v>
      </c>
      <c r="T15" s="4">
        <f>IS!T20</f>
        <v>2408</v>
      </c>
      <c r="U15" s="4">
        <f>IS!U20</f>
        <v>3166</v>
      </c>
      <c r="V15" s="4">
        <f>IS!V20</f>
        <v>4119</v>
      </c>
      <c r="W15" s="4">
        <f>IS!W20</f>
        <v>5197</v>
      </c>
      <c r="X15" s="11">
        <f>IS!X20</f>
        <v>6750.8771791018489</v>
      </c>
      <c r="Y15" s="11">
        <f>IS!Y20</f>
        <v>7666.1123105145489</v>
      </c>
      <c r="Z15" s="11">
        <f>IS!Z20</f>
        <v>8392.6251348959613</v>
      </c>
      <c r="AA15" s="11">
        <f>IS!AA20</f>
        <v>8956.5808890165335</v>
      </c>
      <c r="AB15" s="11">
        <f>IS!AB20</f>
        <v>9327.0069765876378</v>
      </c>
      <c r="AD15" s="14"/>
    </row>
    <row r="16" spans="1:31" ht="11.25" customHeight="1" x14ac:dyDescent="0.2">
      <c r="A16" s="4" t="s">
        <v>14</v>
      </c>
      <c r="E16" s="4">
        <f t="shared" ref="E16:AB16" si="6">E15*(1-E35)</f>
        <v>553.14246947082768</v>
      </c>
      <c r="F16" s="4">
        <f t="shared" si="6"/>
        <v>543.36826347305384</v>
      </c>
      <c r="G16" s="4">
        <f t="shared" si="6"/>
        <v>578.46080305927342</v>
      </c>
      <c r="H16" s="4">
        <f t="shared" si="6"/>
        <v>662.85269121813042</v>
      </c>
      <c r="I16" s="4">
        <f t="shared" si="6"/>
        <v>829.18743455497383</v>
      </c>
      <c r="J16" s="4">
        <f t="shared" si="6"/>
        <v>1152.6767275615568</v>
      </c>
      <c r="K16" s="4">
        <f t="shared" si="6"/>
        <v>1199.8274799753542</v>
      </c>
      <c r="L16" s="4">
        <f t="shared" si="6"/>
        <v>1494.7449591280654</v>
      </c>
      <c r="M16" s="4">
        <f t="shared" si="6"/>
        <v>1784.6446499339499</v>
      </c>
      <c r="N16" s="4">
        <f t="shared" si="6"/>
        <v>1870.0160570918824</v>
      </c>
      <c r="O16" s="4">
        <f t="shared" si="6"/>
        <v>1913.5827098919367</v>
      </c>
      <c r="P16" s="4">
        <f t="shared" si="6"/>
        <v>2307.8817204301076</v>
      </c>
      <c r="Q16" s="4">
        <f t="shared" si="6"/>
        <v>2787.4572649572651</v>
      </c>
      <c r="R16" s="4">
        <f t="shared" si="6"/>
        <v>1221.7592745259687</v>
      </c>
      <c r="S16" s="4">
        <f t="shared" si="6"/>
        <v>1183.2107023411372</v>
      </c>
      <c r="T16" s="4">
        <f t="shared" si="6"/>
        <v>1651.0835214446952</v>
      </c>
      <c r="U16" s="4">
        <f t="shared" si="6"/>
        <v>2355.7546836337929</v>
      </c>
      <c r="V16" s="4">
        <f t="shared" si="6"/>
        <v>3138.9004339440698</v>
      </c>
      <c r="W16" s="4">
        <f t="shared" si="6"/>
        <v>3516.0267654931026</v>
      </c>
      <c r="X16" s="11">
        <f t="shared" si="6"/>
        <v>4590.5964817892573</v>
      </c>
      <c r="Y16" s="11">
        <f t="shared" si="6"/>
        <v>5749.5842328859117</v>
      </c>
      <c r="Z16" s="11">
        <f t="shared" si="6"/>
        <v>6294.4688511719705</v>
      </c>
      <c r="AA16" s="11">
        <f t="shared" si="6"/>
        <v>6717.4356667623997</v>
      </c>
      <c r="AB16" s="11">
        <f t="shared" si="6"/>
        <v>6995.2552324407279</v>
      </c>
      <c r="AD16" s="27"/>
    </row>
    <row r="17" spans="1:31" ht="11.25" customHeight="1" x14ac:dyDescent="0.2">
      <c r="A17" s="4" t="s">
        <v>15</v>
      </c>
      <c r="E17" s="4">
        <f>IS!E42</f>
        <v>406</v>
      </c>
      <c r="F17" s="4">
        <f>IS!F42</f>
        <v>297</v>
      </c>
      <c r="G17" s="4">
        <f>IS!G42</f>
        <v>395</v>
      </c>
      <c r="H17" s="4">
        <f>IS!H42</f>
        <v>508</v>
      </c>
      <c r="I17" s="4">
        <f>IS!I42</f>
        <v>644</v>
      </c>
      <c r="J17" s="4">
        <f>IS!J42</f>
        <v>979</v>
      </c>
      <c r="K17" s="4">
        <f>IS!K42</f>
        <v>1193</v>
      </c>
      <c r="L17" s="4">
        <f>IS!L42</f>
        <v>1248</v>
      </c>
      <c r="M17" s="4">
        <f>IS!M42</f>
        <v>1482</v>
      </c>
      <c r="N17" s="4">
        <f>IS!N42</f>
        <v>1804</v>
      </c>
      <c r="O17" s="4">
        <f>IS!O42</f>
        <v>2623</v>
      </c>
      <c r="P17" s="4">
        <f>IS!P42</f>
        <v>1981</v>
      </c>
      <c r="Q17" s="4">
        <f>IS!Q42</f>
        <v>2665</v>
      </c>
      <c r="R17" s="4">
        <f>IS!R42</f>
        <v>844</v>
      </c>
      <c r="S17" s="4">
        <f>IS!S42</f>
        <v>760</v>
      </c>
      <c r="T17" s="4">
        <f>IS!T42</f>
        <v>1178</v>
      </c>
      <c r="U17" s="4">
        <f>IS!U42</f>
        <v>2028</v>
      </c>
      <c r="V17" s="4">
        <f>IS!V42</f>
        <v>3068</v>
      </c>
      <c r="W17" s="4">
        <f>IS!W42</f>
        <v>3174</v>
      </c>
      <c r="X17" s="11">
        <f>IS!X42</f>
        <v>4315.2738817892568</v>
      </c>
      <c r="Y17" s="11">
        <f>IS!Y42</f>
        <v>5743.9762241850858</v>
      </c>
      <c r="Z17" s="11">
        <f>IS!Z42</f>
        <v>6341.8306094463223</v>
      </c>
      <c r="AA17" s="11">
        <f>IS!AA42</f>
        <v>6812.9382160723235</v>
      </c>
      <c r="AB17" s="11">
        <f>IS!AB42</f>
        <v>7171.2469737787324</v>
      </c>
    </row>
    <row r="18" spans="1:31" ht="11.25" customHeight="1" x14ac:dyDescent="0.2">
      <c r="A18" s="4" t="s">
        <v>16</v>
      </c>
      <c r="B18" s="15"/>
      <c r="C18" s="15"/>
      <c r="D18" s="15"/>
      <c r="E18" s="15">
        <f>IS!E46</f>
        <v>0.98837801590314356</v>
      </c>
      <c r="F18" s="15">
        <f>IS!F46</f>
        <v>0.73269217883071125</v>
      </c>
      <c r="G18" s="15">
        <f>IS!G46</f>
        <v>0.98931344121715425</v>
      </c>
      <c r="H18" s="15">
        <f>IS!H46</f>
        <v>1.2714210673269515</v>
      </c>
      <c r="I18" s="15">
        <f>IS!I46</f>
        <v>1.5911627807457247</v>
      </c>
      <c r="J18" s="15">
        <f>IS!J46</f>
        <v>2.3574408898907362</v>
      </c>
      <c r="K18" s="15">
        <f>IS!K46</f>
        <v>2.8657718399390952</v>
      </c>
      <c r="L18" s="15">
        <f>IS!L46</f>
        <v>2.9970219399872868</v>
      </c>
      <c r="M18" s="15">
        <f>IS!M46</f>
        <v>3.5491137751544608</v>
      </c>
      <c r="N18" s="15">
        <f>IS!N46</f>
        <v>4.3331519574564803</v>
      </c>
      <c r="O18" s="15">
        <f>IS!O46</f>
        <v>6.3938019970371425</v>
      </c>
      <c r="P18" s="15">
        <f>IS!P46</f>
        <v>4.5972283748732714</v>
      </c>
      <c r="Q18" s="15">
        <f>IS!Q46</f>
        <v>6.2016640789088848</v>
      </c>
      <c r="R18" s="15">
        <f>IS!R46</f>
        <v>1.9810544905186498</v>
      </c>
      <c r="S18" s="15">
        <f>IS!S46</f>
        <v>1.7813178083673538</v>
      </c>
      <c r="T18" s="15">
        <f>IS!T46</f>
        <v>2.760846972259162</v>
      </c>
      <c r="U18" s="15">
        <f>IS!U46</f>
        <v>4.8540495022861565</v>
      </c>
      <c r="V18" s="15">
        <f>IS!V46</f>
        <v>7.3723500300480929</v>
      </c>
      <c r="W18" s="15">
        <f>IS!W46</f>
        <v>7.5954258651186475</v>
      </c>
      <c r="X18" s="16">
        <f>IS!X46</f>
        <v>10.395785007617615</v>
      </c>
      <c r="Y18" s="16">
        <f>IS!Y46</f>
        <v>13.959756035069969</v>
      </c>
      <c r="Z18" s="16">
        <f>IS!Z46</f>
        <v>15.549983593616943</v>
      </c>
      <c r="AA18" s="16">
        <f>IS!AA46</f>
        <v>16.77983456006794</v>
      </c>
      <c r="AB18" s="16">
        <f>IS!AB46</f>
        <v>17.662326296387128</v>
      </c>
      <c r="AC18" s="1342"/>
    </row>
    <row r="19" spans="1:31" ht="11.25" customHeight="1" x14ac:dyDescent="0.2">
      <c r="A19" s="4" t="s">
        <v>17</v>
      </c>
      <c r="B19" s="15"/>
      <c r="C19" s="15"/>
      <c r="D19" s="15"/>
      <c r="E19" s="15">
        <f>IS!E50</f>
        <v>0.98780595878421973</v>
      </c>
      <c r="F19" s="15">
        <f>IS!F50</f>
        <v>0.73269217883071125</v>
      </c>
      <c r="G19" s="15">
        <f>IS!G50</f>
        <v>0.98483764162361087</v>
      </c>
      <c r="H19" s="15">
        <f>IS!H50</f>
        <v>1.2589103780760142</v>
      </c>
      <c r="I19" s="15">
        <f>IS!I50</f>
        <v>1.5848811473755926</v>
      </c>
      <c r="J19" s="15">
        <f>IS!J50</f>
        <v>2.3538186927513696</v>
      </c>
      <c r="K19" s="15">
        <f>IS!K50</f>
        <v>2.864860044298613</v>
      </c>
      <c r="L19" s="15">
        <f>IS!L50</f>
        <v>2.9970219399872868</v>
      </c>
      <c r="M19" s="15">
        <f>IS!M50</f>
        <v>3.5491137751544608</v>
      </c>
      <c r="N19" s="15">
        <f>IS!N50</f>
        <v>4.2585441669148381</v>
      </c>
      <c r="O19" s="15">
        <f>IS!O50</f>
        <v>6.2823601424960946</v>
      </c>
      <c r="P19" s="15">
        <f>IS!P50</f>
        <v>4.5400830444672078</v>
      </c>
      <c r="Q19" s="15">
        <f>IS!Q50</f>
        <v>6.12676448604436</v>
      </c>
      <c r="R19" s="15">
        <f>IS!R50</f>
        <v>1.9161763871695237</v>
      </c>
      <c r="S19" s="15">
        <f>IS!S50</f>
        <v>1.7269311520653794</v>
      </c>
      <c r="T19" s="15">
        <f>IS!T50</f>
        <v>2.6762999591450773</v>
      </c>
      <c r="U19" s="15">
        <f>IS!U50</f>
        <v>4.7012616983264763</v>
      </c>
      <c r="V19" s="15">
        <f>IS!V50</f>
        <v>7.2922201022202406</v>
      </c>
      <c r="W19" s="15">
        <f>IS!W50</f>
        <v>7.5954258651186475</v>
      </c>
      <c r="X19" s="16">
        <f>IS!X50</f>
        <v>10.395785007617615</v>
      </c>
      <c r="Y19" s="16">
        <f>IS!Y50</f>
        <v>13.959756035069969</v>
      </c>
      <c r="Z19" s="16">
        <f>IS!Z50</f>
        <v>15.549983593616943</v>
      </c>
      <c r="AA19" s="16">
        <f>IS!AA50</f>
        <v>16.77983456006794</v>
      </c>
      <c r="AB19" s="16">
        <f>IS!AB50</f>
        <v>17.662326296387128</v>
      </c>
      <c r="AC19" s="15"/>
      <c r="AD19" s="15"/>
      <c r="AE19" s="15"/>
    </row>
    <row r="20" spans="1:31" ht="11.25" customHeight="1" x14ac:dyDescent="0.2">
      <c r="A20" s="4" t="s">
        <v>18</v>
      </c>
      <c r="B20" s="15">
        <f>IS!B102</f>
        <v>0.22</v>
      </c>
      <c r="C20" s="15">
        <f>IS!C102</f>
        <v>0.36</v>
      </c>
      <c r="D20" s="15">
        <f>IS!D102</f>
        <v>0.22</v>
      </c>
      <c r="E20" s="15">
        <f>IS!E102</f>
        <v>0.4</v>
      </c>
      <c r="F20" s="15">
        <f>IS!F102</f>
        <v>0.25</v>
      </c>
      <c r="G20" s="15">
        <f>IS!G102</f>
        <v>0.38</v>
      </c>
      <c r="H20" s="15">
        <f>IS!H102</f>
        <v>0.5</v>
      </c>
      <c r="I20" s="15">
        <f>IS!I102</f>
        <v>0.62</v>
      </c>
      <c r="J20" s="15">
        <f>IS!J102</f>
        <v>0.96</v>
      </c>
      <c r="K20" s="15">
        <f>IS!K102</f>
        <v>1.1200000000000001</v>
      </c>
      <c r="L20" s="15">
        <f>IS!L102</f>
        <v>1.2</v>
      </c>
      <c r="M20" s="15">
        <f>IS!M102</f>
        <v>1.38</v>
      </c>
      <c r="N20" s="15">
        <f>IS!N102</f>
        <v>1.52</v>
      </c>
      <c r="O20" s="15">
        <f>IS!O102</f>
        <v>1.6</v>
      </c>
      <c r="P20" s="15">
        <f>IS!P102</f>
        <v>1.82</v>
      </c>
      <c r="Q20" s="15">
        <f>IS!Q102</f>
        <v>0</v>
      </c>
      <c r="R20" s="15">
        <f>IS!R102</f>
        <v>0.43</v>
      </c>
      <c r="S20" s="15">
        <f>IS!S102</f>
        <v>0.5</v>
      </c>
      <c r="T20" s="15">
        <f>IS!T102</f>
        <v>1.35</v>
      </c>
      <c r="U20" s="15">
        <f>IS!U102</f>
        <v>2.2000000000000002</v>
      </c>
      <c r="V20" s="15">
        <f>IS!V102</f>
        <v>2.9</v>
      </c>
      <c r="W20" s="15">
        <f>IS!W102</f>
        <v>3.35</v>
      </c>
      <c r="X20" s="16">
        <f>IS!X102</f>
        <v>4.158314003047046</v>
      </c>
      <c r="Y20" s="16">
        <f>IS!Y102</f>
        <v>5.583902414027988</v>
      </c>
      <c r="Z20" s="16">
        <f>IS!Z102</f>
        <v>6.219993437446778</v>
      </c>
      <c r="AA20" s="16">
        <f>IS!AA102</f>
        <v>6.7119338240271764</v>
      </c>
      <c r="AB20" s="16">
        <f>IS!AB102</f>
        <v>7.0649305185548519</v>
      </c>
    </row>
    <row r="21" spans="1:31" ht="11.25" customHeight="1" x14ac:dyDescent="0.2">
      <c r="A21" s="4" t="s">
        <v>19</v>
      </c>
      <c r="B21" s="17">
        <f>CF!B72</f>
        <v>58</v>
      </c>
      <c r="C21" s="17">
        <f>CF!C72</f>
        <v>351</v>
      </c>
      <c r="D21" s="17">
        <f>CF!D72</f>
        <v>165</v>
      </c>
      <c r="E21" s="17">
        <f>CF!E72</f>
        <v>374</v>
      </c>
      <c r="F21" s="17">
        <f>CF!F72</f>
        <v>49</v>
      </c>
      <c r="G21" s="17">
        <f>CF!G72</f>
        <v>818</v>
      </c>
      <c r="H21" s="17">
        <f>CF!H72</f>
        <v>934</v>
      </c>
      <c r="I21" s="17">
        <f>CF!I72</f>
        <v>532</v>
      </c>
      <c r="J21" s="17">
        <f>CF!J72</f>
        <v>564</v>
      </c>
      <c r="K21" s="17">
        <f>CF!K72</f>
        <v>699</v>
      </c>
      <c r="L21" s="4">
        <f>CF!L72</f>
        <v>740</v>
      </c>
      <c r="M21" s="4">
        <f>CF!M72</f>
        <v>974</v>
      </c>
      <c r="N21" s="17">
        <f>CF!N72</f>
        <v>1091</v>
      </c>
      <c r="O21" s="17">
        <f>CF!O72</f>
        <v>1438</v>
      </c>
      <c r="P21" s="17">
        <f>CF!P72</f>
        <v>1781</v>
      </c>
      <c r="Q21" s="17">
        <f>CF!Q72</f>
        <v>1983</v>
      </c>
      <c r="R21" s="17">
        <f>CF!R72</f>
        <v>1073</v>
      </c>
      <c r="S21" s="17">
        <f>CF!S72</f>
        <v>1680</v>
      </c>
      <c r="T21" s="17">
        <f>CF!T72</f>
        <v>2666</v>
      </c>
      <c r="U21" s="17">
        <f>CF!U72</f>
        <v>2945</v>
      </c>
      <c r="V21" s="17">
        <f>CF!V72</f>
        <v>3189</v>
      </c>
      <c r="W21" s="17">
        <f>CF!W72</f>
        <v>3921</v>
      </c>
      <c r="X21" s="1579">
        <f>CF!X72</f>
        <v>5099.131526557172</v>
      </c>
      <c r="Y21" s="1579">
        <f>CF!Y72</f>
        <v>5651.6200455197386</v>
      </c>
      <c r="Z21" s="1579">
        <f>CF!Z72</f>
        <v>6017.0226491483463</v>
      </c>
      <c r="AA21" s="1579">
        <f>CF!AA72</f>
        <v>6467.2613735289133</v>
      </c>
      <c r="AB21" s="1579">
        <f>CF!AB72</f>
        <v>6588.0820893660375</v>
      </c>
    </row>
    <row r="22" spans="1:31" ht="11.25" customHeight="1" x14ac:dyDescent="0.2">
      <c r="F22" s="19"/>
      <c r="G22" s="19"/>
      <c r="H22" s="19"/>
      <c r="I22" s="19"/>
      <c r="J22" s="19"/>
      <c r="K22" s="19"/>
      <c r="L22" s="19"/>
      <c r="M22" s="19"/>
      <c r="N22" s="19"/>
      <c r="O22" s="19"/>
      <c r="P22" s="19"/>
      <c r="Q22" s="19"/>
      <c r="R22" s="19"/>
      <c r="S22" s="19"/>
      <c r="T22" s="19"/>
      <c r="U22" s="19"/>
      <c r="V22" s="19"/>
      <c r="W22" s="19"/>
      <c r="X22" s="204"/>
      <c r="Y22" s="204"/>
      <c r="Z22" s="204"/>
      <c r="AA22" s="204"/>
      <c r="AB22" s="204"/>
    </row>
    <row r="23" spans="1:31" ht="11.25" customHeight="1" x14ac:dyDescent="0.2">
      <c r="A23" s="5" t="s">
        <v>20</v>
      </c>
      <c r="B23" s="2"/>
      <c r="C23" s="2"/>
      <c r="D23" s="2"/>
      <c r="E23" s="2"/>
      <c r="F23" s="2"/>
      <c r="G23" s="2"/>
      <c r="H23" s="2"/>
      <c r="I23" s="2"/>
      <c r="J23" s="2"/>
      <c r="K23" s="2"/>
      <c r="L23" s="2"/>
      <c r="M23" s="2"/>
      <c r="N23" s="2"/>
      <c r="O23" s="2"/>
      <c r="P23" s="2"/>
      <c r="Q23" s="2"/>
      <c r="R23" s="2"/>
      <c r="S23" s="2"/>
      <c r="T23" s="2"/>
      <c r="U23" s="2"/>
      <c r="V23" s="2"/>
      <c r="W23" s="2"/>
      <c r="X23" s="3"/>
      <c r="Y23" s="3"/>
      <c r="Z23" s="3"/>
      <c r="AA23" s="3"/>
      <c r="AB23" s="3"/>
    </row>
    <row r="24" spans="1:31" ht="11.25" customHeight="1" x14ac:dyDescent="0.2">
      <c r="A24" s="4" t="s">
        <v>21</v>
      </c>
      <c r="B24" s="19"/>
      <c r="C24" s="19"/>
      <c r="D24" s="19"/>
      <c r="E24" s="19"/>
      <c r="F24" s="24">
        <f>F13/E13-1</f>
        <v>1.046761886127956E-2</v>
      </c>
      <c r="G24" s="24">
        <f t="shared" ref="G24:AB25" si="7">G13/F13-1</f>
        <v>1.1520960402749525E-2</v>
      </c>
      <c r="H24" s="24">
        <f t="shared" si="7"/>
        <v>2.9862174578866751E-2</v>
      </c>
      <c r="I24" s="24">
        <f t="shared" si="7"/>
        <v>9.0706319702602123E-2</v>
      </c>
      <c r="J24" s="24">
        <f t="shared" si="7"/>
        <v>0.15541922290388555</v>
      </c>
      <c r="K24" s="24">
        <f t="shared" si="7"/>
        <v>5.9218289085545717E-2</v>
      </c>
      <c r="L24" s="24">
        <f t="shared" si="7"/>
        <v>6.906635104086889E-2</v>
      </c>
      <c r="M24" s="24">
        <f t="shared" si="7"/>
        <v>0.13409312927385209</v>
      </c>
      <c r="N24" s="24">
        <f t="shared" si="7"/>
        <v>-9.3775123463879617E-2</v>
      </c>
      <c r="O24" s="24">
        <f t="shared" si="7"/>
        <v>4.6891831949813056E-2</v>
      </c>
      <c r="P24" s="24">
        <f t="shared" si="7"/>
        <v>0.2741359481871557</v>
      </c>
      <c r="Q24" s="24">
        <f t="shared" si="7"/>
        <v>0.17054631828978617</v>
      </c>
      <c r="R24" s="24">
        <f t="shared" si="7"/>
        <v>-0.33043831168831173</v>
      </c>
      <c r="S24" s="24">
        <f t="shared" si="7"/>
        <v>-7.5221238938053103E-2</v>
      </c>
      <c r="T24" s="24">
        <f t="shared" si="7"/>
        <v>0.24762404142360883</v>
      </c>
      <c r="U24" s="24">
        <f t="shared" si="7"/>
        <v>0.21875492513790395</v>
      </c>
      <c r="V24" s="24">
        <f t="shared" si="7"/>
        <v>0.17750765119186163</v>
      </c>
      <c r="W24" s="24">
        <f t="shared" si="7"/>
        <v>0.14686825053995678</v>
      </c>
      <c r="X24" s="155">
        <f t="shared" si="7"/>
        <v>0.18152847434151287</v>
      </c>
      <c r="Y24" s="155">
        <f t="shared" si="7"/>
        <v>9.4692049683589907E-2</v>
      </c>
      <c r="Z24" s="155">
        <f t="shared" si="7"/>
        <v>9.4698566240022375E-2</v>
      </c>
      <c r="AA24" s="155">
        <f t="shared" si="7"/>
        <v>7.0308542896473813E-2</v>
      </c>
      <c r="AB24" s="155">
        <f t="shared" si="7"/>
        <v>2.9028582594998742E-2</v>
      </c>
    </row>
    <row r="25" spans="1:31" ht="11.25" customHeight="1" x14ac:dyDescent="0.2">
      <c r="A25" s="4" t="s">
        <v>22</v>
      </c>
      <c r="B25" s="19"/>
      <c r="C25" s="19"/>
      <c r="D25" s="19"/>
      <c r="E25" s="19"/>
      <c r="F25" s="24">
        <f>F14/E14-1</f>
        <v>-0.18545994065281901</v>
      </c>
      <c r="G25" s="24">
        <f t="shared" si="7"/>
        <v>3.7340619307832501E-2</v>
      </c>
      <c r="H25" s="24">
        <f t="shared" si="7"/>
        <v>0.11062335381913968</v>
      </c>
      <c r="I25" s="24">
        <f t="shared" si="7"/>
        <v>0.21027667984189713</v>
      </c>
      <c r="J25" s="24">
        <f t="shared" si="7"/>
        <v>0.33572828216851724</v>
      </c>
      <c r="K25" s="24">
        <f t="shared" si="7"/>
        <v>0.11491442542787289</v>
      </c>
      <c r="L25" s="24">
        <f t="shared" si="7"/>
        <v>0.19649122807017538</v>
      </c>
      <c r="M25" s="24">
        <f t="shared" si="7"/>
        <v>0.15395894428152501</v>
      </c>
      <c r="N25" s="24">
        <f t="shared" si="7"/>
        <v>-7.2426937738246489E-2</v>
      </c>
      <c r="O25" s="24">
        <f t="shared" si="7"/>
        <v>0.17671232876712328</v>
      </c>
      <c r="P25" s="24">
        <f t="shared" si="7"/>
        <v>0.11903376018626299</v>
      </c>
      <c r="Q25" s="24">
        <f t="shared" si="7"/>
        <v>0.30403120936280881</v>
      </c>
      <c r="R25" s="24">
        <f t="shared" si="7"/>
        <v>-0.49960111687275632</v>
      </c>
      <c r="S25" s="24">
        <f t="shared" si="7"/>
        <v>0.17257871662016733</v>
      </c>
      <c r="T25" s="24">
        <f t="shared" si="7"/>
        <v>9.4153636981645139E-2</v>
      </c>
      <c r="U25" s="24">
        <f t="shared" si="7"/>
        <v>0.29201615408511961</v>
      </c>
      <c r="V25" s="24">
        <f t="shared" si="7"/>
        <v>0.29574416927145952</v>
      </c>
      <c r="W25" s="24">
        <f t="shared" si="7"/>
        <v>0.17721284097235102</v>
      </c>
      <c r="X25" s="155">
        <f t="shared" si="7"/>
        <v>0.30166775068758911</v>
      </c>
      <c r="Y25" s="155">
        <f t="shared" si="7"/>
        <v>0.12707469910960145</v>
      </c>
      <c r="Z25" s="155">
        <f t="shared" si="7"/>
        <v>9.3810323444413868E-2</v>
      </c>
      <c r="AA25" s="155">
        <f t="shared" si="7"/>
        <v>6.6985593557254308E-2</v>
      </c>
      <c r="AB25" s="155">
        <f t="shared" si="7"/>
        <v>3.8791588600451066E-2</v>
      </c>
    </row>
    <row r="26" spans="1:31" ht="11.25" customHeight="1" x14ac:dyDescent="0.25">
      <c r="A26" s="4" t="s">
        <v>23</v>
      </c>
      <c r="B26" s="474"/>
      <c r="C26" s="474"/>
      <c r="D26" s="474"/>
      <c r="E26" s="474"/>
      <c r="F26" s="24">
        <f t="shared" ref="F26:AB26" si="8">F18/E18-1</f>
        <v>-0.25869235551419667</v>
      </c>
      <c r="G26" s="24">
        <f t="shared" si="8"/>
        <v>0.35024430422606634</v>
      </c>
      <c r="H26" s="24">
        <f t="shared" si="8"/>
        <v>0.28515495125864221</v>
      </c>
      <c r="I26" s="24">
        <f t="shared" si="8"/>
        <v>0.25148373079187802</v>
      </c>
      <c r="J26" s="24">
        <f t="shared" si="8"/>
        <v>0.48158373135518073</v>
      </c>
      <c r="K26" s="24">
        <f t="shared" si="8"/>
        <v>0.21562829092691249</v>
      </c>
      <c r="L26" s="24">
        <f t="shared" si="8"/>
        <v>4.5799214794078225E-2</v>
      </c>
      <c r="M26" s="24">
        <f t="shared" si="8"/>
        <v>0.1842134779865896</v>
      </c>
      <c r="N26" s="24">
        <f t="shared" si="8"/>
        <v>0.22091097439328999</v>
      </c>
      <c r="O26" s="24">
        <f t="shared" si="8"/>
        <v>0.47555452931547881</v>
      </c>
      <c r="P26" s="24">
        <f t="shared" si="8"/>
        <v>-0.28098674669568979</v>
      </c>
      <c r="Q26" s="24">
        <f t="shared" si="8"/>
        <v>0.34900065282918247</v>
      </c>
      <c r="R26" s="24">
        <f t="shared" si="8"/>
        <v>-0.68056081959421533</v>
      </c>
      <c r="S26" s="24">
        <f t="shared" si="8"/>
        <v>-0.10082341657296057</v>
      </c>
      <c r="T26" s="24">
        <f t="shared" si="8"/>
        <v>0.54989017641359816</v>
      </c>
      <c r="U26" s="24">
        <f t="shared" si="8"/>
        <v>0.75817404986925307</v>
      </c>
      <c r="V26" s="24">
        <f t="shared" si="8"/>
        <v>0.51880404733735608</v>
      </c>
      <c r="W26" s="24">
        <f t="shared" si="8"/>
        <v>3.0258443259116197E-2</v>
      </c>
      <c r="X26" s="155">
        <f t="shared" si="8"/>
        <v>0.36869020805790242</v>
      </c>
      <c r="Y26" s="155">
        <f t="shared" si="8"/>
        <v>0.34282846604088268</v>
      </c>
      <c r="Z26" s="155">
        <f t="shared" si="8"/>
        <v>0.11391513967378608</v>
      </c>
      <c r="AA26" s="155">
        <f t="shared" si="8"/>
        <v>7.909017775143079E-2</v>
      </c>
      <c r="AB26" s="155">
        <f t="shared" si="8"/>
        <v>5.2592397926217505E-2</v>
      </c>
    </row>
    <row r="27" spans="1:31" ht="11.25" customHeight="1" x14ac:dyDescent="0.25">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row>
    <row r="28" spans="1:31" ht="11.25" customHeight="1" x14ac:dyDescent="0.2">
      <c r="A28" s="5" t="s">
        <v>24</v>
      </c>
      <c r="B28" s="2"/>
      <c r="C28" s="2"/>
      <c r="D28" s="2"/>
      <c r="E28" s="2"/>
      <c r="F28" s="2"/>
      <c r="G28" s="2"/>
      <c r="H28" s="2"/>
      <c r="I28" s="2"/>
      <c r="J28" s="2"/>
      <c r="K28" s="2"/>
      <c r="L28" s="2"/>
      <c r="M28" s="2"/>
      <c r="N28" s="2"/>
      <c r="O28" s="2"/>
      <c r="P28" s="2"/>
      <c r="Q28" s="2"/>
      <c r="R28" s="2"/>
      <c r="S28" s="2"/>
      <c r="T28" s="2"/>
      <c r="U28" s="2"/>
      <c r="V28" s="2"/>
      <c r="W28" s="2"/>
      <c r="X28" s="3"/>
      <c r="Y28" s="3"/>
      <c r="Z28" s="3"/>
      <c r="AA28" s="3"/>
      <c r="AB28" s="3"/>
    </row>
    <row r="29" spans="1:31" ht="11.25" customHeight="1" x14ac:dyDescent="0.25">
      <c r="A29" s="4" t="s">
        <v>25</v>
      </c>
      <c r="B29" s="474"/>
      <c r="C29" s="474"/>
      <c r="D29" s="474"/>
      <c r="E29" s="24">
        <f t="shared" ref="E29:AB29" si="9">E14/E13</f>
        <v>0.1318724320093915</v>
      </c>
      <c r="F29" s="24">
        <f t="shared" si="9"/>
        <v>0.1063026430438571</v>
      </c>
      <c r="G29" s="24">
        <f t="shared" si="9"/>
        <v>0.10901607963246554</v>
      </c>
      <c r="H29" s="24">
        <f t="shared" si="9"/>
        <v>0.11756505576208179</v>
      </c>
      <c r="I29" s="24">
        <f t="shared" si="9"/>
        <v>0.130453306066803</v>
      </c>
      <c r="J29" s="24">
        <f t="shared" si="9"/>
        <v>0.15081120943952803</v>
      </c>
      <c r="K29" s="24">
        <f>K14/K13</f>
        <v>0.15874121005360997</v>
      </c>
      <c r="L29" s="24">
        <f t="shared" si="9"/>
        <v>0.17766199934874632</v>
      </c>
      <c r="M29" s="24">
        <f t="shared" si="9"/>
        <v>0.1807740898127943</v>
      </c>
      <c r="N29" s="24">
        <f t="shared" si="9"/>
        <v>0.18503263418034346</v>
      </c>
      <c r="O29" s="24">
        <f t="shared" si="9"/>
        <v>0.2079777253192906</v>
      </c>
      <c r="P29" s="24">
        <f>P14/P13</f>
        <v>0.18266033254156769</v>
      </c>
      <c r="Q29" s="24">
        <f t="shared" si="9"/>
        <v>0.20349025974025975</v>
      </c>
      <c r="R29" s="24">
        <f t="shared" si="9"/>
        <v>0.15207903988362226</v>
      </c>
      <c r="S29" s="24">
        <f t="shared" si="9"/>
        <v>0.19282952087566363</v>
      </c>
      <c r="T29" s="24">
        <f t="shared" si="9"/>
        <v>0.16910953506698187</v>
      </c>
      <c r="U29" s="24">
        <f t="shared" si="9"/>
        <v>0.17927496874865295</v>
      </c>
      <c r="V29" s="24">
        <f t="shared" si="9"/>
        <v>0.19727642127612841</v>
      </c>
      <c r="W29" s="24">
        <f t="shared" si="9"/>
        <v>0.2024960898847713</v>
      </c>
      <c r="X29" s="97">
        <f t="shared" si="9"/>
        <v>0.2230861427103917</v>
      </c>
      <c r="Y29" s="97">
        <f t="shared" si="9"/>
        <v>0.22968536881537702</v>
      </c>
      <c r="Z29" s="97">
        <f t="shared" si="9"/>
        <v>0.22949900118834371</v>
      </c>
      <c r="AA29" s="97">
        <f t="shared" si="9"/>
        <v>0.22878648370036164</v>
      </c>
      <c r="AB29" s="97">
        <f t="shared" si="9"/>
        <v>0.2309571171036634</v>
      </c>
    </row>
    <row r="30" spans="1:31" ht="11.25" customHeight="1" x14ac:dyDescent="0.25">
      <c r="A30" s="4" t="s">
        <v>26</v>
      </c>
      <c r="B30" s="474"/>
      <c r="C30" s="474"/>
      <c r="D30" s="474"/>
      <c r="E30" s="24">
        <f t="shared" ref="E30:R30" si="10">E15/E13</f>
        <v>7.6990804147916259E-2</v>
      </c>
      <c r="F30" s="24">
        <f t="shared" si="10"/>
        <v>6.4478652338077258E-2</v>
      </c>
      <c r="G30" s="24">
        <f t="shared" si="10"/>
        <v>6.977411944869831E-2</v>
      </c>
      <c r="H30" s="24">
        <f t="shared" si="10"/>
        <v>8.159851301115241E-2</v>
      </c>
      <c r="I30" s="24">
        <f t="shared" si="10"/>
        <v>0.10131220177232447</v>
      </c>
      <c r="J30" s="24">
        <f t="shared" si="10"/>
        <v>0.10648967551622419</v>
      </c>
      <c r="K30" s="24">
        <f t="shared" si="10"/>
        <v>0.12392954118220427</v>
      </c>
      <c r="L30" s="24">
        <f t="shared" si="10"/>
        <v>0.13604689026375774</v>
      </c>
      <c r="M30" s="24">
        <f t="shared" si="10"/>
        <v>0.13965774664063396</v>
      </c>
      <c r="N30" s="24">
        <f t="shared" si="10"/>
        <v>0.15233508649641975</v>
      </c>
      <c r="O30" s="24">
        <f t="shared" si="10"/>
        <v>0.14950668845711518</v>
      </c>
      <c r="P30" s="24">
        <f>P15/P13</f>
        <v>0.14361045130641331</v>
      </c>
      <c r="Q30" s="24">
        <f t="shared" si="10"/>
        <v>0.15503246753246752</v>
      </c>
      <c r="R30" s="24">
        <f t="shared" si="10"/>
        <v>0.10219420535822524</v>
      </c>
      <c r="S30" s="24">
        <f>S15/S13</f>
        <v>0.11830635118306351</v>
      </c>
      <c r="T30" s="24">
        <f>T15/T13</f>
        <v>0.12650380877331233</v>
      </c>
      <c r="U30" s="24">
        <f>U15/U13</f>
        <v>0.13647139962929436</v>
      </c>
      <c r="V30" s="24">
        <f>V15/V13</f>
        <v>0.15078522531756783</v>
      </c>
      <c r="W30" s="24">
        <f t="shared" ref="W30:AB30" si="11">W15/W13</f>
        <v>0.16588464362092631</v>
      </c>
      <c r="X30" s="97">
        <f t="shared" si="11"/>
        <v>0.18237675397410577</v>
      </c>
      <c r="Y30" s="97">
        <f t="shared" si="11"/>
        <v>0.18918752181169005</v>
      </c>
      <c r="Z30" s="97">
        <f t="shared" si="11"/>
        <v>0.1891997625199526</v>
      </c>
      <c r="AA30" s="97">
        <f t="shared" si="11"/>
        <v>0.18864965800424746</v>
      </c>
      <c r="AB30" s="97">
        <f t="shared" si="11"/>
        <v>0.19090998052883573</v>
      </c>
    </row>
    <row r="31" spans="1:31" ht="11.25" customHeight="1" x14ac:dyDescent="0.25">
      <c r="A31" s="4" t="s">
        <v>27</v>
      </c>
      <c r="B31" s="474"/>
      <c r="C31" s="474"/>
      <c r="D31" s="474"/>
      <c r="E31" s="24">
        <f t="shared" ref="E31:R31" si="12">E16/E13</f>
        <v>5.4112939686052401E-2</v>
      </c>
      <c r="F31" s="24">
        <f t="shared" si="12"/>
        <v>5.2606086114149853E-2</v>
      </c>
      <c r="G31" s="24">
        <f t="shared" si="12"/>
        <v>5.5365697076882985E-2</v>
      </c>
      <c r="H31" s="24">
        <f t="shared" si="12"/>
        <v>6.1603409964510261E-2</v>
      </c>
      <c r="I31" s="24">
        <f t="shared" si="12"/>
        <v>7.0653326052741466E-2</v>
      </c>
      <c r="J31" s="24">
        <f t="shared" si="12"/>
        <v>8.5005658374746079E-2</v>
      </c>
      <c r="K31" s="24">
        <f t="shared" si="12"/>
        <v>8.3535993871430361E-2</v>
      </c>
      <c r="L31" s="24">
        <f t="shared" si="12"/>
        <v>9.7345813033413567E-2</v>
      </c>
      <c r="M31" s="24">
        <f t="shared" si="12"/>
        <v>0.10248332662995004</v>
      </c>
      <c r="N31" s="24">
        <f t="shared" si="12"/>
        <v>0.11849794417919539</v>
      </c>
      <c r="O31" s="24">
        <f t="shared" si="12"/>
        <v>0.11582729313552065</v>
      </c>
      <c r="P31" s="24">
        <f>P16/P13</f>
        <v>0.10963808648124027</v>
      </c>
      <c r="Q31" s="24">
        <f t="shared" si="12"/>
        <v>0.11312732406482408</v>
      </c>
      <c r="R31" s="24">
        <f t="shared" si="12"/>
        <v>7.4054993000725461E-2</v>
      </c>
      <c r="S31" s="24">
        <f>S16/S13</f>
        <v>7.7551989404282443E-2</v>
      </c>
      <c r="T31" s="24">
        <f>T16/T13</f>
        <v>8.6739349695019452E-2</v>
      </c>
      <c r="U31" s="24">
        <f>U16/U13</f>
        <v>0.10154552711900482</v>
      </c>
      <c r="V31" s="24">
        <f>V16/V13</f>
        <v>0.1149064843849643</v>
      </c>
      <c r="W31" s="24">
        <f t="shared" ref="W31:AB31" si="13">W16/W13</f>
        <v>0.11222914122675803</v>
      </c>
      <c r="X31" s="97">
        <f t="shared" si="13"/>
        <v>0.12401619270239192</v>
      </c>
      <c r="Y31" s="97">
        <f t="shared" si="13"/>
        <v>0.14189064135876753</v>
      </c>
      <c r="Z31" s="97">
        <f t="shared" si="13"/>
        <v>0.14189982188996444</v>
      </c>
      <c r="AA31" s="97">
        <f t="shared" si="13"/>
        <v>0.14148724350318559</v>
      </c>
      <c r="AB31" s="97">
        <f t="shared" si="13"/>
        <v>0.14318248539662679</v>
      </c>
    </row>
    <row r="32" spans="1:31" ht="11.25" customHeight="1" x14ac:dyDescent="0.25">
      <c r="A32" s="4" t="s">
        <v>28</v>
      </c>
      <c r="B32" s="474"/>
      <c r="C32" s="474"/>
      <c r="D32" s="474"/>
      <c r="E32" s="24">
        <f t="shared" ref="E32:R32" si="14">E17/E13</f>
        <v>3.9718254744668363E-2</v>
      </c>
      <c r="F32" s="24">
        <f t="shared" si="14"/>
        <v>2.8753993610223641E-2</v>
      </c>
      <c r="G32" s="24">
        <f t="shared" si="14"/>
        <v>3.7806278713629404E-2</v>
      </c>
      <c r="H32" s="24">
        <f t="shared" si="14"/>
        <v>4.721189591078067E-2</v>
      </c>
      <c r="I32" s="24">
        <f t="shared" si="14"/>
        <v>5.4873892297205178E-2</v>
      </c>
      <c r="J32" s="24">
        <f t="shared" si="14"/>
        <v>7.2197640117994094E-2</v>
      </c>
      <c r="K32" s="24">
        <f t="shared" si="14"/>
        <v>8.3060641927173995E-2</v>
      </c>
      <c r="L32" s="24">
        <f t="shared" si="14"/>
        <v>8.1276457180071635E-2</v>
      </c>
      <c r="M32" s="24">
        <f t="shared" si="14"/>
        <v>8.5103939359136321E-2</v>
      </c>
      <c r="N32" s="24">
        <f t="shared" si="14"/>
        <v>0.11431468221278752</v>
      </c>
      <c r="O32" s="24">
        <f t="shared" si="14"/>
        <v>0.15876762907814296</v>
      </c>
      <c r="P32" s="24">
        <f>P17/P13</f>
        <v>9.4109263657957243E-2</v>
      </c>
      <c r="Q32" s="24">
        <f t="shared" si="14"/>
        <v>0.10815746753246754</v>
      </c>
      <c r="R32" s="24">
        <f t="shared" si="14"/>
        <v>5.1157716086798401E-2</v>
      </c>
      <c r="S32" s="24">
        <f>S17/S13</f>
        <v>4.9813200498132003E-2</v>
      </c>
      <c r="T32" s="24">
        <f>T17/T13</f>
        <v>6.1885999474651954E-2</v>
      </c>
      <c r="U32" s="24">
        <f>U17/U13</f>
        <v>8.7417561101771624E-2</v>
      </c>
      <c r="V32" s="24">
        <f>V17/V13</f>
        <v>0.11231101511879049</v>
      </c>
      <c r="W32" s="24">
        <f t="shared" ref="W32:AB32" si="15">W17/W13</f>
        <v>0.10131188355836446</v>
      </c>
      <c r="X32" s="97">
        <f t="shared" si="15"/>
        <v>0.11657827896887743</v>
      </c>
      <c r="Y32" s="97">
        <f t="shared" si="15"/>
        <v>0.14175224457752647</v>
      </c>
      <c r="Z32" s="97">
        <f t="shared" si="15"/>
        <v>0.1429675251739794</v>
      </c>
      <c r="AA32" s="97">
        <f t="shared" si="15"/>
        <v>0.14349878378726258</v>
      </c>
      <c r="AB32" s="97">
        <f t="shared" si="15"/>
        <v>0.14678477496244488</v>
      </c>
    </row>
    <row r="33" spans="1:28" ht="11.25" customHeight="1" x14ac:dyDescent="0.2">
      <c r="A33" s="4" t="s">
        <v>29</v>
      </c>
      <c r="B33" s="26"/>
      <c r="C33" s="26"/>
      <c r="D33" s="26"/>
      <c r="E33" s="26">
        <f t="shared" ref="E33:O33" si="16">E18/E20</f>
        <v>2.4709450397578587</v>
      </c>
      <c r="F33" s="26">
        <f t="shared" si="16"/>
        <v>2.930768715322845</v>
      </c>
      <c r="G33" s="26">
        <f t="shared" si="16"/>
        <v>2.6034564242556693</v>
      </c>
      <c r="H33" s="26">
        <f t="shared" si="16"/>
        <v>2.542842134653903</v>
      </c>
      <c r="I33" s="26">
        <f t="shared" si="16"/>
        <v>2.566391581847943</v>
      </c>
      <c r="J33" s="26">
        <f t="shared" si="16"/>
        <v>2.4556675936361838</v>
      </c>
      <c r="K33" s="26">
        <f t="shared" si="16"/>
        <v>2.5587248570884777</v>
      </c>
      <c r="L33" s="26">
        <f t="shared" si="16"/>
        <v>2.497518283322739</v>
      </c>
      <c r="M33" s="26">
        <f t="shared" si="16"/>
        <v>2.571821576198885</v>
      </c>
      <c r="N33" s="26">
        <f t="shared" si="16"/>
        <v>2.8507578667476845</v>
      </c>
      <c r="O33" s="26">
        <f t="shared" si="16"/>
        <v>3.9961262481482138</v>
      </c>
      <c r="P33" s="26">
        <f>P18/P20</f>
        <v>2.5259496565237756</v>
      </c>
      <c r="Q33" s="1580" t="s">
        <v>30</v>
      </c>
      <c r="R33" s="1580" t="s">
        <v>30</v>
      </c>
      <c r="S33" s="1580">
        <f>S18/S20</f>
        <v>3.5626356167347075</v>
      </c>
      <c r="T33" s="1580">
        <f>T18/T20</f>
        <v>2.0450718313030829</v>
      </c>
      <c r="U33" s="1580">
        <f>U18/U20</f>
        <v>2.2063861374027982</v>
      </c>
      <c r="V33" s="1580">
        <f>V18/V20</f>
        <v>2.5421896655338254</v>
      </c>
      <c r="W33" s="1580">
        <f t="shared" ref="W33:AB33" si="17">W18/W20</f>
        <v>2.2672913030204915</v>
      </c>
      <c r="X33" s="1581">
        <f t="shared" si="17"/>
        <v>2.5</v>
      </c>
      <c r="Y33" s="1581">
        <f t="shared" si="17"/>
        <v>2.4999999999999996</v>
      </c>
      <c r="Z33" s="1581">
        <f t="shared" si="17"/>
        <v>2.4999999999999996</v>
      </c>
      <c r="AA33" s="1581">
        <f t="shared" si="17"/>
        <v>2.5</v>
      </c>
      <c r="AB33" s="1581">
        <f t="shared" si="17"/>
        <v>2.5</v>
      </c>
    </row>
    <row r="34" spans="1:28" ht="11.25" customHeight="1" x14ac:dyDescent="0.25">
      <c r="A34" s="4" t="s">
        <v>31</v>
      </c>
      <c r="B34" s="474"/>
      <c r="C34" s="474"/>
      <c r="D34" s="474"/>
      <c r="E34" s="24">
        <f t="shared" ref="E34:R34" si="18">E20/E19</f>
        <v>0.40493782857142857</v>
      </c>
      <c r="F34" s="24">
        <f t="shared" si="18"/>
        <v>0.34120740909090908</v>
      </c>
      <c r="G34" s="24">
        <f t="shared" si="18"/>
        <v>0.38585040207594939</v>
      </c>
      <c r="H34" s="24">
        <f t="shared" si="18"/>
        <v>0.3971688602362205</v>
      </c>
      <c r="I34" s="24">
        <f t="shared" si="18"/>
        <v>0.39119652664596272</v>
      </c>
      <c r="J34" s="24">
        <f t="shared" si="18"/>
        <v>0.40784789540347294</v>
      </c>
      <c r="K34" s="24">
        <f t="shared" si="18"/>
        <v>0.39094405404861693</v>
      </c>
      <c r="L34" s="24">
        <f t="shared" si="18"/>
        <v>0.40039746923076924</v>
      </c>
      <c r="M34" s="24">
        <f t="shared" si="18"/>
        <v>0.38882946206477725</v>
      </c>
      <c r="N34" s="24">
        <f t="shared" si="18"/>
        <v>0.35692949055432371</v>
      </c>
      <c r="O34" s="24">
        <f t="shared" si="18"/>
        <v>0.25468135600457498</v>
      </c>
      <c r="P34" s="24">
        <f>P20/P19</f>
        <v>0.40087372459363957</v>
      </c>
      <c r="Q34" s="24">
        <f t="shared" si="18"/>
        <v>0</v>
      </c>
      <c r="R34" s="24">
        <f t="shared" si="18"/>
        <v>0.22440522849526065</v>
      </c>
      <c r="S34" s="24">
        <f>S20/S19</f>
        <v>0.28953094013157893</v>
      </c>
      <c r="T34" s="24">
        <f>T20/T19</f>
        <v>0.50442776243633269</v>
      </c>
      <c r="U34" s="24">
        <f>U20/U19</f>
        <v>0.46795948431952672</v>
      </c>
      <c r="V34" s="24">
        <f>V20/V19</f>
        <v>0.39768410159713163</v>
      </c>
      <c r="W34" s="24">
        <f t="shared" ref="W34:AB34" si="19">W20/W19</f>
        <v>0.44105492693761816</v>
      </c>
      <c r="X34" s="97">
        <f t="shared" si="19"/>
        <v>0.4</v>
      </c>
      <c r="Y34" s="97">
        <f t="shared" si="19"/>
        <v>0.4</v>
      </c>
      <c r="Z34" s="97">
        <f t="shared" si="19"/>
        <v>0.4</v>
      </c>
      <c r="AA34" s="97">
        <f t="shared" si="19"/>
        <v>0.4</v>
      </c>
      <c r="AB34" s="97">
        <f t="shared" si="19"/>
        <v>0.4</v>
      </c>
    </row>
    <row r="35" spans="1:28" ht="11.25" customHeight="1" x14ac:dyDescent="0.25">
      <c r="A35" s="4" t="s">
        <v>32</v>
      </c>
      <c r="B35" s="474"/>
      <c r="C35" s="474"/>
      <c r="D35" s="474"/>
      <c r="E35" s="24">
        <f>IS!E34</f>
        <v>0.29715061058344638</v>
      </c>
      <c r="F35" s="24">
        <f>IS!F34</f>
        <v>0.18413173652694612</v>
      </c>
      <c r="G35" s="24">
        <f>IS!G34</f>
        <v>0.20650095602294455</v>
      </c>
      <c r="H35" s="24">
        <f>IS!H34</f>
        <v>0.24504249291784702</v>
      </c>
      <c r="I35" s="24">
        <f>IS!I34</f>
        <v>0.30261780104712044</v>
      </c>
      <c r="J35" s="24">
        <f>IS!J34</f>
        <v>0.20174741858617951</v>
      </c>
      <c r="K35" s="24">
        <f>IS!K34</f>
        <v>0.325939617991374</v>
      </c>
      <c r="L35" s="24">
        <f>IS!L34</f>
        <v>0.28446866485013622</v>
      </c>
      <c r="M35" s="24">
        <f>IS!M34</f>
        <v>0.26618229854689562</v>
      </c>
      <c r="N35" s="24">
        <f>IS!N34</f>
        <v>0.22212310437109722</v>
      </c>
      <c r="O35" s="24">
        <f>IS!O34</f>
        <v>0.22527015793848712</v>
      </c>
      <c r="P35" s="24">
        <f>IS!P34</f>
        <v>0.23655913978494625</v>
      </c>
      <c r="Q35" s="24">
        <f>IS!Q34</f>
        <v>0.27029914529914528</v>
      </c>
      <c r="R35" s="24">
        <f>IS!R34</f>
        <v>0.27535037098103876</v>
      </c>
      <c r="S35" s="24">
        <f>IS!S34</f>
        <v>0.34448160535117056</v>
      </c>
      <c r="T35" s="24">
        <f>IS!T34</f>
        <v>0.31433408577878102</v>
      </c>
      <c r="U35" s="24">
        <f>IS!U34</f>
        <v>0.25592082007776601</v>
      </c>
      <c r="V35" s="24">
        <f>IS!V34</f>
        <v>0.23794599807135969</v>
      </c>
      <c r="W35" s="24">
        <f>IS!W34</f>
        <v>0.32345068972616842</v>
      </c>
      <c r="X35" s="97">
        <f>IS!X34</f>
        <v>0.32</v>
      </c>
      <c r="Y35" s="97">
        <f>IS!Y34</f>
        <v>0.25</v>
      </c>
      <c r="Z35" s="97">
        <f>IS!Z34</f>
        <v>0.25</v>
      </c>
      <c r="AA35" s="97">
        <f>IS!AA34</f>
        <v>0.25</v>
      </c>
      <c r="AB35" s="97">
        <f>IS!AB34</f>
        <v>0.25</v>
      </c>
    </row>
    <row r="36" spans="1:28" ht="11.25" customHeight="1" x14ac:dyDescent="0.25">
      <c r="A36" s="4" t="s">
        <v>33</v>
      </c>
      <c r="B36" s="474"/>
      <c r="C36" s="474"/>
      <c r="D36" s="474"/>
      <c r="E36" s="24">
        <f>IS!E110/IS!E32</f>
        <v>0.28765264586160111</v>
      </c>
      <c r="F36" s="24">
        <f>IS!F110/IS!F32</f>
        <v>0.3847305389221557</v>
      </c>
      <c r="G36" s="24">
        <f>IS!G110/IS!G32</f>
        <v>0.13957934990439771</v>
      </c>
      <c r="H36" s="24">
        <f>IS!H110/IS!H32</f>
        <v>0.14589235127478753</v>
      </c>
      <c r="I36" s="24">
        <f>IS!I110/IS!I32</f>
        <v>0.25235602094240839</v>
      </c>
      <c r="J36" s="24">
        <f>IS!J110/IS!J32</f>
        <v>0.18903891977760126</v>
      </c>
      <c r="K36" s="24">
        <f>IS!K110/IS!K32</f>
        <v>0.10536044362292052</v>
      </c>
      <c r="L36" s="24">
        <f>IS!L110/IS!L32</f>
        <v>0.15204359673024523</v>
      </c>
      <c r="M36" s="24">
        <f>IS!M110/IS!M32</f>
        <v>0.26816380449141347</v>
      </c>
      <c r="N36" s="24">
        <f>IS!N110/IS!N32</f>
        <v>0.13024085637823371</v>
      </c>
      <c r="O36" s="24">
        <f>IS!O110/IS!O32</f>
        <v>0.24189526184538654</v>
      </c>
      <c r="P36" s="24">
        <f>IS!P110/IS!P32</f>
        <v>0.19688542825361513</v>
      </c>
      <c r="Q36" s="24">
        <f>IS!Q110/IS!Q32</f>
        <v>0.23691239316239315</v>
      </c>
      <c r="R36" s="24">
        <f>IS!R110/IS!R32</f>
        <v>0.11788953009068426</v>
      </c>
      <c r="S36" s="24">
        <f>IS!S110/IS!S32</f>
        <v>0.25250836120401338</v>
      </c>
      <c r="T36" s="24">
        <f>IS!T110/IS!T32</f>
        <v>0.13148984198645597</v>
      </c>
      <c r="U36" s="24">
        <f>IS!U110/IS!U32</f>
        <v>0.30045952633439377</v>
      </c>
      <c r="V36" s="24">
        <f>IS!V110/IS!V32</f>
        <v>0.22540983606557377</v>
      </c>
      <c r="W36" s="24">
        <f>IS!W110/IS!W32</f>
        <v>0.40395305744286597</v>
      </c>
      <c r="X36" s="97">
        <f>IS!X110/IS!X32</f>
        <v>0.32000000000000006</v>
      </c>
      <c r="Y36" s="97">
        <f>IS!Y110/IS!Y32</f>
        <v>0.25</v>
      </c>
      <c r="Z36" s="97">
        <f>IS!Z110/IS!Z32</f>
        <v>0.25</v>
      </c>
      <c r="AA36" s="97">
        <f>IS!AA110/IS!AA32</f>
        <v>0.25</v>
      </c>
      <c r="AB36" s="97">
        <f>IS!AB110/IS!AB32</f>
        <v>0.25</v>
      </c>
    </row>
    <row r="37" spans="1:28" ht="11.25" customHeight="1" x14ac:dyDescent="0.2">
      <c r="E37" s="27"/>
    </row>
    <row r="38" spans="1:28" ht="11.25" customHeight="1" x14ac:dyDescent="0.2">
      <c r="A38" s="5" t="s">
        <v>34</v>
      </c>
      <c r="B38" s="2"/>
      <c r="C38" s="2"/>
      <c r="D38" s="2"/>
      <c r="E38" s="2"/>
      <c r="F38" s="2"/>
      <c r="G38" s="2"/>
      <c r="H38" s="2"/>
      <c r="I38" s="2"/>
      <c r="J38" s="2"/>
      <c r="K38" s="2"/>
      <c r="L38" s="2"/>
      <c r="M38" s="2"/>
      <c r="N38" s="2"/>
      <c r="O38" s="2"/>
      <c r="P38" s="2"/>
      <c r="Q38" s="2"/>
      <c r="R38" s="2"/>
      <c r="S38" s="2"/>
      <c r="T38" s="2"/>
      <c r="U38" s="2"/>
      <c r="V38" s="2"/>
      <c r="W38" s="2"/>
      <c r="X38" s="3"/>
      <c r="Y38" s="3"/>
      <c r="Z38" s="3"/>
      <c r="AA38" s="3"/>
      <c r="AB38" s="3"/>
    </row>
    <row r="39" spans="1:28" ht="11.25" customHeight="1" x14ac:dyDescent="0.2">
      <c r="A39" s="4" t="s">
        <v>35</v>
      </c>
      <c r="B39" s="26">
        <f t="shared" ref="B39:AB39" si="20">B6/B54</f>
        <v>2.3470591123349651</v>
      </c>
      <c r="C39" s="26">
        <f t="shared" si="20"/>
        <v>1.3282566501015172</v>
      </c>
      <c r="D39" s="26">
        <f t="shared" si="20"/>
        <v>1.7008505723761231</v>
      </c>
      <c r="E39" s="26">
        <f t="shared" si="20"/>
        <v>1.6482616492830791</v>
      </c>
      <c r="F39" s="26">
        <f t="shared" si="20"/>
        <v>1.3040230464276095</v>
      </c>
      <c r="G39" s="26">
        <f t="shared" si="20"/>
        <v>0.94405350072905236</v>
      </c>
      <c r="H39" s="26">
        <f t="shared" si="20"/>
        <v>1.7901209692628954</v>
      </c>
      <c r="I39" s="26">
        <f t="shared" si="20"/>
        <v>2.0775264054117879</v>
      </c>
      <c r="J39" s="26">
        <f t="shared" si="20"/>
        <v>1.9763553879778466</v>
      </c>
      <c r="K39" s="26">
        <f t="shared" si="20"/>
        <v>2.5691932769268266</v>
      </c>
      <c r="L39" s="26">
        <f t="shared" si="20"/>
        <v>3.2912135994124818</v>
      </c>
      <c r="M39" s="26">
        <f t="shared" si="20"/>
        <v>4.8072013200959658</v>
      </c>
      <c r="N39" s="26">
        <f t="shared" si="20"/>
        <v>3.9072377275877934</v>
      </c>
      <c r="O39" s="26">
        <f t="shared" si="20"/>
        <v>3.5375886858831511</v>
      </c>
      <c r="P39" s="26">
        <f t="shared" si="20"/>
        <v>4.3253381179422838</v>
      </c>
      <c r="Q39" s="26">
        <f t="shared" si="20"/>
        <v>4.4740417358014719</v>
      </c>
      <c r="R39" s="26">
        <f t="shared" si="20"/>
        <v>4.0071301540043729</v>
      </c>
      <c r="S39" s="26">
        <f t="shared" si="20"/>
        <v>3.7943679257845964</v>
      </c>
      <c r="T39" s="26">
        <f t="shared" si="20"/>
        <v>4.3032820079723368</v>
      </c>
      <c r="U39" s="26">
        <f t="shared" si="20"/>
        <v>5.7546574375330408</v>
      </c>
      <c r="V39" s="26">
        <f t="shared" si="20"/>
        <v>8.6738713947523589</v>
      </c>
      <c r="W39" s="26">
        <f t="shared" si="20"/>
        <v>7.5447116997809278</v>
      </c>
      <c r="X39" s="1581">
        <f t="shared" si="20"/>
        <v>8.5313611948941066</v>
      </c>
      <c r="Y39" s="1581">
        <f t="shared" si="20"/>
        <v>7.3117734493737325</v>
      </c>
      <c r="Z39" s="1581">
        <f t="shared" si="20"/>
        <v>6.3721140092908932</v>
      </c>
      <c r="AA39" s="1581">
        <f t="shared" si="20"/>
        <v>5.340255301549389</v>
      </c>
      <c r="AB39" s="1581">
        <f t="shared" si="20"/>
        <v>4.5858586773874839</v>
      </c>
    </row>
    <row r="40" spans="1:28" ht="11.25" customHeight="1" x14ac:dyDescent="0.2">
      <c r="A40" s="4" t="s">
        <v>36</v>
      </c>
      <c r="B40" s="26">
        <f t="shared" ref="B40:AB40" si="21">B10/B61</f>
        <v>1.9868234332855756</v>
      </c>
      <c r="C40" s="26">
        <f t="shared" si="21"/>
        <v>0.58771856896402463</v>
      </c>
      <c r="D40" s="26">
        <f t="shared" si="21"/>
        <v>0.76313043796085445</v>
      </c>
      <c r="E40" s="26">
        <f t="shared" si="21"/>
        <v>0.71845850109191478</v>
      </c>
      <c r="F40" s="26">
        <f t="shared" si="21"/>
        <v>0.4680977636294491</v>
      </c>
      <c r="G40" s="26">
        <f t="shared" si="21"/>
        <v>0.30739120749379228</v>
      </c>
      <c r="H40" s="26">
        <f t="shared" si="21"/>
        <v>0.76971051119399314</v>
      </c>
      <c r="I40" s="26">
        <f t="shared" si="21"/>
        <v>1.0133442005870459</v>
      </c>
      <c r="J40" s="26">
        <f t="shared" si="21"/>
        <v>0.89141935280619544</v>
      </c>
      <c r="K40" s="26">
        <f t="shared" si="21"/>
        <v>1.2554428636250825</v>
      </c>
      <c r="L40" s="26">
        <f t="shared" si="21"/>
        <v>1.5698854111511928</v>
      </c>
      <c r="M40" s="26">
        <f t="shared" si="21"/>
        <v>2.4592565708049028</v>
      </c>
      <c r="N40" s="26">
        <f t="shared" si="21"/>
        <v>2.1015233701406419</v>
      </c>
      <c r="O40" s="26">
        <f t="shared" si="21"/>
        <v>2.224830823718607</v>
      </c>
      <c r="P40" s="26">
        <f t="shared" si="21"/>
        <v>2.6432570700377207</v>
      </c>
      <c r="Q40" s="26">
        <f t="shared" si="21"/>
        <v>2.6624688748502425</v>
      </c>
      <c r="R40" s="26">
        <f t="shared" si="21"/>
        <v>2.5327022560078518</v>
      </c>
      <c r="S40" s="26">
        <f t="shared" si="21"/>
        <v>2.540142654357699</v>
      </c>
      <c r="T40" s="26">
        <f t="shared" si="21"/>
        <v>3.2109993837933422</v>
      </c>
      <c r="U40" s="26">
        <f t="shared" si="21"/>
        <v>4.4376568825532523</v>
      </c>
      <c r="V40" s="26">
        <f t="shared" si="21"/>
        <v>7.8592701821540212</v>
      </c>
      <c r="W40" s="26">
        <f t="shared" si="21"/>
        <v>6.5140714886775255</v>
      </c>
      <c r="X40" s="1581">
        <f t="shared" si="21"/>
        <v>8.5639881511332856</v>
      </c>
      <c r="Y40" s="1581">
        <f t="shared" si="21"/>
        <v>8.3596578983328609</v>
      </c>
      <c r="Z40" s="1581">
        <f t="shared" si="21"/>
        <v>8.0429745827666661</v>
      </c>
      <c r="AA40" s="1581">
        <f t="shared" si="21"/>
        <v>7.667579793502739</v>
      </c>
      <c r="AB40" s="1581">
        <f t="shared" si="21"/>
        <v>7.2349693872689693</v>
      </c>
    </row>
    <row r="41" spans="1:28" ht="11.25" customHeight="1" x14ac:dyDescent="0.2">
      <c r="A41" s="4" t="s">
        <v>37</v>
      </c>
      <c r="B41" s="26"/>
      <c r="C41" s="26"/>
      <c r="D41" s="26"/>
      <c r="E41" s="26">
        <f t="shared" ref="E41:AB41" si="22">E4/E19</f>
        <v>17.621428145221667</v>
      </c>
      <c r="F41" s="26">
        <f t="shared" si="22"/>
        <v>16.390296405098539</v>
      </c>
      <c r="G41" s="26">
        <f t="shared" si="22"/>
        <v>10.450990397426164</v>
      </c>
      <c r="H41" s="26">
        <f t="shared" si="22"/>
        <v>16.121723159292014</v>
      </c>
      <c r="I41" s="26">
        <f t="shared" si="22"/>
        <v>16.090153391917035</v>
      </c>
      <c r="J41" s="26">
        <f t="shared" si="22"/>
        <v>11.795506104239019</v>
      </c>
      <c r="K41" s="26">
        <f t="shared" si="22"/>
        <v>14.293397144119167</v>
      </c>
      <c r="L41" s="26">
        <f t="shared" si="22"/>
        <v>16.524634947050171</v>
      </c>
      <c r="M41" s="26">
        <f t="shared" si="22"/>
        <v>18.252443878663968</v>
      </c>
      <c r="N41" s="26">
        <f t="shared" si="22"/>
        <v>14.371108435476719</v>
      </c>
      <c r="O41" s="26">
        <f t="shared" si="22"/>
        <v>14.166650427754481</v>
      </c>
      <c r="P41" s="26">
        <f t="shared" si="22"/>
        <v>26.431234588591618</v>
      </c>
      <c r="Q41" s="26">
        <f t="shared" si="22"/>
        <v>21.02251527594747</v>
      </c>
      <c r="R41" s="26">
        <f t="shared" si="22"/>
        <v>60.615505324940756</v>
      </c>
      <c r="S41" s="26">
        <f t="shared" si="22"/>
        <v>66.128866726052635</v>
      </c>
      <c r="T41" s="26">
        <f t="shared" si="22"/>
        <v>39.233270411714763</v>
      </c>
      <c r="U41" s="26">
        <f t="shared" si="22"/>
        <v>33.918554258905331</v>
      </c>
      <c r="V41" s="26">
        <f t="shared" si="22"/>
        <v>29.085792396121249</v>
      </c>
      <c r="W41" s="26">
        <f>W4/W19</f>
        <v>35.272834566178069</v>
      </c>
      <c r="X41" s="1581">
        <f t="shared" si="22"/>
        <v>33.109572749704235</v>
      </c>
      <c r="Y41" s="1581">
        <f t="shared" si="22"/>
        <v>24.656591356990344</v>
      </c>
      <c r="Z41" s="1581">
        <f t="shared" si="22"/>
        <v>22.135071585624658</v>
      </c>
      <c r="AA41" s="1581">
        <f t="shared" si="22"/>
        <v>20.512717140794408</v>
      </c>
      <c r="AB41" s="1581">
        <f t="shared" si="22"/>
        <v>19.487806658311307</v>
      </c>
    </row>
    <row r="42" spans="1:28" ht="11.25" customHeight="1" x14ac:dyDescent="0.2">
      <c r="A42" s="4" t="s">
        <v>38</v>
      </c>
      <c r="B42" s="26"/>
      <c r="C42" s="26"/>
      <c r="D42" s="26"/>
      <c r="E42" s="26">
        <f t="shared" ref="E42:AB42" si="23">E10/E13</f>
        <v>0.52074535654372889</v>
      </c>
      <c r="F42" s="26">
        <f t="shared" si="23"/>
        <v>0.32357614796342982</v>
      </c>
      <c r="G42" s="26">
        <f t="shared" si="23"/>
        <v>0.23192619531714823</v>
      </c>
      <c r="H42" s="26">
        <f t="shared" si="23"/>
        <v>0.54165873520082863</v>
      </c>
      <c r="I42" s="26">
        <f t="shared" si="23"/>
        <v>0.77744982805775065</v>
      </c>
      <c r="J42" s="26">
        <f t="shared" si="23"/>
        <v>0.69137590954740091</v>
      </c>
      <c r="K42" s="26">
        <f t="shared" si="23"/>
        <v>1.0534426925022276</v>
      </c>
      <c r="L42" s="26">
        <f t="shared" si="23"/>
        <v>1.2094916583470279</v>
      </c>
      <c r="M42" s="26">
        <f t="shared" si="23"/>
        <v>1.3825727476846215</v>
      </c>
      <c r="N42" s="26">
        <f t="shared" si="23"/>
        <v>1.47709886709334</v>
      </c>
      <c r="O42" s="26">
        <f t="shared" si="23"/>
        <v>1.9678864976091037</v>
      </c>
      <c r="P42" s="26">
        <f t="shared" si="23"/>
        <v>2.4634402470308792</v>
      </c>
      <c r="Q42" s="26">
        <f t="shared" si="23"/>
        <v>2.2728234705194805</v>
      </c>
      <c r="R42" s="26">
        <f t="shared" si="23"/>
        <v>2.9717571991635348</v>
      </c>
      <c r="S42" s="26">
        <f t="shared" si="23"/>
        <v>3.079404767319919</v>
      </c>
      <c r="T42" s="26">
        <f t="shared" si="23"/>
        <v>2.1941407399527186</v>
      </c>
      <c r="U42" s="26">
        <f t="shared" si="23"/>
        <v>2.7210513019664648</v>
      </c>
      <c r="V42" s="26">
        <f t="shared" si="23"/>
        <v>3.0373143212285392</v>
      </c>
      <c r="W42" s="26">
        <f t="shared" si="23"/>
        <v>3.4055979097018478</v>
      </c>
      <c r="X42" s="1581">
        <f t="shared" si="23"/>
        <v>3.6482315089428967</v>
      </c>
      <c r="Y42" s="1581">
        <f t="shared" si="23"/>
        <v>3.2357776368847175</v>
      </c>
      <c r="Z42" s="1581">
        <f t="shared" si="23"/>
        <v>2.8718934755397929</v>
      </c>
      <c r="AA42" s="1581">
        <f t="shared" si="23"/>
        <v>2.5873652298740439</v>
      </c>
      <c r="AB42" s="1581">
        <f t="shared" si="23"/>
        <v>2.435615508126642</v>
      </c>
    </row>
    <row r="43" spans="1:28" ht="11.25" customHeight="1" x14ac:dyDescent="0.2">
      <c r="A43" s="4" t="s">
        <v>39</v>
      </c>
      <c r="B43" s="26"/>
      <c r="C43" s="26"/>
      <c r="D43" s="26"/>
      <c r="E43" s="26">
        <f t="shared" ref="E43:AB43" si="24">E10/E15</f>
        <v>6.7637344785133369</v>
      </c>
      <c r="F43" s="26">
        <f t="shared" si="24"/>
        <v>5.0183453938652649</v>
      </c>
      <c r="G43" s="26">
        <f t="shared" si="24"/>
        <v>3.3239573232833535</v>
      </c>
      <c r="H43" s="26">
        <f t="shared" si="24"/>
        <v>6.6380956614589017</v>
      </c>
      <c r="I43" s="26">
        <f t="shared" si="24"/>
        <v>7.6738025080620362</v>
      </c>
      <c r="J43" s="26">
        <f t="shared" si="24"/>
        <v>6.4924219760822419</v>
      </c>
      <c r="K43" s="26">
        <f t="shared" si="24"/>
        <v>8.5003356137131991</v>
      </c>
      <c r="L43" s="26">
        <f t="shared" si="24"/>
        <v>8.8902558228428017</v>
      </c>
      <c r="M43" s="26">
        <f t="shared" si="24"/>
        <v>9.8997211464555921</v>
      </c>
      <c r="N43" s="26">
        <f t="shared" si="24"/>
        <v>9.6963798758735447</v>
      </c>
      <c r="O43" s="26">
        <f t="shared" si="24"/>
        <v>13.162531508906882</v>
      </c>
      <c r="P43" s="26">
        <f t="shared" si="24"/>
        <v>17.15362791928548</v>
      </c>
      <c r="Q43" s="26">
        <f t="shared" si="24"/>
        <v>14.660306364816755</v>
      </c>
      <c r="R43" s="26">
        <f t="shared" si="24"/>
        <v>29.079507871767497</v>
      </c>
      <c r="S43" s="26">
        <f t="shared" si="24"/>
        <v>26.029073980609418</v>
      </c>
      <c r="T43" s="26">
        <f t="shared" si="24"/>
        <v>17.344463864202659</v>
      </c>
      <c r="U43" s="26">
        <f t="shared" si="24"/>
        <v>19.938619442299437</v>
      </c>
      <c r="V43" s="26">
        <f t="shared" si="24"/>
        <v>20.143315201019664</v>
      </c>
      <c r="W43" s="26">
        <f t="shared" si="24"/>
        <v>20.529916665970596</v>
      </c>
      <c r="X43" s="1581">
        <f>X10/X15</f>
        <v>20.003818630640176</v>
      </c>
      <c r="Y43" s="1581">
        <f t="shared" si="24"/>
        <v>17.103546819041721</v>
      </c>
      <c r="Z43" s="1581">
        <f t="shared" si="24"/>
        <v>15.179160043802534</v>
      </c>
      <c r="AA43" s="1581">
        <f t="shared" si="24"/>
        <v>13.715186432067579</v>
      </c>
      <c r="AB43" s="1581">
        <f t="shared" si="24"/>
        <v>12.75792654412197</v>
      </c>
    </row>
    <row r="44" spans="1:28" ht="11.25" customHeight="1" x14ac:dyDescent="0.2">
      <c r="A44" s="4" t="s">
        <v>40</v>
      </c>
      <c r="B44" s="26"/>
      <c r="C44" s="26"/>
      <c r="D44" s="26"/>
      <c r="E44" s="26">
        <f t="shared" ref="E44:AB44" si="25">E10/E14</f>
        <v>3.9488568505860506</v>
      </c>
      <c r="F44" s="26">
        <f t="shared" si="25"/>
        <v>3.0439144192297509</v>
      </c>
      <c r="G44" s="26">
        <f t="shared" si="25"/>
        <v>2.1274494193797757</v>
      </c>
      <c r="H44" s="26">
        <f t="shared" si="25"/>
        <v>4.6073106646331352</v>
      </c>
      <c r="I44" s="26">
        <f t="shared" si="25"/>
        <v>5.9596023397033058</v>
      </c>
      <c r="J44" s="26">
        <f t="shared" si="25"/>
        <v>4.584380114162717</v>
      </c>
      <c r="K44" s="26">
        <f t="shared" si="25"/>
        <v>6.6362269264953921</v>
      </c>
      <c r="L44" s="26">
        <f t="shared" si="25"/>
        <v>6.8078241986505175</v>
      </c>
      <c r="M44" s="26">
        <f t="shared" si="25"/>
        <v>7.6480691957369755</v>
      </c>
      <c r="N44" s="26">
        <f t="shared" si="25"/>
        <v>7.982910007397261</v>
      </c>
      <c r="O44" s="26">
        <f t="shared" si="25"/>
        <v>9.4620060614086157</v>
      </c>
      <c r="P44" s="26">
        <f t="shared" si="25"/>
        <v>13.486454408322498</v>
      </c>
      <c r="Q44" s="26">
        <f t="shared" si="25"/>
        <v>11.169200301874751</v>
      </c>
      <c r="R44" s="26">
        <f t="shared" si="25"/>
        <v>19.540872966042247</v>
      </c>
      <c r="S44" s="26">
        <f t="shared" si="25"/>
        <v>15.969571221957853</v>
      </c>
      <c r="T44" s="26">
        <f t="shared" si="25"/>
        <v>12.974671943150046</v>
      </c>
      <c r="U44" s="26">
        <f t="shared" si="25"/>
        <v>15.17808827947103</v>
      </c>
      <c r="V44" s="26">
        <f t="shared" si="25"/>
        <v>15.396235908888476</v>
      </c>
      <c r="W44" s="26">
        <f t="shared" si="25"/>
        <v>16.818092199408763</v>
      </c>
      <c r="X44" s="1581">
        <f t="shared" si="25"/>
        <v>16.353465368214266</v>
      </c>
      <c r="Y44" s="1581">
        <f t="shared" si="25"/>
        <v>14.087870087561658</v>
      </c>
      <c r="Z44" s="1581">
        <f t="shared" si="25"/>
        <v>12.513751522530187</v>
      </c>
      <c r="AA44" s="1581">
        <f t="shared" si="25"/>
        <v>11.309082547300648</v>
      </c>
      <c r="AB44" s="1581">
        <f t="shared" si="25"/>
        <v>10.545747793662638</v>
      </c>
    </row>
    <row r="45" spans="1:28" ht="11.25" customHeight="1" x14ac:dyDescent="0.2">
      <c r="A45" s="4" t="s">
        <v>41</v>
      </c>
      <c r="B45" s="24">
        <f t="shared" ref="B45:AB45" si="26">B21/B6</f>
        <v>1.9864772032023983E-2</v>
      </c>
      <c r="C45" s="24">
        <f t="shared" si="26"/>
        <v>5.8671438411851275E-2</v>
      </c>
      <c r="D45" s="24">
        <f t="shared" si="26"/>
        <v>2.2357751952979593E-2</v>
      </c>
      <c r="E45" s="24">
        <f t="shared" si="26"/>
        <v>5.2306528874493191E-2</v>
      </c>
      <c r="F45" s="24">
        <f t="shared" si="26"/>
        <v>1.0065904905285517E-2</v>
      </c>
      <c r="G45" s="24">
        <f t="shared" si="26"/>
        <v>0.19905268013228614</v>
      </c>
      <c r="H45" s="24">
        <f t="shared" si="26"/>
        <v>0.11517714109423356</v>
      </c>
      <c r="I45" s="24">
        <f t="shared" si="26"/>
        <v>5.1544637862042261E-2</v>
      </c>
      <c r="J45" s="24">
        <f t="shared" si="26"/>
        <v>4.8915628403958425E-2</v>
      </c>
      <c r="K45" s="24">
        <f t="shared" si="26"/>
        <v>4.1005250720079225E-2</v>
      </c>
      <c r="L45" s="24">
        <f t="shared" si="26"/>
        <v>3.5882712074953638E-2</v>
      </c>
      <c r="M45" s="24">
        <f t="shared" si="26"/>
        <v>3.6007231545453385E-2</v>
      </c>
      <c r="N45" s="24">
        <f t="shared" si="26"/>
        <v>4.281941351811714E-2</v>
      </c>
      <c r="O45" s="24">
        <f t="shared" si="26"/>
        <v>3.9384902233652222E-2</v>
      </c>
      <c r="P45" s="24">
        <f t="shared" si="26"/>
        <v>3.444246902090399E-2</v>
      </c>
      <c r="Q45" s="24">
        <f t="shared" si="26"/>
        <v>3.5827613148579809E-2</v>
      </c>
      <c r="R45" s="24">
        <f t="shared" si="26"/>
        <v>2.1683754545279852E-2</v>
      </c>
      <c r="S45" s="24">
        <f t="shared" si="26"/>
        <v>3.448029677916345E-2</v>
      </c>
      <c r="T45" s="24">
        <f t="shared" si="26"/>
        <v>5.9506977346939334E-2</v>
      </c>
      <c r="U45" s="24">
        <f t="shared" si="26"/>
        <v>4.4204836615220629E-2</v>
      </c>
      <c r="V45" s="24">
        <f t="shared" si="26"/>
        <v>3.6129707220683475E-2</v>
      </c>
      <c r="W45" s="24">
        <f t="shared" si="26"/>
        <v>3.5022694706556411E-2</v>
      </c>
      <c r="X45" s="97">
        <f t="shared" si="26"/>
        <v>3.5688991262897742E-2</v>
      </c>
      <c r="Y45" s="97">
        <f t="shared" si="26"/>
        <v>3.9904997300226508E-2</v>
      </c>
      <c r="Z45" s="97">
        <f t="shared" si="26"/>
        <v>4.2863346755306383E-2</v>
      </c>
      <c r="AA45" s="97">
        <f t="shared" si="26"/>
        <v>4.6276741514606812E-2</v>
      </c>
      <c r="AB45" s="97">
        <f t="shared" si="26"/>
        <v>4.7141278868747097E-2</v>
      </c>
    </row>
    <row r="46" spans="1:28" ht="11.25" customHeight="1" x14ac:dyDescent="0.2">
      <c r="A46" s="4" t="s">
        <v>42</v>
      </c>
      <c r="B46" s="24">
        <f t="shared" ref="B46:AB46" si="27">B20/B4</f>
        <v>1.3072695891989223E-2</v>
      </c>
      <c r="C46" s="24">
        <f t="shared" si="27"/>
        <v>2.1109179110031587E-2</v>
      </c>
      <c r="D46" s="24">
        <f t="shared" si="27"/>
        <v>1.2213114579085258E-2</v>
      </c>
      <c r="E46" s="24">
        <f t="shared" si="27"/>
        <v>2.297985300818163E-2</v>
      </c>
      <c r="F46" s="24">
        <f t="shared" si="27"/>
        <v>2.0817647262606518E-2</v>
      </c>
      <c r="G46" s="24">
        <f t="shared" si="27"/>
        <v>3.6919984365402857E-2</v>
      </c>
      <c r="H46" s="24">
        <f t="shared" si="27"/>
        <v>2.4635633319835658E-2</v>
      </c>
      <c r="I46" s="24">
        <f t="shared" si="27"/>
        <v>2.4312790382873678E-2</v>
      </c>
      <c r="J46" s="24">
        <f t="shared" si="27"/>
        <v>3.4576549051753044E-2</v>
      </c>
      <c r="K46" s="24">
        <f t="shared" si="27"/>
        <v>2.7351374211935741E-2</v>
      </c>
      <c r="L46" s="24">
        <f t="shared" si="27"/>
        <v>2.423033673746872E-2</v>
      </c>
      <c r="M46" s="24">
        <f t="shared" si="27"/>
        <v>2.1302871256560666E-2</v>
      </c>
      <c r="N46" s="24">
        <f t="shared" si="27"/>
        <v>2.4836601307189541E-2</v>
      </c>
      <c r="O46" s="24">
        <f t="shared" si="27"/>
        <v>1.7977528089887642E-2</v>
      </c>
      <c r="P46" s="24">
        <f t="shared" si="27"/>
        <v>1.5166666666666667E-2</v>
      </c>
      <c r="Q46" s="24">
        <f t="shared" si="27"/>
        <v>0</v>
      </c>
      <c r="R46" s="24">
        <f t="shared" si="27"/>
        <v>3.7021093413689191E-3</v>
      </c>
      <c r="S46" s="24">
        <f t="shared" si="27"/>
        <v>4.3782837127845885E-3</v>
      </c>
      <c r="T46" s="24">
        <f t="shared" si="27"/>
        <v>1.2857142857142859E-2</v>
      </c>
      <c r="U46" s="24">
        <f t="shared" si="27"/>
        <v>1.3796563401479995E-2</v>
      </c>
      <c r="V46" s="24">
        <f t="shared" si="27"/>
        <v>1.3672795851013672E-2</v>
      </c>
      <c r="W46" s="24">
        <f t="shared" si="27"/>
        <v>1.2504096491313199E-2</v>
      </c>
      <c r="X46" s="97">
        <f t="shared" si="27"/>
        <v>1.2081098207574218E-2</v>
      </c>
      <c r="Y46" s="97">
        <f t="shared" si="27"/>
        <v>1.622284257416615E-2</v>
      </c>
      <c r="Z46" s="97">
        <f t="shared" si="27"/>
        <v>1.8070869951908129E-2</v>
      </c>
      <c r="AA46" s="97">
        <f t="shared" si="27"/>
        <v>1.9500098268527534E-2</v>
      </c>
      <c r="AB46" s="97">
        <f t="shared" si="27"/>
        <v>2.0525655196266274E-2</v>
      </c>
    </row>
    <row r="47" spans="1:28" ht="11.25" customHeight="1" x14ac:dyDescent="0.25">
      <c r="N47" s="28"/>
    </row>
    <row r="48" spans="1:28" ht="11.25" customHeight="1" x14ac:dyDescent="0.2">
      <c r="A48" s="5" t="s">
        <v>43</v>
      </c>
      <c r="B48" s="2"/>
      <c r="C48" s="2"/>
      <c r="D48" s="2"/>
      <c r="E48" s="2"/>
      <c r="F48" s="2"/>
      <c r="G48" s="2"/>
      <c r="H48" s="2"/>
      <c r="I48" s="2"/>
      <c r="J48" s="2"/>
      <c r="K48" s="2"/>
      <c r="L48" s="2"/>
      <c r="M48" s="2"/>
      <c r="N48" s="2"/>
      <c r="O48" s="2"/>
      <c r="P48" s="2"/>
      <c r="Q48" s="2"/>
      <c r="R48" s="2"/>
      <c r="S48" s="2"/>
      <c r="T48" s="2"/>
      <c r="U48" s="2"/>
      <c r="V48" s="2"/>
      <c r="W48" s="2"/>
      <c r="X48" s="3"/>
      <c r="Y48" s="3"/>
      <c r="Z48" s="3"/>
      <c r="AA48" s="3"/>
      <c r="AB48" s="3"/>
    </row>
    <row r="49" spans="1:28" ht="11.25" customHeight="1" x14ac:dyDescent="0.2">
      <c r="A49" s="4" t="s">
        <v>44</v>
      </c>
      <c r="B49" s="17">
        <f>CF!B67+(CF!B68+CF!B69)</f>
        <v>347</v>
      </c>
      <c r="C49" s="17">
        <f>CF!C67+(CF!C68+CF!C69)</f>
        <v>-473</v>
      </c>
      <c r="D49" s="17">
        <f>CF!D67+(CF!D68+CF!D69)</f>
        <v>-419</v>
      </c>
      <c r="E49" s="17">
        <f>CF!E67+(CF!E68+CF!E69)</f>
        <v>-132</v>
      </c>
      <c r="F49" s="17">
        <f>CF!F67+(CF!F68+CF!F69)</f>
        <v>-587</v>
      </c>
      <c r="G49" s="17">
        <f>CF!G67+(CF!G68+CF!G69)</f>
        <v>-458</v>
      </c>
      <c r="H49" s="17">
        <f>CF!H67+(CF!H68+CF!H69)</f>
        <v>48</v>
      </c>
      <c r="I49" s="17">
        <f>CF!I67+(CF!I68+CF!I69)</f>
        <v>-977</v>
      </c>
      <c r="J49" s="17">
        <f>CF!J67+(CF!J68+CF!J69)</f>
        <v>-895</v>
      </c>
      <c r="K49" s="17">
        <f>CF!K67+(CF!K68+CF!K69)</f>
        <v>-1220</v>
      </c>
      <c r="L49" s="17">
        <f>CF!L67+(CF!L68+CF!L69)</f>
        <v>-1503</v>
      </c>
      <c r="M49" s="17">
        <f>CF!M67+(CF!M68+CF!M69)</f>
        <v>-748</v>
      </c>
      <c r="N49" s="17">
        <f>CF!N67+(CF!N68+CF!N69)</f>
        <v>-1383</v>
      </c>
      <c r="O49" s="17">
        <f>CF!O67+(CF!O68+CF!O69)</f>
        <v>294</v>
      </c>
      <c r="P49" s="17">
        <f>CF!P67+(CF!P68+CF!P69)</f>
        <v>-3269</v>
      </c>
      <c r="Q49" s="17">
        <f>CF!Q67+(CF!Q68+CF!Q69)</f>
        <v>-4114</v>
      </c>
      <c r="R49" s="17">
        <f>CF!R67+(CF!R68+CF!R69)</f>
        <v>-2792</v>
      </c>
      <c r="S49" s="17">
        <f>CF!S67+(CF!S68+CF!S69)</f>
        <v>-1544</v>
      </c>
      <c r="T49" s="17">
        <f>CF!T67+(CF!T68+CF!T69)</f>
        <v>14</v>
      </c>
      <c r="U49" s="17">
        <f>CF!U67+(CF!U68+CF!U69)</f>
        <v>374</v>
      </c>
      <c r="V49" s="17">
        <f>CF!V67+(CF!V68+CF!V69)</f>
        <v>1738</v>
      </c>
      <c r="W49" s="17">
        <f>CF!W67+(CF!W68+CF!W69)</f>
        <v>1741</v>
      </c>
      <c r="X49" s="1579">
        <f>CF!X67+(CF!X68+CF!X69)</f>
        <v>4265.5518355188215</v>
      </c>
      <c r="Y49" s="1579">
        <f>CF!Y67+(CF!Y68+CF!Y69)</f>
        <v>6894.1637010823251</v>
      </c>
      <c r="Z49" s="1579">
        <f>CF!Z67+(CF!Z68+CF!Z69)</f>
        <v>9321.8744137743452</v>
      </c>
      <c r="AA49" s="1579">
        <f>CF!AA67+(CF!AA68+CF!AA69)</f>
        <v>13201.697837244672</v>
      </c>
      <c r="AB49" s="1579">
        <f>CF!AB67+(CF!AB68+CF!AB69)</f>
        <v>17002.60464018178</v>
      </c>
    </row>
    <row r="50" spans="1:28" ht="11.25" customHeight="1" x14ac:dyDescent="0.2">
      <c r="A50" s="4" t="s">
        <v>45</v>
      </c>
      <c r="B50" s="29"/>
      <c r="C50" s="29"/>
      <c r="D50" s="29"/>
      <c r="E50" s="29">
        <f t="shared" ref="E50:AB50" si="28">-E49/E14</f>
        <v>9.7922848664688422E-2</v>
      </c>
      <c r="F50" s="29">
        <f t="shared" si="28"/>
        <v>0.53460837887067392</v>
      </c>
      <c r="G50" s="29">
        <f t="shared" si="28"/>
        <v>0.40210711150131695</v>
      </c>
      <c r="H50" s="29">
        <f t="shared" si="28"/>
        <v>-3.7944664031620556E-2</v>
      </c>
      <c r="I50" s="29">
        <f t="shared" si="28"/>
        <v>0.63814500326583934</v>
      </c>
      <c r="J50" s="29">
        <f t="shared" si="28"/>
        <v>0.43765281173594134</v>
      </c>
      <c r="K50" s="29">
        <f t="shared" si="28"/>
        <v>0.53508771929824561</v>
      </c>
      <c r="L50" s="29">
        <f t="shared" si="28"/>
        <v>0.55095307917888559</v>
      </c>
      <c r="M50" s="29">
        <f t="shared" si="28"/>
        <v>0.23761118170266837</v>
      </c>
      <c r="N50" s="29">
        <f t="shared" si="28"/>
        <v>0.47363013698630135</v>
      </c>
      <c r="O50" s="29">
        <f t="shared" si="28"/>
        <v>-8.5564610011641437E-2</v>
      </c>
      <c r="P50" s="29">
        <f t="shared" si="28"/>
        <v>0.85019505851755528</v>
      </c>
      <c r="Q50" s="29">
        <f t="shared" si="28"/>
        <v>0.82050259274032711</v>
      </c>
      <c r="R50" s="29">
        <f t="shared" si="28"/>
        <v>1.1127939418094859</v>
      </c>
      <c r="S50" s="29">
        <f t="shared" si="28"/>
        <v>0.52481305234534326</v>
      </c>
      <c r="T50" s="29">
        <f t="shared" si="28"/>
        <v>-4.3491767629698667E-3</v>
      </c>
      <c r="U50" s="29">
        <f t="shared" si="28"/>
        <v>-8.9925462851647028E-2</v>
      </c>
      <c r="V50" s="29">
        <f t="shared" si="28"/>
        <v>-0.32250881425125255</v>
      </c>
      <c r="W50" s="29">
        <f t="shared" si="28"/>
        <v>-0.27443253467843631</v>
      </c>
      <c r="X50" s="1582">
        <f t="shared" si="28"/>
        <v>-0.51654945116682838</v>
      </c>
      <c r="Y50" s="1582">
        <f t="shared" si="28"/>
        <v>-0.7407396146078461</v>
      </c>
      <c r="Z50" s="1582">
        <f t="shared" si="28"/>
        <v>-0.91568312259913931</v>
      </c>
      <c r="AA50" s="1582">
        <f t="shared" si="28"/>
        <v>-1.2153831038808158</v>
      </c>
      <c r="AB50" s="1582">
        <f t="shared" si="28"/>
        <v>-1.5068514424873256</v>
      </c>
    </row>
    <row r="51" spans="1:28" ht="11.25" customHeight="1" x14ac:dyDescent="0.2">
      <c r="A51" s="4" t="s">
        <v>46</v>
      </c>
      <c r="B51" s="29">
        <f>B49/B54</f>
        <v>0.27893890675241156</v>
      </c>
      <c r="C51" s="29">
        <f>C49/C54</f>
        <v>-0.1050177619893428</v>
      </c>
      <c r="D51" s="29">
        <f>D49/D54</f>
        <v>-9.6566029038949064E-2</v>
      </c>
      <c r="E51" s="29">
        <f>-E49/E54</f>
        <v>3.0428769017980636E-2</v>
      </c>
      <c r="F51" s="29">
        <f t="shared" ref="F51:AB51" si="29">-F49/F54</f>
        <v>0.15724618269488347</v>
      </c>
      <c r="G51" s="29">
        <f t="shared" si="29"/>
        <v>0.10521479439467034</v>
      </c>
      <c r="H51" s="29">
        <f t="shared" si="29"/>
        <v>-1.0596026490066225E-2</v>
      </c>
      <c r="I51" s="29">
        <f t="shared" si="29"/>
        <v>0.19665861513687602</v>
      </c>
      <c r="J51" s="29">
        <f t="shared" si="29"/>
        <v>0.1534110387384299</v>
      </c>
      <c r="K51" s="29">
        <f t="shared" si="29"/>
        <v>0.1838733986435569</v>
      </c>
      <c r="L51" s="29">
        <f t="shared" si="29"/>
        <v>0.23986594318544527</v>
      </c>
      <c r="M51" s="29">
        <f t="shared" si="29"/>
        <v>0.13293051359516617</v>
      </c>
      <c r="N51" s="29">
        <f t="shared" si="29"/>
        <v>0.21208403619076829</v>
      </c>
      <c r="O51" s="29">
        <f t="shared" si="29"/>
        <v>-2.8485611859315956E-2</v>
      </c>
      <c r="P51" s="29">
        <f>-P49/P54</f>
        <v>0.27344207444583857</v>
      </c>
      <c r="Q51" s="29">
        <f t="shared" si="29"/>
        <v>0.33255193597930643</v>
      </c>
      <c r="R51" s="29">
        <f t="shared" si="29"/>
        <v>0.22609118147218399</v>
      </c>
      <c r="S51" s="29">
        <f t="shared" si="29"/>
        <v>0.12023985670897905</v>
      </c>
      <c r="T51" s="29">
        <f t="shared" si="29"/>
        <v>-1.3447315339544712E-3</v>
      </c>
      <c r="U51" s="29">
        <f t="shared" si="29"/>
        <v>-3.2305433186490456E-2</v>
      </c>
      <c r="V51" s="29">
        <f t="shared" si="29"/>
        <v>-0.17079402515723272</v>
      </c>
      <c r="W51" s="29">
        <f t="shared" si="29"/>
        <v>-0.11732596536154727</v>
      </c>
      <c r="X51" s="1582">
        <f t="shared" si="29"/>
        <v>-0.25470156402561678</v>
      </c>
      <c r="Y51" s="1582">
        <f t="shared" si="29"/>
        <v>-0.35592512561355494</v>
      </c>
      <c r="Z51" s="1582">
        <f t="shared" si="29"/>
        <v>-0.42314695170611111</v>
      </c>
      <c r="AA51" s="1582">
        <f t="shared" si="29"/>
        <v>-0.50446863131479291</v>
      </c>
      <c r="AB51" s="1582">
        <f t="shared" si="29"/>
        <v>-0.55792841629452372</v>
      </c>
    </row>
    <row r="52" spans="1:28" ht="11.25" customHeight="1" x14ac:dyDescent="0.2"/>
    <row r="53" spans="1:28" ht="11.25" customHeight="1" x14ac:dyDescent="0.2">
      <c r="A53" s="5" t="s">
        <v>47</v>
      </c>
      <c r="B53" s="2"/>
      <c r="C53" s="2"/>
      <c r="D53" s="2"/>
      <c r="E53" s="2"/>
      <c r="F53" s="2"/>
      <c r="G53" s="2"/>
      <c r="H53" s="2"/>
      <c r="I53" s="2"/>
      <c r="J53" s="2"/>
      <c r="K53" s="2"/>
      <c r="L53" s="2"/>
      <c r="M53" s="2"/>
      <c r="N53" s="2"/>
      <c r="O53" s="2"/>
      <c r="P53" s="2"/>
      <c r="Q53" s="2"/>
      <c r="R53" s="2"/>
      <c r="S53" s="2"/>
      <c r="T53" s="2"/>
      <c r="U53" s="2"/>
      <c r="V53" s="2"/>
      <c r="W53" s="2"/>
      <c r="X53" s="3"/>
      <c r="Y53" s="3"/>
      <c r="Z53" s="3"/>
      <c r="AA53" s="3"/>
      <c r="AB53" s="3"/>
    </row>
    <row r="54" spans="1:28" ht="11.25" customHeight="1" x14ac:dyDescent="0.2">
      <c r="A54" s="4" t="s">
        <v>48</v>
      </c>
      <c r="B54" s="17">
        <f>BS!B50+BS!B51+BS!B52+BS!B53</f>
        <v>1244</v>
      </c>
      <c r="C54" s="17">
        <f>BS!C50+BS!C51+BS!C52+BS!C53</f>
        <v>4504</v>
      </c>
      <c r="D54" s="17">
        <f>BS!D50+BS!D51+BS!D52+BS!D53</f>
        <v>4339</v>
      </c>
      <c r="E54" s="17">
        <f>BS!E50+BS!E51+BS!E52+BS!E53</f>
        <v>4338</v>
      </c>
      <c r="F54" s="17">
        <f>BS!F50+BS!F51+BS!F52+BS!F53</f>
        <v>3733</v>
      </c>
      <c r="G54" s="17">
        <f>BS!G50+BS!G51+BS!G52+BS!G53</f>
        <v>4353</v>
      </c>
      <c r="H54" s="17">
        <f>BS!H50+BS!H51+BS!H52+BS!H53</f>
        <v>4530</v>
      </c>
      <c r="I54" s="17">
        <f>BS!I50+BS!I51+BS!I52+BS!I53</f>
        <v>4968</v>
      </c>
      <c r="J54" s="17">
        <f>BS!J50+BS!J51+BS!J52+BS!J53</f>
        <v>5834</v>
      </c>
      <c r="K54" s="17">
        <f>BS!K50+BS!K51+BS!K52+BS!K53</f>
        <v>6635</v>
      </c>
      <c r="L54" s="4">
        <f>BS!L50+BS!L51+BS!L52+BS!L53</f>
        <v>6266</v>
      </c>
      <c r="M54" s="4">
        <f>BS!M50+BS!M51+BS!M52+BS!M53</f>
        <v>5627</v>
      </c>
      <c r="N54" s="17">
        <f>BS!N50+BS!N51+BS!N52+BS!N53</f>
        <v>6521</v>
      </c>
      <c r="O54" s="17">
        <f>BS!O50+BS!O51+BS!O52+BS!O53</f>
        <v>10321</v>
      </c>
      <c r="P54" s="17">
        <f>BS!P50+BS!P51+BS!P52+BS!P53</f>
        <v>11955</v>
      </c>
      <c r="Q54" s="17">
        <f>BS!Q50+BS!Q51+BS!Q52+BS!Q53</f>
        <v>12371</v>
      </c>
      <c r="R54" s="17">
        <f>BS!R50+BS!R51+BS!R52+BS!R53</f>
        <v>12349</v>
      </c>
      <c r="S54" s="17">
        <f>BS!S50+BS!S51+BS!S52+BS!S53</f>
        <v>12841</v>
      </c>
      <c r="T54" s="17">
        <f>BS!T50+BS!T51+BS!T52+BS!T53</f>
        <v>10411</v>
      </c>
      <c r="U54" s="17">
        <f>BS!U50+BS!U51+BS!U52+BS!U53</f>
        <v>11577</v>
      </c>
      <c r="V54" s="17">
        <f>BS!V50+BS!V51+BS!V52+BS!V53</f>
        <v>10176</v>
      </c>
      <c r="W54" s="17">
        <f>BS!W50+BS!W51+BS!W52+BS!W53</f>
        <v>14839</v>
      </c>
      <c r="X54" s="1579">
        <f>BS!X50+BS!X51+BS!X52+BS!X53</f>
        <v>16747.254190750908</v>
      </c>
      <c r="Y54" s="1579">
        <f>BS!Y50+BS!Y51+BS!Y52+BS!Y53</f>
        <v>19369.702234979755</v>
      </c>
      <c r="Z54" s="1579">
        <f>BS!Z50+BS!Z51+BS!Z52+BS!Z53</f>
        <v>22029.874907969752</v>
      </c>
      <c r="AA54" s="1579">
        <f>BS!AA50+BS!AA51+BS!AA52+BS!AA53</f>
        <v>26169.511873983487</v>
      </c>
      <c r="AB54" s="1579">
        <f>BS!AB50+BS!AB51+BS!AB52+BS!AB53</f>
        <v>30474.527096333288</v>
      </c>
    </row>
    <row r="55" spans="1:28" ht="11.25" hidden="1" customHeight="1" outlineLevel="1" x14ac:dyDescent="0.2">
      <c r="A55" s="4" t="s">
        <v>8</v>
      </c>
      <c r="B55" s="17">
        <f>BS!B49</f>
        <v>1</v>
      </c>
      <c r="C55" s="17">
        <f>BS!C49</f>
        <v>164</v>
      </c>
      <c r="D55" s="17">
        <f>BS!D49</f>
        <v>173</v>
      </c>
      <c r="E55" s="17">
        <f>BS!E49</f>
        <v>167</v>
      </c>
      <c r="F55" s="17">
        <f>BS!F49</f>
        <v>141</v>
      </c>
      <c r="G55" s="17">
        <f>BS!G49</f>
        <v>148</v>
      </c>
      <c r="H55" s="17">
        <f>BS!H49</f>
        <v>175</v>
      </c>
      <c r="I55" s="17">
        <f>BS!I49</f>
        <v>154</v>
      </c>
      <c r="J55" s="17">
        <f>BS!J49</f>
        <v>163</v>
      </c>
      <c r="K55" s="17">
        <f>BS!K49</f>
        <v>178</v>
      </c>
      <c r="L55" s="4">
        <f>BS!L49</f>
        <v>225</v>
      </c>
      <c r="M55" s="4">
        <f>BS!M49</f>
        <v>266</v>
      </c>
      <c r="N55" s="4">
        <f>BS!N49</f>
        <v>288</v>
      </c>
      <c r="O55" s="4">
        <f>BS!O49</f>
        <v>303</v>
      </c>
      <c r="P55" s="4">
        <f>BS!P49</f>
        <v>346</v>
      </c>
      <c r="Q55" s="4">
        <f>BS!Q49</f>
        <v>377</v>
      </c>
      <c r="R55" s="4">
        <f>BS!R49</f>
        <v>401</v>
      </c>
      <c r="S55" s="4">
        <f>BS!S49</f>
        <v>429</v>
      </c>
      <c r="T55" s="4">
        <f>BS!T49</f>
        <v>455</v>
      </c>
      <c r="U55" s="4">
        <f>BS!U49</f>
        <v>511</v>
      </c>
      <c r="V55" s="4">
        <f>BS!V49</f>
        <v>549</v>
      </c>
      <c r="W55" s="4">
        <f>BS!W49</f>
        <v>622</v>
      </c>
      <c r="X55" s="11">
        <f>BS!X49</f>
        <v>669</v>
      </c>
      <c r="Y55" s="11">
        <f>BS!Y49</f>
        <v>716</v>
      </c>
      <c r="Z55" s="11">
        <f>BS!Z49</f>
        <v>763</v>
      </c>
      <c r="AA55" s="11">
        <f>BS!AA49</f>
        <v>810</v>
      </c>
      <c r="AB55" s="11">
        <f>BS!AB49</f>
        <v>857</v>
      </c>
    </row>
    <row r="56" spans="1:28" ht="11.25" hidden="1" customHeight="1" outlineLevel="1" x14ac:dyDescent="0.2">
      <c r="A56" s="4" t="s">
        <v>49</v>
      </c>
      <c r="B56" s="17">
        <f>BS!B30+BS!B31+BS!B41</f>
        <v>271</v>
      </c>
      <c r="C56" s="17">
        <f>BS!C30+BS!C31+BS!C41</f>
        <v>1777</v>
      </c>
      <c r="D56" s="17">
        <f>BS!D30+BS!D31+BS!D41</f>
        <v>2077</v>
      </c>
      <c r="E56" s="17">
        <f>BS!E30+BS!E31+BS!E41</f>
        <v>2185</v>
      </c>
      <c r="F56" s="17">
        <f>BS!F30+BS!F31+BS!F41</f>
        <v>2356</v>
      </c>
      <c r="G56" s="17">
        <f>BS!G30+BS!G31+BS!G41</f>
        <v>2354</v>
      </c>
      <c r="H56" s="17">
        <f>BS!H30+BS!H31+BS!H41</f>
        <v>2424</v>
      </c>
      <c r="I56" s="17">
        <f>BS!I30+BS!I31+BS!I41</f>
        <v>2438</v>
      </c>
      <c r="J56" s="17">
        <f>BS!J30+BS!J31+BS!J41</f>
        <v>2887</v>
      </c>
      <c r="K56" s="17">
        <f>BS!K30+BS!K31+BS!K41</f>
        <v>2958</v>
      </c>
      <c r="L56" s="4">
        <f>BS!L30+BS!L31+BS!L41</f>
        <v>3329</v>
      </c>
      <c r="M56" s="4">
        <f>BS!M30+BS!M31+BS!M41</f>
        <v>3456</v>
      </c>
      <c r="N56" s="4">
        <f>BS!N30+BS!N31+BS!N41</f>
        <v>3264</v>
      </c>
      <c r="O56" s="4">
        <f>BS!O30+BS!O31+BS!O41</f>
        <v>3403</v>
      </c>
      <c r="P56" s="4">
        <f>BS!P30+BS!P31+BS!P41</f>
        <v>2777</v>
      </c>
      <c r="Q56" s="4">
        <f>BS!Q30+BS!Q31+BS!Q41</f>
        <v>3083</v>
      </c>
      <c r="R56" s="4">
        <f>BS!R30+BS!R31+BS!R41</f>
        <v>2847</v>
      </c>
      <c r="S56" s="4">
        <f>BS!S30+BS!S31+BS!S41</f>
        <v>2856</v>
      </c>
      <c r="T56" s="4">
        <f>BS!T30+BS!T31+BS!T41</f>
        <v>2567</v>
      </c>
      <c r="U56" s="4">
        <f>BS!U30+BS!U31+BS!U41</f>
        <v>2611</v>
      </c>
      <c r="V56" s="4">
        <f>BS!V30+BS!V31+BS!V41</f>
        <v>3008</v>
      </c>
      <c r="W56" s="4">
        <f>BS!W30+BS!W31+BS!W41</f>
        <v>2899</v>
      </c>
      <c r="X56" s="11">
        <f>BS!X30+BS!X31+BS!X41</f>
        <v>2899</v>
      </c>
      <c r="Y56" s="11">
        <f>BS!Y30+BS!Y31+BS!Y41</f>
        <v>2899</v>
      </c>
      <c r="Z56" s="11">
        <f>BS!Z30+BS!Z31+BS!Z41</f>
        <v>2899</v>
      </c>
      <c r="AA56" s="11">
        <f>BS!AA30+BS!AA31+BS!AA41</f>
        <v>2899</v>
      </c>
      <c r="AB56" s="11">
        <f>BS!AB30+BS!AB31+BS!AB41</f>
        <v>2899</v>
      </c>
    </row>
    <row r="57" spans="1:28" ht="11.25" hidden="1" customHeight="1" outlineLevel="1" x14ac:dyDescent="0.2">
      <c r="A57" s="4" t="s">
        <v>50</v>
      </c>
      <c r="B57" s="17">
        <f>BS!B44-BS!B24</f>
        <v>-11</v>
      </c>
      <c r="C57" s="17">
        <f>BS!C44-BS!C24</f>
        <v>942</v>
      </c>
      <c r="D57" s="17">
        <f>BS!D44-BS!D24</f>
        <v>809</v>
      </c>
      <c r="E57" s="17">
        <f>BS!E44-BS!E24</f>
        <v>587</v>
      </c>
      <c r="F57" s="17">
        <f>BS!F44-BS!F24</f>
        <v>323</v>
      </c>
      <c r="G57" s="17">
        <f>BS!G44-BS!G24</f>
        <v>570</v>
      </c>
      <c r="H57" s="17">
        <f>BS!H44-BS!H24</f>
        <v>491</v>
      </c>
      <c r="I57" s="17">
        <f>BS!I44-BS!I24</f>
        <v>467</v>
      </c>
      <c r="J57" s="17">
        <f>BS!J44-BS!J24</f>
        <v>738</v>
      </c>
      <c r="K57" s="17">
        <f>BS!K44-BS!K24</f>
        <v>1061</v>
      </c>
      <c r="L57" s="4">
        <f>BS!L44-BS!L24</f>
        <v>507</v>
      </c>
      <c r="M57" s="4">
        <f>BS!M44-BS!M24</f>
        <v>-307</v>
      </c>
      <c r="N57" s="4">
        <f>BS!N44-BS!N24</f>
        <v>-364</v>
      </c>
      <c r="O57" s="4">
        <f>BS!O44-BS!O24</f>
        <v>880</v>
      </c>
      <c r="P57" s="4">
        <f>BS!P44-BS!P24</f>
        <v>1271</v>
      </c>
      <c r="Q57" s="4">
        <f>BS!Q44-BS!Q24</f>
        <v>1089</v>
      </c>
      <c r="R57" s="4">
        <f>BS!R44-BS!R24</f>
        <v>969</v>
      </c>
      <c r="S57" s="4">
        <f>BS!S44-BS!S24</f>
        <v>826</v>
      </c>
      <c r="T57" s="4">
        <f>BS!T44-BS!T24</f>
        <v>-412</v>
      </c>
      <c r="U57" s="4">
        <f>BS!U44-BS!U24</f>
        <v>-100</v>
      </c>
      <c r="V57" s="4">
        <f>BS!V44-BS!V24</f>
        <v>-1438</v>
      </c>
      <c r="W57" s="4">
        <f>BS!W44-BS!W24</f>
        <v>-240</v>
      </c>
      <c r="X57" s="11">
        <f>BS!X44-BS!X24</f>
        <v>-280.96000000000026</v>
      </c>
      <c r="Y57" s="11">
        <f>BS!Y44-BS!Y24</f>
        <v>-405.96000000000026</v>
      </c>
      <c r="Z57" s="11">
        <f>BS!Z44-BS!Z24</f>
        <v>-530.96000000000026</v>
      </c>
      <c r="AA57" s="11">
        <f>BS!AA44-BS!AA24</f>
        <v>-655.96000000000026</v>
      </c>
      <c r="AB57" s="11">
        <f>BS!AB44-BS!AB24</f>
        <v>-780.96000000000026</v>
      </c>
    </row>
    <row r="58" spans="1:28" ht="11.25" hidden="1" customHeight="1" outlineLevel="1" x14ac:dyDescent="0.2">
      <c r="A58" s="4" t="s">
        <v>51</v>
      </c>
      <c r="B58" s="17">
        <f>-(CF!B68+CF!B69)</f>
        <v>32</v>
      </c>
      <c r="C58" s="17">
        <f>-(CF!C68+CF!C69)</f>
        <v>1409</v>
      </c>
      <c r="D58" s="17">
        <f>-(CF!D68+CF!D69)</f>
        <v>1162</v>
      </c>
      <c r="E58" s="17">
        <f>-(CF!E68+CF!E69)</f>
        <v>899</v>
      </c>
      <c r="F58" s="17">
        <f>-(CF!F68+CF!F69)</f>
        <v>1554</v>
      </c>
      <c r="G58" s="17">
        <f>-(CF!G68+CF!G69)</f>
        <v>2575</v>
      </c>
      <c r="H58" s="17">
        <f>-(CF!H68+CF!H69)</f>
        <v>2051</v>
      </c>
      <c r="I58" s="17">
        <f>-(CF!I68+CF!I69)</f>
        <v>2445</v>
      </c>
      <c r="J58" s="17">
        <f>-(CF!J68+CF!J69)</f>
        <v>3125</v>
      </c>
      <c r="K58" s="17">
        <f>-(CF!K68+CF!K69)</f>
        <v>2767</v>
      </c>
      <c r="L58" s="4">
        <f>-(CF!L68+CF!L69)</f>
        <v>3136</v>
      </c>
      <c r="M58" s="4">
        <f>-(CF!M68+CF!M69)</f>
        <v>2593</v>
      </c>
      <c r="N58" s="17">
        <f>-(CF!N68+CF!N69)</f>
        <v>3309</v>
      </c>
      <c r="O58" s="17">
        <f>-(CF!O68+CF!O69)</f>
        <v>4620</v>
      </c>
      <c r="P58" s="17">
        <f>-(CF!P68+CF!P69)</f>
        <v>5599</v>
      </c>
      <c r="Q58" s="17">
        <f>-(CF!Q68+CF!Q69)</f>
        <v>6746</v>
      </c>
      <c r="R58" s="17">
        <f>-(CF!R68+CF!R69)</f>
        <v>6539</v>
      </c>
      <c r="S58" s="17">
        <f>-(CF!S68+CF!S69)</f>
        <v>6791</v>
      </c>
      <c r="T58" s="17">
        <f>-(CF!T68+CF!T69)</f>
        <v>6673</v>
      </c>
      <c r="U58" s="17">
        <f>-(CF!U68+CF!U69)</f>
        <v>6302</v>
      </c>
      <c r="V58" s="17">
        <f>-(CF!V68+CF!V69)</f>
        <v>4776</v>
      </c>
      <c r="W58" s="17">
        <f>-(CF!W68+CF!W69)</f>
        <v>5048</v>
      </c>
      <c r="X58" s="1579">
        <f>-(CF!X68+CF!X69)</f>
        <v>4545</v>
      </c>
      <c r="Y58" s="1579">
        <f>-(CF!Y68+CF!Y69)</f>
        <v>4545</v>
      </c>
      <c r="Z58" s="1579">
        <f>-(CF!Z68+CF!Z69)</f>
        <v>4545</v>
      </c>
      <c r="AA58" s="1579">
        <f>-(CF!AA68+CF!AA69)</f>
        <v>4545</v>
      </c>
      <c r="AB58" s="1579">
        <f>-(CF!AB68+CF!AB69)</f>
        <v>4545</v>
      </c>
    </row>
    <row r="59" spans="1:28" ht="11.25" hidden="1" customHeight="1" outlineLevel="1" x14ac:dyDescent="0.2">
      <c r="A59" s="4" t="s">
        <v>52</v>
      </c>
      <c r="B59" s="17">
        <f>-CF!B67</f>
        <v>-379</v>
      </c>
      <c r="C59" s="17">
        <f>-CF!C67</f>
        <v>-936</v>
      </c>
      <c r="D59" s="17">
        <f>-CF!D67</f>
        <v>-743</v>
      </c>
      <c r="E59" s="17">
        <f>-CF!E67</f>
        <v>-767</v>
      </c>
      <c r="F59" s="17">
        <f>-CF!F67</f>
        <v>-967</v>
      </c>
      <c r="G59" s="17">
        <f>-CF!G67</f>
        <v>-2117</v>
      </c>
      <c r="H59" s="17">
        <f>-CF!H67</f>
        <v>-2099</v>
      </c>
      <c r="I59" s="17">
        <f>-CF!I67</f>
        <v>-1468</v>
      </c>
      <c r="J59" s="17">
        <f>-CF!J67</f>
        <v>-2230</v>
      </c>
      <c r="K59" s="17">
        <f>-CF!K67</f>
        <v>-1547</v>
      </c>
      <c r="L59" s="4">
        <f>-CF!L67</f>
        <v>-1633</v>
      </c>
      <c r="M59" s="4">
        <f>-CF!M67</f>
        <v>-1845</v>
      </c>
      <c r="N59" s="17">
        <f>-CF!N67</f>
        <v>-1926</v>
      </c>
      <c r="O59" s="17">
        <f>-CF!O67</f>
        <v>-4914</v>
      </c>
      <c r="P59" s="17">
        <f>-CF!P67</f>
        <v>-2330</v>
      </c>
      <c r="Q59" s="17">
        <f>-CF!Q67</f>
        <v>-2632</v>
      </c>
      <c r="R59" s="17">
        <f>-CF!R67</f>
        <v>-3747</v>
      </c>
      <c r="S59" s="17">
        <f>-CF!S67</f>
        <v>-5247</v>
      </c>
      <c r="T59" s="17">
        <f>-CF!T67</f>
        <v>-6687</v>
      </c>
      <c r="U59" s="17">
        <f>-CF!U67</f>
        <v>-6676</v>
      </c>
      <c r="V59" s="17">
        <f>-CF!V67</f>
        <v>-6514</v>
      </c>
      <c r="W59" s="17">
        <f>-CF!W67</f>
        <v>-6789</v>
      </c>
      <c r="X59" s="1579">
        <f>-CF!X67</f>
        <v>-8810.5518355188215</v>
      </c>
      <c r="Y59" s="1579">
        <f>-CF!Y67</f>
        <v>-11439.163701082325</v>
      </c>
      <c r="Z59" s="1579">
        <f>-CF!Z67</f>
        <v>-13866.874413774345</v>
      </c>
      <c r="AA59" s="1579">
        <f>-CF!AA67</f>
        <v>-17746.697837244672</v>
      </c>
      <c r="AB59" s="1579">
        <f>-CF!AB67</f>
        <v>-21547.60464018178</v>
      </c>
    </row>
    <row r="60" spans="1:28" ht="11.25" customHeight="1" collapsed="1" x14ac:dyDescent="0.2">
      <c r="A60" s="4" t="s">
        <v>53</v>
      </c>
      <c r="B60" s="17">
        <f>SUM(B55:B59)</f>
        <v>-86</v>
      </c>
      <c r="C60" s="17">
        <f t="shared" ref="C60:AB60" si="30">SUM(C55:C59)</f>
        <v>3356</v>
      </c>
      <c r="D60" s="17">
        <f t="shared" si="30"/>
        <v>3478</v>
      </c>
      <c r="E60" s="17">
        <f t="shared" si="30"/>
        <v>3071</v>
      </c>
      <c r="F60" s="17">
        <f t="shared" si="30"/>
        <v>3407</v>
      </c>
      <c r="G60" s="17">
        <f t="shared" si="30"/>
        <v>3530</v>
      </c>
      <c r="H60" s="17">
        <f t="shared" si="30"/>
        <v>3042</v>
      </c>
      <c r="I60" s="17">
        <f t="shared" si="30"/>
        <v>4036</v>
      </c>
      <c r="J60" s="17">
        <f t="shared" si="30"/>
        <v>4683</v>
      </c>
      <c r="K60" s="17">
        <f t="shared" si="30"/>
        <v>5417</v>
      </c>
      <c r="L60" s="4">
        <f t="shared" si="30"/>
        <v>5564</v>
      </c>
      <c r="M60" s="4">
        <f t="shared" si="30"/>
        <v>4163</v>
      </c>
      <c r="N60" s="17">
        <f t="shared" si="30"/>
        <v>4571</v>
      </c>
      <c r="O60" s="17">
        <f t="shared" si="30"/>
        <v>4292</v>
      </c>
      <c r="P60" s="17">
        <f>SUM(P55:P59)</f>
        <v>7663</v>
      </c>
      <c r="Q60" s="17">
        <f>SUM(Q55:Q59)</f>
        <v>8663</v>
      </c>
      <c r="R60" s="17">
        <f>SUM(R55:R59)</f>
        <v>7009</v>
      </c>
      <c r="S60" s="17">
        <f t="shared" si="30"/>
        <v>5655</v>
      </c>
      <c r="T60" s="17">
        <f t="shared" si="30"/>
        <v>2596</v>
      </c>
      <c r="U60" s="17">
        <f t="shared" si="30"/>
        <v>2648</v>
      </c>
      <c r="V60" s="17">
        <f t="shared" si="30"/>
        <v>381</v>
      </c>
      <c r="W60" s="17">
        <f t="shared" si="30"/>
        <v>1540</v>
      </c>
      <c r="X60" s="1579">
        <f t="shared" si="30"/>
        <v>-978.5118355188215</v>
      </c>
      <c r="Y60" s="1579">
        <f t="shared" si="30"/>
        <v>-3685.1237010823252</v>
      </c>
      <c r="Z60" s="1579">
        <f t="shared" si="30"/>
        <v>-6190.8344137743452</v>
      </c>
      <c r="AA60" s="1579">
        <f t="shared" si="30"/>
        <v>-10148.657837244671</v>
      </c>
      <c r="AB60" s="1579">
        <f t="shared" si="30"/>
        <v>-14027.564640181779</v>
      </c>
    </row>
    <row r="61" spans="1:28" ht="11.25" customHeight="1" x14ac:dyDescent="0.2">
      <c r="A61" s="4" t="s">
        <v>54</v>
      </c>
      <c r="B61" s="4">
        <f>B54+B60</f>
        <v>1158</v>
      </c>
      <c r="C61" s="4">
        <f t="shared" ref="C61:AB61" si="31">C54+C60</f>
        <v>7860</v>
      </c>
      <c r="D61" s="4">
        <f t="shared" si="31"/>
        <v>7817</v>
      </c>
      <c r="E61" s="4">
        <f t="shared" si="31"/>
        <v>7409</v>
      </c>
      <c r="F61" s="4">
        <f t="shared" si="31"/>
        <v>7140</v>
      </c>
      <c r="G61" s="4">
        <f t="shared" si="31"/>
        <v>7883</v>
      </c>
      <c r="H61" s="4">
        <f t="shared" si="31"/>
        <v>7572</v>
      </c>
      <c r="I61" s="4">
        <f t="shared" si="31"/>
        <v>9004</v>
      </c>
      <c r="J61" s="4">
        <f t="shared" si="31"/>
        <v>10517</v>
      </c>
      <c r="K61" s="4">
        <f t="shared" si="31"/>
        <v>12052</v>
      </c>
      <c r="L61" s="4">
        <f t="shared" si="31"/>
        <v>11830</v>
      </c>
      <c r="M61" s="4">
        <f t="shared" si="31"/>
        <v>9790</v>
      </c>
      <c r="N61" s="4">
        <f t="shared" si="31"/>
        <v>11092</v>
      </c>
      <c r="O61" s="4">
        <f t="shared" si="31"/>
        <v>14613</v>
      </c>
      <c r="P61" s="4">
        <f>P54+P60</f>
        <v>19618</v>
      </c>
      <c r="Q61" s="4">
        <f t="shared" si="31"/>
        <v>21034</v>
      </c>
      <c r="R61" s="4">
        <f>R54+R60</f>
        <v>19358</v>
      </c>
      <c r="S61" s="4">
        <f t="shared" si="31"/>
        <v>18496</v>
      </c>
      <c r="T61" s="4">
        <f t="shared" si="31"/>
        <v>13007</v>
      </c>
      <c r="U61" s="4">
        <f t="shared" si="31"/>
        <v>14225</v>
      </c>
      <c r="V61" s="4">
        <f t="shared" si="31"/>
        <v>10557</v>
      </c>
      <c r="W61" s="4">
        <f t="shared" si="31"/>
        <v>16379</v>
      </c>
      <c r="X61" s="11">
        <f t="shared" si="31"/>
        <v>15768.742355232087</v>
      </c>
      <c r="Y61" s="11">
        <f t="shared" si="31"/>
        <v>15684.578533897431</v>
      </c>
      <c r="Z61" s="11">
        <f t="shared" si="31"/>
        <v>15839.040494195408</v>
      </c>
      <c r="AA61" s="11">
        <f t="shared" si="31"/>
        <v>16020.854036738816</v>
      </c>
      <c r="AB61" s="11">
        <f t="shared" si="31"/>
        <v>16446.962456151508</v>
      </c>
    </row>
    <row r="62" spans="1:28" ht="11.25" customHeight="1" x14ac:dyDescent="0.2">
      <c r="A62" s="4" t="s">
        <v>55</v>
      </c>
      <c r="B62" s="17">
        <f>BS!B18</f>
        <v>97</v>
      </c>
      <c r="C62" s="17">
        <f>BS!C18</f>
        <v>1519</v>
      </c>
      <c r="D62" s="17">
        <f>BS!D18</f>
        <v>1589</v>
      </c>
      <c r="E62" s="17">
        <f>BS!E18</f>
        <v>1561</v>
      </c>
      <c r="F62" s="17">
        <f>BS!F18</f>
        <v>1756</v>
      </c>
      <c r="G62" s="17">
        <f>BS!G18</f>
        <v>2126</v>
      </c>
      <c r="H62" s="17">
        <f>BS!H18</f>
        <v>2298</v>
      </c>
      <c r="I62" s="17">
        <f>BS!I18</f>
        <v>3126</v>
      </c>
      <c r="J62" s="17">
        <f>BS!J18</f>
        <v>3078</v>
      </c>
      <c r="K62" s="17">
        <f>BS!K18</f>
        <v>3399</v>
      </c>
      <c r="L62" s="4">
        <f>BS!L18</f>
        <v>3420</v>
      </c>
      <c r="M62" s="4">
        <f>BS!M18</f>
        <v>3590</v>
      </c>
      <c r="N62" s="17">
        <f>BS!N18</f>
        <v>1864</v>
      </c>
      <c r="O62" s="17">
        <f>BS!O18</f>
        <v>1831</v>
      </c>
      <c r="P62" s="17">
        <f>BS!P18</f>
        <v>5173</v>
      </c>
      <c r="Q62" s="17">
        <f>BS!Q18</f>
        <v>5199</v>
      </c>
      <c r="R62" s="17">
        <f>BS!R18</f>
        <v>5060</v>
      </c>
      <c r="S62" s="17">
        <f>BS!S18</f>
        <v>5068</v>
      </c>
      <c r="T62" s="17">
        <f>BS!T18</f>
        <v>4994</v>
      </c>
      <c r="U62" s="17">
        <f>BS!U18</f>
        <v>4706</v>
      </c>
      <c r="V62" s="17">
        <f>BS!V18</f>
        <v>4937</v>
      </c>
      <c r="W62" s="17">
        <f>BS!W18</f>
        <v>5773</v>
      </c>
      <c r="X62" s="1579">
        <f>BS!X18</f>
        <v>5662</v>
      </c>
      <c r="Y62" s="1579">
        <f>BS!Y18</f>
        <v>5662</v>
      </c>
      <c r="Z62" s="1579">
        <f>BS!Z18</f>
        <v>5662</v>
      </c>
      <c r="AA62" s="1579">
        <f>BS!AA18</f>
        <v>5662</v>
      </c>
      <c r="AB62" s="1579">
        <f>BS!AB18</f>
        <v>5662</v>
      </c>
    </row>
    <row r="63" spans="1:28" ht="11.25" customHeight="1" x14ac:dyDescent="0.2">
      <c r="A63" s="4" t="s">
        <v>56</v>
      </c>
      <c r="B63" s="17">
        <f>B61-B62</f>
        <v>1061</v>
      </c>
      <c r="C63" s="17">
        <f t="shared" ref="C63:AB63" si="32">C61-C62</f>
        <v>6341</v>
      </c>
      <c r="D63" s="17">
        <f t="shared" si="32"/>
        <v>6228</v>
      </c>
      <c r="E63" s="17">
        <f t="shared" si="32"/>
        <v>5848</v>
      </c>
      <c r="F63" s="17">
        <f t="shared" si="32"/>
        <v>5384</v>
      </c>
      <c r="G63" s="17">
        <f t="shared" si="32"/>
        <v>5757</v>
      </c>
      <c r="H63" s="17">
        <f t="shared" si="32"/>
        <v>5274</v>
      </c>
      <c r="I63" s="17">
        <f t="shared" si="32"/>
        <v>5878</v>
      </c>
      <c r="J63" s="17">
        <f t="shared" si="32"/>
        <v>7439</v>
      </c>
      <c r="K63" s="17">
        <f t="shared" si="32"/>
        <v>8653</v>
      </c>
      <c r="L63" s="4">
        <f t="shared" si="32"/>
        <v>8410</v>
      </c>
      <c r="M63" s="4">
        <f t="shared" si="32"/>
        <v>6200</v>
      </c>
      <c r="N63" s="17">
        <f t="shared" si="32"/>
        <v>9228</v>
      </c>
      <c r="O63" s="17">
        <f t="shared" si="32"/>
        <v>12782</v>
      </c>
      <c r="P63" s="17">
        <f>P61-P62</f>
        <v>14445</v>
      </c>
      <c r="Q63" s="17">
        <f t="shared" si="32"/>
        <v>15835</v>
      </c>
      <c r="R63" s="17">
        <f>R61-R62</f>
        <v>14298</v>
      </c>
      <c r="S63" s="17">
        <f t="shared" si="32"/>
        <v>13428</v>
      </c>
      <c r="T63" s="17">
        <f t="shared" si="32"/>
        <v>8013</v>
      </c>
      <c r="U63" s="17">
        <f t="shared" si="32"/>
        <v>9519</v>
      </c>
      <c r="V63" s="17">
        <f t="shared" si="32"/>
        <v>5620</v>
      </c>
      <c r="W63" s="17">
        <f t="shared" si="32"/>
        <v>10606</v>
      </c>
      <c r="X63" s="1579">
        <f t="shared" si="32"/>
        <v>10106.742355232087</v>
      </c>
      <c r="Y63" s="1579">
        <f t="shared" si="32"/>
        <v>10022.578533897431</v>
      </c>
      <c r="Z63" s="1579">
        <f t="shared" si="32"/>
        <v>10177.040494195408</v>
      </c>
      <c r="AA63" s="1579">
        <f t="shared" si="32"/>
        <v>10358.854036738816</v>
      </c>
      <c r="AB63" s="1579">
        <f t="shared" si="32"/>
        <v>10784.962456151508</v>
      </c>
    </row>
    <row r="64" spans="1:28" ht="11.25" customHeight="1" x14ac:dyDescent="0.2">
      <c r="X64" s="11"/>
      <c r="Y64" s="11"/>
      <c r="Z64" s="11"/>
      <c r="AA64" s="11"/>
      <c r="AB64" s="11"/>
    </row>
    <row r="65" spans="1:28" ht="11.25" customHeight="1" x14ac:dyDescent="0.25">
      <c r="A65" s="4" t="s">
        <v>57</v>
      </c>
      <c r="B65" s="28"/>
      <c r="C65" s="28"/>
      <c r="D65" s="28"/>
      <c r="E65" s="24">
        <f t="shared" ref="E65:AB65" si="33">E16/AVERAGE(D61:E61)</f>
        <v>7.2657621104798065E-2</v>
      </c>
      <c r="F65" s="24">
        <f t="shared" si="33"/>
        <v>7.4694929338518637E-2</v>
      </c>
      <c r="G65" s="24">
        <f t="shared" si="33"/>
        <v>7.7010025036180985E-2</v>
      </c>
      <c r="H65" s="24">
        <f t="shared" si="33"/>
        <v>8.5778413616063462E-2</v>
      </c>
      <c r="I65" s="24">
        <f t="shared" si="33"/>
        <v>0.10004674644727</v>
      </c>
      <c r="J65" s="24">
        <f t="shared" si="33"/>
        <v>0.11809607372179262</v>
      </c>
      <c r="K65" s="24">
        <f t="shared" si="33"/>
        <v>0.10632526740000481</v>
      </c>
      <c r="L65" s="24">
        <f t="shared" si="33"/>
        <v>0.12517753614672686</v>
      </c>
      <c r="M65" s="24">
        <f t="shared" si="33"/>
        <v>0.16509201201979185</v>
      </c>
      <c r="N65" s="24">
        <f t="shared" si="33"/>
        <v>0.17910315650721984</v>
      </c>
      <c r="O65" s="24">
        <f t="shared" si="33"/>
        <v>0.14888797587177099</v>
      </c>
      <c r="P65" s="24">
        <f t="shared" si="33"/>
        <v>0.13484161844118533</v>
      </c>
      <c r="Q65" s="24">
        <f t="shared" si="33"/>
        <v>0.13713752164504897</v>
      </c>
      <c r="R65" s="24">
        <f t="shared" si="33"/>
        <v>6.0495111632301882E-2</v>
      </c>
      <c r="S65" s="24">
        <f t="shared" si="33"/>
        <v>6.2514434529568189E-2</v>
      </c>
      <c r="T65" s="24">
        <f t="shared" si="33"/>
        <v>0.10482071684885218</v>
      </c>
      <c r="U65" s="24">
        <f t="shared" si="33"/>
        <v>0.17301371060765225</v>
      </c>
      <c r="V65" s="24">
        <f t="shared" si="33"/>
        <v>0.25332099378129852</v>
      </c>
      <c r="W65" s="24">
        <f t="shared" si="33"/>
        <v>0.26106524840311129</v>
      </c>
      <c r="X65" s="97">
        <f t="shared" si="33"/>
        <v>0.28559370863827593</v>
      </c>
      <c r="Y65" s="97">
        <f t="shared" si="33"/>
        <v>0.36559473342434928</v>
      </c>
      <c r="Z65" s="97">
        <f t="shared" si="33"/>
        <v>0.39934937962310368</v>
      </c>
      <c r="AA65" s="97">
        <f t="shared" si="33"/>
        <v>0.4216859952401999</v>
      </c>
      <c r="AB65" s="97">
        <f t="shared" si="33"/>
        <v>0.43090395277874766</v>
      </c>
    </row>
    <row r="66" spans="1:28" ht="11.25" customHeight="1" x14ac:dyDescent="0.25">
      <c r="A66" s="4" t="s">
        <v>58</v>
      </c>
      <c r="B66" s="28"/>
      <c r="C66" s="28"/>
      <c r="D66" s="28"/>
      <c r="E66" s="24">
        <f t="shared" ref="E66:AB66" si="34">E16/AVERAGE(D63:E63)</f>
        <v>9.1610213559262618E-2</v>
      </c>
      <c r="F66" s="24">
        <f t="shared" si="34"/>
        <v>9.6753608168278812E-2</v>
      </c>
      <c r="G66" s="24">
        <f t="shared" si="34"/>
        <v>0.10384360525253988</v>
      </c>
      <c r="H66" s="24">
        <f t="shared" si="34"/>
        <v>0.12017998209013334</v>
      </c>
      <c r="I66" s="24">
        <f t="shared" si="34"/>
        <v>0.14870649830612873</v>
      </c>
      <c r="J66" s="24">
        <f t="shared" si="34"/>
        <v>0.17311357326147883</v>
      </c>
      <c r="K66" s="24">
        <f t="shared" si="34"/>
        <v>0.14912098930839601</v>
      </c>
      <c r="L66" s="24">
        <f t="shared" si="34"/>
        <v>0.17520306618157011</v>
      </c>
      <c r="M66" s="24">
        <f t="shared" si="34"/>
        <v>0.24430453797863791</v>
      </c>
      <c r="N66" s="24">
        <f t="shared" si="34"/>
        <v>0.24241846734403455</v>
      </c>
      <c r="O66" s="24">
        <f t="shared" si="34"/>
        <v>0.17388302679617781</v>
      </c>
      <c r="P66" s="24">
        <f t="shared" si="34"/>
        <v>0.16952890295883555</v>
      </c>
      <c r="Q66" s="24">
        <f t="shared" si="34"/>
        <v>0.18411210468674141</v>
      </c>
      <c r="R66" s="24">
        <f t="shared" si="34"/>
        <v>8.1091114361395725E-2</v>
      </c>
      <c r="S66" s="24">
        <f t="shared" si="34"/>
        <v>8.5350263459650674E-2</v>
      </c>
      <c r="T66" s="24">
        <f t="shared" si="34"/>
        <v>0.15401180182311414</v>
      </c>
      <c r="U66" s="24">
        <f t="shared" si="34"/>
        <v>0.2687377006198714</v>
      </c>
      <c r="V66" s="24">
        <f t="shared" si="34"/>
        <v>0.41467738079715566</v>
      </c>
      <c r="W66" s="24">
        <f t="shared" si="34"/>
        <v>0.43338182737496644</v>
      </c>
      <c r="X66" s="97">
        <f t="shared" si="34"/>
        <v>0.44326303133198214</v>
      </c>
      <c r="Y66" s="97">
        <f t="shared" si="34"/>
        <v>0.57126460098222909</v>
      </c>
      <c r="Z66" s="97">
        <f t="shared" si="34"/>
        <v>0.62322649178856981</v>
      </c>
      <c r="AA66" s="97">
        <f t="shared" si="34"/>
        <v>0.6542140793179082</v>
      </c>
      <c r="AB66" s="97">
        <f t="shared" si="34"/>
        <v>0.6616833091407982</v>
      </c>
    </row>
    <row r="67" spans="1:28" ht="11.25" customHeight="1" x14ac:dyDescent="0.25">
      <c r="A67" s="4" t="s">
        <v>59</v>
      </c>
      <c r="B67" s="28"/>
      <c r="C67" s="28"/>
      <c r="D67" s="28"/>
      <c r="E67" s="24">
        <f t="shared" ref="E67:AB67" si="35">E17/AVERAGE(D54:E54)</f>
        <v>9.3580730667281314E-2</v>
      </c>
      <c r="F67" s="24">
        <f t="shared" si="35"/>
        <v>7.3596828150167271E-2</v>
      </c>
      <c r="G67" s="24">
        <f t="shared" si="35"/>
        <v>9.7699727924808313E-2</v>
      </c>
      <c r="H67" s="24">
        <f t="shared" si="35"/>
        <v>0.11437577395024204</v>
      </c>
      <c r="I67" s="24">
        <f t="shared" si="35"/>
        <v>0.13560749631501368</v>
      </c>
      <c r="J67" s="24">
        <f t="shared" si="35"/>
        <v>0.18126272912423624</v>
      </c>
      <c r="K67" s="24">
        <f t="shared" si="35"/>
        <v>0.19135455930708156</v>
      </c>
      <c r="L67" s="24">
        <f t="shared" si="35"/>
        <v>0.19347337415704208</v>
      </c>
      <c r="M67" s="24">
        <f t="shared" si="35"/>
        <v>0.24922223156478601</v>
      </c>
      <c r="N67" s="24">
        <f t="shared" si="35"/>
        <v>0.29700362199539021</v>
      </c>
      <c r="O67" s="24">
        <f t="shared" si="35"/>
        <v>0.31148319676997982</v>
      </c>
      <c r="P67" s="24">
        <f t="shared" si="35"/>
        <v>0.17785957981684325</v>
      </c>
      <c r="Q67" s="24">
        <f t="shared" si="35"/>
        <v>0.21910712817561456</v>
      </c>
      <c r="R67" s="24">
        <f t="shared" si="35"/>
        <v>6.8284789644012939E-2</v>
      </c>
      <c r="S67" s="24">
        <f t="shared" si="35"/>
        <v>6.0341405319571259E-2</v>
      </c>
      <c r="T67" s="24">
        <f t="shared" si="35"/>
        <v>0.10132461723722691</v>
      </c>
      <c r="U67" s="24">
        <f t="shared" si="35"/>
        <v>0.18446425322903401</v>
      </c>
      <c r="V67" s="24">
        <f t="shared" si="35"/>
        <v>0.28207603548935778</v>
      </c>
      <c r="W67" s="24">
        <f t="shared" si="35"/>
        <v>0.25376773935638619</v>
      </c>
      <c r="X67" s="97">
        <f t="shared" si="35"/>
        <v>0.27323745675755728</v>
      </c>
      <c r="Y67" s="97">
        <f t="shared" si="35"/>
        <v>0.31807642684381493</v>
      </c>
      <c r="Z67" s="97">
        <f t="shared" si="35"/>
        <v>0.30637175773793418</v>
      </c>
      <c r="AA67" s="97">
        <f t="shared" si="35"/>
        <v>0.28269812837632269</v>
      </c>
      <c r="AB67" s="97">
        <f t="shared" si="35"/>
        <v>0.25320394181413114</v>
      </c>
    </row>
    <row r="68" spans="1:28" ht="11.25" customHeight="1" x14ac:dyDescent="0.2"/>
    <row r="69" spans="1:28" ht="11.25" customHeight="1" x14ac:dyDescent="0.2">
      <c r="A69" s="5" t="s">
        <v>60</v>
      </c>
      <c r="B69" s="2"/>
      <c r="C69" s="2"/>
      <c r="D69" s="2"/>
      <c r="E69" s="2"/>
      <c r="F69" s="2"/>
      <c r="G69" s="2"/>
      <c r="H69" s="2"/>
      <c r="I69" s="2"/>
      <c r="J69" s="2"/>
      <c r="K69" s="2"/>
      <c r="L69" s="2"/>
      <c r="M69" s="2"/>
      <c r="N69" s="2"/>
      <c r="O69" s="2"/>
      <c r="P69" s="2"/>
      <c r="Q69" s="2"/>
      <c r="R69" s="2"/>
      <c r="S69" s="2"/>
      <c r="T69" s="2"/>
      <c r="U69" s="2"/>
      <c r="V69" s="2"/>
      <c r="W69" s="2"/>
      <c r="X69" s="3"/>
      <c r="Y69" s="3"/>
      <c r="Z69" s="3"/>
      <c r="AA69" s="3"/>
      <c r="AB69" s="3"/>
    </row>
    <row r="70" spans="1:28" ht="11.25" customHeight="1" x14ac:dyDescent="0.2">
      <c r="A70" s="4" t="s">
        <v>61</v>
      </c>
      <c r="B70" s="17"/>
      <c r="C70" s="17">
        <f>-CF!C40-CF!C39</f>
        <v>601</v>
      </c>
      <c r="D70" s="17">
        <f>-CF!D40-CF!D39</f>
        <v>689</v>
      </c>
      <c r="E70" s="17">
        <f>-CF!E40-CF!E39</f>
        <v>639</v>
      </c>
      <c r="F70" s="17">
        <f>-CF!F40-CF!F39</f>
        <v>671</v>
      </c>
      <c r="G70" s="17">
        <f>-CF!G40-CF!G39</f>
        <v>585</v>
      </c>
      <c r="H70" s="17">
        <f>-CF!H40-CF!H39</f>
        <v>525</v>
      </c>
      <c r="I70" s="17">
        <f>-CF!I40-CF!I39</f>
        <v>715</v>
      </c>
      <c r="J70" s="17">
        <f>-CF!J40-CF!J39</f>
        <v>1053</v>
      </c>
      <c r="K70" s="17">
        <f>-CF!K40-CF!K39</f>
        <v>1421</v>
      </c>
      <c r="L70" s="4">
        <f>-CF!L40-CF!L39</f>
        <v>1617</v>
      </c>
      <c r="M70" s="4">
        <f>-CF!M40-CF!M39</f>
        <v>1779</v>
      </c>
      <c r="N70" s="17">
        <f>-CF!N40-CF!N39</f>
        <v>1392</v>
      </c>
      <c r="O70" s="17">
        <f>-CF!O40-CF!O39</f>
        <v>1288</v>
      </c>
      <c r="P70" s="17">
        <f>-CF!P40-CF!P39</f>
        <v>1290</v>
      </c>
      <c r="Q70" s="17">
        <f>-CF!Q40-CF!Q39</f>
        <v>1162</v>
      </c>
      <c r="R70" s="17">
        <f>-CF!R40-CF!R39</f>
        <v>793</v>
      </c>
      <c r="S70" s="17">
        <f>-CF!S40-CF!S39</f>
        <v>756</v>
      </c>
      <c r="T70" s="17">
        <f>-CF!T40-CF!T39</f>
        <v>879</v>
      </c>
      <c r="U70" s="17">
        <f>-CF!U40-CF!U39</f>
        <v>1325</v>
      </c>
      <c r="V70" s="17">
        <f>-CF!V40-CF!V39</f>
        <v>1544</v>
      </c>
      <c r="W70" s="17">
        <f>-CF!W40-CF!W39</f>
        <v>1800</v>
      </c>
      <c r="X70" s="1579">
        <f>-CF!X40-CF!X39</f>
        <v>2083.0029366846884</v>
      </c>
      <c r="Y70" s="1579">
        <f>-CF!Y40-CF!Y39</f>
        <v>2224.9255512678387</v>
      </c>
      <c r="Z70" s="1579">
        <f>-CF!Z40-CF!Z39</f>
        <v>2374.585732683483</v>
      </c>
      <c r="AA70" s="1579">
        <f>-CF!AA40-CF!AA39</f>
        <v>2539.8671438838101</v>
      </c>
      <c r="AB70" s="1579">
        <f>-CF!AB40-CF!AB39</f>
        <v>2613.5911639446736</v>
      </c>
    </row>
    <row r="71" spans="1:28" ht="11.25" customHeight="1" x14ac:dyDescent="0.2">
      <c r="A71" s="4" t="s">
        <v>62</v>
      </c>
      <c r="B71" s="24">
        <f t="shared" ref="B71:AB71" si="36">B70/B13</f>
        <v>0</v>
      </c>
      <c r="C71" s="24">
        <f t="shared" si="36"/>
        <v>5.68267776096823E-2</v>
      </c>
      <c r="D71" s="24">
        <f t="shared" si="36"/>
        <v>6.0817371347868306E-2</v>
      </c>
      <c r="E71" s="24">
        <f t="shared" si="36"/>
        <v>6.2512228526707098E-2</v>
      </c>
      <c r="F71" s="24">
        <f t="shared" si="36"/>
        <v>6.4962726304579346E-2</v>
      </c>
      <c r="G71" s="24">
        <f t="shared" si="36"/>
        <v>5.5991577335375194E-2</v>
      </c>
      <c r="H71" s="24">
        <f t="shared" si="36"/>
        <v>4.8791821561338287E-2</v>
      </c>
      <c r="I71" s="24">
        <f t="shared" si="36"/>
        <v>6.0923653715064759E-2</v>
      </c>
      <c r="J71" s="24">
        <f t="shared" si="36"/>
        <v>7.7654867256637172E-2</v>
      </c>
      <c r="K71" s="24">
        <f t="shared" si="36"/>
        <v>9.8934762932534989E-2</v>
      </c>
      <c r="L71" s="24">
        <f t="shared" si="36"/>
        <v>0.10530771735591013</v>
      </c>
      <c r="M71" s="24">
        <f t="shared" si="36"/>
        <v>0.10215918226714138</v>
      </c>
      <c r="N71" s="24">
        <f t="shared" si="36"/>
        <v>8.8207337938026736E-2</v>
      </c>
      <c r="O71" s="24">
        <f t="shared" si="36"/>
        <v>7.7961382482900549E-2</v>
      </c>
      <c r="P71" s="24">
        <f t="shared" si="36"/>
        <v>6.1282660332541566E-2</v>
      </c>
      <c r="Q71" s="24">
        <f t="shared" si="36"/>
        <v>4.7159090909090907E-2</v>
      </c>
      <c r="R71" s="24">
        <f t="shared" si="36"/>
        <v>4.8066432294823616E-2</v>
      </c>
      <c r="S71" s="24">
        <f t="shared" si="36"/>
        <v>4.9551025758668155E-2</v>
      </c>
      <c r="T71" s="24">
        <f t="shared" si="36"/>
        <v>4.6178092986603622E-2</v>
      </c>
      <c r="U71" s="24">
        <f t="shared" si="36"/>
        <v>5.7114530798741327E-2</v>
      </c>
      <c r="V71" s="24">
        <f t="shared" si="36"/>
        <v>5.6521579968517775E-2</v>
      </c>
      <c r="W71" s="24">
        <f t="shared" si="36"/>
        <v>5.7454754380925024E-2</v>
      </c>
      <c r="X71" s="97">
        <f t="shared" si="36"/>
        <v>5.6272881883717631E-2</v>
      </c>
      <c r="Y71" s="97">
        <f t="shared" si="36"/>
        <v>5.4907642128141226E-2</v>
      </c>
      <c r="Z71" s="97">
        <f t="shared" si="36"/>
        <v>5.3531648260917115E-2</v>
      </c>
      <c r="AA71" s="97">
        <f t="shared" si="36"/>
        <v>5.3496426148228256E-2</v>
      </c>
      <c r="AB71" s="97">
        <f t="shared" si="36"/>
        <v>5.3496329473269419E-2</v>
      </c>
    </row>
    <row r="72" spans="1:28" ht="11.25" customHeight="1" x14ac:dyDescent="0.2">
      <c r="A72" s="4" t="s">
        <v>63</v>
      </c>
      <c r="B72" s="26"/>
      <c r="C72" s="26">
        <f>C70/(-BS!C71-BS!C91)</f>
        <v>1.3445190156599554</v>
      </c>
      <c r="D72" s="26">
        <f>D70/(-BS!D71-BS!D91)</f>
        <v>1.1818181818181819</v>
      </c>
      <c r="E72" s="26">
        <f>E70/(-BS!E71-BS!E91)</f>
        <v>1.23121387283237</v>
      </c>
      <c r="F72" s="26">
        <f>F70/(-BS!F71-BS!F91)</f>
        <v>1.2402957486136783</v>
      </c>
      <c r="G72" s="26">
        <f>G70/(-BS!G71-BS!G91)</f>
        <v>1.0121107266435987</v>
      </c>
      <c r="H72" s="26">
        <f>H70/(-BS!H71-BS!H91)</f>
        <v>0.85784313725490191</v>
      </c>
      <c r="I72" s="26">
        <f>I70/(-BS!I71-BS!I91)</f>
        <v>1.0800604229607251</v>
      </c>
      <c r="J72" s="26">
        <f>J70/(-BS!J71-BS!J91)</f>
        <v>1.4604715672676838</v>
      </c>
      <c r="K72" s="26">
        <f>K70/(-BS!K71-BS!K91)</f>
        <v>1.8648293963254594</v>
      </c>
      <c r="L72" s="26">
        <f>L70/(-BS!L71-BS!L91)</f>
        <v>1.9767726161369192</v>
      </c>
      <c r="M72" s="26">
        <f>M70/(-BS!M71-BS!M91)</f>
        <v>1.9295010845986984</v>
      </c>
      <c r="N72" s="26">
        <f>N70/(-BS!N71-BS!N91)</f>
        <v>1.9173553719008265</v>
      </c>
      <c r="O72" s="26">
        <f>O70/(-BS!O71-BS!O91)</f>
        <v>1.6059850374064837</v>
      </c>
      <c r="P72" s="26">
        <f>P70/(-BS!P71-BS!P91)</f>
        <v>1.0669975186104219</v>
      </c>
      <c r="Q72" s="26">
        <f>Q70/(-BS!Q71-BS!Q91)</f>
        <v>0.86010362694300513</v>
      </c>
      <c r="R72" s="26">
        <f>R70/(-BS!R71-BS!R91)</f>
        <v>0.59356287425149701</v>
      </c>
      <c r="S72" s="26">
        <f>S70/(-BS!S71-BS!S91)</f>
        <v>0.59108678655199376</v>
      </c>
      <c r="T72" s="26">
        <f>T70/(-BS!T71-BS!T91)</f>
        <v>0.69212598425196847</v>
      </c>
      <c r="U72" s="26">
        <f>U70/(-BS!U71-BS!U91)</f>
        <v>1.0763606823720553</v>
      </c>
      <c r="V72" s="26">
        <f>V70/(-BS!V71-BS!V91)</f>
        <v>1.2024922118380061</v>
      </c>
      <c r="W72" s="26">
        <f>W70/(-BS!W71-BS!W91)</f>
        <v>1.3382899628252789</v>
      </c>
      <c r="X72" s="1581">
        <f>X70/(-BS!X71-BS!X91)</f>
        <v>1.1528028348216932</v>
      </c>
      <c r="Y72" s="1581">
        <f>Y70/(-BS!Y71-BS!Y91)</f>
        <v>1.1462644904009764</v>
      </c>
      <c r="Z72" s="1581">
        <f>Z70/(-BS!Z71-BS!Z91)</f>
        <v>1.1374632355661887</v>
      </c>
      <c r="AA72" s="1581">
        <f>AA70/(-BS!AA71-BS!AA91)</f>
        <v>1.1515595451251583</v>
      </c>
      <c r="AB72" s="1581">
        <f>AB70/(-BS!AB71-BS!AB91)</f>
        <v>1.1582377964956083</v>
      </c>
    </row>
    <row r="73" spans="1:28" ht="11.25" customHeight="1" x14ac:dyDescent="0.2"/>
    <row r="74" spans="1:28" ht="11.25" customHeight="1" x14ac:dyDescent="0.2">
      <c r="A74" s="5" t="s">
        <v>64</v>
      </c>
      <c r="B74" s="2"/>
      <c r="C74" s="2"/>
      <c r="D74" s="2"/>
      <c r="E74" s="2"/>
      <c r="F74" s="2"/>
      <c r="G74" s="2"/>
      <c r="H74" s="2"/>
      <c r="I74" s="2"/>
      <c r="J74" s="2"/>
      <c r="K74" s="2"/>
      <c r="L74" s="2"/>
      <c r="M74" s="2"/>
      <c r="N74" s="2"/>
      <c r="O74" s="2"/>
      <c r="P74" s="2"/>
      <c r="Q74" s="2"/>
      <c r="R74" s="2"/>
      <c r="S74" s="2"/>
      <c r="T74" s="2"/>
      <c r="U74" s="2"/>
      <c r="V74" s="2"/>
      <c r="W74" s="2"/>
      <c r="X74" s="3"/>
      <c r="Y74" s="3"/>
      <c r="Z74" s="3"/>
      <c r="AA74" s="3"/>
      <c r="AB74" s="3"/>
    </row>
    <row r="75" spans="1:28" s="14" customFormat="1" ht="11.25" customHeight="1" x14ac:dyDescent="0.25">
      <c r="A75" s="1443" t="s">
        <v>65</v>
      </c>
      <c r="B75" s="32">
        <f t="shared" ref="B75:AB75" si="37">+B21/B15</f>
        <v>7.5032341526520052E-2</v>
      </c>
      <c r="C75" s="32">
        <f t="shared" si="37"/>
        <v>0.51091703056768556</v>
      </c>
      <c r="D75" s="32">
        <f t="shared" si="37"/>
        <v>0.35483870967741937</v>
      </c>
      <c r="E75" s="32">
        <f t="shared" si="37"/>
        <v>0.47522236340533675</v>
      </c>
      <c r="F75" s="32">
        <f t="shared" si="37"/>
        <v>7.3573573573573567E-2</v>
      </c>
      <c r="G75" s="32">
        <f t="shared" si="37"/>
        <v>1.1220850480109739</v>
      </c>
      <c r="H75" s="32">
        <f t="shared" si="37"/>
        <v>1.0637813211845102</v>
      </c>
      <c r="I75" s="32">
        <f t="shared" si="37"/>
        <v>0.44743481917577799</v>
      </c>
      <c r="J75" s="32">
        <f t="shared" si="37"/>
        <v>0.39058171745152354</v>
      </c>
      <c r="K75" s="32">
        <f t="shared" si="37"/>
        <v>0.39269662921348314</v>
      </c>
      <c r="L75" s="32">
        <f t="shared" si="37"/>
        <v>0.35423647678314985</v>
      </c>
      <c r="M75" s="32">
        <f t="shared" si="37"/>
        <v>0.40049342105263158</v>
      </c>
      <c r="N75" s="32">
        <f t="shared" si="37"/>
        <v>0.45382695507487519</v>
      </c>
      <c r="O75" s="32">
        <f t="shared" si="37"/>
        <v>0.58218623481781373</v>
      </c>
      <c r="P75" s="32">
        <f t="shared" si="37"/>
        <v>0.5891498511412504</v>
      </c>
      <c r="Q75" s="32">
        <f t="shared" si="37"/>
        <v>0.51910994764397911</v>
      </c>
      <c r="R75" s="32">
        <f t="shared" si="37"/>
        <v>0.63641755634638197</v>
      </c>
      <c r="S75" s="32">
        <f t="shared" si="37"/>
        <v>0.93074792243767313</v>
      </c>
      <c r="T75" s="32">
        <f t="shared" si="37"/>
        <v>1.1071428571428572</v>
      </c>
      <c r="U75" s="32">
        <f t="shared" si="37"/>
        <v>0.93019583070120027</v>
      </c>
      <c r="V75" s="32">
        <f t="shared" si="37"/>
        <v>0.77421704297159499</v>
      </c>
      <c r="W75" s="32">
        <f t="shared" si="37"/>
        <v>0.75447373484702718</v>
      </c>
      <c r="X75" s="217">
        <f t="shared" si="37"/>
        <v>0.75532873599628592</v>
      </c>
      <c r="Y75" s="217">
        <f t="shared" si="37"/>
        <v>0.7372211385121753</v>
      </c>
      <c r="Z75" s="217">
        <f t="shared" si="37"/>
        <v>0.7169416663363144</v>
      </c>
      <c r="AA75" s="217">
        <f t="shared" si="37"/>
        <v>0.72206810318206627</v>
      </c>
      <c r="AB75" s="217">
        <f t="shared" si="37"/>
        <v>0.70634471550232947</v>
      </c>
    </row>
    <row r="76" spans="1:28" ht="11.25" customHeight="1" x14ac:dyDescent="0.2">
      <c r="A76" s="4" t="s">
        <v>66</v>
      </c>
      <c r="B76" s="34"/>
      <c r="C76" s="34"/>
      <c r="D76" s="34"/>
      <c r="E76" s="32">
        <f t="shared" ref="E76:AB76" si="38">+E21/E17</f>
        <v>0.9211822660098522</v>
      </c>
      <c r="F76" s="32">
        <f t="shared" si="38"/>
        <v>0.16498316498316498</v>
      </c>
      <c r="G76" s="32">
        <f t="shared" si="38"/>
        <v>2.070886075949367</v>
      </c>
      <c r="H76" s="32">
        <f t="shared" si="38"/>
        <v>1.8385826771653544</v>
      </c>
      <c r="I76" s="32">
        <f t="shared" si="38"/>
        <v>0.82608695652173914</v>
      </c>
      <c r="J76" s="32">
        <f t="shared" si="38"/>
        <v>0.57609805924412671</v>
      </c>
      <c r="K76" s="32">
        <f t="shared" si="38"/>
        <v>0.58591785414920372</v>
      </c>
      <c r="L76" s="32">
        <f t="shared" si="38"/>
        <v>0.59294871794871795</v>
      </c>
      <c r="M76" s="32">
        <f t="shared" si="38"/>
        <v>0.65721997300944668</v>
      </c>
      <c r="N76" s="32">
        <f t="shared" si="38"/>
        <v>0.60476718403547669</v>
      </c>
      <c r="O76" s="32">
        <f t="shared" si="38"/>
        <v>0.54822722073961117</v>
      </c>
      <c r="P76" s="32">
        <f t="shared" si="38"/>
        <v>0.89904088844018171</v>
      </c>
      <c r="Q76" s="32">
        <f t="shared" si="38"/>
        <v>0.74409005628517821</v>
      </c>
      <c r="R76" s="32">
        <f t="shared" si="38"/>
        <v>1.2713270142180095</v>
      </c>
      <c r="S76" s="32">
        <f t="shared" si="38"/>
        <v>2.2105263157894739</v>
      </c>
      <c r="T76" s="32">
        <f t="shared" si="38"/>
        <v>2.263157894736842</v>
      </c>
      <c r="U76" s="32">
        <f t="shared" si="38"/>
        <v>1.4521696252465484</v>
      </c>
      <c r="V76" s="32">
        <f t="shared" si="38"/>
        <v>1.0394393741851369</v>
      </c>
      <c r="W76" s="32">
        <f t="shared" si="38"/>
        <v>1.2353497164461247</v>
      </c>
      <c r="X76" s="217">
        <f t="shared" si="38"/>
        <v>1.1816472525824715</v>
      </c>
      <c r="Y76" s="217">
        <f t="shared" si="38"/>
        <v>0.98392121153348788</v>
      </c>
      <c r="Z76" s="217">
        <f t="shared" si="38"/>
        <v>0.94878324882815912</v>
      </c>
      <c r="AA76" s="217">
        <f t="shared" si="38"/>
        <v>0.94926170888678718</v>
      </c>
      <c r="AB76" s="217">
        <f t="shared" si="38"/>
        <v>0.91868012821967993</v>
      </c>
    </row>
    <row r="77" spans="1:28" ht="11.25" customHeight="1" x14ac:dyDescent="0.2"/>
    <row r="78" spans="1:28" ht="11.25" customHeight="1" x14ac:dyDescent="0.2">
      <c r="A78" s="5" t="s">
        <v>67</v>
      </c>
      <c r="B78" s="2"/>
      <c r="C78" s="2"/>
      <c r="D78" s="2"/>
      <c r="E78" s="2"/>
      <c r="F78" s="2"/>
      <c r="G78" s="2"/>
      <c r="H78" s="2"/>
      <c r="I78" s="2"/>
      <c r="J78" s="2"/>
      <c r="K78" s="2"/>
      <c r="L78" s="2"/>
      <c r="M78" s="2"/>
      <c r="N78" s="2"/>
      <c r="O78" s="2"/>
      <c r="P78" s="2"/>
      <c r="Q78" s="2"/>
      <c r="R78" s="2"/>
      <c r="S78" s="2"/>
      <c r="T78" s="2"/>
      <c r="U78" s="2"/>
      <c r="V78" s="2"/>
      <c r="W78" s="2"/>
      <c r="X78" s="3"/>
      <c r="Y78" s="3"/>
      <c r="Z78" s="3"/>
      <c r="AA78" s="3"/>
      <c r="AB78" s="3"/>
    </row>
    <row r="79" spans="1:28" ht="11.25" customHeight="1" x14ac:dyDescent="0.2">
      <c r="A79" s="4" t="s">
        <v>68</v>
      </c>
      <c r="B79" s="17">
        <f>Divisional!B4</f>
        <v>4315</v>
      </c>
      <c r="C79" s="17">
        <f>Divisional!C4</f>
        <v>4493</v>
      </c>
      <c r="D79" s="17">
        <f>Divisional!D4</f>
        <v>5073</v>
      </c>
      <c r="E79" s="17">
        <f>Divisional!E4</f>
        <v>5917</v>
      </c>
      <c r="F79" s="17">
        <f>Divisional!F4</f>
        <v>5814</v>
      </c>
      <c r="G79" s="17">
        <f>Divisional!G4</f>
        <v>5673</v>
      </c>
      <c r="H79" s="17">
        <f>Divisional!H4</f>
        <v>5604</v>
      </c>
      <c r="I79" s="17">
        <f>Divisional!I4</f>
        <v>6110</v>
      </c>
      <c r="J79" s="17">
        <f>Divisional!J4</f>
        <v>7005</v>
      </c>
      <c r="K79" s="17">
        <f>Divisional!K4</f>
        <v>7589</v>
      </c>
      <c r="L79" s="4">
        <f>Divisional!L4</f>
        <v>8153</v>
      </c>
      <c r="M79" s="4">
        <f>Divisional!M4</f>
        <v>9319</v>
      </c>
      <c r="N79" s="17">
        <f>Divisional!N4</f>
        <v>9391</v>
      </c>
      <c r="O79" s="17">
        <f>Divisional!O4</f>
        <v>9741</v>
      </c>
      <c r="P79" s="17">
        <f>Divisional!Q4</f>
        <v>10452</v>
      </c>
      <c r="Q79" s="17">
        <f>Divisional!S4</f>
        <v>12045</v>
      </c>
      <c r="R79" s="17">
        <f>Divisional!T4</f>
        <v>7663</v>
      </c>
      <c r="S79" s="17">
        <f>Divisional!U4</f>
        <v>7439</v>
      </c>
      <c r="T79" s="17">
        <f>Divisional!V4</f>
        <v>9506</v>
      </c>
      <c r="U79" s="17">
        <f>Divisional!W4</f>
        <v>11876</v>
      </c>
      <c r="V79" s="17">
        <f>Divisional!X4</f>
        <v>13652</v>
      </c>
      <c r="W79" s="17">
        <f>Divisional!Y4</f>
        <v>15668</v>
      </c>
      <c r="X79" s="1579">
        <f>Divisional!Z4</f>
        <v>19156.513541752993</v>
      </c>
      <c r="Y79" s="1579">
        <f>Divisional!AA4</f>
        <v>21149.906683352601</v>
      </c>
      <c r="Z79" s="1579">
        <f>Divisional!AB4</f>
        <v>23304.313764561895</v>
      </c>
      <c r="AA79" s="1579">
        <f>Divisional!AC4</f>
        <v>24769.756623491921</v>
      </c>
      <c r="AB79" s="1579">
        <f>Divisional!AD4</f>
        <v>25124.507202974182</v>
      </c>
    </row>
    <row r="80" spans="1:28" ht="11.25" customHeight="1" x14ac:dyDescent="0.2">
      <c r="A80" s="4" t="s">
        <v>69</v>
      </c>
      <c r="B80" s="17">
        <f>Divisional!B5</f>
        <v>0</v>
      </c>
      <c r="C80" s="17">
        <f>Divisional!C5</f>
        <v>0</v>
      </c>
      <c r="D80" s="17">
        <f>Divisional!D5</f>
        <v>0</v>
      </c>
      <c r="E80" s="17">
        <f>Divisional!E5</f>
        <v>0</v>
      </c>
      <c r="F80" s="17">
        <f>Divisional!F5</f>
        <v>0</v>
      </c>
      <c r="G80" s="17">
        <f>Divisional!G5</f>
        <v>0</v>
      </c>
      <c r="H80" s="17">
        <f>Divisional!H5</f>
        <v>0</v>
      </c>
      <c r="I80" s="17">
        <f>Divisional!I5</f>
        <v>0</v>
      </c>
      <c r="J80" s="17">
        <f>Divisional!J5</f>
        <v>0</v>
      </c>
      <c r="K80" s="17">
        <f>Divisional!K5</f>
        <v>0</v>
      </c>
      <c r="L80" s="4">
        <f>Divisional!L5</f>
        <v>0</v>
      </c>
      <c r="M80" s="4">
        <f>Divisional!M5</f>
        <v>0</v>
      </c>
      <c r="N80" s="17">
        <f>Divisional!N5</f>
        <v>0</v>
      </c>
      <c r="O80" s="17">
        <f>Divisional!O5</f>
        <v>0</v>
      </c>
      <c r="P80" s="17">
        <f>Divisional!Q5</f>
        <v>0</v>
      </c>
      <c r="Q80" s="17">
        <f>Divisional!S5</f>
        <v>9256</v>
      </c>
      <c r="R80" s="17">
        <f>Divisional!T5</f>
        <v>6893</v>
      </c>
      <c r="S80" s="17">
        <f>Divisional!U5</f>
        <v>6325</v>
      </c>
      <c r="T80" s="17">
        <f>Divisional!V5</f>
        <v>7535</v>
      </c>
      <c r="U80" s="17">
        <f>Divisional!W5</f>
        <v>8835</v>
      </c>
      <c r="V80" s="17">
        <f>Divisional!X5</f>
        <v>10618</v>
      </c>
      <c r="W80" s="17">
        <f>Divisional!Y5</f>
        <v>12302</v>
      </c>
      <c r="X80" s="1579">
        <f>Divisional!Z5</f>
        <v>14668.238329118685</v>
      </c>
      <c r="Y80" s="1579">
        <f>Divisional!AA5</f>
        <v>15885.32476648615</v>
      </c>
      <c r="Z80" s="1579">
        <f>Divisional!AB5</f>
        <v>17265.241942989029</v>
      </c>
      <c r="AA80" s="1579">
        <f>Divisional!AC5</f>
        <v>18620.776425563483</v>
      </c>
      <c r="AB80" s="1579">
        <f>Divisional!AD5</f>
        <v>19459.423595296415</v>
      </c>
    </row>
    <row r="81" spans="1:28" ht="11.25" customHeight="1" x14ac:dyDescent="0.2">
      <c r="A81" s="4" t="s">
        <v>70</v>
      </c>
      <c r="B81" s="17">
        <f>Divisional!B6</f>
        <v>0</v>
      </c>
      <c r="C81" s="17">
        <f>Divisional!C6</f>
        <v>0</v>
      </c>
      <c r="D81" s="17">
        <f>Divisional!D6</f>
        <v>0</v>
      </c>
      <c r="E81" s="17">
        <f>Divisional!E6</f>
        <v>0</v>
      </c>
      <c r="F81" s="17">
        <f>Divisional!F6</f>
        <v>0</v>
      </c>
      <c r="G81" s="17">
        <f>Divisional!G6</f>
        <v>0</v>
      </c>
      <c r="H81" s="17">
        <f>Divisional!H6</f>
        <v>0</v>
      </c>
      <c r="I81" s="17">
        <f>Divisional!I6</f>
        <v>0</v>
      </c>
      <c r="J81" s="17">
        <f>Divisional!J6</f>
        <v>0</v>
      </c>
      <c r="K81" s="17">
        <f>Divisional!K6</f>
        <v>0</v>
      </c>
      <c r="L81" s="4">
        <f>Divisional!L6</f>
        <v>0</v>
      </c>
      <c r="M81" s="4">
        <f>Divisional!M6</f>
        <v>0</v>
      </c>
      <c r="N81" s="17">
        <f>Divisional!N6</f>
        <v>0</v>
      </c>
      <c r="O81" s="17">
        <f>Divisional!O6</f>
        <v>0</v>
      </c>
      <c r="P81" s="17">
        <f>Divisional!Q6</f>
        <v>0</v>
      </c>
      <c r="Q81" s="17">
        <f>Divisional!S6</f>
        <v>3321</v>
      </c>
      <c r="R81" s="17">
        <f>Divisional!T6</f>
        <v>1922</v>
      </c>
      <c r="S81" s="17">
        <f>Divisional!U6</f>
        <v>1475</v>
      </c>
      <c r="T81" s="17">
        <f>Divisional!V6</f>
        <v>1978</v>
      </c>
      <c r="U81" s="17">
        <f>Divisional!W6</f>
        <v>2477</v>
      </c>
      <c r="V81" s="17">
        <f>Divisional!X6</f>
        <v>3037</v>
      </c>
      <c r="W81" s="17">
        <f>Divisional!Y6</f>
        <v>3349</v>
      </c>
      <c r="X81" s="1579">
        <f>Divisional!Z6</f>
        <v>3181.3537017735707</v>
      </c>
      <c r="Y81" s="1579">
        <f>Divisional!AA6</f>
        <v>3476.005030784434</v>
      </c>
      <c r="Z81" s="1579">
        <f>Divisional!AB6</f>
        <v>3778.9837700601665</v>
      </c>
      <c r="AA81" s="1579">
        <f>Divisional!AC6</f>
        <v>4076.7907042422316</v>
      </c>
      <c r="AB81" s="1579">
        <f>Divisional!AD6</f>
        <v>4261.5923689891351</v>
      </c>
    </row>
    <row r="82" spans="1:28" ht="11.25" customHeight="1" x14ac:dyDescent="0.2">
      <c r="A82" s="4" t="s">
        <v>71</v>
      </c>
      <c r="B82" s="17">
        <f>Divisional!B12</f>
        <v>0</v>
      </c>
      <c r="C82" s="17">
        <f>Divisional!C12</f>
        <v>0</v>
      </c>
      <c r="D82" s="17">
        <f>Divisional!D12</f>
        <v>0</v>
      </c>
      <c r="E82" s="17">
        <f>Divisional!E12</f>
        <v>6</v>
      </c>
      <c r="F82" s="17">
        <f>Divisional!F12</f>
        <v>24</v>
      </c>
      <c r="G82" s="17">
        <f>Divisional!G12</f>
        <v>43</v>
      </c>
      <c r="H82" s="17">
        <f>Divisional!H12</f>
        <v>41</v>
      </c>
      <c r="I82" s="17">
        <f>Divisional!I12</f>
        <v>16</v>
      </c>
      <c r="J82" s="17">
        <f>Divisional!J12</f>
        <v>3</v>
      </c>
      <c r="K82" s="17">
        <f>Divisional!K12</f>
        <v>4</v>
      </c>
      <c r="L82" s="4">
        <f>Divisional!L12</f>
        <v>5</v>
      </c>
      <c r="M82" s="4">
        <f>Divisional!M12</f>
        <v>8</v>
      </c>
      <c r="N82" s="17">
        <f>Divisional!N12</f>
        <v>7</v>
      </c>
      <c r="O82" s="17">
        <f>Divisional!O12</f>
        <v>20</v>
      </c>
      <c r="P82" s="17">
        <f>Divisional!Q12</f>
        <v>18</v>
      </c>
      <c r="Q82" s="17">
        <f>Divisional!S12</f>
        <v>18</v>
      </c>
      <c r="R82" s="17">
        <f>Divisional!T12</f>
        <v>20</v>
      </c>
      <c r="S82" s="17">
        <f>Divisional!U12</f>
        <v>18</v>
      </c>
      <c r="T82" s="17">
        <f>Divisional!V12</f>
        <v>16</v>
      </c>
      <c r="U82" s="17">
        <f>Divisional!W12</f>
        <v>11</v>
      </c>
      <c r="V82" s="17">
        <f>Divisional!X12</f>
        <v>10</v>
      </c>
      <c r="W82" s="17">
        <f>Divisional!Y12</f>
        <v>10</v>
      </c>
      <c r="X82" s="1579">
        <f>Divisional!Z12</f>
        <v>10</v>
      </c>
      <c r="Y82" s="1579">
        <f>Divisional!AA12</f>
        <v>10</v>
      </c>
      <c r="Z82" s="1579">
        <f>Divisional!AB12</f>
        <v>10</v>
      </c>
      <c r="AA82" s="1579">
        <f>Divisional!AC12</f>
        <v>10</v>
      </c>
      <c r="AB82" s="1579">
        <f>Divisional!AD12</f>
        <v>10</v>
      </c>
    </row>
    <row r="83" spans="1:28" ht="11.25" customHeight="1" x14ac:dyDescent="0.2"/>
    <row r="84" spans="1:28" ht="11.25" customHeight="1" x14ac:dyDescent="0.2">
      <c r="A84" s="5" t="s">
        <v>72</v>
      </c>
      <c r="B84" s="2"/>
      <c r="C84" s="2"/>
      <c r="D84" s="2"/>
      <c r="E84" s="2"/>
      <c r="F84" s="2"/>
      <c r="G84" s="2"/>
      <c r="H84" s="2"/>
      <c r="I84" s="2"/>
      <c r="J84" s="2"/>
      <c r="K84" s="2"/>
      <c r="L84" s="2"/>
      <c r="M84" s="2"/>
      <c r="N84" s="2"/>
      <c r="O84" s="2"/>
      <c r="P84" s="2"/>
      <c r="Q84" s="2"/>
      <c r="R84" s="2"/>
      <c r="S84" s="2"/>
      <c r="T84" s="2"/>
      <c r="U84" s="2"/>
      <c r="V84" s="2"/>
      <c r="W84" s="2"/>
      <c r="X84" s="3"/>
      <c r="Y84" s="3"/>
      <c r="Z84" s="3"/>
      <c r="AA84" s="3"/>
      <c r="AB84" s="3"/>
    </row>
    <row r="85" spans="1:28" ht="11.25" customHeight="1" x14ac:dyDescent="0.2">
      <c r="A85" s="4" t="s">
        <v>68</v>
      </c>
      <c r="B85" s="17">
        <f>Divisional!B38</f>
        <v>392</v>
      </c>
      <c r="C85" s="17">
        <f>Divisional!C38</f>
        <v>456</v>
      </c>
      <c r="D85" s="17">
        <f>Divisional!D38</f>
        <v>577</v>
      </c>
      <c r="E85" s="17">
        <f>Divisional!E38</f>
        <v>636</v>
      </c>
      <c r="F85" s="17">
        <f>Divisional!F38</f>
        <v>594</v>
      </c>
      <c r="G85" s="17">
        <f>Divisional!G38</f>
        <v>628</v>
      </c>
      <c r="H85" s="17">
        <f>Divisional!H38</f>
        <v>663</v>
      </c>
      <c r="I85" s="17">
        <f>Divisional!I38</f>
        <v>909</v>
      </c>
      <c r="J85" s="17">
        <f>Divisional!J38</f>
        <v>1076</v>
      </c>
      <c r="K85" s="17">
        <f>Divisional!K38</f>
        <v>1358</v>
      </c>
      <c r="L85" s="4">
        <f>Divisional!L38</f>
        <v>1633</v>
      </c>
      <c r="M85" s="4">
        <f>Divisional!M38</f>
        <v>1833</v>
      </c>
      <c r="N85" s="17">
        <f>Divisional!N38</f>
        <v>1786</v>
      </c>
      <c r="O85" s="17">
        <f>Divisional!O38</f>
        <v>1729</v>
      </c>
      <c r="P85" s="17">
        <f>Divisional!Q38</f>
        <v>1929</v>
      </c>
      <c r="Q85" s="17">
        <f>Divisional!S38</f>
        <v>2485</v>
      </c>
      <c r="R85" s="17">
        <f>Divisional!T38</f>
        <v>1192</v>
      </c>
      <c r="S85" s="17">
        <f>Divisional!U38</f>
        <v>1342</v>
      </c>
      <c r="T85" s="17">
        <f>Divisional!V38</f>
        <v>1710</v>
      </c>
      <c r="U85" s="17">
        <f>Divisional!W38</f>
        <v>2390</v>
      </c>
      <c r="V85" s="17">
        <f>Divisional!X38</f>
        <v>2819</v>
      </c>
      <c r="W85" s="17">
        <f>Divisional!Y38</f>
        <v>3600</v>
      </c>
      <c r="X85" s="1579">
        <f>Divisional!Z38</f>
        <v>4661.597319582148</v>
      </c>
      <c r="Y85" s="1579">
        <f>Divisional!AA38</f>
        <v>5204.1799175269916</v>
      </c>
      <c r="Z85" s="1579">
        <f>Divisional!AB38</f>
        <v>5588.3099795433955</v>
      </c>
      <c r="AA85" s="1579">
        <f>Divisional!AC38</f>
        <v>5887.3211688426318</v>
      </c>
      <c r="AB85" s="1579">
        <f>Divisional!AD38</f>
        <v>6117.1660477740452</v>
      </c>
    </row>
    <row r="86" spans="1:28" ht="11.25" customHeight="1" x14ac:dyDescent="0.2">
      <c r="A86" s="4" t="s">
        <v>69</v>
      </c>
      <c r="B86" s="17">
        <f>Divisional!B39</f>
        <v>0</v>
      </c>
      <c r="C86" s="17">
        <f>Divisional!C39</f>
        <v>0</v>
      </c>
      <c r="D86" s="17">
        <f>Divisional!D39</f>
        <v>0</v>
      </c>
      <c r="E86" s="17">
        <f>Divisional!E39</f>
        <v>0</v>
      </c>
      <c r="F86" s="17">
        <f>Divisional!F39</f>
        <v>0</v>
      </c>
      <c r="G86" s="17">
        <f>Divisional!G39</f>
        <v>0</v>
      </c>
      <c r="H86" s="17">
        <f>Divisional!H39</f>
        <v>0</v>
      </c>
      <c r="I86" s="17">
        <f>Divisional!I39</f>
        <v>0</v>
      </c>
      <c r="J86" s="17">
        <f>Divisional!J39</f>
        <v>0</v>
      </c>
      <c r="K86" s="17">
        <f>Divisional!K39</f>
        <v>0</v>
      </c>
      <c r="L86" s="4">
        <f>Divisional!L39</f>
        <v>0</v>
      </c>
      <c r="M86" s="4">
        <f>Divisional!M39</f>
        <v>0</v>
      </c>
      <c r="N86" s="17">
        <f>Divisional!N39</f>
        <v>0</v>
      </c>
      <c r="O86" s="17">
        <f>Divisional!O39</f>
        <v>0</v>
      </c>
      <c r="P86" s="17">
        <f>Divisional!Q39</f>
        <v>0</v>
      </c>
      <c r="Q86" s="17">
        <f>Divisional!S39</f>
        <v>1209</v>
      </c>
      <c r="R86" s="17">
        <f>Divisional!T39</f>
        <v>687</v>
      </c>
      <c r="S86" s="17">
        <f>Divisional!U39</f>
        <v>650</v>
      </c>
      <c r="T86" s="17">
        <f>Divisional!V39</f>
        <v>874</v>
      </c>
      <c r="U86" s="17">
        <f>Divisional!W39</f>
        <v>992</v>
      </c>
      <c r="V86" s="17">
        <f>Divisional!X39</f>
        <v>1298</v>
      </c>
      <c r="W86" s="17">
        <f>Divisional!Y39</f>
        <v>1565</v>
      </c>
      <c r="X86" s="1579">
        <f>Divisional!Z39</f>
        <v>1980.2121744310227</v>
      </c>
      <c r="Y86" s="1579">
        <f>Divisional!AA39</f>
        <v>2303.3720911404916</v>
      </c>
      <c r="Z86" s="1579">
        <f>Divisional!AB39</f>
        <v>2589.7862914483544</v>
      </c>
      <c r="AA86" s="1579">
        <f>Divisional!AC39</f>
        <v>2793.1164638345222</v>
      </c>
      <c r="AB86" s="1579">
        <f>Divisional!AD39</f>
        <v>2918.9135392944622</v>
      </c>
    </row>
    <row r="87" spans="1:28" ht="11.25" customHeight="1" x14ac:dyDescent="0.2">
      <c r="A87" s="4" t="s">
        <v>70</v>
      </c>
      <c r="B87" s="17">
        <f>Divisional!B40</f>
        <v>0</v>
      </c>
      <c r="C87" s="17">
        <f>Divisional!C40</f>
        <v>0</v>
      </c>
      <c r="D87" s="17">
        <f>Divisional!D40</f>
        <v>0</v>
      </c>
      <c r="E87" s="17">
        <f>Divisional!E40</f>
        <v>0</v>
      </c>
      <c r="F87" s="17">
        <f>Divisional!F40</f>
        <v>0</v>
      </c>
      <c r="G87" s="17">
        <f>Divisional!G40</f>
        <v>0</v>
      </c>
      <c r="H87" s="17">
        <f>Divisional!H40</f>
        <v>0</v>
      </c>
      <c r="I87" s="17">
        <f>Divisional!I40</f>
        <v>0</v>
      </c>
      <c r="J87" s="17">
        <f>Divisional!J40</f>
        <v>0</v>
      </c>
      <c r="K87" s="17">
        <f>Divisional!K40</f>
        <v>0</v>
      </c>
      <c r="L87" s="4">
        <f>Divisional!L40</f>
        <v>0</v>
      </c>
      <c r="M87" s="4">
        <f>Divisional!M40</f>
        <v>0</v>
      </c>
      <c r="N87" s="17">
        <f>Divisional!N40</f>
        <v>0</v>
      </c>
      <c r="O87" s="17">
        <f>Divisional!O40</f>
        <v>0</v>
      </c>
      <c r="P87" s="17">
        <f>Divisional!Q40</f>
        <v>0</v>
      </c>
      <c r="Q87" s="17">
        <f>Divisional!S40</f>
        <v>188</v>
      </c>
      <c r="R87" s="17">
        <f>Divisional!T40</f>
        <v>-174</v>
      </c>
      <c r="S87" s="17">
        <f>Divisional!U40</f>
        <v>-167</v>
      </c>
      <c r="T87" s="17">
        <f>Divisional!V40</f>
        <v>-140</v>
      </c>
      <c r="U87" s="17">
        <f>Divisional!W40</f>
        <v>-116</v>
      </c>
      <c r="V87" s="17">
        <f>Divisional!X40</f>
        <v>27</v>
      </c>
      <c r="W87" s="17">
        <f>Divisional!Y40</f>
        <v>108</v>
      </c>
      <c r="X87" s="1579">
        <f>Divisional!Z40</f>
        <v>159.06768508867856</v>
      </c>
      <c r="Y87" s="1579">
        <f>Divisional!AA40</f>
        <v>208.56030184706603</v>
      </c>
      <c r="Z87" s="1579">
        <f>Divisional!AB40</f>
        <v>264.52886390421168</v>
      </c>
      <c r="AA87" s="1579">
        <f>Divisional!AC40</f>
        <v>326.14325633937852</v>
      </c>
      <c r="AB87" s="1579">
        <f>Divisional!AD40</f>
        <v>340.92738951913083</v>
      </c>
    </row>
    <row r="88" spans="1:28" ht="11.25" customHeight="1" x14ac:dyDescent="0.2">
      <c r="A88" s="4" t="s">
        <v>71</v>
      </c>
      <c r="B88" s="17">
        <f>Divisional!B47</f>
        <v>0</v>
      </c>
      <c r="C88" s="17">
        <f>Divisional!C47</f>
        <v>-22</v>
      </c>
      <c r="D88" s="17">
        <f>Divisional!D47</f>
        <v>-30</v>
      </c>
      <c r="E88" s="17">
        <f>Divisional!E47</f>
        <v>-33</v>
      </c>
      <c r="F88" s="17">
        <f>Divisional!F47</f>
        <v>-64</v>
      </c>
      <c r="G88" s="17">
        <f>Divisional!G47</f>
        <v>-67</v>
      </c>
      <c r="H88" s="17">
        <f>Divisional!H47</f>
        <v>-95</v>
      </c>
      <c r="I88" s="17">
        <f>Divisional!I47</f>
        <v>-119</v>
      </c>
      <c r="J88" s="17">
        <f>Divisional!J47</f>
        <v>-142</v>
      </c>
      <c r="K88" s="17">
        <f>Divisional!K47</f>
        <v>-158</v>
      </c>
      <c r="L88" s="4">
        <f>Divisional!L47</f>
        <v>-175</v>
      </c>
      <c r="M88" s="4">
        <f>Divisional!M47</f>
        <v>-82</v>
      </c>
      <c r="N88" s="17">
        <f>Divisional!N47</f>
        <v>-25</v>
      </c>
      <c r="O88" s="17">
        <f>Divisional!O47</f>
        <v>-36</v>
      </c>
      <c r="P88" s="17">
        <f>Divisional!Q47</f>
        <v>-80</v>
      </c>
      <c r="Q88" s="17">
        <f>Divisional!S47</f>
        <v>-62</v>
      </c>
      <c r="R88" s="17">
        <f>Divisional!T47</f>
        <v>-19</v>
      </c>
      <c r="S88" s="17">
        <f>Divisional!U47</f>
        <v>-20</v>
      </c>
      <c r="T88" s="17">
        <f>Divisional!V47</f>
        <v>-36</v>
      </c>
      <c r="U88" s="17">
        <f>Divisional!W47</f>
        <v>-100</v>
      </c>
      <c r="V88" s="17">
        <f>Divisional!X47</f>
        <v>-25</v>
      </c>
      <c r="W88" s="17">
        <f>Divisional!Y47</f>
        <v>-76</v>
      </c>
      <c r="X88" s="1579">
        <f>Divisional!Z47</f>
        <v>-50</v>
      </c>
      <c r="Y88" s="1579">
        <f>Divisional!AA47</f>
        <v>-50</v>
      </c>
      <c r="Z88" s="1579">
        <f>Divisional!AB47</f>
        <v>-50</v>
      </c>
      <c r="AA88" s="1579">
        <f>Divisional!AC47</f>
        <v>-50</v>
      </c>
      <c r="AB88" s="1579">
        <f>Divisional!AD47</f>
        <v>-50</v>
      </c>
    </row>
    <row r="89" spans="1:28" ht="11.25" customHeight="1" x14ac:dyDescent="0.2"/>
    <row r="90" spans="1:28" ht="11.25" customHeight="1" x14ac:dyDescent="0.2">
      <c r="A90" s="5" t="s">
        <v>73</v>
      </c>
      <c r="B90" s="2"/>
      <c r="C90" s="2"/>
      <c r="D90" s="2"/>
      <c r="E90" s="2"/>
      <c r="F90" s="2"/>
      <c r="G90" s="2"/>
      <c r="H90" s="2"/>
      <c r="I90" s="2"/>
      <c r="J90" s="2"/>
      <c r="K90" s="2"/>
      <c r="L90" s="2"/>
      <c r="M90" s="2"/>
      <c r="N90" s="2"/>
      <c r="O90" s="2"/>
      <c r="P90" s="2"/>
      <c r="Q90" s="2"/>
      <c r="R90" s="2"/>
      <c r="S90" s="2"/>
      <c r="T90" s="2"/>
      <c r="U90" s="2"/>
      <c r="V90" s="2"/>
      <c r="W90" s="2"/>
      <c r="X90" s="3"/>
      <c r="Y90" s="3"/>
      <c r="Z90" s="3"/>
      <c r="AA90" s="3"/>
      <c r="AB90" s="3"/>
    </row>
    <row r="91" spans="1:28" ht="11.25" customHeight="1" x14ac:dyDescent="0.2">
      <c r="A91" s="4" t="s">
        <v>68</v>
      </c>
      <c r="B91" s="24">
        <f>B85/B79</f>
        <v>9.0845886442641952E-2</v>
      </c>
      <c r="C91" s="24">
        <f t="shared" ref="C91:AB93" si="39">C85/C79</f>
        <v>0.10149120854662809</v>
      </c>
      <c r="D91" s="24">
        <f t="shared" si="39"/>
        <v>0.11373940469150404</v>
      </c>
      <c r="E91" s="24">
        <f t="shared" si="39"/>
        <v>0.10748690214635795</v>
      </c>
      <c r="F91" s="24">
        <f t="shared" si="39"/>
        <v>0.1021671826625387</v>
      </c>
      <c r="G91" s="24">
        <f t="shared" si="39"/>
        <v>0.11069980609906575</v>
      </c>
      <c r="H91" s="24">
        <f t="shared" si="39"/>
        <v>0.1183083511777302</v>
      </c>
      <c r="I91" s="24">
        <f t="shared" si="39"/>
        <v>0.14877250409165302</v>
      </c>
      <c r="J91" s="24">
        <f t="shared" si="39"/>
        <v>0.15360456816559601</v>
      </c>
      <c r="K91" s="24">
        <f t="shared" si="39"/>
        <v>0.17894320727368559</v>
      </c>
      <c r="L91" s="24">
        <f t="shared" si="39"/>
        <v>0.2002943701704894</v>
      </c>
      <c r="M91" s="24">
        <f t="shared" si="39"/>
        <v>0.19669492434810601</v>
      </c>
      <c r="N91" s="24">
        <f t="shared" si="39"/>
        <v>0.19018208923437332</v>
      </c>
      <c r="O91" s="24">
        <f t="shared" si="39"/>
        <v>0.17749717688122368</v>
      </c>
      <c r="P91" s="24">
        <f t="shared" si="39"/>
        <v>0.18455797933409873</v>
      </c>
      <c r="Q91" s="24">
        <f t="shared" si="39"/>
        <v>0.20630967206309672</v>
      </c>
      <c r="R91" s="24">
        <f t="shared" si="39"/>
        <v>0.15555265561790421</v>
      </c>
      <c r="S91" s="24">
        <f t="shared" si="39"/>
        <v>0.1804005914773491</v>
      </c>
      <c r="T91" s="24">
        <f t="shared" si="39"/>
        <v>0.17988638754470859</v>
      </c>
      <c r="U91" s="24">
        <f t="shared" si="39"/>
        <v>0.20124621084540248</v>
      </c>
      <c r="V91" s="24">
        <f t="shared" si="39"/>
        <v>0.20648989159097569</v>
      </c>
      <c r="W91" s="24">
        <f t="shared" si="39"/>
        <v>0.2297676793464386</v>
      </c>
      <c r="X91" s="97">
        <f t="shared" si="39"/>
        <v>0.24334267868847131</v>
      </c>
      <c r="Y91" s="97">
        <f t="shared" si="39"/>
        <v>0.24606160185204398</v>
      </c>
      <c r="Z91" s="97">
        <f t="shared" si="39"/>
        <v>0.23979723393706426</v>
      </c>
      <c r="AA91" s="97">
        <f t="shared" si="39"/>
        <v>0.23768183346860294</v>
      </c>
      <c r="AB91" s="97">
        <f t="shared" si="39"/>
        <v>0.2434740708884395</v>
      </c>
    </row>
    <row r="92" spans="1:28" ht="11.25" customHeight="1" x14ac:dyDescent="0.2">
      <c r="A92" s="4" t="s">
        <v>69</v>
      </c>
      <c r="B92" s="24"/>
      <c r="C92" s="24"/>
      <c r="D92" s="24"/>
      <c r="E92" s="24"/>
      <c r="F92" s="24"/>
      <c r="G92" s="24"/>
      <c r="H92" s="24"/>
      <c r="I92" s="24"/>
      <c r="J92" s="24"/>
      <c r="K92" s="24"/>
      <c r="L92" s="24"/>
      <c r="M92" s="24"/>
      <c r="N92" s="24"/>
      <c r="O92" s="24"/>
      <c r="P92" s="24"/>
      <c r="Q92" s="24">
        <f t="shared" si="39"/>
        <v>0.1306179775280899</v>
      </c>
      <c r="R92" s="24">
        <f t="shared" si="39"/>
        <v>9.966632815900188E-2</v>
      </c>
      <c r="S92" s="24">
        <f t="shared" si="39"/>
        <v>0.10276679841897234</v>
      </c>
      <c r="T92" s="24">
        <f t="shared" si="39"/>
        <v>0.11599203715992037</v>
      </c>
      <c r="U92" s="24">
        <f t="shared" si="39"/>
        <v>0.11228070175438597</v>
      </c>
      <c r="V92" s="24">
        <f t="shared" si="39"/>
        <v>0.12224524392540968</v>
      </c>
      <c r="W92" s="24">
        <f t="shared" si="39"/>
        <v>0.12721508697772721</v>
      </c>
      <c r="X92" s="97">
        <f t="shared" si="39"/>
        <v>0.13500000000000001</v>
      </c>
      <c r="Y92" s="97">
        <f t="shared" si="39"/>
        <v>0.14499999999999999</v>
      </c>
      <c r="Z92" s="97">
        <f t="shared" si="39"/>
        <v>0.15</v>
      </c>
      <c r="AA92" s="97">
        <f t="shared" si="39"/>
        <v>0.15</v>
      </c>
      <c r="AB92" s="97">
        <f t="shared" si="39"/>
        <v>0.15</v>
      </c>
    </row>
    <row r="93" spans="1:28" ht="11.25" customHeight="1" x14ac:dyDescent="0.2">
      <c r="A93" s="4" t="s">
        <v>70</v>
      </c>
      <c r="B93" s="24"/>
      <c r="C93" s="24"/>
      <c r="D93" s="24"/>
      <c r="E93" s="24"/>
      <c r="F93" s="24"/>
      <c r="G93" s="24"/>
      <c r="H93" s="24"/>
      <c r="I93" s="24"/>
      <c r="J93" s="24"/>
      <c r="K93" s="24"/>
      <c r="L93" s="24"/>
      <c r="M93" s="24"/>
      <c r="N93" s="24"/>
      <c r="O93" s="24"/>
      <c r="P93" s="24"/>
      <c r="Q93" s="24">
        <f t="shared" si="39"/>
        <v>5.6609454983438723E-2</v>
      </c>
      <c r="R93" s="24">
        <f t="shared" si="39"/>
        <v>-9.053069719042664E-2</v>
      </c>
      <c r="S93" s="24">
        <f t="shared" si="39"/>
        <v>-0.11322033898305085</v>
      </c>
      <c r="T93" s="24">
        <f t="shared" si="39"/>
        <v>-7.0778564206268962E-2</v>
      </c>
      <c r="U93" s="24">
        <f t="shared" si="39"/>
        <v>-4.6830843762616065E-2</v>
      </c>
      <c r="V93" s="24">
        <f t="shared" si="39"/>
        <v>8.8903523213697735E-3</v>
      </c>
      <c r="W93" s="24">
        <f t="shared" si="39"/>
        <v>3.2248432367871005E-2</v>
      </c>
      <c r="X93" s="97">
        <f t="shared" si="39"/>
        <v>5.000000000000001E-2</v>
      </c>
      <c r="Y93" s="97">
        <f t="shared" si="39"/>
        <v>0.06</v>
      </c>
      <c r="Z93" s="97">
        <f t="shared" si="39"/>
        <v>7.0000000000000007E-2</v>
      </c>
      <c r="AA93" s="97">
        <f t="shared" si="39"/>
        <v>0.08</v>
      </c>
      <c r="AB93" s="97">
        <f t="shared" si="39"/>
        <v>0.08</v>
      </c>
    </row>
  </sheetData>
  <pageMargins left="0.7" right="0.7" top="0.75" bottom="0.75" header="0.3" footer="0.3"/>
  <pageSetup paperSize="9" scale="48"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6CA1E-4784-4658-A2FC-931D2AA3E184}">
  <sheetPr codeName="Sheet3">
    <tabColor theme="4"/>
    <pageSetUpPr fitToPage="1"/>
  </sheetPr>
  <dimension ref="A1:AT134"/>
  <sheetViews>
    <sheetView showGridLines="0" zoomScaleNormal="100" workbookViewId="0">
      <pane xSplit="1" ySplit="2" topLeftCell="T3" activePane="bottomRight" state="frozen"/>
      <selection pane="topRight" activeCell="B1" sqref="B1"/>
      <selection pane="bottomLeft" activeCell="A3" sqref="A3"/>
      <selection pane="bottomRight" activeCell="A63" sqref="A63"/>
    </sheetView>
  </sheetViews>
  <sheetFormatPr defaultColWidth="8.85546875" defaultRowHeight="11.25" outlineLevelRow="2" outlineLevelCol="1" x14ac:dyDescent="0.2"/>
  <cols>
    <col min="1" max="1" width="40.7109375" style="4" customWidth="1"/>
    <col min="2" max="2" width="7.28515625" style="4" hidden="1" customWidth="1" outlineLevel="1" collapsed="1"/>
    <col min="3" max="3" width="7.28515625" style="4" hidden="1" customWidth="1" outlineLevel="1"/>
    <col min="4" max="4" width="7" style="4" hidden="1" customWidth="1" outlineLevel="1"/>
    <col min="5" max="5" width="7.28515625" style="4" hidden="1" customWidth="1" outlineLevel="1"/>
    <col min="6" max="6" width="7.28515625" style="4" hidden="1" customWidth="1" outlineLevel="1" collapsed="1"/>
    <col min="7" max="7" width="7.28515625" style="4" hidden="1" customWidth="1" outlineLevel="1"/>
    <col min="8" max="8" width="7.28515625" style="4" hidden="1" customWidth="1" outlineLevel="1" collapsed="1"/>
    <col min="9" max="10" width="7.28515625" style="4" hidden="1" customWidth="1" outlineLevel="1"/>
    <col min="11" max="11" width="7.5703125" style="4" hidden="1" customWidth="1" outlineLevel="1"/>
    <col min="12" max="12" width="8.85546875" style="4" hidden="1" customWidth="1" outlineLevel="1"/>
    <col min="13" max="13" width="8" style="4" hidden="1" customWidth="1" outlineLevel="1"/>
    <col min="14" max="18" width="8.85546875" style="4" hidden="1" customWidth="1" outlineLevel="1"/>
    <col min="19" max="19" width="8.85546875" style="4" collapsed="1"/>
    <col min="20" max="24" width="8.85546875" style="4"/>
    <col min="25" max="30" width="7.140625" style="4" customWidth="1"/>
    <col min="31" max="31" width="8.42578125" style="4" customWidth="1"/>
    <col min="32" max="32" width="8.85546875" style="4"/>
    <col min="33" max="33" width="8.140625" style="4" bestFit="1" customWidth="1"/>
    <col min="34" max="38" width="8.85546875" style="4"/>
    <col min="39" max="39" width="16.5703125" style="4" customWidth="1"/>
    <col min="40" max="40" width="11.140625" style="4" customWidth="1"/>
    <col min="41" max="45" width="8.85546875" style="4"/>
    <col min="46" max="46" width="8" style="4" customWidth="1"/>
    <col min="47" max="16384" width="8.85546875" style="4"/>
  </cols>
  <sheetData>
    <row r="1" spans="1:43" x14ac:dyDescent="0.2">
      <c r="B1" s="35"/>
      <c r="E1" s="36"/>
      <c r="F1" s="36"/>
      <c r="G1" s="36"/>
      <c r="H1" s="36"/>
      <c r="I1" s="36"/>
      <c r="J1" s="36"/>
      <c r="K1" s="36"/>
      <c r="P1" s="17" t="s">
        <v>74</v>
      </c>
      <c r="Q1" s="17" t="s">
        <v>74</v>
      </c>
      <c r="R1" s="17" t="s">
        <v>74</v>
      </c>
      <c r="S1" s="17" t="s">
        <v>74</v>
      </c>
      <c r="T1" s="17" t="s">
        <v>74</v>
      </c>
      <c r="U1" s="17" t="s">
        <v>74</v>
      </c>
      <c r="V1" s="17" t="s">
        <v>74</v>
      </c>
      <c r="W1" s="17" t="s">
        <v>74</v>
      </c>
      <c r="X1" s="17" t="s">
        <v>74</v>
      </c>
      <c r="Y1" s="37" t="s">
        <v>74</v>
      </c>
      <c r="Z1" s="1593" t="s">
        <v>74</v>
      </c>
      <c r="AA1" s="17" t="s">
        <v>74</v>
      </c>
      <c r="AB1" s="17" t="s">
        <v>74</v>
      </c>
      <c r="AC1" s="17" t="s">
        <v>74</v>
      </c>
      <c r="AD1" s="17" t="s">
        <v>74</v>
      </c>
      <c r="AE1" s="38"/>
    </row>
    <row r="2" spans="1:43" x14ac:dyDescent="0.2">
      <c r="A2" s="39" t="s">
        <v>75</v>
      </c>
      <c r="B2" s="40">
        <v>2004</v>
      </c>
      <c r="C2" s="41">
        <v>2005</v>
      </c>
      <c r="D2" s="40">
        <v>2006</v>
      </c>
      <c r="E2" s="40">
        <f>+D2+1</f>
        <v>2007</v>
      </c>
      <c r="F2" s="40">
        <v>2008</v>
      </c>
      <c r="G2" s="40">
        <v>2009</v>
      </c>
      <c r="H2" s="40">
        <v>2010</v>
      </c>
      <c r="I2" s="40">
        <v>2011</v>
      </c>
      <c r="J2" s="40">
        <f>+I2+1</f>
        <v>2012</v>
      </c>
      <c r="K2" s="40">
        <f>+J2+1</f>
        <v>2013</v>
      </c>
      <c r="L2" s="40">
        <f>+K2+1</f>
        <v>2014</v>
      </c>
      <c r="M2" s="40">
        <f t="shared" ref="M2:AD2" si="0">+L2+1</f>
        <v>2015</v>
      </c>
      <c r="N2" s="40">
        <f t="shared" si="0"/>
        <v>2016</v>
      </c>
      <c r="O2" s="40">
        <f t="shared" si="0"/>
        <v>2017</v>
      </c>
      <c r="P2" s="41" t="s">
        <v>76</v>
      </c>
      <c r="Q2" s="40">
        <f>+O2+1</f>
        <v>2018</v>
      </c>
      <c r="R2" s="42" t="s">
        <v>77</v>
      </c>
      <c r="S2" s="40">
        <f>+Q2+1</f>
        <v>2019</v>
      </c>
      <c r="T2" s="40">
        <f t="shared" si="0"/>
        <v>2020</v>
      </c>
      <c r="U2" s="40">
        <f t="shared" si="0"/>
        <v>2021</v>
      </c>
      <c r="V2" s="40">
        <f t="shared" si="0"/>
        <v>2022</v>
      </c>
      <c r="W2" s="40">
        <f t="shared" si="0"/>
        <v>2023</v>
      </c>
      <c r="X2" s="40">
        <f t="shared" si="0"/>
        <v>2024</v>
      </c>
      <c r="Y2" s="43">
        <f t="shared" si="0"/>
        <v>2025</v>
      </c>
      <c r="Z2" s="1594">
        <f t="shared" si="0"/>
        <v>2026</v>
      </c>
      <c r="AA2" s="44">
        <f t="shared" si="0"/>
        <v>2027</v>
      </c>
      <c r="AB2" s="44">
        <f t="shared" si="0"/>
        <v>2028</v>
      </c>
      <c r="AC2" s="44">
        <f t="shared" si="0"/>
        <v>2029</v>
      </c>
      <c r="AD2" s="44">
        <f t="shared" si="0"/>
        <v>2030</v>
      </c>
      <c r="AE2" s="45"/>
      <c r="AF2" s="46"/>
      <c r="AG2" s="47"/>
      <c r="AH2" s="46"/>
      <c r="AI2" s="46"/>
      <c r="AN2" s="48"/>
      <c r="AO2" s="49"/>
      <c r="AP2" s="49"/>
      <c r="AQ2" s="50"/>
    </row>
    <row r="3" spans="1:43" s="50" customFormat="1" x14ac:dyDescent="0.2">
      <c r="A3" s="51" t="s">
        <v>78</v>
      </c>
      <c r="G3" s="52"/>
      <c r="H3" s="52"/>
      <c r="I3" s="52"/>
      <c r="K3" s="52"/>
      <c r="M3" s="53"/>
      <c r="N3" s="53"/>
      <c r="O3" s="53"/>
      <c r="P3" s="53"/>
      <c r="Q3" s="53"/>
      <c r="R3" s="54"/>
      <c r="S3" s="53"/>
      <c r="T3" s="53"/>
      <c r="U3" s="53"/>
      <c r="V3" s="53"/>
      <c r="W3" s="53"/>
      <c r="X3" s="53"/>
      <c r="Y3" s="55"/>
      <c r="Z3" s="1595"/>
      <c r="AE3" s="56"/>
      <c r="AF3" s="54"/>
      <c r="AH3" s="54"/>
      <c r="AI3" s="54"/>
      <c r="AK3" s="49"/>
      <c r="AL3" s="49"/>
      <c r="AM3" s="49"/>
      <c r="AN3" s="57"/>
      <c r="AO3" s="58"/>
      <c r="AP3" s="58"/>
    </row>
    <row r="4" spans="1:43" s="50" customFormat="1" x14ac:dyDescent="0.2">
      <c r="A4" s="50" t="s">
        <v>68</v>
      </c>
      <c r="B4" s="50">
        <v>4315</v>
      </c>
      <c r="C4" s="50">
        <v>4493</v>
      </c>
      <c r="D4" s="50">
        <v>5073</v>
      </c>
      <c r="E4" s="50">
        <v>5917</v>
      </c>
      <c r="F4" s="50">
        <v>5814</v>
      </c>
      <c r="G4" s="50">
        <v>5673</v>
      </c>
      <c r="H4" s="50">
        <v>5604</v>
      </c>
      <c r="I4" s="50">
        <v>6110</v>
      </c>
      <c r="J4" s="50">
        <v>7005</v>
      </c>
      <c r="K4" s="50">
        <v>7589</v>
      </c>
      <c r="L4" s="50">
        <v>8153</v>
      </c>
      <c r="M4" s="50">
        <v>9319</v>
      </c>
      <c r="N4" s="50">
        <v>9391</v>
      </c>
      <c r="O4" s="50">
        <v>9741</v>
      </c>
      <c r="P4" s="50">
        <v>9357</v>
      </c>
      <c r="Q4" s="50">
        <v>10452</v>
      </c>
      <c r="R4" s="50">
        <v>10579</v>
      </c>
      <c r="S4" s="50">
        <v>12045</v>
      </c>
      <c r="T4" s="53">
        <v>7663</v>
      </c>
      <c r="U4" s="53">
        <v>7439</v>
      </c>
      <c r="V4" s="53">
        <v>9506</v>
      </c>
      <c r="W4" s="53">
        <v>11876</v>
      </c>
      <c r="X4" s="53">
        <v>13652</v>
      </c>
      <c r="Y4" s="55">
        <v>15668</v>
      </c>
      <c r="Z4" s="1596">
        <f>Propulsion!BD9</f>
        <v>19156.513541752993</v>
      </c>
      <c r="AA4" s="59">
        <f>Propulsion!BL9</f>
        <v>21149.906683352601</v>
      </c>
      <c r="AB4" s="59">
        <f>Propulsion!BT9</f>
        <v>23304.313764561895</v>
      </c>
      <c r="AC4" s="59">
        <f>Propulsion!CB9</f>
        <v>24769.756623491921</v>
      </c>
      <c r="AD4" s="59">
        <f>Propulsion!CJ9</f>
        <v>25124.507202974182</v>
      </c>
      <c r="AE4" s="1720"/>
      <c r="AF4" s="54"/>
      <c r="AG4" s="60"/>
      <c r="AH4" s="61"/>
      <c r="AI4" s="61"/>
      <c r="AK4" s="49"/>
      <c r="AL4" s="49"/>
      <c r="AM4" s="49"/>
      <c r="AN4" s="49"/>
      <c r="AO4" s="49"/>
      <c r="AP4" s="62"/>
    </row>
    <row r="5" spans="1:43" s="50" customFormat="1" x14ac:dyDescent="0.2">
      <c r="A5" s="50" t="s">
        <v>79</v>
      </c>
      <c r="R5" s="50">
        <v>7942</v>
      </c>
      <c r="S5" s="50">
        <v>9256</v>
      </c>
      <c r="T5" s="53">
        <v>6893</v>
      </c>
      <c r="U5" s="53">
        <v>6325</v>
      </c>
      <c r="V5" s="53">
        <v>7535</v>
      </c>
      <c r="W5" s="53">
        <v>8835</v>
      </c>
      <c r="X5" s="53">
        <v>10618</v>
      </c>
      <c r="Y5" s="55">
        <v>12302</v>
      </c>
      <c r="Z5" s="1596">
        <f>'Equipment &amp; Defense'!BB15</f>
        <v>14668.238329118685</v>
      </c>
      <c r="AA5" s="59">
        <f>'Equipment &amp; Defense'!BJ15</f>
        <v>15885.32476648615</v>
      </c>
      <c r="AB5" s="59">
        <f>'Equipment &amp; Defense'!BR15</f>
        <v>17265.241942989029</v>
      </c>
      <c r="AC5" s="59">
        <f>'Equipment &amp; Defense'!BZ15</f>
        <v>18620.776425563483</v>
      </c>
      <c r="AD5" s="59">
        <f>'Equipment &amp; Defense'!CH15</f>
        <v>19459.423595296415</v>
      </c>
      <c r="AE5" s="1720"/>
      <c r="AF5" s="54"/>
      <c r="AG5" s="60"/>
      <c r="AH5" s="61"/>
      <c r="AI5" s="61"/>
      <c r="AK5" s="49"/>
      <c r="AL5" s="49"/>
      <c r="AM5" s="49"/>
      <c r="AN5" s="49"/>
      <c r="AO5" s="49"/>
      <c r="AP5" s="62"/>
    </row>
    <row r="6" spans="1:43" s="50" customFormat="1" x14ac:dyDescent="0.2">
      <c r="A6" s="50" t="s">
        <v>70</v>
      </c>
      <c r="R6" s="50">
        <v>2511</v>
      </c>
      <c r="S6" s="50">
        <v>3321</v>
      </c>
      <c r="T6" s="53">
        <v>1922</v>
      </c>
      <c r="U6" s="53">
        <v>1475</v>
      </c>
      <c r="V6" s="53">
        <v>1978</v>
      </c>
      <c r="W6" s="53">
        <v>2477</v>
      </c>
      <c r="X6" s="53">
        <v>3037</v>
      </c>
      <c r="Y6" s="55">
        <v>3349</v>
      </c>
      <c r="Z6" s="1596">
        <f>Interiors!AM14</f>
        <v>3181.3537017735707</v>
      </c>
      <c r="AA6" s="59">
        <f>Interiors!AU14</f>
        <v>3476.005030784434</v>
      </c>
      <c r="AB6" s="59">
        <f>Interiors!BC14</f>
        <v>3778.9837700601665</v>
      </c>
      <c r="AC6" s="59">
        <f>Interiors!BK14</f>
        <v>4076.7907042422316</v>
      </c>
      <c r="AD6" s="59">
        <f>Interiors!BS14</f>
        <v>4261.5923689891351</v>
      </c>
      <c r="AE6" s="1720"/>
      <c r="AF6" s="54"/>
      <c r="AG6" s="60"/>
      <c r="AH6" s="61"/>
      <c r="AI6" s="61"/>
      <c r="AK6" s="49"/>
      <c r="AL6" s="49"/>
      <c r="AM6" s="49"/>
      <c r="AN6" s="49"/>
      <c r="AO6" s="49"/>
      <c r="AP6" s="62"/>
    </row>
    <row r="7" spans="1:43" s="50" customFormat="1" hidden="1" outlineLevel="1" x14ac:dyDescent="0.2">
      <c r="A7" s="63" t="s">
        <v>69</v>
      </c>
      <c r="B7" s="50">
        <v>2219</v>
      </c>
      <c r="C7" s="50">
        <v>2510</v>
      </c>
      <c r="D7" s="50">
        <v>2644</v>
      </c>
      <c r="E7" s="50">
        <v>2703</v>
      </c>
      <c r="F7" s="50">
        <v>2775</v>
      </c>
      <c r="G7" s="50">
        <v>2767</v>
      </c>
      <c r="H7" s="50">
        <v>2834</v>
      </c>
      <c r="I7" s="50">
        <v>3097</v>
      </c>
      <c r="J7" s="50">
        <v>3691</v>
      </c>
      <c r="K7" s="50">
        <v>4091</v>
      </c>
      <c r="L7" s="50">
        <v>4446</v>
      </c>
      <c r="M7" s="50">
        <v>4943</v>
      </c>
      <c r="N7" s="50">
        <v>5145</v>
      </c>
      <c r="O7" s="50">
        <v>5415</v>
      </c>
      <c r="P7" s="50">
        <v>5260</v>
      </c>
      <c r="Q7" s="50">
        <v>5395</v>
      </c>
      <c r="S7" s="53"/>
      <c r="T7" s="53"/>
      <c r="U7" s="53"/>
      <c r="V7" s="53"/>
      <c r="W7" s="53"/>
      <c r="X7" s="53"/>
      <c r="Y7" s="55"/>
      <c r="Z7" s="1597"/>
      <c r="AA7" s="64"/>
      <c r="AB7" s="64"/>
      <c r="AC7" s="64"/>
      <c r="AD7" s="64"/>
      <c r="AE7" s="1068"/>
      <c r="AF7" s="54"/>
      <c r="AH7" s="61"/>
      <c r="AI7" s="61"/>
      <c r="AK7" s="49"/>
      <c r="AL7" s="49"/>
      <c r="AM7" s="49"/>
      <c r="AN7" s="49"/>
      <c r="AO7" s="49"/>
      <c r="AP7" s="62"/>
    </row>
    <row r="8" spans="1:43" s="50" customFormat="1" hidden="1" outlineLevel="1" x14ac:dyDescent="0.2">
      <c r="A8" s="63" t="s">
        <v>80</v>
      </c>
      <c r="B8" s="50">
        <v>1159</v>
      </c>
      <c r="C8" s="50">
        <v>1231</v>
      </c>
      <c r="D8" s="50">
        <v>1445</v>
      </c>
      <c r="E8" s="50">
        <v>1596</v>
      </c>
      <c r="F8" s="50">
        <f>1021</f>
        <v>1021</v>
      </c>
      <c r="G8" s="50">
        <f>1061</f>
        <v>1061</v>
      </c>
      <c r="H8" s="50">
        <v>1240</v>
      </c>
      <c r="I8" s="50">
        <v>1264</v>
      </c>
      <c r="J8" s="50">
        <v>1315</v>
      </c>
      <c r="K8" s="50">
        <v>1197</v>
      </c>
      <c r="L8" s="50">
        <v>1221</v>
      </c>
      <c r="M8" s="50">
        <v>1266</v>
      </c>
      <c r="N8" s="50">
        <v>1238</v>
      </c>
      <c r="O8" s="50">
        <v>1345</v>
      </c>
      <c r="P8" s="50">
        <v>1316</v>
      </c>
      <c r="Q8" s="50">
        <v>1386</v>
      </c>
      <c r="S8" s="53"/>
      <c r="T8" s="53"/>
      <c r="U8" s="53"/>
      <c r="V8" s="53"/>
      <c r="W8" s="53"/>
      <c r="X8" s="53"/>
      <c r="Y8" s="55"/>
      <c r="Z8" s="1597"/>
      <c r="AA8" s="64"/>
      <c r="AB8" s="64"/>
      <c r="AC8" s="64"/>
      <c r="AD8" s="64"/>
      <c r="AE8" s="148"/>
      <c r="AF8" s="54"/>
      <c r="AH8" s="61"/>
      <c r="AI8" s="61"/>
      <c r="AK8" s="49"/>
      <c r="AL8" s="49"/>
      <c r="AM8" s="49"/>
      <c r="AN8" s="49"/>
      <c r="AO8" s="49"/>
      <c r="AP8" s="62"/>
    </row>
    <row r="9" spans="1:43" s="50" customFormat="1" hidden="1" outlineLevel="1" x14ac:dyDescent="0.2">
      <c r="A9" s="63" t="s">
        <v>81</v>
      </c>
      <c r="Q9" s="50">
        <f>1785+2014</f>
        <v>3799</v>
      </c>
      <c r="S9" s="53"/>
      <c r="T9" s="53"/>
      <c r="U9" s="53"/>
      <c r="V9" s="53"/>
      <c r="W9" s="53"/>
      <c r="X9" s="53"/>
      <c r="Y9" s="55"/>
      <c r="Z9" s="1597"/>
      <c r="AA9" s="64"/>
      <c r="AB9" s="64"/>
      <c r="AC9" s="64"/>
      <c r="AD9" s="64"/>
      <c r="AE9" s="148"/>
      <c r="AF9" s="54"/>
      <c r="AH9" s="61"/>
      <c r="AI9" s="61"/>
      <c r="AK9" s="49"/>
      <c r="AL9" s="49"/>
      <c r="AM9" s="49"/>
      <c r="AN9" s="49"/>
      <c r="AO9" s="49"/>
      <c r="AP9" s="62"/>
    </row>
    <row r="10" spans="1:43" s="50" customFormat="1" hidden="1" outlineLevel="1" x14ac:dyDescent="0.2">
      <c r="A10" s="50" t="s">
        <v>82</v>
      </c>
      <c r="F10" s="50">
        <v>695</v>
      </c>
      <c r="G10" s="50">
        <v>904</v>
      </c>
      <c r="H10" s="50">
        <v>1041</v>
      </c>
      <c r="I10" s="50">
        <v>1249</v>
      </c>
      <c r="J10" s="50">
        <v>1546</v>
      </c>
      <c r="K10" s="50">
        <v>1482</v>
      </c>
      <c r="L10" s="50">
        <v>1530</v>
      </c>
      <c r="M10" s="50">
        <v>1878</v>
      </c>
      <c r="P10" s="53"/>
      <c r="Q10" s="53"/>
      <c r="R10" s="53"/>
      <c r="S10" s="53"/>
      <c r="T10" s="53"/>
      <c r="U10" s="53"/>
      <c r="V10" s="53"/>
      <c r="W10" s="53"/>
      <c r="X10" s="53"/>
      <c r="Y10" s="55"/>
      <c r="Z10" s="1597"/>
      <c r="AA10" s="64"/>
      <c r="AB10" s="64"/>
      <c r="AC10" s="64"/>
      <c r="AD10" s="64"/>
      <c r="AE10" s="148"/>
      <c r="AF10" s="54"/>
      <c r="AH10" s="61"/>
      <c r="AI10" s="61"/>
      <c r="AK10" s="49"/>
      <c r="AL10" s="49"/>
      <c r="AM10" s="49"/>
      <c r="AN10" s="49"/>
      <c r="AO10" s="49"/>
      <c r="AP10" s="62"/>
    </row>
    <row r="11" spans="1:43" s="50" customFormat="1" hidden="1" outlineLevel="1" x14ac:dyDescent="0.2">
      <c r="A11" s="53" t="s">
        <v>83</v>
      </c>
      <c r="B11" s="53">
        <v>2405</v>
      </c>
      <c r="C11" s="53">
        <v>2342</v>
      </c>
      <c r="D11" s="53">
        <v>2167</v>
      </c>
      <c r="E11" s="53">
        <v>0</v>
      </c>
      <c r="F11" s="53">
        <v>0</v>
      </c>
      <c r="G11" s="53">
        <v>0</v>
      </c>
      <c r="H11" s="53">
        <v>0</v>
      </c>
      <c r="I11" s="53">
        <v>0</v>
      </c>
      <c r="J11" s="53">
        <v>0</v>
      </c>
      <c r="K11" s="53">
        <v>0</v>
      </c>
      <c r="L11" s="53">
        <v>0</v>
      </c>
      <c r="M11" s="53">
        <v>0</v>
      </c>
      <c r="N11" s="53">
        <v>0</v>
      </c>
      <c r="O11" s="53">
        <v>0</v>
      </c>
      <c r="P11" s="53"/>
      <c r="Q11" s="53">
        <v>0</v>
      </c>
      <c r="R11" s="53"/>
      <c r="S11" s="53">
        <v>0</v>
      </c>
      <c r="T11" s="53">
        <v>0</v>
      </c>
      <c r="U11" s="53">
        <v>0</v>
      </c>
      <c r="V11" s="53">
        <v>0</v>
      </c>
      <c r="W11" s="53">
        <v>0</v>
      </c>
      <c r="X11" s="53">
        <v>0</v>
      </c>
      <c r="Y11" s="55"/>
      <c r="Z11" s="1598">
        <v>0</v>
      </c>
      <c r="AA11" s="66">
        <v>0</v>
      </c>
      <c r="AB11" s="66">
        <v>0</v>
      </c>
      <c r="AC11" s="66">
        <v>0</v>
      </c>
      <c r="AD11" s="66">
        <v>0</v>
      </c>
      <c r="AE11" s="148"/>
      <c r="AF11" s="54"/>
      <c r="AH11" s="61"/>
      <c r="AI11" s="61"/>
      <c r="AK11" s="49"/>
      <c r="AL11" s="49"/>
      <c r="AM11" s="49"/>
      <c r="AN11" s="49"/>
      <c r="AO11" s="58"/>
      <c r="AP11" s="62"/>
    </row>
    <row r="12" spans="1:43" s="50" customFormat="1" collapsed="1" x14ac:dyDescent="0.2">
      <c r="A12" s="53" t="s">
        <v>71</v>
      </c>
      <c r="B12" s="67"/>
      <c r="C12" s="67"/>
      <c r="D12" s="68"/>
      <c r="E12" s="67">
        <v>6</v>
      </c>
      <c r="F12" s="67">
        <v>24</v>
      </c>
      <c r="G12" s="67">
        <v>43</v>
      </c>
      <c r="H12" s="67">
        <v>41</v>
      </c>
      <c r="I12" s="67">
        <v>16</v>
      </c>
      <c r="J12" s="67">
        <v>3</v>
      </c>
      <c r="K12" s="67">
        <v>4</v>
      </c>
      <c r="L12" s="67">
        <v>5</v>
      </c>
      <c r="M12" s="67">
        <v>8</v>
      </c>
      <c r="N12" s="67">
        <v>7</v>
      </c>
      <c r="O12" s="67">
        <v>20</v>
      </c>
      <c r="P12" s="50">
        <v>20</v>
      </c>
      <c r="Q12" s="50">
        <v>18</v>
      </c>
      <c r="R12" s="50">
        <v>18</v>
      </c>
      <c r="S12" s="50">
        <v>18</v>
      </c>
      <c r="T12" s="53">
        <v>20</v>
      </c>
      <c r="U12" s="53">
        <v>18</v>
      </c>
      <c r="V12" s="53">
        <v>16</v>
      </c>
      <c r="W12" s="53">
        <v>11</v>
      </c>
      <c r="X12" s="53">
        <v>10</v>
      </c>
      <c r="Y12" s="55">
        <v>10</v>
      </c>
      <c r="Z12" s="1599">
        <v>10</v>
      </c>
      <c r="AA12" s="69">
        <f t="shared" ref="AA12:AD12" si="1">Z12</f>
        <v>10</v>
      </c>
      <c r="AB12" s="69">
        <f t="shared" si="1"/>
        <v>10</v>
      </c>
      <c r="AC12" s="69">
        <f t="shared" si="1"/>
        <v>10</v>
      </c>
      <c r="AD12" s="69">
        <f t="shared" si="1"/>
        <v>10</v>
      </c>
      <c r="AE12" s="148"/>
      <c r="AF12" s="54"/>
      <c r="AH12" s="61"/>
      <c r="AI12" s="61"/>
      <c r="AK12" s="49"/>
      <c r="AL12" s="49"/>
      <c r="AM12" s="49"/>
      <c r="AN12" s="49"/>
      <c r="AO12" s="58"/>
      <c r="AP12" s="62"/>
    </row>
    <row r="13" spans="1:43" s="50" customFormat="1" x14ac:dyDescent="0.2">
      <c r="A13" s="70" t="s">
        <v>84</v>
      </c>
      <c r="B13" s="51">
        <f t="shared" ref="B13:AD13" si="2">SUM(B4:B12)</f>
        <v>10098</v>
      </c>
      <c r="C13" s="51">
        <f t="shared" si="2"/>
        <v>10576</v>
      </c>
      <c r="D13" s="51">
        <f t="shared" si="2"/>
        <v>11329</v>
      </c>
      <c r="E13" s="51">
        <f t="shared" si="2"/>
        <v>10222</v>
      </c>
      <c r="F13" s="51">
        <f t="shared" si="2"/>
        <v>10329</v>
      </c>
      <c r="G13" s="51">
        <f t="shared" si="2"/>
        <v>10448</v>
      </c>
      <c r="H13" s="51">
        <f t="shared" si="2"/>
        <v>10760</v>
      </c>
      <c r="I13" s="51">
        <f t="shared" si="2"/>
        <v>11736</v>
      </c>
      <c r="J13" s="51">
        <f t="shared" si="2"/>
        <v>13560</v>
      </c>
      <c r="K13" s="51">
        <f t="shared" si="2"/>
        <v>14363</v>
      </c>
      <c r="L13" s="51">
        <f t="shared" si="2"/>
        <v>15355</v>
      </c>
      <c r="M13" s="71">
        <f t="shared" si="2"/>
        <v>17414</v>
      </c>
      <c r="N13" s="71">
        <f t="shared" si="2"/>
        <v>15781</v>
      </c>
      <c r="O13" s="71">
        <f t="shared" si="2"/>
        <v>16521</v>
      </c>
      <c r="P13" s="71">
        <f t="shared" si="2"/>
        <v>15953</v>
      </c>
      <c r="Q13" s="71">
        <f t="shared" si="2"/>
        <v>21050</v>
      </c>
      <c r="R13" s="71">
        <f t="shared" si="2"/>
        <v>21050</v>
      </c>
      <c r="S13" s="71">
        <f t="shared" si="2"/>
        <v>24640</v>
      </c>
      <c r="T13" s="71">
        <f t="shared" si="2"/>
        <v>16498</v>
      </c>
      <c r="U13" s="71">
        <f t="shared" si="2"/>
        <v>15257</v>
      </c>
      <c r="V13" s="71">
        <f t="shared" si="2"/>
        <v>19035</v>
      </c>
      <c r="W13" s="71">
        <f t="shared" ref="W13" si="3">SUM(W4:W12)</f>
        <v>23199</v>
      </c>
      <c r="X13" s="71">
        <f t="shared" si="2"/>
        <v>27317</v>
      </c>
      <c r="Y13" s="72">
        <f t="shared" ref="Y13" si="4">SUM(Y4:Y12)</f>
        <v>31329</v>
      </c>
      <c r="Z13" s="1600">
        <f t="shared" si="2"/>
        <v>37016.105572645254</v>
      </c>
      <c r="AA13" s="73">
        <f t="shared" si="2"/>
        <v>40521.236480623185</v>
      </c>
      <c r="AB13" s="73">
        <f t="shared" si="2"/>
        <v>44358.539477611092</v>
      </c>
      <c r="AC13" s="73">
        <f t="shared" si="2"/>
        <v>47477.323753297635</v>
      </c>
      <c r="AD13" s="73">
        <f t="shared" si="2"/>
        <v>48855.523167259729</v>
      </c>
      <c r="AE13" s="65"/>
      <c r="AF13" s="74"/>
      <c r="AH13" s="61"/>
      <c r="AI13" s="61"/>
      <c r="AK13" s="49"/>
      <c r="AL13" s="49"/>
      <c r="AM13" s="49"/>
      <c r="AN13" s="49"/>
      <c r="AO13" s="49"/>
      <c r="AP13" s="49"/>
    </row>
    <row r="14" spans="1:43" s="50" customFormat="1" x14ac:dyDescent="0.2">
      <c r="A14" s="53" t="s">
        <v>85</v>
      </c>
      <c r="B14" s="75">
        <v>0</v>
      </c>
      <c r="C14" s="75">
        <v>0</v>
      </c>
      <c r="D14" s="75">
        <v>0</v>
      </c>
      <c r="E14" s="75">
        <v>0</v>
      </c>
      <c r="F14" s="53">
        <v>-48</v>
      </c>
      <c r="G14" s="53">
        <v>111</v>
      </c>
      <c r="H14" s="75">
        <v>268</v>
      </c>
      <c r="I14" s="75">
        <v>-78</v>
      </c>
      <c r="J14" s="75">
        <v>55</v>
      </c>
      <c r="K14" s="75">
        <v>-205</v>
      </c>
      <c r="L14" s="75">
        <v>-311</v>
      </c>
      <c r="M14" s="75">
        <v>686</v>
      </c>
      <c r="N14" s="75">
        <v>701</v>
      </c>
      <c r="O14" s="75">
        <v>419</v>
      </c>
      <c r="P14" s="75">
        <v>423</v>
      </c>
      <c r="Q14" s="75">
        <v>-25</v>
      </c>
      <c r="R14" s="75">
        <v>-25</v>
      </c>
      <c r="S14" s="75">
        <v>458</v>
      </c>
      <c r="T14" s="75">
        <v>133</v>
      </c>
      <c r="U14" s="75">
        <v>-124</v>
      </c>
      <c r="V14" s="75">
        <v>488</v>
      </c>
      <c r="W14" s="75">
        <v>452</v>
      </c>
      <c r="X14" s="75">
        <v>399</v>
      </c>
      <c r="Y14" s="76">
        <v>-140</v>
      </c>
      <c r="Z14" s="1599">
        <f>Quarterlies!DW12</f>
        <v>-326</v>
      </c>
      <c r="AA14" s="77">
        <v>0</v>
      </c>
      <c r="AB14" s="77">
        <v>0</v>
      </c>
      <c r="AC14" s="77">
        <v>0</v>
      </c>
      <c r="AD14" s="77">
        <v>0</v>
      </c>
      <c r="AE14" s="65"/>
      <c r="AH14" s="52"/>
      <c r="AI14" s="52"/>
      <c r="AK14" s="49"/>
      <c r="AL14" s="49"/>
      <c r="AM14" s="49"/>
      <c r="AN14" s="49"/>
      <c r="AO14" s="49"/>
      <c r="AP14" s="49"/>
    </row>
    <row r="15" spans="1:43" s="50" customFormat="1" hidden="1" outlineLevel="1" x14ac:dyDescent="0.2">
      <c r="A15" s="53" t="s">
        <v>86</v>
      </c>
      <c r="B15" s="67">
        <f>3567-B13</f>
        <v>-6531</v>
      </c>
      <c r="C15" s="67">
        <f>8691-C13</f>
        <v>-1885</v>
      </c>
      <c r="D15" s="67">
        <f>10841-D13</f>
        <v>-488</v>
      </c>
      <c r="E15" s="67">
        <f>9714-E13</f>
        <v>-508</v>
      </c>
      <c r="F15" s="68">
        <v>0</v>
      </c>
      <c r="G15" s="68">
        <v>0</v>
      </c>
      <c r="H15" s="68">
        <v>0</v>
      </c>
      <c r="I15" s="68">
        <f t="shared" ref="I15:AD15" si="5">H15</f>
        <v>0</v>
      </c>
      <c r="J15" s="68">
        <f t="shared" si="5"/>
        <v>0</v>
      </c>
      <c r="K15" s="68">
        <f t="shared" si="5"/>
        <v>0</v>
      </c>
      <c r="L15" s="68">
        <f t="shared" si="5"/>
        <v>0</v>
      </c>
      <c r="M15" s="68">
        <f t="shared" si="5"/>
        <v>0</v>
      </c>
      <c r="N15" s="68">
        <f t="shared" si="5"/>
        <v>0</v>
      </c>
      <c r="O15" s="68">
        <f t="shared" si="5"/>
        <v>0</v>
      </c>
      <c r="P15" s="68">
        <f t="shared" si="5"/>
        <v>0</v>
      </c>
      <c r="Q15" s="68">
        <f>O15</f>
        <v>0</v>
      </c>
      <c r="R15" s="68">
        <f>AE15</f>
        <v>0</v>
      </c>
      <c r="S15" s="68">
        <f>Q15</f>
        <v>0</v>
      </c>
      <c r="T15" s="68">
        <f t="shared" si="5"/>
        <v>0</v>
      </c>
      <c r="U15" s="68">
        <f t="shared" si="5"/>
        <v>0</v>
      </c>
      <c r="V15" s="68">
        <f t="shared" si="5"/>
        <v>0</v>
      </c>
      <c r="W15" s="68">
        <v>0</v>
      </c>
      <c r="X15" s="68">
        <v>0</v>
      </c>
      <c r="Y15" s="78"/>
      <c r="Z15" s="1601">
        <f t="shared" si="5"/>
        <v>0</v>
      </c>
      <c r="AA15" s="79">
        <f t="shared" si="5"/>
        <v>0</v>
      </c>
      <c r="AB15" s="79">
        <f t="shared" si="5"/>
        <v>0</v>
      </c>
      <c r="AC15" s="79">
        <f t="shared" si="5"/>
        <v>0</v>
      </c>
      <c r="AD15" s="79">
        <f t="shared" si="5"/>
        <v>0</v>
      </c>
      <c r="AE15" s="65"/>
      <c r="AH15" s="52"/>
      <c r="AI15" s="52"/>
      <c r="AK15" s="49"/>
      <c r="AL15" s="49"/>
      <c r="AM15" s="49"/>
      <c r="AN15" s="49"/>
      <c r="AO15" s="49"/>
      <c r="AP15" s="49"/>
    </row>
    <row r="16" spans="1:43" s="50" customFormat="1" collapsed="1" x14ac:dyDescent="0.2">
      <c r="A16" s="70" t="s">
        <v>87</v>
      </c>
      <c r="B16" s="51">
        <f>B13+B14+B15</f>
        <v>3567</v>
      </c>
      <c r="C16" s="51">
        <f t="shared" ref="C16:N16" si="6">C13+C14+C15</f>
        <v>8691</v>
      </c>
      <c r="D16" s="51">
        <f t="shared" si="6"/>
        <v>10841</v>
      </c>
      <c r="E16" s="51">
        <f t="shared" si="6"/>
        <v>9714</v>
      </c>
      <c r="F16" s="51">
        <f t="shared" si="6"/>
        <v>10281</v>
      </c>
      <c r="G16" s="51">
        <f t="shared" si="6"/>
        <v>10559</v>
      </c>
      <c r="H16" s="51">
        <f>H13+H14+H15</f>
        <v>11028</v>
      </c>
      <c r="I16" s="51">
        <f t="shared" si="6"/>
        <v>11658</v>
      </c>
      <c r="J16" s="51">
        <f t="shared" si="6"/>
        <v>13615</v>
      </c>
      <c r="K16" s="51">
        <f t="shared" si="6"/>
        <v>14158</v>
      </c>
      <c r="L16" s="51">
        <f t="shared" si="6"/>
        <v>15044</v>
      </c>
      <c r="M16" s="70">
        <f t="shared" si="6"/>
        <v>18100</v>
      </c>
      <c r="N16" s="70">
        <f t="shared" si="6"/>
        <v>16482</v>
      </c>
      <c r="O16" s="70">
        <f>O13+O14+O15</f>
        <v>16940</v>
      </c>
      <c r="P16" s="70">
        <f>P13+P14+P15</f>
        <v>16376</v>
      </c>
      <c r="Q16" s="70">
        <f t="shared" ref="Q16:AD16" si="7">Q13+Q14+Q15</f>
        <v>21025</v>
      </c>
      <c r="R16" s="70">
        <f>R13+R14+R15</f>
        <v>21025</v>
      </c>
      <c r="S16" s="70">
        <f t="shared" si="7"/>
        <v>25098</v>
      </c>
      <c r="T16" s="70">
        <f t="shared" si="7"/>
        <v>16631</v>
      </c>
      <c r="U16" s="70">
        <f t="shared" si="7"/>
        <v>15133</v>
      </c>
      <c r="V16" s="70">
        <f t="shared" si="7"/>
        <v>19523</v>
      </c>
      <c r="W16" s="70">
        <f t="shared" ref="W16" si="8">W13+W14+W15</f>
        <v>23651</v>
      </c>
      <c r="X16" s="70">
        <f t="shared" si="7"/>
        <v>27716</v>
      </c>
      <c r="Y16" s="80">
        <f t="shared" ref="Y16" si="9">Y13+Y14+Y15</f>
        <v>31189</v>
      </c>
      <c r="Z16" s="1602">
        <f t="shared" si="7"/>
        <v>36690.105572645254</v>
      </c>
      <c r="AA16" s="81">
        <f t="shared" si="7"/>
        <v>40521.236480623185</v>
      </c>
      <c r="AB16" s="81">
        <f t="shared" si="7"/>
        <v>44358.539477611092</v>
      </c>
      <c r="AC16" s="81">
        <f t="shared" si="7"/>
        <v>47477.323753297635</v>
      </c>
      <c r="AD16" s="81">
        <f t="shared" si="7"/>
        <v>48855.523167259729</v>
      </c>
      <c r="AE16" s="65"/>
      <c r="AH16" s="52"/>
      <c r="AI16" s="52"/>
      <c r="AN16" s="53"/>
      <c r="AO16" s="53"/>
      <c r="AP16" s="53"/>
    </row>
    <row r="17" spans="1:42" s="50" customFormat="1" x14ac:dyDescent="0.2">
      <c r="A17" s="70"/>
      <c r="B17" s="51"/>
      <c r="C17" s="51"/>
      <c r="D17" s="51"/>
      <c r="E17" s="51"/>
      <c r="F17" s="51"/>
      <c r="G17" s="51"/>
      <c r="I17" s="52"/>
      <c r="J17" s="52"/>
      <c r="K17" s="52"/>
      <c r="M17" s="53"/>
      <c r="N17" s="53"/>
      <c r="O17" s="53"/>
      <c r="P17" s="53"/>
      <c r="Q17" s="53"/>
      <c r="S17" s="53"/>
      <c r="T17" s="53"/>
      <c r="U17" s="53"/>
      <c r="V17" s="53"/>
      <c r="W17" s="53"/>
      <c r="X17" s="53"/>
      <c r="Y17" s="55"/>
      <c r="Z17" s="65"/>
      <c r="AE17" s="65"/>
      <c r="AH17" s="52"/>
      <c r="AI17" s="52"/>
      <c r="AN17" s="53"/>
      <c r="AO17" s="53"/>
      <c r="AP17" s="53"/>
    </row>
    <row r="18" spans="1:42" s="50" customFormat="1" x14ac:dyDescent="0.2">
      <c r="A18" s="70" t="s">
        <v>88</v>
      </c>
      <c r="B18" s="51"/>
      <c r="C18" s="51"/>
      <c r="D18" s="51"/>
      <c r="E18" s="51"/>
      <c r="F18" s="51"/>
      <c r="G18" s="51"/>
      <c r="M18" s="53"/>
      <c r="N18" s="53"/>
      <c r="O18" s="53"/>
      <c r="P18" s="53"/>
      <c r="Q18" s="53"/>
      <c r="S18" s="53"/>
      <c r="T18" s="53"/>
      <c r="U18" s="53"/>
      <c r="V18" s="53"/>
      <c r="W18" s="53"/>
      <c r="X18" s="53"/>
      <c r="Y18" s="55"/>
      <c r="Z18" s="56"/>
      <c r="AE18" s="65"/>
      <c r="AH18" s="52"/>
      <c r="AI18" s="52"/>
      <c r="AN18" s="53"/>
      <c r="AO18" s="53"/>
      <c r="AP18" s="53"/>
    </row>
    <row r="19" spans="1:42" s="50" customFormat="1" x14ac:dyDescent="0.2">
      <c r="A19" s="50" t="str">
        <f>A4</f>
        <v>Propulsion</v>
      </c>
      <c r="B19" s="82"/>
      <c r="C19" s="82">
        <f t="shared" ref="C19:O19" si="10">+C4/B4-1</f>
        <v>4.1251448435689397E-2</v>
      </c>
      <c r="D19" s="82">
        <f t="shared" si="10"/>
        <v>0.12908969508123747</v>
      </c>
      <c r="E19" s="82">
        <f t="shared" si="10"/>
        <v>0.16637098363887248</v>
      </c>
      <c r="F19" s="82">
        <f t="shared" si="10"/>
        <v>-1.7407470001690073E-2</v>
      </c>
      <c r="G19" s="82">
        <f t="shared" si="10"/>
        <v>-2.42518059855521E-2</v>
      </c>
      <c r="H19" s="82">
        <f t="shared" si="10"/>
        <v>-1.2162876784770016E-2</v>
      </c>
      <c r="I19" s="82">
        <f t="shared" si="10"/>
        <v>9.0292648108494022E-2</v>
      </c>
      <c r="J19" s="82">
        <f t="shared" si="10"/>
        <v>0.146481178396072</v>
      </c>
      <c r="K19" s="82">
        <f t="shared" si="10"/>
        <v>8.3369022127051995E-2</v>
      </c>
      <c r="L19" s="82">
        <f t="shared" si="10"/>
        <v>7.4318091975227318E-2</v>
      </c>
      <c r="M19" s="83">
        <f t="shared" si="10"/>
        <v>0.14301484116276209</v>
      </c>
      <c r="N19" s="83">
        <f t="shared" si="10"/>
        <v>7.7261508745574137E-3</v>
      </c>
      <c r="O19" s="83">
        <f t="shared" si="10"/>
        <v>3.7269726333723829E-2</v>
      </c>
      <c r="P19" s="84" t="s">
        <v>89</v>
      </c>
      <c r="Q19" s="83">
        <f>+Q4/P4-1</f>
        <v>0.11702468739980754</v>
      </c>
      <c r="S19" s="83">
        <f>+S4/Q4-1</f>
        <v>0.1524110218140069</v>
      </c>
      <c r="T19" s="83">
        <f t="shared" ref="T19:AD20" si="11">+T4/S4-1</f>
        <v>-0.36380240763802407</v>
      </c>
      <c r="U19" s="83">
        <f t="shared" si="11"/>
        <v>-2.9231371525512251E-2</v>
      </c>
      <c r="V19" s="83">
        <f t="shared" si="11"/>
        <v>0.27785992740959808</v>
      </c>
      <c r="W19" s="83">
        <f t="shared" si="11"/>
        <v>0.24931622133389442</v>
      </c>
      <c r="X19" s="83">
        <f t="shared" si="11"/>
        <v>0.14954530144829903</v>
      </c>
      <c r="Y19" s="85">
        <f t="shared" si="11"/>
        <v>0.14767067096396125</v>
      </c>
      <c r="Z19" s="1603">
        <f t="shared" si="11"/>
        <v>0.22265212801589174</v>
      </c>
      <c r="AA19" s="25">
        <f t="shared" si="11"/>
        <v>0.10405824302292088</v>
      </c>
      <c r="AB19" s="25">
        <f t="shared" si="11"/>
        <v>0.10186366840592531</v>
      </c>
      <c r="AC19" s="25">
        <f t="shared" si="11"/>
        <v>6.2882901154484028E-2</v>
      </c>
      <c r="AD19" s="25">
        <f t="shared" si="11"/>
        <v>1.4321924307718614E-2</v>
      </c>
      <c r="AE19" s="65"/>
      <c r="AH19" s="52"/>
      <c r="AI19" s="52"/>
      <c r="AN19" s="53"/>
      <c r="AO19" s="53"/>
      <c r="AP19" s="53"/>
    </row>
    <row r="20" spans="1:42" s="50" customFormat="1" x14ac:dyDescent="0.2">
      <c r="A20" s="50" t="str">
        <f>A5</f>
        <v>Equipment, Defense &amp; Aerosystems</v>
      </c>
      <c r="B20" s="82"/>
      <c r="C20" s="82">
        <f t="shared" ref="C20:O21" si="12">+C7/B7-1</f>
        <v>0.1311401532221721</v>
      </c>
      <c r="D20" s="82">
        <f t="shared" si="12"/>
        <v>5.3386454183266929E-2</v>
      </c>
      <c r="E20" s="82">
        <f t="shared" si="12"/>
        <v>2.2314674735249618E-2</v>
      </c>
      <c r="F20" s="82">
        <f t="shared" si="12"/>
        <v>2.6637069922308632E-2</v>
      </c>
      <c r="G20" s="82">
        <f t="shared" si="12"/>
        <v>-2.8828828828828534E-3</v>
      </c>
      <c r="H20" s="82">
        <f t="shared" si="12"/>
        <v>2.4213950126490857E-2</v>
      </c>
      <c r="I20" s="82">
        <f t="shared" si="12"/>
        <v>9.2801693719124945E-2</v>
      </c>
      <c r="J20" s="82">
        <f t="shared" si="12"/>
        <v>0.191798514691637</v>
      </c>
      <c r="K20" s="82">
        <f t="shared" si="12"/>
        <v>0.10837171498238951</v>
      </c>
      <c r="L20" s="82">
        <f t="shared" si="12"/>
        <v>8.6775849425568374E-2</v>
      </c>
      <c r="M20" s="83">
        <f t="shared" si="12"/>
        <v>0.11178587494376968</v>
      </c>
      <c r="N20" s="83">
        <f t="shared" si="12"/>
        <v>4.0865870928585846E-2</v>
      </c>
      <c r="O20" s="83">
        <f t="shared" si="12"/>
        <v>5.2478134110787167E-2</v>
      </c>
      <c r="P20" s="84" t="s">
        <v>89</v>
      </c>
      <c r="Q20" s="83">
        <f>+Q7/P7-1</f>
        <v>2.5665399239543696E-2</v>
      </c>
      <c r="S20" s="83">
        <f>+S5/R5-1</f>
        <v>0.16544950893981358</v>
      </c>
      <c r="T20" s="83">
        <f t="shared" si="11"/>
        <v>-0.25529386343993088</v>
      </c>
      <c r="U20" s="83">
        <f t="shared" si="11"/>
        <v>-8.2402437255186367E-2</v>
      </c>
      <c r="V20" s="83">
        <f t="shared" si="11"/>
        <v>0.19130434782608696</v>
      </c>
      <c r="W20" s="83">
        <f t="shared" si="11"/>
        <v>0.17252820172528205</v>
      </c>
      <c r="X20" s="83">
        <f t="shared" si="11"/>
        <v>0.20181097906055467</v>
      </c>
      <c r="Y20" s="85">
        <f t="shared" si="11"/>
        <v>0.15859860614051602</v>
      </c>
      <c r="Z20" s="1603">
        <f t="shared" si="11"/>
        <v>0.19234582418457857</v>
      </c>
      <c r="AA20" s="25">
        <f t="shared" si="11"/>
        <v>8.2974274760136968E-2</v>
      </c>
      <c r="AB20" s="25">
        <f t="shared" si="11"/>
        <v>8.6867419885184871E-2</v>
      </c>
      <c r="AC20" s="25">
        <f t="shared" si="11"/>
        <v>7.8512336348979028E-2</v>
      </c>
      <c r="AD20" s="25">
        <f t="shared" si="11"/>
        <v>4.5038249241938111E-2</v>
      </c>
      <c r="AE20" s="65"/>
      <c r="AH20" s="52"/>
      <c r="AI20" s="52"/>
      <c r="AN20" s="53"/>
      <c r="AO20" s="53"/>
      <c r="AP20" s="53"/>
    </row>
    <row r="21" spans="1:42" s="50" customFormat="1" hidden="1" outlineLevel="1" x14ac:dyDescent="0.2">
      <c r="A21" s="50" t="str">
        <f>A8</f>
        <v>Defense</v>
      </c>
      <c r="B21" s="82"/>
      <c r="C21" s="82">
        <f t="shared" si="12"/>
        <v>6.212251941328728E-2</v>
      </c>
      <c r="D21" s="82">
        <f t="shared" si="12"/>
        <v>0.17384240454914712</v>
      </c>
      <c r="E21" s="82">
        <f t="shared" si="12"/>
        <v>0.10449826989619382</v>
      </c>
      <c r="F21" s="82">
        <f t="shared" si="12"/>
        <v>-0.36027568922305764</v>
      </c>
      <c r="G21" s="82">
        <f t="shared" si="12"/>
        <v>3.9177277179236025E-2</v>
      </c>
      <c r="H21" s="82">
        <f t="shared" si="12"/>
        <v>0.16870876531573997</v>
      </c>
      <c r="I21" s="82">
        <f t="shared" si="12"/>
        <v>1.9354838709677358E-2</v>
      </c>
      <c r="J21" s="82">
        <f t="shared" si="12"/>
        <v>4.0348101265822889E-2</v>
      </c>
      <c r="K21" s="82">
        <f t="shared" si="12"/>
        <v>-8.9733840304182522E-2</v>
      </c>
      <c r="L21" s="82">
        <f t="shared" si="12"/>
        <v>2.0050125313283207E-2</v>
      </c>
      <c r="M21" s="83">
        <f t="shared" si="12"/>
        <v>3.6855036855036882E-2</v>
      </c>
      <c r="N21" s="83">
        <f t="shared" si="12"/>
        <v>-2.2116903633491281E-2</v>
      </c>
      <c r="O21" s="83">
        <f t="shared" si="12"/>
        <v>8.6429725363489585E-2</v>
      </c>
      <c r="P21" s="84" t="s">
        <v>89</v>
      </c>
      <c r="Q21" s="86">
        <f>+Q8/P8-1</f>
        <v>5.3191489361702038E-2</v>
      </c>
      <c r="S21" s="83"/>
      <c r="T21" s="83"/>
      <c r="U21" s="83"/>
      <c r="V21" s="83"/>
      <c r="W21" s="83"/>
      <c r="X21" s="83"/>
      <c r="Y21" s="85"/>
      <c r="Z21" s="113"/>
      <c r="AA21" s="82"/>
      <c r="AB21" s="82"/>
      <c r="AC21" s="82"/>
      <c r="AD21" s="82"/>
      <c r="AE21" s="65"/>
      <c r="AH21" s="52"/>
      <c r="AI21" s="52"/>
      <c r="AN21" s="53"/>
      <c r="AO21" s="53"/>
      <c r="AP21" s="53"/>
    </row>
    <row r="22" spans="1:42" s="50" customFormat="1" ht="11.25" customHeight="1" collapsed="1" x14ac:dyDescent="0.2">
      <c r="A22" s="64" t="str">
        <f>A6</f>
        <v>Interiors</v>
      </c>
      <c r="B22" s="82"/>
      <c r="C22" s="82"/>
      <c r="D22" s="82"/>
      <c r="E22" s="82"/>
      <c r="F22" s="82"/>
      <c r="G22" s="82"/>
      <c r="H22" s="82"/>
      <c r="I22" s="82"/>
      <c r="J22" s="82"/>
      <c r="K22" s="82"/>
      <c r="L22" s="82"/>
      <c r="M22" s="83"/>
      <c r="N22" s="83"/>
      <c r="O22" s="83"/>
      <c r="P22" s="84"/>
      <c r="Q22" s="86"/>
      <c r="S22" s="83">
        <f t="shared" ref="S22:AD22" si="13">+S6/R6-1</f>
        <v>0.32258064516129026</v>
      </c>
      <c r="T22" s="83">
        <f t="shared" si="13"/>
        <v>-0.42125865703101473</v>
      </c>
      <c r="U22" s="83">
        <f t="shared" si="13"/>
        <v>-0.2325702393340271</v>
      </c>
      <c r="V22" s="83">
        <f t="shared" si="13"/>
        <v>0.34101694915254233</v>
      </c>
      <c r="W22" s="83">
        <f t="shared" si="13"/>
        <v>0.25227502527805856</v>
      </c>
      <c r="X22" s="83">
        <f t="shared" si="13"/>
        <v>0.22607993540573279</v>
      </c>
      <c r="Y22" s="85">
        <f t="shared" si="13"/>
        <v>0.10273296015805067</v>
      </c>
      <c r="Z22" s="1603">
        <f t="shared" si="13"/>
        <v>-5.0058613982212341E-2</v>
      </c>
      <c r="AA22" s="25">
        <f t="shared" si="13"/>
        <v>9.2618223760092544E-2</v>
      </c>
      <c r="AB22" s="25">
        <f t="shared" si="13"/>
        <v>8.7162917369932202E-2</v>
      </c>
      <c r="AC22" s="25">
        <f t="shared" si="13"/>
        <v>7.8806089759237974E-2</v>
      </c>
      <c r="AD22" s="25">
        <f t="shared" si="13"/>
        <v>4.5330182036228184E-2</v>
      </c>
      <c r="AE22" s="65"/>
      <c r="AH22" s="52"/>
      <c r="AI22" s="52"/>
      <c r="AN22" s="53"/>
      <c r="AO22" s="53"/>
      <c r="AP22" s="53"/>
    </row>
    <row r="23" spans="1:42" s="50" customFormat="1" x14ac:dyDescent="0.2">
      <c r="A23" s="70" t="s">
        <v>90</v>
      </c>
      <c r="B23" s="87"/>
      <c r="C23" s="88">
        <f t="shared" ref="C23:O23" si="14">+C13/B13-1</f>
        <v>4.7336106159635571E-2</v>
      </c>
      <c r="D23" s="88">
        <f t="shared" si="14"/>
        <v>7.1198940998487226E-2</v>
      </c>
      <c r="E23" s="88">
        <f t="shared" si="14"/>
        <v>-9.7713831759202008E-2</v>
      </c>
      <c r="F23" s="88">
        <f t="shared" si="14"/>
        <v>1.046761886127956E-2</v>
      </c>
      <c r="G23" s="88">
        <f t="shared" si="14"/>
        <v>1.1520960402749525E-2</v>
      </c>
      <c r="H23" s="88">
        <f t="shared" si="14"/>
        <v>2.9862174578866751E-2</v>
      </c>
      <c r="I23" s="88">
        <f t="shared" si="14"/>
        <v>9.0706319702602123E-2</v>
      </c>
      <c r="J23" s="88">
        <f t="shared" si="14"/>
        <v>0.15541922290388555</v>
      </c>
      <c r="K23" s="88">
        <f t="shared" si="14"/>
        <v>5.9218289085545717E-2</v>
      </c>
      <c r="L23" s="88">
        <f t="shared" si="14"/>
        <v>6.906635104086889E-2</v>
      </c>
      <c r="M23" s="89">
        <f t="shared" si="14"/>
        <v>0.13409312927385209</v>
      </c>
      <c r="N23" s="89">
        <f t="shared" si="14"/>
        <v>-9.3775123463879617E-2</v>
      </c>
      <c r="O23" s="89">
        <f t="shared" si="14"/>
        <v>4.6891831949813056E-2</v>
      </c>
      <c r="P23" s="90" t="s">
        <v>89</v>
      </c>
      <c r="Q23" s="89">
        <f t="shared" ref="Q23:AD23" si="15">+Q13/P13-1</f>
        <v>0.31950103428822163</v>
      </c>
      <c r="S23" s="89">
        <f>+S13/Q13-1</f>
        <v>0.17054631828978617</v>
      </c>
      <c r="T23" s="89">
        <f>+T13/S13-1</f>
        <v>-0.33043831168831173</v>
      </c>
      <c r="U23" s="89">
        <f>+U13/T13-1</f>
        <v>-7.5221238938053103E-2</v>
      </c>
      <c r="V23" s="89">
        <f t="shared" si="15"/>
        <v>0.24762404142360883</v>
      </c>
      <c r="W23" s="89">
        <f t="shared" si="15"/>
        <v>0.21875492513790395</v>
      </c>
      <c r="X23" s="89">
        <f t="shared" si="15"/>
        <v>0.17750765119186163</v>
      </c>
      <c r="Y23" s="91">
        <f t="shared" si="15"/>
        <v>0.14686825053995678</v>
      </c>
      <c r="Z23" s="1604">
        <f t="shared" si="15"/>
        <v>0.18152847434151287</v>
      </c>
      <c r="AA23" s="92">
        <f t="shared" si="15"/>
        <v>9.4692049683589907E-2</v>
      </c>
      <c r="AB23" s="92">
        <f t="shared" si="15"/>
        <v>9.4698566240022375E-2</v>
      </c>
      <c r="AC23" s="92">
        <f t="shared" si="15"/>
        <v>7.0308542896473813E-2</v>
      </c>
      <c r="AD23" s="92">
        <f t="shared" si="15"/>
        <v>2.9028582594998742E-2</v>
      </c>
      <c r="AE23" s="65"/>
      <c r="AH23" s="52"/>
      <c r="AI23" s="52"/>
      <c r="AN23" s="53"/>
      <c r="AO23" s="53"/>
      <c r="AP23" s="53"/>
    </row>
    <row r="24" spans="1:42" s="50" customFormat="1" x14ac:dyDescent="0.2">
      <c r="A24" s="70"/>
      <c r="B24" s="51"/>
      <c r="C24" s="51"/>
      <c r="D24" s="51"/>
      <c r="E24" s="51"/>
      <c r="F24" s="51"/>
      <c r="G24" s="51"/>
      <c r="H24" s="51"/>
      <c r="I24" s="52"/>
      <c r="J24" s="93"/>
      <c r="K24" s="93"/>
      <c r="L24" s="51"/>
      <c r="M24" s="94"/>
      <c r="N24" s="94"/>
      <c r="O24" s="94"/>
      <c r="P24" s="94"/>
      <c r="Q24" s="94"/>
      <c r="S24" s="94"/>
      <c r="T24" s="94"/>
      <c r="U24" s="94"/>
      <c r="V24" s="94"/>
      <c r="W24" s="94"/>
      <c r="X24" s="94"/>
      <c r="Y24" s="95"/>
      <c r="Z24" s="1605"/>
      <c r="AA24" s="93"/>
      <c r="AB24" s="93"/>
      <c r="AC24" s="93"/>
      <c r="AD24" s="93"/>
      <c r="AE24" s="65"/>
      <c r="AH24" s="52"/>
      <c r="AI24" s="52"/>
      <c r="AN24" s="53"/>
      <c r="AO24" s="53"/>
      <c r="AP24" s="53"/>
    </row>
    <row r="25" spans="1:42" s="50" customFormat="1" x14ac:dyDescent="0.2">
      <c r="A25" s="70" t="s">
        <v>91</v>
      </c>
      <c r="B25" s="51"/>
      <c r="C25" s="51"/>
      <c r="D25" s="51"/>
      <c r="E25" s="51"/>
      <c r="F25" s="51"/>
      <c r="G25" s="51"/>
      <c r="H25" s="51"/>
      <c r="I25" s="52"/>
      <c r="J25" s="93"/>
      <c r="K25" s="93"/>
      <c r="L25" s="51"/>
      <c r="M25" s="94"/>
      <c r="N25" s="94"/>
      <c r="O25" s="94"/>
      <c r="P25" s="94"/>
      <c r="Q25" s="94"/>
      <c r="S25" s="94"/>
      <c r="T25" s="94"/>
      <c r="U25" s="94"/>
      <c r="V25" s="94"/>
      <c r="W25" s="94"/>
      <c r="X25" s="94"/>
      <c r="Y25" s="95"/>
      <c r="Z25" s="1605"/>
      <c r="AA25" s="93"/>
      <c r="AB25" s="93"/>
      <c r="AC25" s="93"/>
      <c r="AD25" s="93"/>
      <c r="AE25" s="65"/>
      <c r="AH25" s="52"/>
      <c r="AI25" s="52"/>
      <c r="AN25" s="53"/>
      <c r="AO25" s="53"/>
      <c r="AP25" s="53"/>
    </row>
    <row r="26" spans="1:42" s="50" customFormat="1" x14ac:dyDescent="0.2">
      <c r="A26" s="53" t="str">
        <f>A19</f>
        <v>Propulsion</v>
      </c>
      <c r="B26" s="51"/>
      <c r="C26" s="51"/>
      <c r="D26" s="51"/>
      <c r="E26" s="51"/>
      <c r="F26" s="51"/>
      <c r="G26" s="51"/>
      <c r="H26" s="51"/>
      <c r="I26" s="52"/>
      <c r="J26" s="93"/>
      <c r="K26" s="93"/>
      <c r="L26" s="51"/>
      <c r="M26" s="94"/>
      <c r="N26" s="94"/>
      <c r="O26" s="94"/>
      <c r="P26" s="94"/>
      <c r="Q26" s="83">
        <v>0.13600000000000001</v>
      </c>
      <c r="S26" s="83">
        <v>0.108</v>
      </c>
      <c r="T26" s="83">
        <v>-0.36199999999999999</v>
      </c>
      <c r="U26" s="83">
        <v>-1.0999999999999999E-2</v>
      </c>
      <c r="V26" s="83">
        <v>0.183</v>
      </c>
      <c r="W26" s="151">
        <v>0.26700000000000002</v>
      </c>
      <c r="X26" s="151">
        <v>0.15</v>
      </c>
      <c r="Y26" s="96">
        <v>0.17599999999999999</v>
      </c>
      <c r="Z26" s="1603">
        <f>Propulsion!BD11</f>
        <v>0.23829175218433524</v>
      </c>
      <c r="AA26" s="97">
        <f>Propulsion!BL11</f>
        <v>0.11085617363530563</v>
      </c>
      <c r="AB26" s="97">
        <f>Propulsion!BT11</f>
        <v>0.10519755337242261</v>
      </c>
      <c r="AC26" s="97">
        <f>Propulsion!CB11</f>
        <v>7.3688502509027712E-2</v>
      </c>
      <c r="AD26" s="97">
        <f>Propulsion!CJ11</f>
        <v>5.4069205625508626E-2</v>
      </c>
      <c r="AE26" s="65"/>
      <c r="AH26" s="52"/>
      <c r="AI26" s="52"/>
      <c r="AN26" s="53"/>
      <c r="AO26" s="53"/>
      <c r="AP26" s="53"/>
    </row>
    <row r="27" spans="1:42" s="50" customFormat="1" x14ac:dyDescent="0.2">
      <c r="A27" s="50" t="str">
        <f>A20</f>
        <v>Equipment, Defense &amp; Aerosystems</v>
      </c>
      <c r="B27" s="51"/>
      <c r="C27" s="51"/>
      <c r="D27" s="51"/>
      <c r="E27" s="51"/>
      <c r="F27" s="51"/>
      <c r="G27" s="51"/>
      <c r="H27" s="51"/>
      <c r="I27" s="52"/>
      <c r="J27" s="93"/>
      <c r="K27" s="93"/>
      <c r="L27" s="51"/>
      <c r="M27" s="94"/>
      <c r="N27" s="94"/>
      <c r="O27" s="94"/>
      <c r="P27" s="94"/>
      <c r="Q27" s="83"/>
      <c r="S27" s="83">
        <v>7.3999999999999996E-2</v>
      </c>
      <c r="T27" s="83">
        <v>-0.25</v>
      </c>
      <c r="U27" s="83">
        <v>-6.3E-2</v>
      </c>
      <c r="V27" s="83">
        <v>0.106</v>
      </c>
      <c r="W27" s="151">
        <v>0.17299999999999999</v>
      </c>
      <c r="X27" s="151">
        <v>0.17699999999999999</v>
      </c>
      <c r="Y27" s="96">
        <v>0.114</v>
      </c>
      <c r="Z27" s="1603">
        <f>'Equipment &amp; Defense'!BB17</f>
        <v>0.11523126320923427</v>
      </c>
      <c r="AA27" s="97">
        <f>'Equipment &amp; Defense'!BJ17</f>
        <v>9.0356051000044568E-2</v>
      </c>
      <c r="AB27" s="97">
        <f>'Equipment &amp; Defense'!BR17</f>
        <v>9.0492797528689439E-2</v>
      </c>
      <c r="AC27" s="97">
        <f>'Equipment &amp; Defense'!BZ17</f>
        <v>9.0628318347749245E-2</v>
      </c>
      <c r="AD27" s="97">
        <f>'Equipment &amp; Defense'!CH17</f>
        <v>9.0764119876743293E-2</v>
      </c>
      <c r="AE27" s="65"/>
      <c r="AH27" s="52"/>
      <c r="AI27" s="52"/>
      <c r="AN27" s="53"/>
      <c r="AO27" s="53"/>
      <c r="AP27" s="53"/>
    </row>
    <row r="28" spans="1:42" s="50" customFormat="1" x14ac:dyDescent="0.2">
      <c r="A28" s="50" t="str">
        <f>A22</f>
        <v>Interiors</v>
      </c>
      <c r="B28" s="51"/>
      <c r="C28" s="51"/>
      <c r="D28" s="51"/>
      <c r="E28" s="51"/>
      <c r="F28" s="51"/>
      <c r="G28" s="51"/>
      <c r="H28" s="51"/>
      <c r="I28" s="52"/>
      <c r="J28" s="93"/>
      <c r="K28" s="93"/>
      <c r="L28" s="51"/>
      <c r="M28" s="94"/>
      <c r="N28" s="94"/>
      <c r="O28" s="94"/>
      <c r="P28" s="94"/>
      <c r="Q28" s="83"/>
      <c r="S28" s="83">
        <v>8.7999999999999995E-2</v>
      </c>
      <c r="T28" s="83">
        <v>-0.40400000000000003</v>
      </c>
      <c r="U28" s="83">
        <v>-0.19900000000000001</v>
      </c>
      <c r="V28" s="83">
        <v>0.251</v>
      </c>
      <c r="W28" s="151">
        <v>0.32800000000000001</v>
      </c>
      <c r="X28" s="151">
        <v>0.252</v>
      </c>
      <c r="Y28" s="96">
        <v>0.14199999999999999</v>
      </c>
      <c r="Z28" s="1603">
        <f>Interiors!AM16</f>
        <v>0.125</v>
      </c>
      <c r="AA28" s="97">
        <f>Interiors!AU16</f>
        <v>0.10000000000000002</v>
      </c>
      <c r="AB28" s="97">
        <f>Interiors!BC16</f>
        <v>9.078829501343684E-2</v>
      </c>
      <c r="AC28" s="97">
        <f>Interiors!BK16</f>
        <v>9.0922071758008358E-2</v>
      </c>
      <c r="AD28" s="97">
        <f>Interiors!BS16</f>
        <v>9.1056052671033491E-2</v>
      </c>
      <c r="AE28" s="65"/>
      <c r="AH28" s="52"/>
      <c r="AI28" s="52"/>
      <c r="AN28" s="53"/>
      <c r="AO28" s="53"/>
      <c r="AP28" s="53"/>
    </row>
    <row r="29" spans="1:42" s="50" customFormat="1" hidden="1" outlineLevel="1" x14ac:dyDescent="0.2">
      <c r="A29" s="98" t="s">
        <v>69</v>
      </c>
      <c r="B29" s="51"/>
      <c r="C29" s="51"/>
      <c r="D29" s="51"/>
      <c r="E29" s="51"/>
      <c r="F29" s="51"/>
      <c r="G29" s="51"/>
      <c r="H29" s="51"/>
      <c r="I29" s="52"/>
      <c r="J29" s="93"/>
      <c r="K29" s="93"/>
      <c r="L29" s="51"/>
      <c r="M29" s="94"/>
      <c r="N29" s="94"/>
      <c r="O29" s="94"/>
      <c r="P29" s="94"/>
      <c r="Q29" s="83">
        <v>5.6000000000000001E-2</v>
      </c>
      <c r="S29" s="89"/>
      <c r="T29" s="94"/>
      <c r="U29" s="94"/>
      <c r="V29" s="94"/>
      <c r="W29" s="462"/>
      <c r="X29" s="462"/>
      <c r="Y29" s="99"/>
      <c r="Z29" s="1605"/>
      <c r="AA29" s="93"/>
      <c r="AB29" s="93"/>
      <c r="AC29" s="93"/>
      <c r="AD29" s="93"/>
      <c r="AE29" s="65"/>
      <c r="AH29" s="52"/>
      <c r="AI29" s="52"/>
      <c r="AN29" s="53"/>
      <c r="AO29" s="53"/>
      <c r="AP29" s="53"/>
    </row>
    <row r="30" spans="1:42" s="50" customFormat="1" hidden="1" outlineLevel="1" x14ac:dyDescent="0.2">
      <c r="A30" s="98" t="s">
        <v>80</v>
      </c>
      <c r="B30" s="51"/>
      <c r="C30" s="51"/>
      <c r="D30" s="51"/>
      <c r="E30" s="51"/>
      <c r="F30" s="51"/>
      <c r="G30" s="51"/>
      <c r="H30" s="51"/>
      <c r="I30" s="52"/>
      <c r="J30" s="93"/>
      <c r="K30" s="93"/>
      <c r="L30" s="51"/>
      <c r="M30" s="94"/>
      <c r="N30" s="94"/>
      <c r="O30" s="94"/>
      <c r="P30" s="94"/>
      <c r="Q30" s="83">
        <v>6.5000000000000002E-2</v>
      </c>
      <c r="S30" s="89"/>
      <c r="T30" s="94"/>
      <c r="U30" s="94"/>
      <c r="V30" s="94"/>
      <c r="W30" s="462"/>
      <c r="X30" s="462"/>
      <c r="Y30" s="99"/>
      <c r="Z30" s="1605"/>
      <c r="AA30" s="93"/>
      <c r="AB30" s="93"/>
      <c r="AC30" s="93"/>
      <c r="AD30" s="93"/>
      <c r="AE30" s="65"/>
      <c r="AH30" s="52"/>
      <c r="AI30" s="52"/>
      <c r="AN30" s="53"/>
      <c r="AO30" s="53"/>
      <c r="AP30" s="53"/>
    </row>
    <row r="31" spans="1:42" s="50" customFormat="1" hidden="1" outlineLevel="1" x14ac:dyDescent="0.2">
      <c r="A31" s="98" t="s">
        <v>81</v>
      </c>
      <c r="B31" s="51"/>
      <c r="C31" s="51"/>
      <c r="D31" s="51"/>
      <c r="E31" s="51"/>
      <c r="F31" s="51"/>
      <c r="G31" s="51"/>
      <c r="H31" s="51"/>
      <c r="I31" s="52"/>
      <c r="J31" s="93"/>
      <c r="K31" s="93"/>
      <c r="L31" s="51"/>
      <c r="M31" s="94"/>
      <c r="N31" s="94"/>
      <c r="O31" s="94"/>
      <c r="P31" s="94"/>
      <c r="Q31" s="83"/>
      <c r="S31" s="89"/>
      <c r="T31" s="94"/>
      <c r="U31" s="94"/>
      <c r="V31" s="94"/>
      <c r="W31" s="462"/>
      <c r="X31" s="462"/>
      <c r="Y31" s="99"/>
      <c r="Z31" s="1605"/>
      <c r="AA31" s="93"/>
      <c r="AB31" s="93"/>
      <c r="AC31" s="93"/>
      <c r="AD31" s="93"/>
      <c r="AE31" s="65"/>
      <c r="AH31" s="52"/>
      <c r="AI31" s="52"/>
      <c r="AN31" s="53"/>
      <c r="AO31" s="53"/>
      <c r="AP31" s="53"/>
    </row>
    <row r="32" spans="1:42" s="50" customFormat="1" collapsed="1" x14ac:dyDescent="0.2">
      <c r="A32" s="70" t="s">
        <v>92</v>
      </c>
      <c r="B32" s="51"/>
      <c r="C32" s="51"/>
      <c r="D32" s="51"/>
      <c r="E32" s="51"/>
      <c r="F32" s="51"/>
      <c r="G32" s="51"/>
      <c r="H32" s="51"/>
      <c r="I32" s="52"/>
      <c r="J32" s="93"/>
      <c r="K32" s="93"/>
      <c r="L32" s="51"/>
      <c r="M32" s="94"/>
      <c r="N32" s="94"/>
      <c r="O32" s="94"/>
      <c r="P32" s="94"/>
      <c r="Q32" s="89">
        <f>1654/P13</f>
        <v>0.1036795587036921</v>
      </c>
      <c r="S32" s="89">
        <f>1957/R13</f>
        <v>9.2969121140142524E-2</v>
      </c>
      <c r="T32" s="89">
        <f>SUMPRODUCT(S4:S6,T26:T28)/S13</f>
        <v>-0.32532362012987015</v>
      </c>
      <c r="U32" s="89">
        <f>U35-U34-U33</f>
        <v>-5.4430840101830524E-2</v>
      </c>
      <c r="V32" s="89">
        <f t="shared" ref="V32:AD32" si="16">SUMPRODUCT(U4:U6,V26:V28)/U13</f>
        <v>0.15743671757226188</v>
      </c>
      <c r="W32" s="653">
        <f t="shared" si="16"/>
        <v>0.23590443919096402</v>
      </c>
      <c r="X32" s="653">
        <f t="shared" si="16"/>
        <v>0.17110215957584377</v>
      </c>
      <c r="Y32" s="100">
        <f t="shared" si="16"/>
        <v>0.14805644836548668</v>
      </c>
      <c r="Z32" s="1604">
        <f t="shared" si="16"/>
        <v>0.1777827307997116</v>
      </c>
      <c r="AA32" s="92">
        <f t="shared" si="16"/>
        <v>0.10176968089640287</v>
      </c>
      <c r="AB32" s="92">
        <f t="shared" si="16"/>
        <v>9.8170905693367408E-2</v>
      </c>
      <c r="AC32" s="92">
        <f t="shared" si="16"/>
        <v>8.1733368651934341E-2</v>
      </c>
      <c r="AD32" s="92">
        <f t="shared" si="16"/>
        <v>7.1625686709338443E-2</v>
      </c>
      <c r="AE32" s="65"/>
      <c r="AH32" s="52"/>
      <c r="AI32" s="52"/>
      <c r="AN32" s="53"/>
      <c r="AO32" s="53"/>
      <c r="AP32" s="53"/>
    </row>
    <row r="33" spans="1:43" s="50" customFormat="1" x14ac:dyDescent="0.2">
      <c r="A33" s="53" t="s">
        <v>93</v>
      </c>
      <c r="B33" s="51"/>
      <c r="C33" s="51"/>
      <c r="D33" s="51"/>
      <c r="E33" s="51"/>
      <c r="F33" s="51"/>
      <c r="G33" s="51"/>
      <c r="H33" s="51"/>
      <c r="I33" s="52"/>
      <c r="J33" s="93"/>
      <c r="K33" s="93"/>
      <c r="L33" s="51"/>
      <c r="M33" s="94"/>
      <c r="N33" s="94"/>
      <c r="O33" s="94"/>
      <c r="P33" s="94"/>
      <c r="Q33" s="83">
        <f>-338/P13</f>
        <v>-2.1187237510186172E-2</v>
      </c>
      <c r="S33" s="83">
        <f>704/R13</f>
        <v>3.3444180522565321E-2</v>
      </c>
      <c r="T33" s="83">
        <f>-95/S13</f>
        <v>-3.8555194805194805E-3</v>
      </c>
      <c r="U33" s="83">
        <f>-316/T13</f>
        <v>-1.915383682870651E-2</v>
      </c>
      <c r="V33" s="83">
        <f>V35-V34-V32</f>
        <v>9.1187323851346952E-2</v>
      </c>
      <c r="W33" s="151">
        <f>W35-W34-W32</f>
        <v>-1.614951405306006E-2</v>
      </c>
      <c r="X33" s="151">
        <v>1E-3</v>
      </c>
      <c r="Y33" s="96">
        <v>-3.2000000000000001E-2</v>
      </c>
      <c r="Z33" s="1606">
        <v>-1.5309435122851323E-2</v>
      </c>
      <c r="AA33" s="22">
        <v>-7.3817762399076559E-3</v>
      </c>
      <c r="AB33" s="22">
        <v>-3.6253776435045681E-3</v>
      </c>
      <c r="AC33" s="22">
        <v>-1.2115981998770398E-2</v>
      </c>
      <c r="AD33" s="22">
        <v>-4.5725870634805044E-2</v>
      </c>
      <c r="AE33" s="65"/>
      <c r="AH33" s="52"/>
      <c r="AI33" s="52"/>
      <c r="AN33" s="53"/>
      <c r="AO33" s="53"/>
      <c r="AP33" s="53"/>
    </row>
    <row r="34" spans="1:43" s="50" customFormat="1" x14ac:dyDescent="0.2">
      <c r="A34" s="53" t="s">
        <v>94</v>
      </c>
      <c r="B34" s="51"/>
      <c r="C34" s="51"/>
      <c r="D34" s="51"/>
      <c r="E34" s="51"/>
      <c r="F34" s="51"/>
      <c r="G34" s="51"/>
      <c r="H34" s="51"/>
      <c r="I34" s="52"/>
      <c r="J34" s="93"/>
      <c r="K34" s="93"/>
      <c r="L34" s="51"/>
      <c r="M34" s="94"/>
      <c r="N34" s="94"/>
      <c r="O34" s="94"/>
      <c r="P34" s="94"/>
      <c r="Q34" s="83">
        <f>3781/P13</f>
        <v>0.23700871309471572</v>
      </c>
      <c r="S34" s="83">
        <f>929/R13</f>
        <v>4.4133016627078386E-2</v>
      </c>
      <c r="T34" s="83">
        <f>-37/S13</f>
        <v>-1.5016233766233767E-3</v>
      </c>
      <c r="U34" s="83">
        <f>-27/T13</f>
        <v>-1.6365620075160625E-3</v>
      </c>
      <c r="V34" s="83">
        <v>-1E-3</v>
      </c>
      <c r="W34" s="151">
        <v>-1E-3</v>
      </c>
      <c r="X34" s="151">
        <v>6.0000000000000001E-3</v>
      </c>
      <c r="Y34" s="96">
        <v>0.03</v>
      </c>
      <c r="Z34" s="1606">
        <f>((Propulsion!BD12*Propulsion!AV9)+('Equipment &amp; Defense'!BB18*'Equipment &amp; Defense'!AT15)+(Interiors!AM17*Interiors!AE14))/Y13</f>
        <v>1.9215423409620479E-2</v>
      </c>
      <c r="AA34" s="22">
        <f>((Propulsion!BL12*Propulsion!BD9)+('Equipment &amp; Defense'!BJ18*'Equipment &amp; Defense'!BB15)+(Interiors!AU17*Interiors!AM14))/Z13</f>
        <v>0</v>
      </c>
      <c r="AB34" s="22">
        <f>((Propulsion!BT12*Propulsion!BL9)+('Equipment &amp; Defense'!BR18*'Equipment &amp; Defense'!BJ15)+(Interiors!BC17*Interiors!AU14))/AA13</f>
        <v>0</v>
      </c>
      <c r="AC34" s="22">
        <f>((Propulsion!CB12*Propulsion!BT9)+('Equipment &amp; Defense'!BZ18*'Equipment &amp; Defense'!BR15)+(Interiors!BK17*Interiors!BC14))/AB13</f>
        <v>0</v>
      </c>
      <c r="AD34" s="22">
        <f>((Propulsion!CJ12*Propulsion!CB9)+('Equipment &amp; Defense'!CH18*'Equipment &amp; Defense'!BZ15)+(Interiors!BS17*Interiors!BK14))/AC13</f>
        <v>0</v>
      </c>
      <c r="AE34" s="65"/>
      <c r="AH34" s="52"/>
      <c r="AI34" s="52"/>
      <c r="AN34" s="53"/>
      <c r="AO34" s="53"/>
      <c r="AP34" s="53"/>
    </row>
    <row r="35" spans="1:43" s="50" customFormat="1" x14ac:dyDescent="0.2">
      <c r="A35" s="70" t="s">
        <v>95</v>
      </c>
      <c r="B35" s="51"/>
      <c r="C35" s="51"/>
      <c r="D35" s="51"/>
      <c r="E35" s="51"/>
      <c r="F35" s="51"/>
      <c r="G35" s="51"/>
      <c r="H35" s="51"/>
      <c r="I35" s="52"/>
      <c r="J35" s="93"/>
      <c r="K35" s="93"/>
      <c r="L35" s="51"/>
      <c r="M35" s="94"/>
      <c r="N35" s="94"/>
      <c r="O35" s="94"/>
      <c r="P35" s="94"/>
      <c r="Q35" s="89">
        <f>Q32+Q33+Q34</f>
        <v>0.31950103428822163</v>
      </c>
      <c r="S35" s="89">
        <f t="shared" ref="S35:AD35" si="17">S13/R13-1</f>
        <v>0.17054631828978617</v>
      </c>
      <c r="T35" s="89">
        <f t="shared" si="17"/>
        <v>-0.33043831168831173</v>
      </c>
      <c r="U35" s="89">
        <f t="shared" si="17"/>
        <v>-7.5221238938053103E-2</v>
      </c>
      <c r="V35" s="89">
        <f t="shared" si="17"/>
        <v>0.24762404142360883</v>
      </c>
      <c r="W35" s="89">
        <f t="shared" si="17"/>
        <v>0.21875492513790395</v>
      </c>
      <c r="X35" s="89">
        <f t="shared" si="17"/>
        <v>0.17750765119186163</v>
      </c>
      <c r="Y35" s="91">
        <f t="shared" si="17"/>
        <v>0.14686825053995678</v>
      </c>
      <c r="Z35" s="1604">
        <f t="shared" si="17"/>
        <v>0.18152847434151287</v>
      </c>
      <c r="AA35" s="92">
        <f t="shared" si="17"/>
        <v>9.4692049683589907E-2</v>
      </c>
      <c r="AB35" s="92">
        <f t="shared" si="17"/>
        <v>9.4698566240022375E-2</v>
      </c>
      <c r="AC35" s="92">
        <f t="shared" si="17"/>
        <v>7.0308542896473813E-2</v>
      </c>
      <c r="AD35" s="92">
        <f t="shared" si="17"/>
        <v>2.9028582594998742E-2</v>
      </c>
      <c r="AE35" s="65"/>
      <c r="AH35" s="52"/>
      <c r="AI35" s="52"/>
      <c r="AN35" s="53"/>
      <c r="AO35" s="53"/>
      <c r="AP35" s="53"/>
    </row>
    <row r="36" spans="1:43" s="50" customFormat="1" x14ac:dyDescent="0.2">
      <c r="A36" s="70"/>
      <c r="B36" s="51"/>
      <c r="C36" s="51"/>
      <c r="D36" s="51"/>
      <c r="E36" s="51"/>
      <c r="F36" s="51"/>
      <c r="G36" s="51"/>
      <c r="H36" s="51"/>
      <c r="I36" s="52"/>
      <c r="J36" s="93"/>
      <c r="K36" s="93"/>
      <c r="L36" s="51"/>
      <c r="M36" s="94"/>
      <c r="N36" s="94"/>
      <c r="O36" s="94"/>
      <c r="P36" s="94"/>
      <c r="Q36" s="94"/>
      <c r="S36" s="94"/>
      <c r="T36" s="94"/>
      <c r="U36" s="94"/>
      <c r="V36" s="94"/>
      <c r="W36" s="94"/>
      <c r="X36" s="94"/>
      <c r="Y36" s="95"/>
      <c r="Z36" s="1605"/>
      <c r="AA36" s="93"/>
      <c r="AB36" s="93"/>
      <c r="AC36" s="93"/>
      <c r="AD36" s="93"/>
      <c r="AE36" s="65"/>
      <c r="AH36" s="52"/>
      <c r="AI36" s="52"/>
      <c r="AN36" s="53"/>
      <c r="AO36" s="53"/>
      <c r="AP36" s="53"/>
    </row>
    <row r="37" spans="1:43" s="50" customFormat="1" x14ac:dyDescent="0.2">
      <c r="A37" s="70" t="s">
        <v>96</v>
      </c>
      <c r="C37" s="52"/>
      <c r="G37" s="101"/>
      <c r="H37" s="102"/>
      <c r="I37" s="102"/>
      <c r="J37" s="103"/>
      <c r="K37" s="103"/>
      <c r="L37" s="103"/>
      <c r="M37" s="104"/>
      <c r="N37" s="104"/>
      <c r="O37" s="104"/>
      <c r="P37" s="104"/>
      <c r="Q37" s="104"/>
      <c r="S37" s="104"/>
      <c r="T37" s="104"/>
      <c r="U37" s="104"/>
      <c r="V37" s="104"/>
      <c r="W37" s="104"/>
      <c r="X37" s="104"/>
      <c r="Y37" s="105"/>
      <c r="Z37" s="1607"/>
      <c r="AA37" s="103"/>
      <c r="AB37" s="103"/>
      <c r="AC37" s="103"/>
      <c r="AD37" s="103"/>
      <c r="AE37" s="56"/>
      <c r="AN37" s="53"/>
      <c r="AO37" s="53"/>
      <c r="AP37" s="53"/>
      <c r="AQ37" s="53"/>
    </row>
    <row r="38" spans="1:43" s="50" customFormat="1" x14ac:dyDescent="0.2">
      <c r="A38" s="53" t="str">
        <f>A4</f>
        <v>Propulsion</v>
      </c>
      <c r="B38" s="50">
        <v>392</v>
      </c>
      <c r="C38" s="50">
        <v>456</v>
      </c>
      <c r="D38" s="50">
        <v>577</v>
      </c>
      <c r="E38" s="50">
        <v>636</v>
      </c>
      <c r="F38" s="50">
        <v>594</v>
      </c>
      <c r="G38" s="50">
        <v>628</v>
      </c>
      <c r="H38" s="50">
        <v>663</v>
      </c>
      <c r="I38" s="50">
        <v>909</v>
      </c>
      <c r="J38" s="50">
        <v>1076</v>
      </c>
      <c r="K38" s="50">
        <v>1358</v>
      </c>
      <c r="L38" s="50">
        <v>1633</v>
      </c>
      <c r="M38" s="50">
        <v>1833</v>
      </c>
      <c r="N38" s="50">
        <v>1786</v>
      </c>
      <c r="O38" s="50">
        <v>1729</v>
      </c>
      <c r="P38" s="50">
        <v>1516</v>
      </c>
      <c r="Q38" s="50">
        <v>1929</v>
      </c>
      <c r="R38" s="50">
        <v>2030</v>
      </c>
      <c r="S38" s="50">
        <v>2485</v>
      </c>
      <c r="T38" s="50">
        <v>1192</v>
      </c>
      <c r="U38" s="50">
        <v>1342</v>
      </c>
      <c r="V38" s="50">
        <v>1710</v>
      </c>
      <c r="W38" s="53">
        <v>2390</v>
      </c>
      <c r="X38" s="53">
        <v>2819</v>
      </c>
      <c r="Y38" s="55">
        <v>3600</v>
      </c>
      <c r="Z38" s="1596">
        <f>Propulsion!BD22</f>
        <v>4661.597319582148</v>
      </c>
      <c r="AA38" s="106">
        <f>Propulsion!BL22</f>
        <v>5204.1799175269916</v>
      </c>
      <c r="AB38" s="106">
        <f>Propulsion!BT22</f>
        <v>5588.3099795433955</v>
      </c>
      <c r="AC38" s="106">
        <f>Propulsion!CB22</f>
        <v>5887.3211688426318</v>
      </c>
      <c r="AD38" s="106">
        <f>Propulsion!CJ22</f>
        <v>6117.1660477740452</v>
      </c>
      <c r="AE38" s="107"/>
      <c r="AG38" s="60"/>
      <c r="AN38" s="53"/>
      <c r="AO38" s="53"/>
      <c r="AP38" s="53"/>
      <c r="AQ38" s="53"/>
    </row>
    <row r="39" spans="1:43" s="50" customFormat="1" x14ac:dyDescent="0.2">
      <c r="A39" s="50" t="str">
        <f>A5</f>
        <v>Equipment, Defense &amp; Aerosystems</v>
      </c>
      <c r="R39" s="50">
        <v>992</v>
      </c>
      <c r="S39" s="50">
        <v>1209</v>
      </c>
      <c r="T39" s="50">
        <v>687</v>
      </c>
      <c r="U39" s="50">
        <v>650</v>
      </c>
      <c r="V39" s="50">
        <v>874</v>
      </c>
      <c r="W39" s="53">
        <v>992</v>
      </c>
      <c r="X39" s="53">
        <v>1298</v>
      </c>
      <c r="Y39" s="55">
        <v>1565</v>
      </c>
      <c r="Z39" s="1596">
        <f>'Equipment &amp; Defense'!BB21</f>
        <v>1980.2121744310227</v>
      </c>
      <c r="AA39" s="106">
        <f>'Equipment &amp; Defense'!BJ21</f>
        <v>2303.3720911404916</v>
      </c>
      <c r="AB39" s="106">
        <f>'Equipment &amp; Defense'!BR21</f>
        <v>2589.7862914483544</v>
      </c>
      <c r="AC39" s="106">
        <f>'Equipment &amp; Defense'!BZ21</f>
        <v>2793.1164638345222</v>
      </c>
      <c r="AD39" s="106">
        <f>'Equipment &amp; Defense'!CH21</f>
        <v>2918.9135392944622</v>
      </c>
      <c r="AE39" s="107"/>
      <c r="AG39" s="60"/>
      <c r="AN39" s="53"/>
      <c r="AO39" s="53"/>
      <c r="AP39" s="53"/>
      <c r="AQ39" s="53"/>
    </row>
    <row r="40" spans="1:43" s="50" customFormat="1" x14ac:dyDescent="0.2">
      <c r="A40" s="50" t="str">
        <f>A6</f>
        <v>Interiors</v>
      </c>
      <c r="R40" s="50">
        <v>81</v>
      </c>
      <c r="S40" s="50">
        <v>188</v>
      </c>
      <c r="T40" s="50">
        <v>-174</v>
      </c>
      <c r="U40" s="50">
        <v>-167</v>
      </c>
      <c r="V40" s="50">
        <v>-140</v>
      </c>
      <c r="W40" s="53">
        <v>-116</v>
      </c>
      <c r="X40" s="53">
        <v>27</v>
      </c>
      <c r="Y40" s="55">
        <v>108</v>
      </c>
      <c r="Z40" s="1596">
        <f>Interiors!AM20</f>
        <v>159.06768508867856</v>
      </c>
      <c r="AA40" s="106">
        <f>Interiors!AU20</f>
        <v>208.56030184706603</v>
      </c>
      <c r="AB40" s="106">
        <f>Interiors!BC20</f>
        <v>264.52886390421168</v>
      </c>
      <c r="AC40" s="106">
        <f>Interiors!BK20</f>
        <v>326.14325633937852</v>
      </c>
      <c r="AD40" s="106">
        <f>Interiors!BS20</f>
        <v>340.92738951913083</v>
      </c>
      <c r="AE40" s="107"/>
      <c r="AG40" s="60"/>
      <c r="AN40" s="53"/>
      <c r="AO40" s="53"/>
      <c r="AP40" s="53"/>
      <c r="AQ40" s="53"/>
    </row>
    <row r="41" spans="1:43" s="53" customFormat="1" hidden="1" outlineLevel="1" x14ac:dyDescent="0.2">
      <c r="A41" s="98" t="str">
        <f>A7</f>
        <v>Equipment</v>
      </c>
      <c r="B41" s="50">
        <v>165</v>
      </c>
      <c r="C41" s="50">
        <v>212</v>
      </c>
      <c r="D41" s="50">
        <v>197</v>
      </c>
      <c r="E41" s="50">
        <v>109</v>
      </c>
      <c r="F41" s="50">
        <v>62</v>
      </c>
      <c r="G41" s="50">
        <v>73</v>
      </c>
      <c r="H41" s="50">
        <v>127</v>
      </c>
      <c r="I41" s="50">
        <v>202</v>
      </c>
      <c r="J41" s="50">
        <v>286</v>
      </c>
      <c r="K41" s="50">
        <v>376</v>
      </c>
      <c r="L41" s="50">
        <v>426</v>
      </c>
      <c r="M41" s="50">
        <v>466</v>
      </c>
      <c r="N41" s="50">
        <v>567</v>
      </c>
      <c r="O41" s="50">
        <v>682</v>
      </c>
      <c r="P41" s="50">
        <v>619</v>
      </c>
      <c r="Q41" s="50">
        <v>770</v>
      </c>
      <c r="Y41" s="55"/>
      <c r="Z41" s="1597"/>
      <c r="AA41" s="108"/>
      <c r="AB41" s="108"/>
      <c r="AC41" s="108"/>
      <c r="AD41" s="108"/>
      <c r="AE41" s="56"/>
    </row>
    <row r="42" spans="1:43" s="50" customFormat="1" hidden="1" outlineLevel="1" x14ac:dyDescent="0.2">
      <c r="A42" s="98" t="str">
        <f>A8</f>
        <v>Defense</v>
      </c>
      <c r="B42" s="50">
        <v>103</v>
      </c>
      <c r="C42" s="50">
        <v>35</v>
      </c>
      <c r="D42" s="50">
        <v>-102</v>
      </c>
      <c r="E42" s="50">
        <v>75</v>
      </c>
      <c r="F42" s="50">
        <v>40</v>
      </c>
      <c r="G42" s="50">
        <v>9</v>
      </c>
      <c r="H42" s="50">
        <v>55</v>
      </c>
      <c r="I42" s="50">
        <v>58</v>
      </c>
      <c r="J42" s="50">
        <v>79</v>
      </c>
      <c r="K42" s="50">
        <v>84</v>
      </c>
      <c r="L42" s="50">
        <v>71</v>
      </c>
      <c r="M42" s="50">
        <v>64</v>
      </c>
      <c r="N42" s="50">
        <v>76</v>
      </c>
      <c r="O42" s="50">
        <v>95</v>
      </c>
      <c r="P42" s="50">
        <v>93</v>
      </c>
      <c r="Q42" s="50">
        <v>118</v>
      </c>
      <c r="W42" s="53"/>
      <c r="X42" s="53"/>
      <c r="Y42" s="55"/>
      <c r="Z42" s="1597"/>
      <c r="AA42" s="64"/>
      <c r="AB42" s="64"/>
      <c r="AC42" s="64"/>
      <c r="AD42" s="64"/>
      <c r="AE42" s="56"/>
    </row>
    <row r="43" spans="1:43" s="50" customFormat="1" hidden="1" outlineLevel="1" x14ac:dyDescent="0.2">
      <c r="A43" s="98" t="s">
        <v>81</v>
      </c>
      <c r="Q43" s="50">
        <f>266+20</f>
        <v>286</v>
      </c>
      <c r="W43" s="53"/>
      <c r="X43" s="53"/>
      <c r="Y43" s="55"/>
      <c r="Z43" s="1597"/>
      <c r="AA43" s="64"/>
      <c r="AB43" s="64"/>
      <c r="AC43" s="64"/>
      <c r="AD43" s="64"/>
      <c r="AE43" s="56"/>
    </row>
    <row r="44" spans="1:43" s="50" customFormat="1" hidden="1" outlineLevel="1" x14ac:dyDescent="0.2">
      <c r="A44" s="53" t="str">
        <f>A10</f>
        <v>Security</v>
      </c>
      <c r="F44" s="50">
        <v>34</v>
      </c>
      <c r="G44" s="50">
        <v>86</v>
      </c>
      <c r="H44" s="50">
        <v>128</v>
      </c>
      <c r="I44" s="50">
        <v>139</v>
      </c>
      <c r="J44" s="50">
        <v>145</v>
      </c>
      <c r="K44" s="50">
        <v>120</v>
      </c>
      <c r="L44" s="50">
        <v>134</v>
      </c>
      <c r="M44" s="50">
        <v>151</v>
      </c>
      <c r="W44" s="53"/>
      <c r="X44" s="53"/>
      <c r="Y44" s="55"/>
      <c r="Z44" s="1597"/>
      <c r="AA44" s="64"/>
      <c r="AB44" s="64"/>
      <c r="AC44" s="64"/>
      <c r="AD44" s="64"/>
      <c r="AE44" s="56"/>
    </row>
    <row r="45" spans="1:43" s="50" customFormat="1" hidden="1" outlineLevel="1" x14ac:dyDescent="0.2">
      <c r="A45" s="53"/>
      <c r="W45" s="53"/>
      <c r="X45" s="53"/>
      <c r="Y45" s="55"/>
      <c r="Z45" s="1597"/>
      <c r="AA45" s="64"/>
      <c r="AB45" s="64"/>
      <c r="AC45" s="64"/>
      <c r="AD45" s="64"/>
      <c r="AE45" s="56"/>
    </row>
    <row r="46" spans="1:43" s="53" customFormat="1" hidden="1" outlineLevel="1" x14ac:dyDescent="0.2">
      <c r="A46" s="53" t="str">
        <f>A11</f>
        <v>Communications</v>
      </c>
      <c r="B46" s="53">
        <v>113</v>
      </c>
      <c r="C46" s="53">
        <v>6</v>
      </c>
      <c r="D46" s="53">
        <v>-177</v>
      </c>
      <c r="E46" s="53">
        <v>0</v>
      </c>
      <c r="F46" s="53">
        <v>0</v>
      </c>
      <c r="G46" s="53">
        <v>0</v>
      </c>
      <c r="H46" s="53">
        <v>0</v>
      </c>
      <c r="I46" s="53">
        <v>0</v>
      </c>
      <c r="J46" s="53">
        <v>0</v>
      </c>
      <c r="K46" s="53">
        <v>0</v>
      </c>
      <c r="L46" s="53">
        <v>0</v>
      </c>
      <c r="M46" s="53">
        <v>0</v>
      </c>
      <c r="N46" s="53">
        <v>0</v>
      </c>
      <c r="O46" s="53">
        <v>0</v>
      </c>
      <c r="P46" s="50"/>
      <c r="Q46" s="53">
        <v>0</v>
      </c>
      <c r="S46" s="53">
        <v>0</v>
      </c>
      <c r="T46" s="53">
        <v>0</v>
      </c>
      <c r="U46" s="53">
        <v>0</v>
      </c>
      <c r="V46" s="53">
        <v>0</v>
      </c>
      <c r="W46" s="53">
        <v>0</v>
      </c>
      <c r="X46" s="53">
        <v>0</v>
      </c>
      <c r="Y46" s="55"/>
      <c r="Z46" s="1608">
        <v>0</v>
      </c>
      <c r="AA46" s="109">
        <v>0</v>
      </c>
      <c r="AB46" s="109">
        <v>0</v>
      </c>
      <c r="AC46" s="109">
        <v>0</v>
      </c>
      <c r="AD46" s="109">
        <v>0</v>
      </c>
      <c r="AE46" s="56"/>
      <c r="AF46" s="50"/>
      <c r="AK46" s="50"/>
      <c r="AL46" s="50"/>
    </row>
    <row r="47" spans="1:43" s="50" customFormat="1" collapsed="1" x14ac:dyDescent="0.2">
      <c r="A47" s="53" t="str">
        <f>A12</f>
        <v>Holding company and other</v>
      </c>
      <c r="B47" s="110">
        <v>0</v>
      </c>
      <c r="C47" s="111">
        <v>-22</v>
      </c>
      <c r="D47" s="67">
        <v>-30</v>
      </c>
      <c r="E47" s="67">
        <v>-33</v>
      </c>
      <c r="F47" s="67">
        <v>-64</v>
      </c>
      <c r="G47" s="67">
        <v>-67</v>
      </c>
      <c r="H47" s="67">
        <v>-95</v>
      </c>
      <c r="I47" s="67">
        <v>-119</v>
      </c>
      <c r="J47" s="53">
        <v>-142</v>
      </c>
      <c r="K47" s="53">
        <v>-158</v>
      </c>
      <c r="L47" s="53">
        <v>-175</v>
      </c>
      <c r="M47" s="53">
        <v>-82</v>
      </c>
      <c r="N47" s="53">
        <v>-25</v>
      </c>
      <c r="O47" s="53">
        <v>-36</v>
      </c>
      <c r="P47" s="50">
        <v>-36</v>
      </c>
      <c r="Q47" s="50">
        <v>-80</v>
      </c>
      <c r="R47" s="50">
        <v>-80</v>
      </c>
      <c r="S47" s="50">
        <v>-62</v>
      </c>
      <c r="T47" s="50">
        <v>-19</v>
      </c>
      <c r="U47" s="50">
        <v>-20</v>
      </c>
      <c r="V47" s="50">
        <v>-36</v>
      </c>
      <c r="W47" s="53">
        <v>-100</v>
      </c>
      <c r="X47" s="53">
        <v>-25</v>
      </c>
      <c r="Y47" s="55">
        <f>-77+1</f>
        <v>-76</v>
      </c>
      <c r="Z47" s="1599">
        <v>-50</v>
      </c>
      <c r="AA47" s="69">
        <f t="shared" ref="AA47:AD47" si="18">Z47</f>
        <v>-50</v>
      </c>
      <c r="AB47" s="69">
        <f t="shared" si="18"/>
        <v>-50</v>
      </c>
      <c r="AC47" s="69">
        <f t="shared" si="18"/>
        <v>-50</v>
      </c>
      <c r="AD47" s="69">
        <f t="shared" si="18"/>
        <v>-50</v>
      </c>
      <c r="AE47" s="56"/>
    </row>
    <row r="48" spans="1:43" s="50" customFormat="1" x14ac:dyDescent="0.2">
      <c r="A48" s="70" t="s">
        <v>97</v>
      </c>
      <c r="B48" s="51">
        <f t="shared" ref="B48:X48" si="19">SUM(B38:B47)</f>
        <v>773</v>
      </c>
      <c r="C48" s="51">
        <f t="shared" si="19"/>
        <v>687</v>
      </c>
      <c r="D48" s="51">
        <f t="shared" si="19"/>
        <v>465</v>
      </c>
      <c r="E48" s="51">
        <f t="shared" si="19"/>
        <v>787</v>
      </c>
      <c r="F48" s="51">
        <f t="shared" si="19"/>
        <v>666</v>
      </c>
      <c r="G48" s="51">
        <f t="shared" si="19"/>
        <v>729</v>
      </c>
      <c r="H48" s="51">
        <f t="shared" si="19"/>
        <v>878</v>
      </c>
      <c r="I48" s="51">
        <f t="shared" si="19"/>
        <v>1189</v>
      </c>
      <c r="J48" s="71">
        <f t="shared" si="19"/>
        <v>1444</v>
      </c>
      <c r="K48" s="71">
        <f t="shared" si="19"/>
        <v>1780</v>
      </c>
      <c r="L48" s="71">
        <f t="shared" si="19"/>
        <v>2089</v>
      </c>
      <c r="M48" s="71">
        <f t="shared" si="19"/>
        <v>2432</v>
      </c>
      <c r="N48" s="71">
        <f t="shared" si="19"/>
        <v>2404</v>
      </c>
      <c r="O48" s="71">
        <f t="shared" si="19"/>
        <v>2470</v>
      </c>
      <c r="P48" s="71">
        <f t="shared" si="19"/>
        <v>2192</v>
      </c>
      <c r="Q48" s="71">
        <f t="shared" si="19"/>
        <v>3023</v>
      </c>
      <c r="R48" s="71">
        <f t="shared" si="19"/>
        <v>3023</v>
      </c>
      <c r="S48" s="71">
        <f t="shared" si="19"/>
        <v>3820</v>
      </c>
      <c r="T48" s="71">
        <f>SUM(T38:T47)</f>
        <v>1686</v>
      </c>
      <c r="U48" s="71">
        <f>SUM(U38:U47)</f>
        <v>1805</v>
      </c>
      <c r="V48" s="71">
        <f t="shared" si="19"/>
        <v>2408</v>
      </c>
      <c r="W48" s="71">
        <f t="shared" ref="W48" si="20">SUM(W38:W47)</f>
        <v>3166</v>
      </c>
      <c r="X48" s="71">
        <f t="shared" si="19"/>
        <v>4119</v>
      </c>
      <c r="Y48" s="72">
        <f t="shared" ref="Y48" si="21">SUM(Y38:Y47)</f>
        <v>5197</v>
      </c>
      <c r="Z48" s="1609">
        <f t="shared" ref="Z48:AD48" si="22">SUM(Z38:Z47)</f>
        <v>6750.8771791018489</v>
      </c>
      <c r="AA48" s="112">
        <f t="shared" si="22"/>
        <v>7666.1123105145489</v>
      </c>
      <c r="AB48" s="112">
        <f t="shared" si="22"/>
        <v>8392.6251348959613</v>
      </c>
      <c r="AC48" s="112">
        <f t="shared" si="22"/>
        <v>8956.5808890165335</v>
      </c>
      <c r="AD48" s="112">
        <f t="shared" si="22"/>
        <v>9327.0069765876378</v>
      </c>
      <c r="AE48" s="113"/>
      <c r="AG48" s="114"/>
    </row>
    <row r="49" spans="1:37" s="50" customFormat="1" x14ac:dyDescent="0.2">
      <c r="A49" s="53" t="str">
        <f>A14</f>
        <v>Currency hedging</v>
      </c>
      <c r="B49" s="75">
        <v>0</v>
      </c>
      <c r="C49" s="75">
        <v>0</v>
      </c>
      <c r="D49" s="75">
        <v>0</v>
      </c>
      <c r="E49" s="75">
        <v>0</v>
      </c>
      <c r="F49" s="53">
        <v>-34</v>
      </c>
      <c r="G49" s="49">
        <v>89</v>
      </c>
      <c r="H49" s="115">
        <v>275</v>
      </c>
      <c r="I49" s="115">
        <v>-96</v>
      </c>
      <c r="J49" s="115">
        <v>52</v>
      </c>
      <c r="K49" s="115">
        <v>-216</v>
      </c>
      <c r="L49" s="115">
        <v>-283</v>
      </c>
      <c r="M49" s="115">
        <f>678+5</f>
        <v>683</v>
      </c>
      <c r="N49" s="115">
        <v>712</v>
      </c>
      <c r="O49" s="115">
        <v>431</v>
      </c>
      <c r="P49" s="115">
        <v>456</v>
      </c>
      <c r="Q49" s="115">
        <v>-9</v>
      </c>
      <c r="R49" s="115">
        <v>-9</v>
      </c>
      <c r="S49" s="115">
        <v>450</v>
      </c>
      <c r="T49" s="115">
        <v>129</v>
      </c>
      <c r="U49" s="115">
        <v>-141</v>
      </c>
      <c r="V49" s="115">
        <v>475</v>
      </c>
      <c r="W49" s="115">
        <v>462</v>
      </c>
      <c r="X49" s="115">
        <v>394</v>
      </c>
      <c r="Y49" s="116">
        <v>-106</v>
      </c>
      <c r="Z49" s="1599">
        <v>0</v>
      </c>
      <c r="AA49" s="77">
        <v>0</v>
      </c>
      <c r="AB49" s="77">
        <v>0</v>
      </c>
      <c r="AC49" s="77">
        <v>0</v>
      </c>
      <c r="AD49" s="77">
        <v>0</v>
      </c>
      <c r="AE49" s="65"/>
    </row>
    <row r="50" spans="1:37" s="50" customFormat="1" x14ac:dyDescent="0.2">
      <c r="A50" s="53" t="str">
        <f>A15</f>
        <v>Amortisation of intangible assets</v>
      </c>
      <c r="B50" s="67">
        <f>215-B48</f>
        <v>-558</v>
      </c>
      <c r="C50" s="67">
        <f>-367-C48</f>
        <v>-1054</v>
      </c>
      <c r="D50" s="67">
        <f>-186-D48</f>
        <v>-651</v>
      </c>
      <c r="E50" s="67">
        <f>129-E48</f>
        <v>-658</v>
      </c>
      <c r="F50" s="68">
        <v>-161</v>
      </c>
      <c r="G50" s="117">
        <v>-189</v>
      </c>
      <c r="H50" s="117">
        <v>-202</v>
      </c>
      <c r="I50" s="117">
        <v>-229</v>
      </c>
      <c r="J50" s="117">
        <v>-253</v>
      </c>
      <c r="K50" s="117">
        <v>-277</v>
      </c>
      <c r="L50" s="117">
        <v>-306</v>
      </c>
      <c r="M50" s="117">
        <f>-89-153</f>
        <v>-242</v>
      </c>
      <c r="N50" s="117">
        <v>-126</v>
      </c>
      <c r="O50" s="117">
        <v>-130</v>
      </c>
      <c r="P50" s="117">
        <v>-130</v>
      </c>
      <c r="Q50" s="117">
        <v>-734</v>
      </c>
      <c r="R50" s="117">
        <v>-734</v>
      </c>
      <c r="S50" s="117">
        <f>-395-51</f>
        <v>-446</v>
      </c>
      <c r="T50" s="117">
        <v>-422</v>
      </c>
      <c r="U50" s="117">
        <v>-395</v>
      </c>
      <c r="V50" s="117">
        <v>-390</v>
      </c>
      <c r="W50" s="117">
        <v>-319</v>
      </c>
      <c r="X50" s="117">
        <v>-327</v>
      </c>
      <c r="Y50" s="118">
        <v>-304</v>
      </c>
      <c r="Z50" s="1610">
        <v>-300</v>
      </c>
      <c r="AA50" s="119">
        <f t="shared" ref="AA50:AD50" si="23">Z50</f>
        <v>-300</v>
      </c>
      <c r="AB50" s="119">
        <f t="shared" si="23"/>
        <v>-300</v>
      </c>
      <c r="AC50" s="119">
        <f t="shared" si="23"/>
        <v>-300</v>
      </c>
      <c r="AD50" s="119">
        <f t="shared" si="23"/>
        <v>-300</v>
      </c>
      <c r="AE50" s="65"/>
    </row>
    <row r="51" spans="1:37" s="50" customFormat="1" x14ac:dyDescent="0.2">
      <c r="A51" s="70" t="s">
        <v>98</v>
      </c>
      <c r="B51" s="51">
        <f t="shared" ref="B51:AD51" si="24">B48+B49+B50</f>
        <v>215</v>
      </c>
      <c r="C51" s="51">
        <f t="shared" si="24"/>
        <v>-367</v>
      </c>
      <c r="D51" s="51">
        <f t="shared" si="24"/>
        <v>-186</v>
      </c>
      <c r="E51" s="51">
        <f t="shared" si="24"/>
        <v>129</v>
      </c>
      <c r="F51" s="51">
        <f t="shared" si="24"/>
        <v>471</v>
      </c>
      <c r="G51" s="51">
        <f>G48+G49+G50</f>
        <v>629</v>
      </c>
      <c r="H51" s="51">
        <f t="shared" si="24"/>
        <v>951</v>
      </c>
      <c r="I51" s="51">
        <f t="shared" si="24"/>
        <v>864</v>
      </c>
      <c r="J51" s="51">
        <f t="shared" si="24"/>
        <v>1243</v>
      </c>
      <c r="K51" s="51">
        <f t="shared" si="24"/>
        <v>1287</v>
      </c>
      <c r="L51" s="51">
        <f t="shared" si="24"/>
        <v>1500</v>
      </c>
      <c r="M51" s="51">
        <f t="shared" si="24"/>
        <v>2873</v>
      </c>
      <c r="N51" s="51">
        <f t="shared" si="24"/>
        <v>2990</v>
      </c>
      <c r="O51" s="51">
        <f t="shared" si="24"/>
        <v>2771</v>
      </c>
      <c r="P51" s="51">
        <f t="shared" si="24"/>
        <v>2518</v>
      </c>
      <c r="Q51" s="51">
        <f>Q48+Q49+Q50</f>
        <v>2280</v>
      </c>
      <c r="R51" s="51">
        <f>R48+R49+R50</f>
        <v>2280</v>
      </c>
      <c r="S51" s="51">
        <f t="shared" si="24"/>
        <v>3824</v>
      </c>
      <c r="T51" s="51">
        <f>T48+T49+T50</f>
        <v>1393</v>
      </c>
      <c r="U51" s="51">
        <f t="shared" si="24"/>
        <v>1269</v>
      </c>
      <c r="V51" s="51">
        <f t="shared" si="24"/>
        <v>2493</v>
      </c>
      <c r="W51" s="70">
        <f t="shared" ref="W51" si="25">W48+W49+W50</f>
        <v>3309</v>
      </c>
      <c r="X51" s="70">
        <f t="shared" si="24"/>
        <v>4186</v>
      </c>
      <c r="Y51" s="80">
        <f t="shared" ref="Y51" si="26">Y48+Y49+Y50</f>
        <v>4787</v>
      </c>
      <c r="Z51" s="1602">
        <f t="shared" si="24"/>
        <v>6450.8771791018489</v>
      </c>
      <c r="AA51" s="81">
        <f t="shared" si="24"/>
        <v>7366.1123105145489</v>
      </c>
      <c r="AB51" s="81">
        <f t="shared" si="24"/>
        <v>8092.6251348959613</v>
      </c>
      <c r="AC51" s="81">
        <f t="shared" si="24"/>
        <v>8656.5808890165335</v>
      </c>
      <c r="AD51" s="81">
        <f t="shared" si="24"/>
        <v>9027.0069765876378</v>
      </c>
      <c r="AE51" s="65"/>
    </row>
    <row r="52" spans="1:37" s="50" customFormat="1" x14ac:dyDescent="0.2">
      <c r="A52" s="70"/>
      <c r="G52" s="52"/>
      <c r="H52" s="120"/>
      <c r="I52" s="103"/>
      <c r="J52" s="103"/>
      <c r="K52" s="103"/>
      <c r="L52" s="103"/>
      <c r="M52" s="104"/>
      <c r="N52" s="104"/>
      <c r="O52" s="104"/>
      <c r="P52" s="104"/>
      <c r="Q52" s="104"/>
      <c r="R52" s="104"/>
      <c r="S52" s="104"/>
      <c r="T52" s="104"/>
      <c r="U52" s="104"/>
      <c r="V52" s="104"/>
      <c r="W52" s="104"/>
      <c r="X52" s="104"/>
      <c r="Y52" s="105"/>
      <c r="Z52" s="1068"/>
      <c r="AA52" s="103"/>
      <c r="AB52" s="103"/>
      <c r="AC52" s="103"/>
      <c r="AD52" s="103"/>
      <c r="AE52" s="121"/>
    </row>
    <row r="53" spans="1:37" s="50" customFormat="1" x14ac:dyDescent="0.2">
      <c r="A53" s="70" t="s">
        <v>99</v>
      </c>
      <c r="D53" s="122"/>
      <c r="E53" s="82"/>
      <c r="G53" s="82"/>
      <c r="H53" s="82"/>
      <c r="I53" s="123"/>
      <c r="J53" s="52"/>
      <c r="K53" s="52"/>
      <c r="L53" s="52"/>
      <c r="M53" s="124"/>
      <c r="N53" s="124"/>
      <c r="O53" s="124"/>
      <c r="P53" s="124"/>
      <c r="Q53" s="124"/>
      <c r="R53" s="124"/>
      <c r="S53" s="124"/>
      <c r="T53" s="124"/>
      <c r="U53" s="124"/>
      <c r="V53" s="124"/>
      <c r="W53" s="124"/>
      <c r="X53" s="124"/>
      <c r="Y53" s="125"/>
      <c r="Z53" s="65"/>
      <c r="AA53" s="52"/>
      <c r="AB53" s="52"/>
      <c r="AC53" s="52"/>
      <c r="AD53" s="52"/>
      <c r="AE53" s="126"/>
    </row>
    <row r="54" spans="1:37" s="50" customFormat="1" x14ac:dyDescent="0.2">
      <c r="A54" s="53" t="str">
        <f>A4</f>
        <v>Propulsion</v>
      </c>
      <c r="B54" s="82">
        <f t="shared" ref="B54:V55" si="27">B38/B4</f>
        <v>9.0845886442641952E-2</v>
      </c>
      <c r="C54" s="82">
        <f t="shared" si="27"/>
        <v>0.10149120854662809</v>
      </c>
      <c r="D54" s="82">
        <f t="shared" si="27"/>
        <v>0.11373940469150404</v>
      </c>
      <c r="E54" s="82">
        <f t="shared" si="27"/>
        <v>0.10748690214635795</v>
      </c>
      <c r="F54" s="82">
        <f t="shared" si="27"/>
        <v>0.1021671826625387</v>
      </c>
      <c r="G54" s="82">
        <f t="shared" si="27"/>
        <v>0.11069980609906575</v>
      </c>
      <c r="H54" s="82">
        <f t="shared" si="27"/>
        <v>0.1183083511777302</v>
      </c>
      <c r="I54" s="82">
        <f t="shared" si="27"/>
        <v>0.14877250409165302</v>
      </c>
      <c r="J54" s="82">
        <f t="shared" si="27"/>
        <v>0.15360456816559601</v>
      </c>
      <c r="K54" s="82">
        <f t="shared" si="27"/>
        <v>0.17894320727368559</v>
      </c>
      <c r="L54" s="82">
        <f t="shared" si="27"/>
        <v>0.2002943701704894</v>
      </c>
      <c r="M54" s="83">
        <f t="shared" si="27"/>
        <v>0.19669492434810601</v>
      </c>
      <c r="N54" s="83">
        <f t="shared" si="27"/>
        <v>0.19018208923437332</v>
      </c>
      <c r="O54" s="83">
        <f t="shared" si="27"/>
        <v>0.17749717688122368</v>
      </c>
      <c r="P54" s="83">
        <f t="shared" si="27"/>
        <v>0.1620177407288661</v>
      </c>
      <c r="Q54" s="83">
        <f t="shared" si="27"/>
        <v>0.18455797933409873</v>
      </c>
      <c r="R54" s="83">
        <f t="shared" si="27"/>
        <v>0.19188959258909161</v>
      </c>
      <c r="S54" s="83">
        <f t="shared" si="27"/>
        <v>0.20630967206309672</v>
      </c>
      <c r="T54" s="83">
        <f t="shared" si="27"/>
        <v>0.15555265561790421</v>
      </c>
      <c r="U54" s="83">
        <f>U38/U4</f>
        <v>0.1804005914773491</v>
      </c>
      <c r="V54" s="83">
        <f>V38/V4</f>
        <v>0.17988638754470859</v>
      </c>
      <c r="W54" s="83">
        <f>W38/W4</f>
        <v>0.20124621084540248</v>
      </c>
      <c r="X54" s="83">
        <f>X38/X4</f>
        <v>0.20648989159097569</v>
      </c>
      <c r="Y54" s="85">
        <f>Y38/Y4</f>
        <v>0.2297676793464386</v>
      </c>
      <c r="Z54" s="1603">
        <f t="shared" ref="Z54:AD56" si="28">Z38/Z4</f>
        <v>0.24334267868847131</v>
      </c>
      <c r="AA54" s="25">
        <f t="shared" si="28"/>
        <v>0.24606160185204398</v>
      </c>
      <c r="AB54" s="25">
        <f t="shared" si="28"/>
        <v>0.23979723393706426</v>
      </c>
      <c r="AC54" s="25">
        <f t="shared" si="28"/>
        <v>0.23768183346860294</v>
      </c>
      <c r="AD54" s="25">
        <f t="shared" si="28"/>
        <v>0.2434740708884395</v>
      </c>
      <c r="AE54" s="56"/>
      <c r="AG54" s="114"/>
    </row>
    <row r="55" spans="1:37" s="50" customFormat="1" x14ac:dyDescent="0.2">
      <c r="A55" s="53" t="str">
        <f>A5</f>
        <v>Equipment, Defense &amp; Aerosystems</v>
      </c>
      <c r="B55" s="82"/>
      <c r="C55" s="82"/>
      <c r="D55" s="82"/>
      <c r="E55" s="82"/>
      <c r="F55" s="82"/>
      <c r="G55" s="82"/>
      <c r="H55" s="82"/>
      <c r="I55" s="82"/>
      <c r="J55" s="82"/>
      <c r="K55" s="82"/>
      <c r="L55" s="82"/>
      <c r="M55" s="83"/>
      <c r="N55" s="83"/>
      <c r="O55" s="83"/>
      <c r="P55" s="83"/>
      <c r="Q55" s="83"/>
      <c r="R55" s="83">
        <f t="shared" si="27"/>
        <v>0.12490556534877864</v>
      </c>
      <c r="S55" s="83">
        <f t="shared" si="27"/>
        <v>0.1306179775280899</v>
      </c>
      <c r="T55" s="83">
        <f>T39/T5</f>
        <v>9.966632815900188E-2</v>
      </c>
      <c r="U55" s="83">
        <f t="shared" si="27"/>
        <v>0.10276679841897234</v>
      </c>
      <c r="V55" s="83">
        <f t="shared" si="27"/>
        <v>0.11599203715992037</v>
      </c>
      <c r="W55" s="83">
        <f t="shared" ref="W55:X55" si="29">W39/W5</f>
        <v>0.11228070175438597</v>
      </c>
      <c r="X55" s="83">
        <f t="shared" si="29"/>
        <v>0.12224524392540968</v>
      </c>
      <c r="Y55" s="85">
        <f t="shared" ref="Y55" si="30">Y39/Y5</f>
        <v>0.12721508697772721</v>
      </c>
      <c r="Z55" s="1603">
        <f t="shared" si="28"/>
        <v>0.13500000000000001</v>
      </c>
      <c r="AA55" s="97">
        <f t="shared" si="28"/>
        <v>0.14499999999999999</v>
      </c>
      <c r="AB55" s="97">
        <f t="shared" si="28"/>
        <v>0.15</v>
      </c>
      <c r="AC55" s="97">
        <f t="shared" si="28"/>
        <v>0.15</v>
      </c>
      <c r="AD55" s="97">
        <f t="shared" si="28"/>
        <v>0.15</v>
      </c>
      <c r="AE55" s="56"/>
      <c r="AG55" s="123"/>
      <c r="AH55" s="123"/>
      <c r="AJ55" s="123"/>
      <c r="AK55" s="123"/>
    </row>
    <row r="56" spans="1:37" s="50" customFormat="1" x14ac:dyDescent="0.2">
      <c r="A56" s="53" t="str">
        <f>A6</f>
        <v>Interiors</v>
      </c>
      <c r="B56" s="82"/>
      <c r="C56" s="82"/>
      <c r="D56" s="82"/>
      <c r="E56" s="82"/>
      <c r="F56" s="82"/>
      <c r="G56" s="82"/>
      <c r="H56" s="82"/>
      <c r="I56" s="82"/>
      <c r="J56" s="82"/>
      <c r="K56" s="82"/>
      <c r="L56" s="82"/>
      <c r="M56" s="83"/>
      <c r="N56" s="83"/>
      <c r="O56" s="83"/>
      <c r="P56" s="83"/>
      <c r="Q56" s="83"/>
      <c r="R56" s="83">
        <f t="shared" ref="R56:V56" si="31">R40/R6</f>
        <v>3.2258064516129031E-2</v>
      </c>
      <c r="S56" s="83">
        <f t="shared" si="31"/>
        <v>5.6609454983438723E-2</v>
      </c>
      <c r="T56" s="83">
        <f t="shared" si="31"/>
        <v>-9.053069719042664E-2</v>
      </c>
      <c r="U56" s="83">
        <f t="shared" si="31"/>
        <v>-0.11322033898305085</v>
      </c>
      <c r="V56" s="83">
        <f t="shared" si="31"/>
        <v>-7.0778564206268962E-2</v>
      </c>
      <c r="W56" s="83">
        <f t="shared" ref="W56:X56" si="32">W40/W6</f>
        <v>-4.6830843762616065E-2</v>
      </c>
      <c r="X56" s="83">
        <f t="shared" si="32"/>
        <v>8.8903523213697735E-3</v>
      </c>
      <c r="Y56" s="85">
        <f t="shared" ref="Y56" si="33">Y40/Y6</f>
        <v>3.2248432367871005E-2</v>
      </c>
      <c r="Z56" s="1603">
        <f t="shared" si="28"/>
        <v>5.000000000000001E-2</v>
      </c>
      <c r="AA56" s="97">
        <f t="shared" si="28"/>
        <v>0.06</v>
      </c>
      <c r="AB56" s="97">
        <f t="shared" si="28"/>
        <v>7.0000000000000007E-2</v>
      </c>
      <c r="AC56" s="97">
        <f t="shared" si="28"/>
        <v>0.08</v>
      </c>
      <c r="AD56" s="97">
        <f t="shared" si="28"/>
        <v>0.08</v>
      </c>
      <c r="AE56" s="56"/>
      <c r="AG56" s="123"/>
      <c r="AH56" s="123"/>
      <c r="AJ56" s="123"/>
      <c r="AK56" s="123"/>
    </row>
    <row r="57" spans="1:37" s="50" customFormat="1" hidden="1" outlineLevel="1" x14ac:dyDescent="0.2">
      <c r="A57" s="98" t="str">
        <f>A41</f>
        <v>Equipment</v>
      </c>
      <c r="B57" s="82">
        <f t="shared" ref="B57:Q58" si="34">B41/B7</f>
        <v>7.4357818837314099E-2</v>
      </c>
      <c r="C57" s="82">
        <f t="shared" si="34"/>
        <v>8.4462151394422313E-2</v>
      </c>
      <c r="D57" s="82">
        <f t="shared" si="34"/>
        <v>7.4508320726172472E-2</v>
      </c>
      <c r="E57" s="82">
        <f t="shared" si="34"/>
        <v>4.0325564187939325E-2</v>
      </c>
      <c r="F57" s="82">
        <f t="shared" si="34"/>
        <v>2.2342342342342343E-2</v>
      </c>
      <c r="G57" s="82">
        <f t="shared" si="34"/>
        <v>2.6382363570654137E-2</v>
      </c>
      <c r="H57" s="82">
        <f t="shared" si="34"/>
        <v>4.481298517995766E-2</v>
      </c>
      <c r="I57" s="82">
        <f t="shared" si="34"/>
        <v>6.5224410720051668E-2</v>
      </c>
      <c r="J57" s="82">
        <f t="shared" si="34"/>
        <v>7.7485776212408555E-2</v>
      </c>
      <c r="K57" s="82">
        <f t="shared" si="34"/>
        <v>9.1909068687362497E-2</v>
      </c>
      <c r="L57" s="82">
        <f t="shared" si="34"/>
        <v>9.5816464237516871E-2</v>
      </c>
      <c r="M57" s="83">
        <f t="shared" si="34"/>
        <v>9.427473194416347E-2</v>
      </c>
      <c r="N57" s="83">
        <f t="shared" si="34"/>
        <v>0.11020408163265306</v>
      </c>
      <c r="O57" s="83">
        <f t="shared" si="34"/>
        <v>0.12594644506001848</v>
      </c>
      <c r="P57" s="83">
        <f t="shared" si="34"/>
        <v>0.11768060836501901</v>
      </c>
      <c r="Q57" s="83">
        <f t="shared" si="34"/>
        <v>0.14272474513438368</v>
      </c>
      <c r="R57" s="83"/>
      <c r="S57" s="83"/>
      <c r="T57" s="83"/>
      <c r="U57" s="83"/>
      <c r="V57" s="83"/>
      <c r="W57" s="83"/>
      <c r="X57" s="83"/>
      <c r="Y57" s="85"/>
      <c r="Z57" s="113"/>
      <c r="AA57" s="83"/>
      <c r="AB57" s="83"/>
      <c r="AC57" s="83"/>
      <c r="AD57" s="83"/>
      <c r="AE57" s="127"/>
      <c r="AG57" s="52"/>
      <c r="AH57" s="52"/>
      <c r="AJ57" s="52"/>
      <c r="AK57" s="52"/>
    </row>
    <row r="58" spans="1:37" s="50" customFormat="1" hidden="1" outlineLevel="1" x14ac:dyDescent="0.2">
      <c r="A58" s="98" t="str">
        <f>A42</f>
        <v>Defense</v>
      </c>
      <c r="B58" s="82">
        <f t="shared" si="34"/>
        <v>8.8869715271786026E-2</v>
      </c>
      <c r="C58" s="82">
        <f t="shared" si="34"/>
        <v>2.843216896831844E-2</v>
      </c>
      <c r="D58" s="82">
        <f t="shared" si="34"/>
        <v>-7.0588235294117646E-2</v>
      </c>
      <c r="E58" s="82">
        <f t="shared" si="34"/>
        <v>4.6992481203007516E-2</v>
      </c>
      <c r="F58" s="82">
        <f t="shared" si="34"/>
        <v>3.9177277179236046E-2</v>
      </c>
      <c r="G58" s="82">
        <f t="shared" si="34"/>
        <v>8.4825636192271438E-3</v>
      </c>
      <c r="H58" s="82">
        <f t="shared" si="34"/>
        <v>4.4354838709677422E-2</v>
      </c>
      <c r="I58" s="82">
        <f t="shared" si="34"/>
        <v>4.588607594936709E-2</v>
      </c>
      <c r="J58" s="82">
        <f t="shared" si="34"/>
        <v>6.0076045627376423E-2</v>
      </c>
      <c r="K58" s="82">
        <f t="shared" si="34"/>
        <v>7.0175438596491224E-2</v>
      </c>
      <c r="L58" s="82">
        <f t="shared" si="34"/>
        <v>5.8149058149058151E-2</v>
      </c>
      <c r="M58" s="83">
        <f t="shared" si="34"/>
        <v>5.0552922590837282E-2</v>
      </c>
      <c r="N58" s="83">
        <f t="shared" si="34"/>
        <v>6.1389337641357025E-2</v>
      </c>
      <c r="O58" s="83">
        <f t="shared" si="34"/>
        <v>7.0631970260223054E-2</v>
      </c>
      <c r="P58" s="83">
        <f t="shared" si="34"/>
        <v>7.0668693009118544E-2</v>
      </c>
      <c r="Q58" s="83">
        <f t="shared" si="34"/>
        <v>8.5137085137085136E-2</v>
      </c>
      <c r="R58" s="83"/>
      <c r="S58" s="83"/>
      <c r="T58" s="83"/>
      <c r="U58" s="83"/>
      <c r="V58" s="83"/>
      <c r="W58" s="83"/>
      <c r="X58" s="83"/>
      <c r="Y58" s="85"/>
      <c r="Z58" s="113"/>
      <c r="AA58" s="83"/>
      <c r="AB58" s="83"/>
      <c r="AC58" s="83"/>
      <c r="AD58" s="83"/>
      <c r="AE58" s="107"/>
    </row>
    <row r="59" spans="1:37" s="50" customFormat="1" hidden="1" outlineLevel="1" x14ac:dyDescent="0.2">
      <c r="A59" s="98" t="str">
        <f>A43</f>
        <v>Zodiac</v>
      </c>
      <c r="B59" s="82"/>
      <c r="C59" s="82"/>
      <c r="D59" s="82"/>
      <c r="E59" s="82"/>
      <c r="F59" s="82"/>
      <c r="G59" s="82"/>
      <c r="H59" s="82"/>
      <c r="I59" s="82"/>
      <c r="J59" s="82"/>
      <c r="K59" s="82"/>
      <c r="L59" s="82"/>
      <c r="M59" s="83"/>
      <c r="N59" s="83"/>
      <c r="O59" s="83"/>
      <c r="P59" s="83"/>
      <c r="Q59" s="83">
        <f>Q43/Q9</f>
        <v>7.5282969202421696E-2</v>
      </c>
      <c r="R59" s="83"/>
      <c r="S59" s="83"/>
      <c r="T59" s="83"/>
      <c r="U59" s="83"/>
      <c r="V59" s="83"/>
      <c r="W59" s="83"/>
      <c r="X59" s="83"/>
      <c r="Y59" s="85"/>
      <c r="Z59" s="113"/>
      <c r="AA59" s="83"/>
      <c r="AB59" s="83"/>
      <c r="AC59" s="83"/>
      <c r="AD59" s="83"/>
      <c r="AE59" s="107"/>
      <c r="AG59" s="123"/>
      <c r="AH59" s="123"/>
      <c r="AI59" s="123"/>
      <c r="AJ59" s="123"/>
    </row>
    <row r="60" spans="1:37" s="50" customFormat="1" hidden="1" outlineLevel="1" x14ac:dyDescent="0.2">
      <c r="A60" s="53" t="str">
        <f>A44</f>
        <v>Security</v>
      </c>
      <c r="B60" s="83"/>
      <c r="C60" s="83"/>
      <c r="D60" s="83"/>
      <c r="E60" s="83"/>
      <c r="F60" s="83">
        <f t="shared" ref="F60:M60" si="35">F44/F10</f>
        <v>4.8920863309352518E-2</v>
      </c>
      <c r="G60" s="83">
        <f t="shared" si="35"/>
        <v>9.5132743362831854E-2</v>
      </c>
      <c r="H60" s="83">
        <f t="shared" si="35"/>
        <v>0.12295869356388088</v>
      </c>
      <c r="I60" s="83">
        <f t="shared" si="35"/>
        <v>0.11128903122497999</v>
      </c>
      <c r="J60" s="83">
        <f t="shared" si="35"/>
        <v>9.3790426908150065E-2</v>
      </c>
      <c r="K60" s="83">
        <f t="shared" si="35"/>
        <v>8.0971659919028341E-2</v>
      </c>
      <c r="L60" s="83">
        <f t="shared" si="35"/>
        <v>8.7581699346405223E-2</v>
      </c>
      <c r="M60" s="83">
        <f t="shared" si="35"/>
        <v>8.0404685835995734E-2</v>
      </c>
      <c r="N60" s="83"/>
      <c r="O60" s="83"/>
      <c r="P60" s="83"/>
      <c r="Q60" s="83"/>
      <c r="R60" s="83"/>
      <c r="S60" s="83"/>
      <c r="T60" s="83"/>
      <c r="U60" s="83"/>
      <c r="V60" s="83"/>
      <c r="W60" s="83"/>
      <c r="X60" s="83"/>
      <c r="Y60" s="85"/>
      <c r="Z60" s="113"/>
      <c r="AA60" s="83"/>
      <c r="AB60" s="83"/>
      <c r="AC60" s="83"/>
      <c r="AD60" s="83"/>
      <c r="AE60" s="113"/>
    </row>
    <row r="61" spans="1:37" s="50" customFormat="1" hidden="1" outlineLevel="1" x14ac:dyDescent="0.2">
      <c r="A61" s="53"/>
      <c r="B61" s="128">
        <f>B46/B11</f>
        <v>4.6985446985446988E-2</v>
      </c>
      <c r="C61" s="128">
        <f>C46/C11</f>
        <v>2.5619128949615714E-3</v>
      </c>
      <c r="D61" s="128">
        <f>D46/D11</f>
        <v>-8.1679741578218737E-2</v>
      </c>
      <c r="E61" s="128"/>
      <c r="F61" s="128"/>
      <c r="G61" s="128"/>
      <c r="H61" s="128"/>
      <c r="I61" s="128"/>
      <c r="J61" s="128"/>
      <c r="K61" s="128"/>
      <c r="L61" s="128"/>
      <c r="M61" s="128"/>
      <c r="N61" s="128"/>
      <c r="O61" s="128"/>
      <c r="P61" s="128"/>
      <c r="Q61" s="128"/>
      <c r="R61" s="128"/>
      <c r="S61" s="128"/>
      <c r="T61" s="128"/>
      <c r="U61" s="128"/>
      <c r="V61" s="128"/>
      <c r="W61" s="128"/>
      <c r="X61" s="128"/>
      <c r="Y61" s="129"/>
      <c r="Z61" s="1611"/>
      <c r="AA61" s="128"/>
      <c r="AB61" s="128"/>
      <c r="AC61" s="128"/>
      <c r="AD61" s="128"/>
      <c r="AE61" s="127"/>
    </row>
    <row r="62" spans="1:37" s="50" customFormat="1" collapsed="1" x14ac:dyDescent="0.2">
      <c r="A62" s="70" t="s">
        <v>100</v>
      </c>
      <c r="B62" s="88">
        <f t="shared" ref="B62:V62" si="36">B48/B13</f>
        <v>7.6549811843929491E-2</v>
      </c>
      <c r="C62" s="88">
        <f t="shared" si="36"/>
        <v>6.4958396369137666E-2</v>
      </c>
      <c r="D62" s="88">
        <f t="shared" si="36"/>
        <v>4.1045105481507638E-2</v>
      </c>
      <c r="E62" s="88">
        <f t="shared" si="36"/>
        <v>7.6990804147916259E-2</v>
      </c>
      <c r="F62" s="88">
        <f t="shared" si="36"/>
        <v>6.4478652338077258E-2</v>
      </c>
      <c r="G62" s="88">
        <f t="shared" si="36"/>
        <v>6.977411944869831E-2</v>
      </c>
      <c r="H62" s="88">
        <f t="shared" si="36"/>
        <v>8.159851301115241E-2</v>
      </c>
      <c r="I62" s="88">
        <f t="shared" si="36"/>
        <v>0.10131220177232447</v>
      </c>
      <c r="J62" s="88">
        <f t="shared" si="36"/>
        <v>0.10648967551622419</v>
      </c>
      <c r="K62" s="88">
        <f t="shared" si="36"/>
        <v>0.12392954118220427</v>
      </c>
      <c r="L62" s="88">
        <f t="shared" si="36"/>
        <v>0.13604689026375774</v>
      </c>
      <c r="M62" s="89">
        <f t="shared" si="36"/>
        <v>0.13965774664063396</v>
      </c>
      <c r="N62" s="89">
        <f t="shared" si="36"/>
        <v>0.15233508649641975</v>
      </c>
      <c r="O62" s="89">
        <f t="shared" si="36"/>
        <v>0.14950668845711518</v>
      </c>
      <c r="P62" s="89">
        <f t="shared" si="36"/>
        <v>0.13740362314298252</v>
      </c>
      <c r="Q62" s="89">
        <f t="shared" si="36"/>
        <v>0.14361045130641331</v>
      </c>
      <c r="R62" s="89">
        <f t="shared" si="36"/>
        <v>0.14361045130641331</v>
      </c>
      <c r="S62" s="89">
        <f t="shared" si="36"/>
        <v>0.15503246753246752</v>
      </c>
      <c r="T62" s="89">
        <f t="shared" si="36"/>
        <v>0.10219420535822524</v>
      </c>
      <c r="U62" s="89">
        <f t="shared" si="36"/>
        <v>0.11830635118306351</v>
      </c>
      <c r="V62" s="89">
        <f t="shared" si="36"/>
        <v>0.12650380877331233</v>
      </c>
      <c r="W62" s="89">
        <f t="shared" ref="W62:X62" si="37">W48/W13</f>
        <v>0.13647139962929436</v>
      </c>
      <c r="X62" s="89">
        <f t="shared" si="37"/>
        <v>0.15078522531756783</v>
      </c>
      <c r="Y62" s="91">
        <f t="shared" ref="Y62" si="38">Y48/Y13</f>
        <v>0.16588464362092631</v>
      </c>
      <c r="Z62" s="1604">
        <f t="shared" ref="Z62:AD62" si="39">Z48/Z13</f>
        <v>0.18237675397410577</v>
      </c>
      <c r="AA62" s="92">
        <f t="shared" si="39"/>
        <v>0.18918752181169005</v>
      </c>
      <c r="AB62" s="92">
        <f t="shared" si="39"/>
        <v>0.1891997625199526</v>
      </c>
      <c r="AC62" s="92">
        <f t="shared" si="39"/>
        <v>0.18864965800424746</v>
      </c>
      <c r="AD62" s="92">
        <f t="shared" si="39"/>
        <v>0.19090998052883573</v>
      </c>
      <c r="AE62" s="127"/>
      <c r="AG62" s="82"/>
    </row>
    <row r="63" spans="1:37" s="50" customFormat="1" x14ac:dyDescent="0.2">
      <c r="A63" s="53"/>
      <c r="B63" s="82"/>
      <c r="D63" s="82"/>
      <c r="G63" s="82"/>
      <c r="I63" s="130"/>
      <c r="M63" s="53"/>
      <c r="N63" s="53"/>
      <c r="O63" s="53"/>
      <c r="P63" s="53"/>
      <c r="Q63" s="53"/>
      <c r="R63" s="53"/>
      <c r="S63" s="53"/>
      <c r="T63" s="53"/>
      <c r="U63" s="53"/>
      <c r="V63" s="53"/>
      <c r="W63" s="53"/>
      <c r="X63" s="53"/>
      <c r="Y63" s="55"/>
      <c r="Z63" s="56"/>
      <c r="AE63" s="56"/>
      <c r="AJ63" s="82"/>
    </row>
    <row r="64" spans="1:37" s="50" customFormat="1" x14ac:dyDescent="0.2">
      <c r="A64" s="70" t="s">
        <v>101</v>
      </c>
      <c r="C64" s="82"/>
      <c r="E64" s="131"/>
      <c r="G64" s="102"/>
      <c r="I64" s="52"/>
      <c r="J64" s="82"/>
      <c r="L64" s="52"/>
      <c r="M64" s="132"/>
      <c r="N64" s="132"/>
      <c r="O64" s="124"/>
      <c r="P64" s="124"/>
      <c r="Q64" s="124"/>
      <c r="R64" s="124"/>
      <c r="S64" s="124"/>
      <c r="T64" s="124"/>
      <c r="U64" s="124"/>
      <c r="V64" s="124"/>
      <c r="W64" s="124"/>
      <c r="X64" s="124"/>
      <c r="Y64" s="125"/>
      <c r="Z64" s="65"/>
      <c r="AA64" s="52"/>
      <c r="AB64" s="52"/>
      <c r="AC64" s="52"/>
      <c r="AD64" s="52"/>
      <c r="AE64" s="65"/>
    </row>
    <row r="65" spans="1:36" s="50" customFormat="1" x14ac:dyDescent="0.2">
      <c r="A65" s="53" t="str">
        <f>A4</f>
        <v>Propulsion</v>
      </c>
      <c r="B65" s="50">
        <v>287</v>
      </c>
      <c r="C65" s="102">
        <v>319</v>
      </c>
      <c r="D65" s="102">
        <v>334</v>
      </c>
      <c r="E65" s="102">
        <v>401</v>
      </c>
      <c r="F65" s="102">
        <v>383</v>
      </c>
      <c r="G65" s="102">
        <v>336</v>
      </c>
      <c r="H65" s="102">
        <v>331</v>
      </c>
      <c r="I65" s="102">
        <v>420</v>
      </c>
      <c r="J65" s="102">
        <v>649</v>
      </c>
      <c r="K65" s="50">
        <v>789</v>
      </c>
      <c r="L65" s="50">
        <v>894</v>
      </c>
      <c r="M65" s="50">
        <v>875</v>
      </c>
      <c r="N65" s="50">
        <v>775</v>
      </c>
      <c r="O65" s="50">
        <v>748</v>
      </c>
      <c r="P65" s="50">
        <v>754</v>
      </c>
      <c r="Q65" s="50">
        <v>537</v>
      </c>
      <c r="R65" s="50">
        <v>546</v>
      </c>
      <c r="S65" s="50">
        <v>573</v>
      </c>
      <c r="T65" s="50">
        <v>334</v>
      </c>
      <c r="U65" s="50">
        <v>397</v>
      </c>
      <c r="V65" s="50">
        <v>457</v>
      </c>
      <c r="W65" s="49">
        <v>570</v>
      </c>
      <c r="X65" s="49">
        <v>644</v>
      </c>
      <c r="Y65" s="133">
        <v>676</v>
      </c>
      <c r="Z65" s="1596">
        <f>Propulsion!BD46</f>
        <v>862.04310937888465</v>
      </c>
      <c r="AA65" s="59">
        <f>Propulsion!BL46</f>
        <v>951.74580075086703</v>
      </c>
      <c r="AB65" s="59">
        <f>Propulsion!BT46</f>
        <v>1048.6941194052852</v>
      </c>
      <c r="AC65" s="59">
        <f>Propulsion!CB46</f>
        <v>1114.6390480571365</v>
      </c>
      <c r="AD65" s="59">
        <f>Propulsion!CJ46</f>
        <v>1130.6028241338381</v>
      </c>
      <c r="AE65" s="65"/>
      <c r="AJ65" s="134"/>
    </row>
    <row r="66" spans="1:36" s="50" customFormat="1" x14ac:dyDescent="0.2">
      <c r="A66" s="53" t="str">
        <f>A5</f>
        <v>Equipment, Defense &amp; Aerosystems</v>
      </c>
      <c r="C66" s="102"/>
      <c r="D66" s="102"/>
      <c r="E66" s="102"/>
      <c r="F66" s="102"/>
      <c r="G66" s="102"/>
      <c r="H66" s="102"/>
      <c r="I66" s="102"/>
      <c r="J66" s="102"/>
      <c r="R66" s="50">
        <v>502</v>
      </c>
      <c r="S66" s="50">
        <v>527</v>
      </c>
      <c r="T66" s="50">
        <v>357</v>
      </c>
      <c r="U66" s="50">
        <v>379</v>
      </c>
      <c r="V66" s="50">
        <v>425</v>
      </c>
      <c r="W66" s="49">
        <v>484</v>
      </c>
      <c r="X66" s="49">
        <v>511</v>
      </c>
      <c r="Y66" s="133">
        <v>569</v>
      </c>
      <c r="Z66" s="1596">
        <f>'Equipment &amp; Defense'!BB37</f>
        <v>733.41191645593426</v>
      </c>
      <c r="AA66" s="59">
        <f>'Equipment &amp; Defense'!BJ37</f>
        <v>794.26623832430755</v>
      </c>
      <c r="AB66" s="59">
        <f>'Equipment &amp; Defense'!BR37</f>
        <v>863.26209714945151</v>
      </c>
      <c r="AC66" s="59">
        <f>'Equipment &amp; Defense'!BZ37</f>
        <v>931.03882127817417</v>
      </c>
      <c r="AD66" s="59">
        <f>'Equipment &amp; Defense'!CH37</f>
        <v>972.97117976482082</v>
      </c>
      <c r="AE66" s="65"/>
    </row>
    <row r="67" spans="1:36" s="50" customFormat="1" x14ac:dyDescent="0.2">
      <c r="A67" s="53" t="str">
        <f>A6</f>
        <v>Interiors</v>
      </c>
      <c r="C67" s="102"/>
      <c r="D67" s="102"/>
      <c r="E67" s="102"/>
      <c r="F67" s="102"/>
      <c r="G67" s="102"/>
      <c r="H67" s="102"/>
      <c r="I67" s="102"/>
      <c r="J67" s="102"/>
      <c r="R67" s="50">
        <v>178</v>
      </c>
      <c r="S67" s="50">
        <v>237</v>
      </c>
      <c r="T67" s="50">
        <v>173</v>
      </c>
      <c r="U67" s="50">
        <v>148</v>
      </c>
      <c r="V67" s="50">
        <v>137</v>
      </c>
      <c r="W67" s="49">
        <v>162</v>
      </c>
      <c r="X67" s="49">
        <v>193</v>
      </c>
      <c r="Y67" s="133">
        <v>167</v>
      </c>
      <c r="Z67" s="1596">
        <f>Interiors!AM36</f>
        <v>159.06768508867856</v>
      </c>
      <c r="AA67" s="59">
        <f>Interiors!AU36</f>
        <v>173.8002515392217</v>
      </c>
      <c r="AB67" s="59">
        <f>Interiors!BC36</f>
        <v>188.94918850300834</v>
      </c>
      <c r="AC67" s="59">
        <f>Interiors!BK36</f>
        <v>203.8395352121116</v>
      </c>
      <c r="AD67" s="59">
        <f>Interiors!BS36</f>
        <v>213.07961844945677</v>
      </c>
      <c r="AE67" s="56"/>
    </row>
    <row r="68" spans="1:36" s="50" customFormat="1" hidden="1" outlineLevel="1" x14ac:dyDescent="0.2">
      <c r="A68" s="98" t="str">
        <f>A57</f>
        <v>Equipment</v>
      </c>
      <c r="B68" s="50">
        <v>201</v>
      </c>
      <c r="C68" s="102">
        <v>218</v>
      </c>
      <c r="D68" s="102">
        <v>234</v>
      </c>
      <c r="E68" s="102">
        <v>204</v>
      </c>
      <c r="F68" s="102">
        <v>167</v>
      </c>
      <c r="G68" s="102">
        <v>145</v>
      </c>
      <c r="H68" s="102">
        <v>112</v>
      </c>
      <c r="I68" s="102">
        <v>159</v>
      </c>
      <c r="J68" s="102">
        <v>213</v>
      </c>
      <c r="K68" s="50">
        <v>254</v>
      </c>
      <c r="L68" s="50">
        <v>308</v>
      </c>
      <c r="M68" s="50">
        <v>229</v>
      </c>
      <c r="N68" s="50">
        <v>218</v>
      </c>
      <c r="O68" s="50">
        <v>182</v>
      </c>
      <c r="P68" s="50">
        <v>237</v>
      </c>
      <c r="Q68" s="50">
        <v>246</v>
      </c>
      <c r="S68" s="53"/>
      <c r="T68" s="53"/>
      <c r="U68" s="53"/>
      <c r="V68" s="53"/>
      <c r="W68" s="53"/>
      <c r="X68" s="53"/>
      <c r="Y68" s="55"/>
      <c r="Z68" s="1596"/>
      <c r="AA68" s="59"/>
      <c r="AB68" s="59"/>
      <c r="AC68" s="59"/>
      <c r="AD68" s="59"/>
      <c r="AE68" s="65"/>
    </row>
    <row r="69" spans="1:36" s="50" customFormat="1" hidden="1" outlineLevel="1" x14ac:dyDescent="0.2">
      <c r="A69" s="98" t="s">
        <v>102</v>
      </c>
      <c r="B69" s="50">
        <v>76</v>
      </c>
      <c r="C69" s="102">
        <v>74</v>
      </c>
      <c r="D69" s="102">
        <v>103</v>
      </c>
      <c r="E69" s="102">
        <v>120</v>
      </c>
      <c r="F69" s="102">
        <f>114+45</f>
        <v>159</v>
      </c>
      <c r="G69" s="102">
        <f>146+63</f>
        <v>209</v>
      </c>
      <c r="H69" s="102">
        <f>109+85</f>
        <v>194</v>
      </c>
      <c r="I69" s="102">
        <f>118+111</f>
        <v>229</v>
      </c>
      <c r="J69" s="102">
        <f>117+124</f>
        <v>241</v>
      </c>
      <c r="K69" s="50">
        <f>117+129</f>
        <v>246</v>
      </c>
      <c r="L69" s="50">
        <f>133+129</f>
        <v>262</v>
      </c>
      <c r="M69" s="50">
        <f>119+133</f>
        <v>252</v>
      </c>
      <c r="N69" s="50">
        <v>113</v>
      </c>
      <c r="O69" s="50">
        <v>123</v>
      </c>
      <c r="P69" s="50">
        <v>132</v>
      </c>
      <c r="Q69" s="50">
        <v>123</v>
      </c>
      <c r="R69" s="53"/>
      <c r="S69" s="53"/>
      <c r="T69" s="53"/>
      <c r="U69" s="53"/>
      <c r="V69" s="53"/>
      <c r="W69" s="53"/>
      <c r="X69" s="53"/>
      <c r="Y69" s="55"/>
      <c r="Z69" s="1596"/>
      <c r="AA69" s="106"/>
      <c r="AB69" s="106"/>
      <c r="AC69" s="106"/>
      <c r="AD69" s="106"/>
      <c r="AE69" s="56"/>
    </row>
    <row r="70" spans="1:36" s="50" customFormat="1" hidden="1" outlineLevel="1" x14ac:dyDescent="0.2">
      <c r="A70" s="98" t="str">
        <f>A59</f>
        <v>Zodiac</v>
      </c>
      <c r="C70" s="102"/>
      <c r="D70" s="102"/>
      <c r="E70" s="102"/>
      <c r="F70" s="102"/>
      <c r="G70" s="102"/>
      <c r="H70" s="102"/>
      <c r="I70" s="102"/>
      <c r="J70" s="102"/>
      <c r="Q70" s="50">
        <v>320</v>
      </c>
      <c r="R70" s="53"/>
      <c r="S70" s="53"/>
      <c r="T70" s="53"/>
      <c r="U70" s="53"/>
      <c r="V70" s="53"/>
      <c r="W70" s="53"/>
      <c r="X70" s="53"/>
      <c r="Y70" s="55"/>
      <c r="Z70" s="1596"/>
      <c r="AA70" s="106"/>
      <c r="AB70" s="106"/>
      <c r="AC70" s="106"/>
      <c r="AD70" s="106"/>
      <c r="AE70" s="56"/>
    </row>
    <row r="71" spans="1:36" s="50" customFormat="1" ht="11.25" hidden="1" customHeight="1" outlineLevel="1" x14ac:dyDescent="0.2">
      <c r="A71" s="53"/>
      <c r="B71" s="67">
        <v>160</v>
      </c>
      <c r="C71" s="135">
        <v>187</v>
      </c>
      <c r="D71" s="135">
        <v>110</v>
      </c>
      <c r="E71" s="135"/>
      <c r="F71" s="135"/>
      <c r="G71" s="135"/>
      <c r="H71" s="135"/>
      <c r="I71" s="67"/>
      <c r="J71" s="67"/>
      <c r="K71" s="67"/>
      <c r="L71" s="67"/>
      <c r="M71" s="67"/>
      <c r="N71" s="67"/>
      <c r="O71" s="67"/>
      <c r="P71" s="67"/>
      <c r="Q71" s="67"/>
      <c r="R71" s="67"/>
      <c r="S71" s="67"/>
      <c r="T71" s="67"/>
      <c r="U71" s="67"/>
      <c r="V71" s="67"/>
      <c r="W71" s="67"/>
      <c r="X71" s="67"/>
      <c r="Y71" s="136"/>
      <c r="Z71" s="1612"/>
      <c r="AA71" s="137"/>
      <c r="AB71" s="137"/>
      <c r="AC71" s="137"/>
      <c r="AD71" s="137"/>
      <c r="AE71" s="56"/>
    </row>
    <row r="72" spans="1:36" s="50" customFormat="1" collapsed="1" x14ac:dyDescent="0.2">
      <c r="A72" s="70" t="s">
        <v>100</v>
      </c>
      <c r="B72" s="71">
        <f t="shared" ref="B72:AD72" si="40">SUM(B65:B71)</f>
        <v>724</v>
      </c>
      <c r="C72" s="138">
        <f t="shared" si="40"/>
        <v>798</v>
      </c>
      <c r="D72" s="138">
        <f t="shared" si="40"/>
        <v>781</v>
      </c>
      <c r="E72" s="138">
        <f t="shared" si="40"/>
        <v>725</v>
      </c>
      <c r="F72" s="138">
        <f t="shared" si="40"/>
        <v>709</v>
      </c>
      <c r="G72" s="138">
        <f t="shared" si="40"/>
        <v>690</v>
      </c>
      <c r="H72" s="138">
        <f t="shared" si="40"/>
        <v>637</v>
      </c>
      <c r="I72" s="71">
        <f t="shared" si="40"/>
        <v>808</v>
      </c>
      <c r="J72" s="71">
        <f t="shared" si="40"/>
        <v>1103</v>
      </c>
      <c r="K72" s="71">
        <f t="shared" si="40"/>
        <v>1289</v>
      </c>
      <c r="L72" s="71">
        <f t="shared" si="40"/>
        <v>1464</v>
      </c>
      <c r="M72" s="71">
        <f t="shared" si="40"/>
        <v>1356</v>
      </c>
      <c r="N72" s="71">
        <f t="shared" si="40"/>
        <v>1106</v>
      </c>
      <c r="O72" s="71">
        <f t="shared" si="40"/>
        <v>1053</v>
      </c>
      <c r="P72" s="71">
        <f t="shared" si="40"/>
        <v>1123</v>
      </c>
      <c r="Q72" s="71">
        <f t="shared" si="40"/>
        <v>1226</v>
      </c>
      <c r="R72" s="71">
        <f>SUM(R65:R71)</f>
        <v>1226</v>
      </c>
      <c r="S72" s="71">
        <f>SUM(S65:S71)</f>
        <v>1337</v>
      </c>
      <c r="T72" s="71">
        <f>SUM(T65:T71)</f>
        <v>864</v>
      </c>
      <c r="U72" s="71">
        <f t="shared" si="40"/>
        <v>924</v>
      </c>
      <c r="V72" s="71">
        <f>SUM(V65:V71)</f>
        <v>1019</v>
      </c>
      <c r="W72" s="71">
        <f>SUM(W65:W71)</f>
        <v>1216</v>
      </c>
      <c r="X72" s="71">
        <f>SUM(X65:X71)</f>
        <v>1348</v>
      </c>
      <c r="Y72" s="72">
        <f>SUM(Y65:Y71)</f>
        <v>1412</v>
      </c>
      <c r="Z72" s="1600">
        <f t="shared" si="40"/>
        <v>1754.5227109234975</v>
      </c>
      <c r="AA72" s="73">
        <f t="shared" si="40"/>
        <v>1919.8122906143963</v>
      </c>
      <c r="AB72" s="73">
        <f t="shared" si="40"/>
        <v>2100.9054050577452</v>
      </c>
      <c r="AC72" s="73">
        <f t="shared" si="40"/>
        <v>2249.5174045474223</v>
      </c>
      <c r="AD72" s="73">
        <f t="shared" si="40"/>
        <v>2316.6536223481153</v>
      </c>
      <c r="AE72" s="126"/>
    </row>
    <row r="73" spans="1:36" s="50" customFormat="1" x14ac:dyDescent="0.2">
      <c r="A73" s="53" t="s">
        <v>103</v>
      </c>
      <c r="B73" s="82">
        <f t="shared" ref="B73:AD73" si="41">B72/B13</f>
        <v>7.1697365815012876E-2</v>
      </c>
      <c r="C73" s="101">
        <f t="shared" si="41"/>
        <v>7.5453857791225418E-2</v>
      </c>
      <c r="D73" s="101">
        <f t="shared" si="41"/>
        <v>6.8938123400123577E-2</v>
      </c>
      <c r="E73" s="101">
        <f t="shared" si="41"/>
        <v>7.0925454901193508E-2</v>
      </c>
      <c r="F73" s="101">
        <f t="shared" si="41"/>
        <v>6.8641688449995159E-2</v>
      </c>
      <c r="G73" s="101">
        <f t="shared" si="41"/>
        <v>6.6041347626339966E-2</v>
      </c>
      <c r="H73" s="101">
        <f t="shared" si="41"/>
        <v>5.9200743494423794E-2</v>
      </c>
      <c r="I73" s="82">
        <f t="shared" si="41"/>
        <v>6.8847989093387865E-2</v>
      </c>
      <c r="J73" s="82">
        <f t="shared" si="41"/>
        <v>8.1342182890855458E-2</v>
      </c>
      <c r="K73" s="82">
        <f t="shared" si="41"/>
        <v>8.9744482350483878E-2</v>
      </c>
      <c r="L73" s="82">
        <f t="shared" si="41"/>
        <v>9.534353630739173E-2</v>
      </c>
      <c r="M73" s="83">
        <f t="shared" si="41"/>
        <v>7.7868381761800845E-2</v>
      </c>
      <c r="N73" s="83">
        <f t="shared" si="41"/>
        <v>7.0084278562828714E-2</v>
      </c>
      <c r="O73" s="83">
        <f t="shared" si="41"/>
        <v>6.3737061921191204E-2</v>
      </c>
      <c r="P73" s="83">
        <f t="shared" si="41"/>
        <v>7.039428320692033E-2</v>
      </c>
      <c r="Q73" s="83">
        <f t="shared" si="41"/>
        <v>5.8242280285035627E-2</v>
      </c>
      <c r="R73" s="83">
        <f t="shared" si="41"/>
        <v>5.8242280285035627E-2</v>
      </c>
      <c r="S73" s="83">
        <f t="shared" si="41"/>
        <v>5.4261363636363635E-2</v>
      </c>
      <c r="T73" s="83">
        <f t="shared" si="41"/>
        <v>5.2369984240513999E-2</v>
      </c>
      <c r="U73" s="83">
        <f t="shared" si="41"/>
        <v>6.0562364816149961E-2</v>
      </c>
      <c r="V73" s="83">
        <f t="shared" si="41"/>
        <v>5.3532965589703177E-2</v>
      </c>
      <c r="W73" s="83">
        <f t="shared" ref="W73:X73" si="42">W72/W13</f>
        <v>5.2416052416052419E-2</v>
      </c>
      <c r="X73" s="83">
        <f t="shared" si="42"/>
        <v>4.9346560749716294E-2</v>
      </c>
      <c r="Y73" s="85">
        <f t="shared" ref="Y73" si="43">Y72/Y13</f>
        <v>4.5070062881036738E-2</v>
      </c>
      <c r="Z73" s="1603">
        <f t="shared" si="41"/>
        <v>4.739890066177254E-2</v>
      </c>
      <c r="AA73" s="25">
        <f t="shared" si="41"/>
        <v>4.7377929632834125E-2</v>
      </c>
      <c r="AB73" s="25">
        <f t="shared" si="41"/>
        <v>4.7361915649141849E-2</v>
      </c>
      <c r="AC73" s="25">
        <f t="shared" si="41"/>
        <v>4.7380880528068464E-2</v>
      </c>
      <c r="AD73" s="25">
        <f t="shared" si="41"/>
        <v>4.7418459002412414E-2</v>
      </c>
      <c r="AE73" s="113"/>
    </row>
    <row r="74" spans="1:36" s="50" customFormat="1" x14ac:dyDescent="0.2">
      <c r="A74" s="70"/>
      <c r="B74" s="82"/>
      <c r="C74" s="101"/>
      <c r="D74" s="101"/>
      <c r="E74" s="101"/>
      <c r="F74" s="101"/>
      <c r="G74" s="101"/>
      <c r="H74" s="101"/>
      <c r="I74" s="82"/>
      <c r="K74" s="82"/>
      <c r="L74" s="82"/>
      <c r="M74" s="139"/>
      <c r="N74" s="139"/>
      <c r="O74" s="83"/>
      <c r="P74" s="83"/>
      <c r="Q74" s="83"/>
      <c r="R74" s="83"/>
      <c r="S74" s="108"/>
      <c r="T74" s="83"/>
      <c r="U74" s="83"/>
      <c r="V74" s="83"/>
      <c r="W74" s="83"/>
      <c r="X74" s="83"/>
      <c r="Y74" s="85"/>
      <c r="Z74" s="113"/>
      <c r="AA74" s="82"/>
      <c r="AB74" s="82"/>
      <c r="AC74" s="82"/>
      <c r="AD74" s="82"/>
      <c r="AE74" s="56"/>
    </row>
    <row r="75" spans="1:36" s="50" customFormat="1" x14ac:dyDescent="0.2">
      <c r="A75" s="70" t="s">
        <v>104</v>
      </c>
      <c r="C75" s="102"/>
      <c r="D75" s="102"/>
      <c r="E75" s="102"/>
      <c r="F75" s="102"/>
      <c r="G75" s="102"/>
      <c r="H75" s="102"/>
      <c r="M75" s="140"/>
      <c r="N75" s="140"/>
      <c r="O75" s="53"/>
      <c r="P75" s="53"/>
      <c r="Q75" s="53"/>
      <c r="R75" s="53"/>
      <c r="S75" s="53"/>
      <c r="T75" s="53"/>
      <c r="U75" s="53"/>
      <c r="V75" s="53"/>
      <c r="W75" s="53"/>
      <c r="X75" s="53"/>
      <c r="Y75" s="55"/>
      <c r="Z75" s="56"/>
      <c r="AE75" s="56"/>
    </row>
    <row r="76" spans="1:36" s="50" customFormat="1" x14ac:dyDescent="0.2">
      <c r="A76" s="53" t="str">
        <f>A4</f>
        <v>Propulsion</v>
      </c>
      <c r="B76" s="50">
        <v>67</v>
      </c>
      <c r="C76" s="102">
        <v>112</v>
      </c>
      <c r="D76" s="102">
        <v>74</v>
      </c>
      <c r="E76" s="102">
        <v>5</v>
      </c>
      <c r="F76" s="102">
        <v>126</v>
      </c>
      <c r="G76" s="102">
        <v>84</v>
      </c>
      <c r="H76" s="49">
        <v>98</v>
      </c>
      <c r="I76" s="49">
        <v>161</v>
      </c>
      <c r="J76" s="49">
        <v>342</v>
      </c>
      <c r="K76" s="53">
        <v>516</v>
      </c>
      <c r="L76" s="53">
        <v>475</v>
      </c>
      <c r="M76" s="53">
        <v>357</v>
      </c>
      <c r="N76" s="53">
        <v>218</v>
      </c>
      <c r="O76" s="53">
        <v>175</v>
      </c>
      <c r="P76" s="53">
        <v>181</v>
      </c>
      <c r="Q76" s="53">
        <v>102</v>
      </c>
      <c r="R76" s="53">
        <v>103</v>
      </c>
      <c r="S76" s="53">
        <v>96</v>
      </c>
      <c r="T76" s="53">
        <v>62</v>
      </c>
      <c r="U76" s="53">
        <v>105</v>
      </c>
      <c r="V76" s="53">
        <v>92</v>
      </c>
      <c r="W76" s="49">
        <v>96</v>
      </c>
      <c r="X76" s="49">
        <v>110</v>
      </c>
      <c r="Y76" s="133">
        <v>105</v>
      </c>
      <c r="Z76" s="1596">
        <f>Propulsion!BD51</f>
        <v>129.3064664068327</v>
      </c>
      <c r="AA76" s="106">
        <f>Propulsion!BL51</f>
        <v>142.76187011263005</v>
      </c>
      <c r="AB76" s="106">
        <f>Propulsion!BT51</f>
        <v>157.30411791079277</v>
      </c>
      <c r="AC76" s="106">
        <f>Propulsion!CB51</f>
        <v>167.19585720857046</v>
      </c>
      <c r="AD76" s="106">
        <f>Propulsion!CJ51</f>
        <v>169.59042362007571</v>
      </c>
      <c r="AE76" s="65"/>
    </row>
    <row r="77" spans="1:36" s="50" customFormat="1" x14ac:dyDescent="0.2">
      <c r="A77" s="53" t="str">
        <f>A5</f>
        <v>Equipment, Defense &amp; Aerosystems</v>
      </c>
      <c r="C77" s="102"/>
      <c r="D77" s="102"/>
      <c r="E77" s="102"/>
      <c r="F77" s="102"/>
      <c r="G77" s="102"/>
      <c r="H77" s="49"/>
      <c r="I77" s="49"/>
      <c r="J77" s="49"/>
      <c r="K77" s="53"/>
      <c r="L77" s="53"/>
      <c r="M77" s="53"/>
      <c r="N77" s="53"/>
      <c r="O77" s="53"/>
      <c r="P77" s="53"/>
      <c r="Q77" s="53"/>
      <c r="R77" s="53">
        <v>172</v>
      </c>
      <c r="S77" s="53">
        <v>161</v>
      </c>
      <c r="T77" s="53">
        <v>124</v>
      </c>
      <c r="U77" s="53">
        <v>127</v>
      </c>
      <c r="V77" s="53">
        <v>126</v>
      </c>
      <c r="W77" s="49">
        <v>149</v>
      </c>
      <c r="X77" s="49">
        <v>121</v>
      </c>
      <c r="Y77" s="133">
        <v>154</v>
      </c>
      <c r="Z77" s="1596">
        <f>'Equipment &amp; Defense'!BB39</f>
        <v>220.02357493678028</v>
      </c>
      <c r="AA77" s="106">
        <f>'Equipment &amp; Defense'!BJ39</f>
        <v>238.27987149729225</v>
      </c>
      <c r="AB77" s="106">
        <f>'Equipment &amp; Defense'!BR39</f>
        <v>258.97862914483545</v>
      </c>
      <c r="AC77" s="106">
        <f>'Equipment &amp; Defense'!BZ39</f>
        <v>279.31164638345223</v>
      </c>
      <c r="AD77" s="106">
        <f>'Equipment &amp; Defense'!CH39</f>
        <v>291.89135392944621</v>
      </c>
      <c r="AE77" s="56"/>
    </row>
    <row r="78" spans="1:36" s="50" customFormat="1" x14ac:dyDescent="0.2">
      <c r="A78" s="53" t="str">
        <f>A6</f>
        <v>Interiors</v>
      </c>
      <c r="C78" s="102"/>
      <c r="D78" s="102"/>
      <c r="E78" s="102"/>
      <c r="F78" s="102"/>
      <c r="G78" s="102"/>
      <c r="H78" s="49"/>
      <c r="I78" s="49"/>
      <c r="J78" s="49"/>
      <c r="K78" s="53"/>
      <c r="L78" s="53"/>
      <c r="M78" s="53"/>
      <c r="N78" s="53"/>
      <c r="O78" s="53"/>
      <c r="P78" s="53"/>
      <c r="Q78" s="53"/>
      <c r="R78" s="53">
        <v>45</v>
      </c>
      <c r="S78" s="53">
        <v>68</v>
      </c>
      <c r="T78" s="53">
        <v>93</v>
      </c>
      <c r="U78" s="53">
        <v>79</v>
      </c>
      <c r="V78" s="53">
        <v>60</v>
      </c>
      <c r="W78" s="49">
        <v>74</v>
      </c>
      <c r="X78" s="49">
        <v>94</v>
      </c>
      <c r="Y78" s="133">
        <v>85</v>
      </c>
      <c r="Z78" s="1596">
        <f>Interiors!AM38</f>
        <v>79.533842544339279</v>
      </c>
      <c r="AA78" s="106">
        <f>Interiors!AU38</f>
        <v>86.900125769610852</v>
      </c>
      <c r="AB78" s="106">
        <f>Interiors!BC38</f>
        <v>94.474594251504172</v>
      </c>
      <c r="AC78" s="106">
        <f>Interiors!BK38</f>
        <v>101.9197676060558</v>
      </c>
      <c r="AD78" s="106">
        <f>Interiors!BS38</f>
        <v>106.53980922472839</v>
      </c>
      <c r="AE78" s="56"/>
    </row>
    <row r="79" spans="1:36" s="50" customFormat="1" hidden="1" outlineLevel="1" x14ac:dyDescent="0.2">
      <c r="A79" s="98" t="str">
        <f>A68</f>
        <v>Equipment</v>
      </c>
      <c r="B79" s="50">
        <v>97</v>
      </c>
      <c r="C79" s="102">
        <v>132</v>
      </c>
      <c r="D79" s="102">
        <v>98</v>
      </c>
      <c r="E79" s="102">
        <v>98</v>
      </c>
      <c r="F79" s="102">
        <v>83</v>
      </c>
      <c r="G79" s="102">
        <v>65</v>
      </c>
      <c r="H79" s="49">
        <v>45</v>
      </c>
      <c r="I79" s="49">
        <v>81</v>
      </c>
      <c r="J79" s="49">
        <v>126</v>
      </c>
      <c r="K79" s="53">
        <v>129</v>
      </c>
      <c r="L79" s="53">
        <v>122</v>
      </c>
      <c r="M79" s="53">
        <v>98</v>
      </c>
      <c r="N79" s="53">
        <v>82</v>
      </c>
      <c r="O79" s="53">
        <v>56</v>
      </c>
      <c r="P79" s="53">
        <v>110</v>
      </c>
      <c r="Q79" s="53">
        <v>109</v>
      </c>
      <c r="R79" s="53"/>
      <c r="S79" s="53"/>
      <c r="T79" s="53"/>
      <c r="U79" s="53"/>
      <c r="V79" s="53"/>
      <c r="W79" s="53"/>
      <c r="X79" s="53"/>
      <c r="Y79" s="55"/>
      <c r="Z79" s="1597"/>
      <c r="AA79" s="108"/>
      <c r="AB79" s="108"/>
      <c r="AC79" s="108"/>
      <c r="AD79" s="108"/>
      <c r="AE79" s="56"/>
    </row>
    <row r="80" spans="1:36" s="50" customFormat="1" hidden="1" outlineLevel="1" x14ac:dyDescent="0.2">
      <c r="A80" s="98" t="str">
        <f>A69</f>
        <v>Defense &amp; Security</v>
      </c>
      <c r="B80" s="50">
        <v>20</v>
      </c>
      <c r="C80" s="102">
        <v>8</v>
      </c>
      <c r="D80" s="102">
        <v>-7</v>
      </c>
      <c r="E80" s="102">
        <v>2</v>
      </c>
      <c r="F80" s="102">
        <f>20+0</f>
        <v>20</v>
      </c>
      <c r="G80" s="102">
        <f>33+0</f>
        <v>33</v>
      </c>
      <c r="H80" s="49">
        <f>18+18</f>
        <v>36</v>
      </c>
      <c r="I80" s="49">
        <f>24+16</f>
        <v>40</v>
      </c>
      <c r="J80" s="49">
        <f>22+14</f>
        <v>36</v>
      </c>
      <c r="K80" s="53">
        <f>31+17</f>
        <v>48</v>
      </c>
      <c r="L80" s="53">
        <f>26+21</f>
        <v>47</v>
      </c>
      <c r="M80" s="53">
        <f>24+16</f>
        <v>40</v>
      </c>
      <c r="N80" s="53">
        <v>43</v>
      </c>
      <c r="O80" s="53">
        <v>44</v>
      </c>
      <c r="P80" s="53">
        <v>54</v>
      </c>
      <c r="Q80" s="53">
        <v>45</v>
      </c>
      <c r="R80" s="124"/>
      <c r="S80" s="124"/>
      <c r="T80" s="124"/>
      <c r="U80" s="124"/>
      <c r="V80" s="124"/>
      <c r="W80" s="124"/>
      <c r="X80" s="124"/>
      <c r="Y80" s="125"/>
      <c r="Z80" s="1597"/>
      <c r="AA80" s="108"/>
      <c r="AB80" s="108"/>
      <c r="AC80" s="108"/>
      <c r="AD80" s="108"/>
      <c r="AE80" s="56"/>
    </row>
    <row r="81" spans="1:37" s="50" customFormat="1" hidden="1" outlineLevel="1" x14ac:dyDescent="0.2">
      <c r="A81" s="98" t="str">
        <f>A70</f>
        <v>Zodiac</v>
      </c>
      <c r="B81" s="50">
        <v>2</v>
      </c>
      <c r="C81" s="102">
        <v>54</v>
      </c>
      <c r="D81" s="102">
        <v>0</v>
      </c>
      <c r="E81" s="102"/>
      <c r="F81" s="102"/>
      <c r="G81" s="102"/>
      <c r="H81" s="49"/>
      <c r="I81" s="49"/>
      <c r="J81" s="49"/>
      <c r="K81" s="53"/>
      <c r="L81" s="53"/>
      <c r="M81" s="53"/>
      <c r="N81" s="53"/>
      <c r="O81" s="53"/>
      <c r="P81" s="53"/>
      <c r="Q81" s="53">
        <v>64</v>
      </c>
      <c r="R81" s="53"/>
      <c r="S81" s="53"/>
      <c r="T81" s="53"/>
      <c r="U81" s="53"/>
      <c r="V81" s="53"/>
      <c r="W81" s="53"/>
      <c r="X81" s="53"/>
      <c r="Y81" s="55"/>
      <c r="Z81" s="1597"/>
      <c r="AA81" s="108"/>
      <c r="AB81" s="108"/>
      <c r="AC81" s="108"/>
      <c r="AD81" s="108"/>
      <c r="AE81" s="56"/>
    </row>
    <row r="82" spans="1:37" s="50" customFormat="1" collapsed="1" x14ac:dyDescent="0.2">
      <c r="A82" s="70" t="str">
        <f>A72</f>
        <v>Total</v>
      </c>
      <c r="B82" s="71">
        <f>SUM(B76:B81)</f>
        <v>186</v>
      </c>
      <c r="C82" s="138">
        <f t="shared" ref="C82:AD82" si="44">SUM(C76:C81)</f>
        <v>306</v>
      </c>
      <c r="D82" s="138">
        <f t="shared" si="44"/>
        <v>165</v>
      </c>
      <c r="E82" s="138">
        <f t="shared" si="44"/>
        <v>105</v>
      </c>
      <c r="F82" s="138">
        <f t="shared" si="44"/>
        <v>229</v>
      </c>
      <c r="G82" s="138">
        <f t="shared" si="44"/>
        <v>182</v>
      </c>
      <c r="H82" s="138">
        <f t="shared" si="44"/>
        <v>179</v>
      </c>
      <c r="I82" s="71">
        <f>SUM(I76:I81)</f>
        <v>282</v>
      </c>
      <c r="J82" s="71">
        <f>SUM(J76:J81)</f>
        <v>504</v>
      </c>
      <c r="K82" s="71">
        <f>SUM(K76:K81)</f>
        <v>693</v>
      </c>
      <c r="L82" s="71">
        <f>SUM(L76:L81)</f>
        <v>644</v>
      </c>
      <c r="M82" s="71">
        <f t="shared" si="44"/>
        <v>495</v>
      </c>
      <c r="N82" s="71">
        <f t="shared" si="44"/>
        <v>343</v>
      </c>
      <c r="O82" s="71">
        <f t="shared" si="44"/>
        <v>275</v>
      </c>
      <c r="P82" s="71">
        <f>SUM(P76:P81)</f>
        <v>345</v>
      </c>
      <c r="Q82" s="71">
        <f t="shared" si="44"/>
        <v>320</v>
      </c>
      <c r="R82" s="71">
        <f>SUM(R76:R81)</f>
        <v>320</v>
      </c>
      <c r="S82" s="71">
        <f>SUM(S76:S81)</f>
        <v>325</v>
      </c>
      <c r="T82" s="71">
        <f>SUM(T76:T81)</f>
        <v>279</v>
      </c>
      <c r="U82" s="71">
        <f t="shared" si="44"/>
        <v>311</v>
      </c>
      <c r="V82" s="71">
        <f t="shared" si="44"/>
        <v>278</v>
      </c>
      <c r="W82" s="71">
        <f t="shared" ref="W82" si="45">SUM(W76:W81)</f>
        <v>319</v>
      </c>
      <c r="X82" s="71">
        <f t="shared" si="44"/>
        <v>325</v>
      </c>
      <c r="Y82" s="72">
        <f t="shared" ref="Y82" si="46">SUM(Y76:Y81)</f>
        <v>344</v>
      </c>
      <c r="Z82" s="1600">
        <f t="shared" si="44"/>
        <v>428.86388388795223</v>
      </c>
      <c r="AA82" s="73">
        <f t="shared" si="44"/>
        <v>467.94186737953311</v>
      </c>
      <c r="AB82" s="73">
        <f t="shared" si="44"/>
        <v>510.75734130713238</v>
      </c>
      <c r="AC82" s="73">
        <f t="shared" si="44"/>
        <v>548.42727119807842</v>
      </c>
      <c r="AD82" s="73">
        <f t="shared" si="44"/>
        <v>568.0215867742503</v>
      </c>
      <c r="AE82" s="56"/>
    </row>
    <row r="83" spans="1:37" s="50" customFormat="1" x14ac:dyDescent="0.2">
      <c r="A83" s="53" t="s">
        <v>105</v>
      </c>
      <c r="B83" s="82">
        <f>B82/B72</f>
        <v>0.25690607734806631</v>
      </c>
      <c r="C83" s="101">
        <f t="shared" ref="C83:AD83" si="47">C82/C72</f>
        <v>0.38345864661654133</v>
      </c>
      <c r="D83" s="101">
        <f t="shared" si="47"/>
        <v>0.21126760563380281</v>
      </c>
      <c r="E83" s="101">
        <f t="shared" si="47"/>
        <v>0.14482758620689656</v>
      </c>
      <c r="F83" s="101">
        <f t="shared" si="47"/>
        <v>0.3229901269393512</v>
      </c>
      <c r="G83" s="101">
        <f t="shared" si="47"/>
        <v>0.26376811594202898</v>
      </c>
      <c r="H83" s="101">
        <f t="shared" si="47"/>
        <v>0.28100470957613816</v>
      </c>
      <c r="I83" s="82">
        <f t="shared" si="47"/>
        <v>0.34900990099009899</v>
      </c>
      <c r="J83" s="82">
        <f t="shared" si="47"/>
        <v>0.45693563009972804</v>
      </c>
      <c r="K83" s="82">
        <f t="shared" si="47"/>
        <v>0.53762606671838631</v>
      </c>
      <c r="L83" s="82">
        <f t="shared" si="47"/>
        <v>0.43989071038251365</v>
      </c>
      <c r="M83" s="83">
        <f t="shared" si="47"/>
        <v>0.36504424778761063</v>
      </c>
      <c r="N83" s="83">
        <f t="shared" si="47"/>
        <v>0.310126582278481</v>
      </c>
      <c r="O83" s="83">
        <f t="shared" si="47"/>
        <v>0.2611585944919278</v>
      </c>
      <c r="P83" s="83">
        <f>P82/P72</f>
        <v>0.30721282279608192</v>
      </c>
      <c r="Q83" s="83">
        <f t="shared" si="47"/>
        <v>0.26101141924959215</v>
      </c>
      <c r="R83" s="83">
        <f>R82/R72</f>
        <v>0.26101141924959215</v>
      </c>
      <c r="S83" s="83">
        <f t="shared" si="47"/>
        <v>0.24308152580403888</v>
      </c>
      <c r="T83" s="83">
        <f t="shared" si="47"/>
        <v>0.32291666666666669</v>
      </c>
      <c r="U83" s="83">
        <f t="shared" si="47"/>
        <v>0.33658008658008659</v>
      </c>
      <c r="V83" s="83">
        <f>V82/V72</f>
        <v>0.27281648675171738</v>
      </c>
      <c r="W83" s="83">
        <f>W82/W72</f>
        <v>0.26233552631578949</v>
      </c>
      <c r="X83" s="83">
        <f t="shared" si="47"/>
        <v>0.24109792284866469</v>
      </c>
      <c r="Y83" s="85">
        <f t="shared" ref="Y83" si="48">Y82/Y72</f>
        <v>0.24362606232294617</v>
      </c>
      <c r="Z83" s="1603">
        <f t="shared" si="47"/>
        <v>0.24443336140244012</v>
      </c>
      <c r="AA83" s="25">
        <f t="shared" si="47"/>
        <v>0.24374355225623542</v>
      </c>
      <c r="AB83" s="25">
        <f t="shared" si="47"/>
        <v>0.24311296457114584</v>
      </c>
      <c r="AC83" s="25">
        <f t="shared" si="47"/>
        <v>0.24379774528057757</v>
      </c>
      <c r="AD83" s="25">
        <f t="shared" si="47"/>
        <v>0.24519055472717349</v>
      </c>
      <c r="AE83" s="113"/>
    </row>
    <row r="84" spans="1:37" s="50" customFormat="1" x14ac:dyDescent="0.2">
      <c r="A84" s="70"/>
      <c r="B84" s="82"/>
      <c r="C84" s="101"/>
      <c r="D84" s="101"/>
      <c r="E84" s="101"/>
      <c r="F84" s="101"/>
      <c r="G84" s="101"/>
      <c r="M84" s="124"/>
      <c r="N84" s="124"/>
      <c r="O84" s="53"/>
      <c r="P84" s="53"/>
      <c r="Q84" s="53"/>
      <c r="R84" s="53"/>
      <c r="S84" s="53"/>
      <c r="T84" s="53"/>
      <c r="U84" s="53"/>
      <c r="V84" s="53"/>
      <c r="W84" s="53"/>
      <c r="X84" s="53"/>
      <c r="Y84" s="55"/>
      <c r="Z84" s="56"/>
      <c r="AE84" s="56"/>
    </row>
    <row r="85" spans="1:37" s="50" customFormat="1" x14ac:dyDescent="0.2">
      <c r="A85" s="70" t="s">
        <v>106</v>
      </c>
      <c r="C85" s="102"/>
      <c r="D85" s="102"/>
      <c r="E85" s="102"/>
      <c r="F85" s="102"/>
      <c r="G85" s="102"/>
      <c r="H85" s="102"/>
      <c r="I85" s="122"/>
      <c r="M85" s="139"/>
      <c r="N85" s="139"/>
      <c r="O85" s="53"/>
      <c r="P85" s="53"/>
      <c r="Q85" s="53"/>
      <c r="R85" s="53"/>
      <c r="S85" s="83"/>
      <c r="T85" s="53"/>
      <c r="U85" s="53"/>
      <c r="V85" s="53"/>
      <c r="W85" s="53"/>
      <c r="X85" s="53"/>
      <c r="Y85" s="55"/>
      <c r="Z85" s="56"/>
      <c r="AE85" s="65"/>
    </row>
    <row r="86" spans="1:37" s="50" customFormat="1" x14ac:dyDescent="0.2">
      <c r="A86" s="53" t="str">
        <f>A4</f>
        <v>Propulsion</v>
      </c>
      <c r="B86" s="50">
        <f>+B65-B76</f>
        <v>220</v>
      </c>
      <c r="C86" s="102">
        <f>+C65-C76</f>
        <v>207</v>
      </c>
      <c r="D86" s="102">
        <f t="shared" ref="D86:AD86" si="49">D65-D76</f>
        <v>260</v>
      </c>
      <c r="E86" s="102">
        <f t="shared" si="49"/>
        <v>396</v>
      </c>
      <c r="F86" s="102">
        <f t="shared" si="49"/>
        <v>257</v>
      </c>
      <c r="G86" s="102">
        <f t="shared" si="49"/>
        <v>252</v>
      </c>
      <c r="H86" s="49">
        <f t="shared" si="49"/>
        <v>233</v>
      </c>
      <c r="I86" s="53">
        <f t="shared" si="49"/>
        <v>259</v>
      </c>
      <c r="J86" s="53">
        <f t="shared" si="49"/>
        <v>307</v>
      </c>
      <c r="K86" s="53">
        <f t="shared" si="49"/>
        <v>273</v>
      </c>
      <c r="L86" s="53">
        <f t="shared" si="49"/>
        <v>419</v>
      </c>
      <c r="M86" s="53">
        <f t="shared" si="49"/>
        <v>518</v>
      </c>
      <c r="N86" s="53">
        <f t="shared" si="49"/>
        <v>557</v>
      </c>
      <c r="O86" s="53">
        <f t="shared" si="49"/>
        <v>573</v>
      </c>
      <c r="P86" s="53">
        <f t="shared" si="49"/>
        <v>573</v>
      </c>
      <c r="Q86" s="53">
        <f t="shared" si="49"/>
        <v>435</v>
      </c>
      <c r="R86" s="53">
        <f t="shared" si="49"/>
        <v>443</v>
      </c>
      <c r="S86" s="53">
        <f>S65-S76</f>
        <v>477</v>
      </c>
      <c r="T86" s="53">
        <f>T65-T76</f>
        <v>272</v>
      </c>
      <c r="U86" s="53">
        <f>U65-U76</f>
        <v>292</v>
      </c>
      <c r="V86" s="53">
        <f t="shared" si="49"/>
        <v>365</v>
      </c>
      <c r="W86" s="53">
        <f t="shared" ref="W86:X86" si="50">W65-W76</f>
        <v>474</v>
      </c>
      <c r="X86" s="53">
        <f t="shared" si="50"/>
        <v>534</v>
      </c>
      <c r="Y86" s="55">
        <f t="shared" ref="Y86" si="51">Y65-Y76</f>
        <v>571</v>
      </c>
      <c r="Z86" s="1596">
        <f t="shared" si="49"/>
        <v>732.73664297205198</v>
      </c>
      <c r="AA86" s="106">
        <f t="shared" si="49"/>
        <v>808.98393063823698</v>
      </c>
      <c r="AB86" s="106">
        <f t="shared" si="49"/>
        <v>891.39000149449237</v>
      </c>
      <c r="AC86" s="106">
        <f t="shared" si="49"/>
        <v>947.44319084856602</v>
      </c>
      <c r="AD86" s="106">
        <f t="shared" si="49"/>
        <v>961.01240051376237</v>
      </c>
      <c r="AE86" s="65"/>
    </row>
    <row r="87" spans="1:37" s="50" customFormat="1" x14ac:dyDescent="0.2">
      <c r="A87" s="53" t="str">
        <f>A5</f>
        <v>Equipment, Defense &amp; Aerosystems</v>
      </c>
      <c r="C87" s="102"/>
      <c r="D87" s="102"/>
      <c r="E87" s="102"/>
      <c r="F87" s="102"/>
      <c r="G87" s="102"/>
      <c r="H87" s="49"/>
      <c r="I87" s="53"/>
      <c r="J87" s="53"/>
      <c r="K87" s="53"/>
      <c r="L87" s="53"/>
      <c r="M87" s="53"/>
      <c r="N87" s="53"/>
      <c r="O87" s="53"/>
      <c r="P87" s="53"/>
      <c r="Q87" s="53"/>
      <c r="R87" s="53">
        <f>R66-R77</f>
        <v>330</v>
      </c>
      <c r="S87" s="53">
        <f>S66-S77</f>
        <v>366</v>
      </c>
      <c r="T87" s="53">
        <f t="shared" ref="T87:AD88" si="52">T66-T77</f>
        <v>233</v>
      </c>
      <c r="U87" s="53">
        <f t="shared" si="52"/>
        <v>252</v>
      </c>
      <c r="V87" s="53">
        <f t="shared" si="52"/>
        <v>299</v>
      </c>
      <c r="W87" s="53">
        <f t="shared" ref="W87:X87" si="53">W66-W77</f>
        <v>335</v>
      </c>
      <c r="X87" s="53">
        <f t="shared" si="53"/>
        <v>390</v>
      </c>
      <c r="Y87" s="55">
        <f t="shared" ref="Y87" si="54">Y66-Y77</f>
        <v>415</v>
      </c>
      <c r="Z87" s="1596">
        <f t="shared" si="52"/>
        <v>513.38834151915398</v>
      </c>
      <c r="AA87" s="106">
        <f t="shared" si="52"/>
        <v>555.98636682701533</v>
      </c>
      <c r="AB87" s="106">
        <f t="shared" si="52"/>
        <v>604.283468004616</v>
      </c>
      <c r="AC87" s="106">
        <f t="shared" si="52"/>
        <v>651.72717489472188</v>
      </c>
      <c r="AD87" s="106">
        <f t="shared" si="52"/>
        <v>681.07982583537455</v>
      </c>
      <c r="AE87" s="65"/>
    </row>
    <row r="88" spans="1:37" s="50" customFormat="1" x14ac:dyDescent="0.2">
      <c r="A88" s="53" t="str">
        <f>A6</f>
        <v>Interiors</v>
      </c>
      <c r="C88" s="102"/>
      <c r="D88" s="102"/>
      <c r="E88" s="102"/>
      <c r="F88" s="102"/>
      <c r="G88" s="102"/>
      <c r="H88" s="49"/>
      <c r="I88" s="53"/>
      <c r="J88" s="53"/>
      <c r="K88" s="53"/>
      <c r="L88" s="53"/>
      <c r="M88" s="53"/>
      <c r="N88" s="53"/>
      <c r="O88" s="53"/>
      <c r="P88" s="53"/>
      <c r="Q88" s="53"/>
      <c r="R88" s="53">
        <f>R67-R78</f>
        <v>133</v>
      </c>
      <c r="S88" s="53">
        <f>S67-S78</f>
        <v>169</v>
      </c>
      <c r="T88" s="53">
        <f t="shared" si="52"/>
        <v>80</v>
      </c>
      <c r="U88" s="53">
        <f t="shared" si="52"/>
        <v>69</v>
      </c>
      <c r="V88" s="53">
        <f t="shared" si="52"/>
        <v>77</v>
      </c>
      <c r="W88" s="53">
        <f t="shared" ref="W88:X88" si="55">W67-W78</f>
        <v>88</v>
      </c>
      <c r="X88" s="53">
        <f t="shared" si="55"/>
        <v>99</v>
      </c>
      <c r="Y88" s="55">
        <f t="shared" ref="Y88" si="56">Y67-Y78</f>
        <v>82</v>
      </c>
      <c r="Z88" s="1596">
        <f t="shared" si="52"/>
        <v>79.533842544339279</v>
      </c>
      <c r="AA88" s="106">
        <f t="shared" si="52"/>
        <v>86.900125769610852</v>
      </c>
      <c r="AB88" s="106">
        <f t="shared" si="52"/>
        <v>94.474594251504172</v>
      </c>
      <c r="AC88" s="106">
        <f t="shared" si="52"/>
        <v>101.9197676060558</v>
      </c>
      <c r="AD88" s="106">
        <f t="shared" si="52"/>
        <v>106.53980922472839</v>
      </c>
      <c r="AE88" s="56"/>
    </row>
    <row r="89" spans="1:37" s="50" customFormat="1" hidden="1" outlineLevel="1" x14ac:dyDescent="0.2">
      <c r="A89" s="98" t="str">
        <f>A79</f>
        <v>Equipment</v>
      </c>
      <c r="B89" s="50">
        <f>+B68-B79</f>
        <v>104</v>
      </c>
      <c r="C89" s="102">
        <f>+C68-C79</f>
        <v>86</v>
      </c>
      <c r="D89" s="102">
        <f t="shared" ref="D89:Q90" si="57">D68-D79</f>
        <v>136</v>
      </c>
      <c r="E89" s="102">
        <f t="shared" si="57"/>
        <v>106</v>
      </c>
      <c r="F89" s="102">
        <f t="shared" si="57"/>
        <v>84</v>
      </c>
      <c r="G89" s="102">
        <f t="shared" si="57"/>
        <v>80</v>
      </c>
      <c r="H89" s="49">
        <f t="shared" si="57"/>
        <v>67</v>
      </c>
      <c r="I89" s="53">
        <f t="shared" si="57"/>
        <v>78</v>
      </c>
      <c r="J89" s="53">
        <f t="shared" si="57"/>
        <v>87</v>
      </c>
      <c r="K89" s="53">
        <f t="shared" si="57"/>
        <v>125</v>
      </c>
      <c r="L89" s="53">
        <f t="shared" si="57"/>
        <v>186</v>
      </c>
      <c r="M89" s="53">
        <f t="shared" si="57"/>
        <v>131</v>
      </c>
      <c r="N89" s="53">
        <f t="shared" si="57"/>
        <v>136</v>
      </c>
      <c r="O89" s="53">
        <f t="shared" si="57"/>
        <v>126</v>
      </c>
      <c r="P89" s="53">
        <f t="shared" si="57"/>
        <v>127</v>
      </c>
      <c r="Q89" s="53">
        <f t="shared" si="57"/>
        <v>137</v>
      </c>
      <c r="R89" s="53"/>
      <c r="S89" s="53"/>
      <c r="T89" s="53"/>
      <c r="U89" s="53"/>
      <c r="V89" s="53"/>
      <c r="W89" s="53"/>
      <c r="X89" s="53"/>
      <c r="Y89" s="55"/>
      <c r="Z89" s="1596"/>
      <c r="AA89" s="106"/>
      <c r="AB89" s="106"/>
      <c r="AC89" s="106"/>
      <c r="AD89" s="106"/>
      <c r="AE89" s="56"/>
    </row>
    <row r="90" spans="1:37" s="50" customFormat="1" hidden="1" outlineLevel="1" x14ac:dyDescent="0.2">
      <c r="A90" s="98" t="str">
        <f>A80</f>
        <v>Defense &amp; Security</v>
      </c>
      <c r="B90" s="50">
        <f>+B69-B80</f>
        <v>56</v>
      </c>
      <c r="C90" s="102">
        <f>+C69-C80</f>
        <v>66</v>
      </c>
      <c r="D90" s="102">
        <f t="shared" si="57"/>
        <v>110</v>
      </c>
      <c r="E90" s="102">
        <f t="shared" si="57"/>
        <v>118</v>
      </c>
      <c r="F90" s="102">
        <f t="shared" si="57"/>
        <v>139</v>
      </c>
      <c r="G90" s="102">
        <f t="shared" si="57"/>
        <v>176</v>
      </c>
      <c r="H90" s="49">
        <f t="shared" si="57"/>
        <v>158</v>
      </c>
      <c r="I90" s="53">
        <f t="shared" si="57"/>
        <v>189</v>
      </c>
      <c r="J90" s="53">
        <f t="shared" si="57"/>
        <v>205</v>
      </c>
      <c r="K90" s="53">
        <f t="shared" si="57"/>
        <v>198</v>
      </c>
      <c r="L90" s="53">
        <f t="shared" si="57"/>
        <v>215</v>
      </c>
      <c r="M90" s="53">
        <f t="shared" si="57"/>
        <v>212</v>
      </c>
      <c r="N90" s="53">
        <f t="shared" si="57"/>
        <v>70</v>
      </c>
      <c r="O90" s="53">
        <f t="shared" si="57"/>
        <v>79</v>
      </c>
      <c r="P90" s="53">
        <f t="shared" si="57"/>
        <v>78</v>
      </c>
      <c r="Q90" s="53">
        <f t="shared" si="57"/>
        <v>78</v>
      </c>
      <c r="R90" s="53"/>
      <c r="S90" s="53"/>
      <c r="T90" s="53"/>
      <c r="U90" s="53"/>
      <c r="V90" s="53"/>
      <c r="W90" s="53"/>
      <c r="X90" s="53"/>
      <c r="Y90" s="55"/>
      <c r="Z90" s="1596"/>
      <c r="AA90" s="106"/>
      <c r="AB90" s="106"/>
      <c r="AC90" s="106"/>
      <c r="AD90" s="106"/>
      <c r="AE90" s="56"/>
    </row>
    <row r="91" spans="1:37" s="50" customFormat="1" hidden="1" outlineLevel="1" x14ac:dyDescent="0.2">
      <c r="A91" s="98" t="s">
        <v>81</v>
      </c>
      <c r="B91" s="50">
        <f>+B71-B81</f>
        <v>158</v>
      </c>
      <c r="C91" s="102">
        <f>+C71-C81</f>
        <v>133</v>
      </c>
      <c r="D91" s="102">
        <f>+D71-D81</f>
        <v>110</v>
      </c>
      <c r="E91" s="102"/>
      <c r="F91" s="102"/>
      <c r="G91" s="102"/>
      <c r="H91" s="49"/>
      <c r="I91" s="53"/>
      <c r="J91" s="53"/>
      <c r="K91" s="53"/>
      <c r="L91" s="53"/>
      <c r="M91" s="53"/>
      <c r="N91" s="53"/>
      <c r="O91" s="53"/>
      <c r="P91" s="53"/>
      <c r="Q91" s="53">
        <f>Q70-Q81</f>
        <v>256</v>
      </c>
      <c r="R91" s="53"/>
      <c r="S91" s="53"/>
      <c r="T91" s="53"/>
      <c r="U91" s="53"/>
      <c r="V91" s="53"/>
      <c r="W91" s="53"/>
      <c r="X91" s="53"/>
      <c r="Y91" s="55"/>
      <c r="Z91" s="1596"/>
      <c r="AA91" s="106"/>
      <c r="AB91" s="106"/>
      <c r="AC91" s="106"/>
      <c r="AD91" s="106"/>
      <c r="AE91" s="56"/>
    </row>
    <row r="92" spans="1:37" s="50" customFormat="1" collapsed="1" x14ac:dyDescent="0.2">
      <c r="A92" s="70" t="str">
        <f>A82</f>
        <v>Total</v>
      </c>
      <c r="B92" s="71">
        <f>SUM(B86:B91)</f>
        <v>538</v>
      </c>
      <c r="C92" s="138">
        <f t="shared" ref="C92:AD92" si="58">SUM(C86:C91)</f>
        <v>492</v>
      </c>
      <c r="D92" s="138">
        <f t="shared" si="58"/>
        <v>616</v>
      </c>
      <c r="E92" s="138">
        <f t="shared" si="58"/>
        <v>620</v>
      </c>
      <c r="F92" s="138">
        <f t="shared" si="58"/>
        <v>480</v>
      </c>
      <c r="G92" s="138">
        <f t="shared" si="58"/>
        <v>508</v>
      </c>
      <c r="H92" s="138">
        <f t="shared" si="58"/>
        <v>458</v>
      </c>
      <c r="I92" s="71">
        <f t="shared" si="58"/>
        <v>526</v>
      </c>
      <c r="J92" s="71">
        <f t="shared" si="58"/>
        <v>599</v>
      </c>
      <c r="K92" s="71">
        <f t="shared" si="58"/>
        <v>596</v>
      </c>
      <c r="L92" s="71">
        <f t="shared" si="58"/>
        <v>820</v>
      </c>
      <c r="M92" s="71">
        <f>SUM(M86:M91)</f>
        <v>861</v>
      </c>
      <c r="N92" s="71">
        <f t="shared" si="58"/>
        <v>763</v>
      </c>
      <c r="O92" s="71">
        <f t="shared" si="58"/>
        <v>778</v>
      </c>
      <c r="P92" s="71">
        <f t="shared" si="58"/>
        <v>778</v>
      </c>
      <c r="Q92" s="71">
        <f t="shared" si="58"/>
        <v>906</v>
      </c>
      <c r="R92" s="71">
        <f t="shared" si="58"/>
        <v>906</v>
      </c>
      <c r="S92" s="71">
        <f t="shared" si="58"/>
        <v>1012</v>
      </c>
      <c r="T92" s="71">
        <f t="shared" si="58"/>
        <v>585</v>
      </c>
      <c r="U92" s="71">
        <f t="shared" si="58"/>
        <v>613</v>
      </c>
      <c r="V92" s="71">
        <f t="shared" si="58"/>
        <v>741</v>
      </c>
      <c r="W92" s="71">
        <f t="shared" ref="W92:X92" si="59">SUM(W86:W91)</f>
        <v>897</v>
      </c>
      <c r="X92" s="71">
        <f t="shared" si="59"/>
        <v>1023</v>
      </c>
      <c r="Y92" s="72">
        <f t="shared" ref="Y92" si="60">SUM(Y86:Y91)</f>
        <v>1068</v>
      </c>
      <c r="Z92" s="1600">
        <f t="shared" si="58"/>
        <v>1325.6588270355451</v>
      </c>
      <c r="AA92" s="73">
        <f t="shared" si="58"/>
        <v>1451.8704232348632</v>
      </c>
      <c r="AB92" s="73">
        <f t="shared" si="58"/>
        <v>1590.1480637506124</v>
      </c>
      <c r="AC92" s="73">
        <f t="shared" si="58"/>
        <v>1701.0901333493437</v>
      </c>
      <c r="AD92" s="73">
        <f t="shared" si="58"/>
        <v>1748.6320355738653</v>
      </c>
      <c r="AE92" s="56"/>
    </row>
    <row r="93" spans="1:37" s="50" customFormat="1" x14ac:dyDescent="0.2">
      <c r="A93" s="53" t="str">
        <f>A73</f>
        <v>Total as % of adjusted revenue</v>
      </c>
      <c r="B93" s="82">
        <f t="shared" ref="B93:AD93" si="61">B92/B13</f>
        <v>5.3277876807288571E-2</v>
      </c>
      <c r="C93" s="101">
        <f t="shared" si="61"/>
        <v>4.652042360060514E-2</v>
      </c>
      <c r="D93" s="101">
        <f t="shared" si="61"/>
        <v>5.4373731132491838E-2</v>
      </c>
      <c r="E93" s="101">
        <f t="shared" si="61"/>
        <v>6.0653492467227552E-2</v>
      </c>
      <c r="F93" s="101">
        <f t="shared" si="61"/>
        <v>4.6471100784199824E-2</v>
      </c>
      <c r="G93" s="101">
        <f t="shared" si="61"/>
        <v>4.8621745788667688E-2</v>
      </c>
      <c r="H93" s="101">
        <f t="shared" si="61"/>
        <v>4.2565055762081784E-2</v>
      </c>
      <c r="I93" s="82">
        <f t="shared" si="61"/>
        <v>4.4819359236537154E-2</v>
      </c>
      <c r="J93" s="82">
        <f t="shared" si="61"/>
        <v>4.4174041297935104E-2</v>
      </c>
      <c r="K93" s="82">
        <f t="shared" si="61"/>
        <v>4.1495509294715592E-2</v>
      </c>
      <c r="L93" s="82">
        <f t="shared" si="61"/>
        <v>5.3402800390752195E-2</v>
      </c>
      <c r="M93" s="83">
        <f t="shared" si="61"/>
        <v>4.9442976915125759E-2</v>
      </c>
      <c r="N93" s="83">
        <f t="shared" si="61"/>
        <v>4.8349280780685636E-2</v>
      </c>
      <c r="O93" s="83">
        <f t="shared" si="61"/>
        <v>4.7091580412807942E-2</v>
      </c>
      <c r="P93" s="83">
        <f t="shared" si="61"/>
        <v>4.8768256754215505E-2</v>
      </c>
      <c r="Q93" s="83">
        <f t="shared" si="61"/>
        <v>4.304038004750594E-2</v>
      </c>
      <c r="R93" s="83">
        <f t="shared" si="61"/>
        <v>4.304038004750594E-2</v>
      </c>
      <c r="S93" s="83">
        <f t="shared" si="61"/>
        <v>4.1071428571428571E-2</v>
      </c>
      <c r="T93" s="83">
        <f>T92/T13</f>
        <v>3.5458843496181357E-2</v>
      </c>
      <c r="U93" s="83">
        <f t="shared" si="61"/>
        <v>4.0178278822835423E-2</v>
      </c>
      <c r="V93" s="83">
        <f t="shared" si="61"/>
        <v>3.892828999211978E-2</v>
      </c>
      <c r="W93" s="83">
        <f t="shared" ref="W93:X93" si="62">W92/W13</f>
        <v>3.8665459718091294E-2</v>
      </c>
      <c r="X93" s="83">
        <f t="shared" si="62"/>
        <v>3.7449207453234247E-2</v>
      </c>
      <c r="Y93" s="85">
        <f t="shared" ref="Y93" si="63">Y92/Y13</f>
        <v>3.4089820932682181E-2</v>
      </c>
      <c r="Z93" s="1603">
        <f t="shared" si="61"/>
        <v>3.5813028046235131E-2</v>
      </c>
      <c r="AA93" s="25">
        <f t="shared" si="61"/>
        <v>3.5829864765581178E-2</v>
      </c>
      <c r="AB93" s="25">
        <f t="shared" si="61"/>
        <v>3.5847619927910419E-2</v>
      </c>
      <c r="AC93" s="25">
        <f t="shared" si="61"/>
        <v>3.5829528685916948E-2</v>
      </c>
      <c r="AD93" s="25">
        <f t="shared" si="61"/>
        <v>3.5791900735303188E-2</v>
      </c>
      <c r="AE93" s="113"/>
    </row>
    <row r="94" spans="1:37" s="50" customFormat="1" x14ac:dyDescent="0.2">
      <c r="A94" s="70"/>
      <c r="B94" s="82"/>
      <c r="C94" s="101"/>
      <c r="D94" s="101"/>
      <c r="E94" s="101"/>
      <c r="F94" s="101"/>
      <c r="G94" s="101"/>
      <c r="H94" s="101"/>
      <c r="J94" s="82"/>
      <c r="K94" s="82"/>
      <c r="L94" s="82"/>
      <c r="M94" s="139"/>
      <c r="N94" s="139"/>
      <c r="O94" s="83"/>
      <c r="P94" s="83"/>
      <c r="Q94" s="83"/>
      <c r="R94" s="83"/>
      <c r="S94" s="83"/>
      <c r="T94" s="83"/>
      <c r="U94" s="83"/>
      <c r="V94" s="83"/>
      <c r="W94" s="83"/>
      <c r="X94" s="83"/>
      <c r="Y94" s="85"/>
      <c r="Z94" s="113"/>
      <c r="AA94" s="82"/>
      <c r="AB94" s="82"/>
      <c r="AC94" s="82"/>
      <c r="AD94" s="82"/>
      <c r="AE94" s="56"/>
    </row>
    <row r="95" spans="1:37" s="50" customFormat="1" x14ac:dyDescent="0.2">
      <c r="A95" s="70" t="s">
        <v>107</v>
      </c>
      <c r="I95" s="102"/>
      <c r="M95" s="53"/>
      <c r="N95" s="53"/>
      <c r="O95" s="53"/>
      <c r="P95" s="53"/>
      <c r="Q95" s="53"/>
      <c r="R95" s="53"/>
      <c r="S95" s="53"/>
      <c r="T95" s="53"/>
      <c r="U95" s="53"/>
      <c r="V95" s="53"/>
      <c r="W95" s="53"/>
      <c r="X95" s="53"/>
      <c r="Y95" s="55"/>
      <c r="Z95" s="56"/>
      <c r="AE95" s="56"/>
      <c r="AK95" s="52"/>
    </row>
    <row r="96" spans="1:37" s="50" customFormat="1" x14ac:dyDescent="0.2">
      <c r="A96" s="53" t="str">
        <f>A4</f>
        <v>Propulsion</v>
      </c>
      <c r="B96" s="50">
        <v>94</v>
      </c>
      <c r="C96" s="50">
        <v>146</v>
      </c>
      <c r="D96" s="102">
        <v>181</v>
      </c>
      <c r="E96" s="50">
        <v>194</v>
      </c>
      <c r="F96" s="50">
        <v>238</v>
      </c>
      <c r="G96" s="50">
        <v>145</v>
      </c>
      <c r="H96" s="102">
        <v>102</v>
      </c>
      <c r="I96" s="102">
        <v>112</v>
      </c>
      <c r="J96" s="102">
        <v>168</v>
      </c>
      <c r="K96" s="50">
        <v>215</v>
      </c>
      <c r="L96" s="50">
        <v>362</v>
      </c>
      <c r="M96" s="50">
        <v>433</v>
      </c>
      <c r="N96" s="50">
        <v>401</v>
      </c>
      <c r="O96" s="50">
        <v>439</v>
      </c>
      <c r="P96" s="50">
        <v>439</v>
      </c>
      <c r="Q96" s="50">
        <v>385</v>
      </c>
      <c r="R96" s="50">
        <v>420</v>
      </c>
      <c r="S96" s="50">
        <v>376</v>
      </c>
      <c r="T96" s="50">
        <v>219</v>
      </c>
      <c r="U96" s="50">
        <v>175</v>
      </c>
      <c r="V96" s="50">
        <v>239</v>
      </c>
      <c r="W96" s="53">
        <v>411</v>
      </c>
      <c r="X96" s="53">
        <v>569</v>
      </c>
      <c r="Y96" s="133">
        <v>718</v>
      </c>
      <c r="Z96" s="1596">
        <f>Propulsion!BD34</f>
        <v>862.04310937888465</v>
      </c>
      <c r="AA96" s="59">
        <f>Propulsion!BL34</f>
        <v>898.87103404248558</v>
      </c>
      <c r="AB96" s="59">
        <f>Propulsion!BT34</f>
        <v>932.17255058247588</v>
      </c>
      <c r="AC96" s="59">
        <f>Propulsion!CB34</f>
        <v>990.79026493967683</v>
      </c>
      <c r="AD96" s="59">
        <f>Propulsion!CJ34</f>
        <v>1004.9802881189673</v>
      </c>
      <c r="AE96" s="56"/>
    </row>
    <row r="97" spans="1:46" s="50" customFormat="1" x14ac:dyDescent="0.2">
      <c r="A97" s="53" t="str">
        <f>A5</f>
        <v>Equipment, Defense &amp; Aerosystems</v>
      </c>
      <c r="D97" s="102"/>
      <c r="H97" s="102"/>
      <c r="I97" s="102"/>
      <c r="J97" s="102"/>
      <c r="R97" s="50">
        <v>286</v>
      </c>
      <c r="S97" s="50">
        <v>292</v>
      </c>
      <c r="T97" s="50">
        <v>167</v>
      </c>
      <c r="U97" s="50">
        <v>163</v>
      </c>
      <c r="V97" s="50">
        <v>190</v>
      </c>
      <c r="W97" s="53">
        <v>327</v>
      </c>
      <c r="X97" s="53">
        <v>385</v>
      </c>
      <c r="Y97" s="133">
        <v>436</v>
      </c>
      <c r="Z97" s="1596">
        <f>'Equipment &amp; Defense'!BB30</f>
        <v>513.38834151915398</v>
      </c>
      <c r="AA97" s="59">
        <f>'Equipment &amp; Defense'!BJ30</f>
        <v>555.98636682701533</v>
      </c>
      <c r="AB97" s="59">
        <f>'Equipment &amp; Defense'!BR30</f>
        <v>604.28346800461611</v>
      </c>
      <c r="AC97" s="59">
        <f>'Equipment &amp; Defense'!BZ30</f>
        <v>651.727174894722</v>
      </c>
      <c r="AD97" s="59">
        <f>'Equipment &amp; Defense'!CH30</f>
        <v>681.07982583537455</v>
      </c>
      <c r="AE97" s="56"/>
    </row>
    <row r="98" spans="1:46" s="50" customFormat="1" x14ac:dyDescent="0.2">
      <c r="A98" s="53" t="str">
        <f>A6</f>
        <v>Interiors</v>
      </c>
      <c r="D98" s="102"/>
      <c r="H98" s="102"/>
      <c r="I98" s="102"/>
      <c r="J98" s="102"/>
      <c r="R98" s="50">
        <v>41</v>
      </c>
      <c r="S98" s="50">
        <v>60</v>
      </c>
      <c r="T98" s="50">
        <v>31</v>
      </c>
      <c r="U98" s="50">
        <v>5</v>
      </c>
      <c r="V98" s="50">
        <v>31</v>
      </c>
      <c r="W98" s="53">
        <v>52</v>
      </c>
      <c r="X98" s="53">
        <v>61</v>
      </c>
      <c r="Y98" s="133">
        <v>53</v>
      </c>
      <c r="Z98" s="1596">
        <f>Interiors!AM29</f>
        <v>63.627074035471416</v>
      </c>
      <c r="AA98" s="59">
        <f>Interiors!AU29</f>
        <v>69.520100615688676</v>
      </c>
      <c r="AB98" s="59">
        <f>Interiors!BC29</f>
        <v>75.579675401203332</v>
      </c>
      <c r="AC98" s="59">
        <f>Interiors!BK29</f>
        <v>81.535814084844631</v>
      </c>
      <c r="AD98" s="59">
        <f>Interiors!BS29</f>
        <v>85.231847379782707</v>
      </c>
      <c r="AE98" s="56"/>
    </row>
    <row r="99" spans="1:46" s="50" customFormat="1" hidden="1" outlineLevel="1" x14ac:dyDescent="0.2">
      <c r="A99" s="98" t="str">
        <f>A89</f>
        <v>Equipment</v>
      </c>
      <c r="B99" s="50">
        <v>102</v>
      </c>
      <c r="C99" s="50">
        <v>101</v>
      </c>
      <c r="D99" s="102">
        <v>65</v>
      </c>
      <c r="E99" s="50">
        <v>128</v>
      </c>
      <c r="F99" s="50">
        <v>126</v>
      </c>
      <c r="G99" s="50">
        <v>86</v>
      </c>
      <c r="H99" s="102">
        <v>61</v>
      </c>
      <c r="I99" s="102">
        <v>132</v>
      </c>
      <c r="J99" s="102">
        <v>140</v>
      </c>
      <c r="K99" s="50">
        <v>168</v>
      </c>
      <c r="L99" s="50">
        <v>170</v>
      </c>
      <c r="M99" s="50">
        <v>181</v>
      </c>
      <c r="N99" s="50">
        <v>218</v>
      </c>
      <c r="O99" s="50">
        <v>204</v>
      </c>
      <c r="P99" s="50">
        <v>204</v>
      </c>
      <c r="Q99" s="50">
        <v>214</v>
      </c>
      <c r="R99" s="53"/>
      <c r="S99" s="53"/>
      <c r="T99" s="53"/>
      <c r="U99" s="49"/>
      <c r="V99" s="49"/>
      <c r="W99" s="49"/>
      <c r="X99" s="49"/>
      <c r="Y99" s="133"/>
      <c r="Z99" s="56"/>
      <c r="AE99" s="56"/>
      <c r="AM99" s="49"/>
      <c r="AN99" s="49"/>
      <c r="AO99" s="49"/>
      <c r="AP99" s="49"/>
      <c r="AQ99" s="49"/>
      <c r="AR99" s="49"/>
    </row>
    <row r="100" spans="1:46" s="50" customFormat="1" hidden="1" outlineLevel="1" x14ac:dyDescent="0.2">
      <c r="A100" s="98" t="str">
        <f>A90</f>
        <v>Defense &amp; Security</v>
      </c>
      <c r="B100" s="50">
        <v>60</v>
      </c>
      <c r="C100" s="50">
        <v>38</v>
      </c>
      <c r="D100" s="102">
        <v>63</v>
      </c>
      <c r="E100" s="50">
        <v>57</v>
      </c>
      <c r="F100" s="50">
        <f>49+20</f>
        <v>69</v>
      </c>
      <c r="G100" s="50">
        <f>35+18</f>
        <v>53</v>
      </c>
      <c r="H100" s="102">
        <f>67+28</f>
        <v>95</v>
      </c>
      <c r="I100" s="102">
        <v>100</v>
      </c>
      <c r="J100" s="102">
        <f>47+46</f>
        <v>93</v>
      </c>
      <c r="K100" s="50">
        <f>8+66</f>
        <v>74</v>
      </c>
      <c r="L100" s="50">
        <f>46+59</f>
        <v>105</v>
      </c>
      <c r="M100" s="50">
        <f>71+52</f>
        <v>123</v>
      </c>
      <c r="N100" s="50">
        <v>60</v>
      </c>
      <c r="O100" s="50">
        <v>57</v>
      </c>
      <c r="P100" s="50">
        <v>57</v>
      </c>
      <c r="Q100" s="50">
        <v>65</v>
      </c>
      <c r="R100" s="53"/>
      <c r="S100" s="53"/>
      <c r="T100" s="53"/>
      <c r="U100" s="49"/>
      <c r="V100" s="49"/>
      <c r="W100" s="49"/>
      <c r="X100" s="49"/>
      <c r="Y100" s="133"/>
      <c r="Z100" s="56"/>
      <c r="AA100" s="53"/>
      <c r="AB100" s="53"/>
      <c r="AC100" s="53"/>
      <c r="AD100" s="53"/>
      <c r="AE100" s="56"/>
      <c r="AM100" s="49"/>
      <c r="AN100" s="141"/>
      <c r="AO100" s="49"/>
      <c r="AP100" s="49"/>
      <c r="AQ100" s="49"/>
      <c r="AR100" s="49"/>
      <c r="AS100" s="49"/>
      <c r="AT100" s="53"/>
    </row>
    <row r="101" spans="1:46" s="50" customFormat="1" hidden="1" outlineLevel="1" x14ac:dyDescent="0.2">
      <c r="A101" s="98" t="s">
        <v>81</v>
      </c>
      <c r="D101" s="102"/>
      <c r="H101" s="102"/>
      <c r="I101" s="102"/>
      <c r="J101" s="102"/>
      <c r="Q101" s="50">
        <v>83</v>
      </c>
      <c r="R101" s="53"/>
      <c r="S101" s="53"/>
      <c r="T101" s="53"/>
      <c r="U101" s="49"/>
      <c r="V101" s="49"/>
      <c r="W101" s="49"/>
      <c r="X101" s="49"/>
      <c r="Y101" s="133"/>
      <c r="Z101" s="56"/>
      <c r="AA101" s="53"/>
      <c r="AB101" s="53"/>
      <c r="AC101" s="53"/>
      <c r="AD101" s="53"/>
      <c r="AE101" s="56"/>
      <c r="AM101" s="49"/>
      <c r="AN101" s="141"/>
      <c r="AO101" s="49"/>
      <c r="AP101" s="49"/>
      <c r="AQ101" s="49"/>
      <c r="AR101" s="49"/>
      <c r="AS101" s="49"/>
      <c r="AT101" s="53"/>
    </row>
    <row r="102" spans="1:46" s="50" customFormat="1" collapsed="1" x14ac:dyDescent="0.2">
      <c r="A102" s="53" t="str">
        <f>A12</f>
        <v>Holding company and other</v>
      </c>
      <c r="B102" s="50">
        <v>52</v>
      </c>
      <c r="C102" s="50">
        <v>37</v>
      </c>
      <c r="D102" s="102">
        <v>36</v>
      </c>
      <c r="H102" s="102">
        <v>13</v>
      </c>
      <c r="I102" s="102">
        <v>8</v>
      </c>
      <c r="J102" s="102">
        <v>18</v>
      </c>
      <c r="K102" s="50">
        <v>32</v>
      </c>
      <c r="L102" s="50">
        <v>37</v>
      </c>
      <c r="M102" s="50">
        <v>21</v>
      </c>
      <c r="N102" s="50">
        <v>25</v>
      </c>
      <c r="O102" s="50">
        <v>40</v>
      </c>
      <c r="P102" s="50">
        <v>40</v>
      </c>
      <c r="Q102" s="50">
        <v>33</v>
      </c>
      <c r="R102" s="50">
        <v>33</v>
      </c>
      <c r="S102" s="50">
        <v>-33</v>
      </c>
      <c r="T102" s="135">
        <f t="shared" ref="T102:X102" si="64">T103-T96-T97-T98</f>
        <v>32</v>
      </c>
      <c r="U102" s="135">
        <f t="shared" si="64"/>
        <v>44</v>
      </c>
      <c r="V102" s="135">
        <f t="shared" si="64"/>
        <v>38</v>
      </c>
      <c r="W102" s="135">
        <f t="shared" si="64"/>
        <v>33</v>
      </c>
      <c r="X102" s="135">
        <f t="shared" si="64"/>
        <v>29</v>
      </c>
      <c r="Y102" s="142">
        <v>30</v>
      </c>
      <c r="Z102" s="1613">
        <f t="shared" ref="Z102:AD102" si="65">Y102</f>
        <v>30</v>
      </c>
      <c r="AA102" s="143">
        <f t="shared" si="65"/>
        <v>30</v>
      </c>
      <c r="AB102" s="143">
        <f t="shared" si="65"/>
        <v>30</v>
      </c>
      <c r="AC102" s="143">
        <f t="shared" si="65"/>
        <v>30</v>
      </c>
      <c r="AD102" s="143">
        <f t="shared" si="65"/>
        <v>30</v>
      </c>
      <c r="AE102" s="56"/>
      <c r="AM102" s="49"/>
      <c r="AN102" s="49"/>
      <c r="AO102" s="49"/>
      <c r="AP102" s="49"/>
      <c r="AQ102" s="49"/>
      <c r="AR102" s="49"/>
      <c r="AS102" s="49"/>
    </row>
    <row r="103" spans="1:46" s="50" customFormat="1" x14ac:dyDescent="0.2">
      <c r="A103" s="70" t="str">
        <f>A92</f>
        <v>Total</v>
      </c>
      <c r="B103" s="71">
        <f>SUM(B96:B102)</f>
        <v>308</v>
      </c>
      <c r="C103" s="71">
        <f t="shared" ref="C103:S103" si="66">SUM(C96:C102)</f>
        <v>322</v>
      </c>
      <c r="D103" s="71">
        <f t="shared" si="66"/>
        <v>345</v>
      </c>
      <c r="E103" s="71">
        <f t="shared" si="66"/>
        <v>379</v>
      </c>
      <c r="F103" s="71">
        <f t="shared" si="66"/>
        <v>433</v>
      </c>
      <c r="G103" s="71">
        <f t="shared" si="66"/>
        <v>284</v>
      </c>
      <c r="H103" s="71">
        <f t="shared" si="66"/>
        <v>271</v>
      </c>
      <c r="I103" s="71">
        <f t="shared" si="66"/>
        <v>352</v>
      </c>
      <c r="J103" s="71">
        <f>SUM(J96:J102)</f>
        <v>419</v>
      </c>
      <c r="K103" s="71">
        <f>SUM(K96:K102)</f>
        <v>489</v>
      </c>
      <c r="L103" s="71">
        <f>SUM(L96:L102)</f>
        <v>674</v>
      </c>
      <c r="M103" s="71">
        <f t="shared" si="66"/>
        <v>758</v>
      </c>
      <c r="N103" s="71">
        <f t="shared" si="66"/>
        <v>704</v>
      </c>
      <c r="O103" s="71">
        <f t="shared" si="66"/>
        <v>740</v>
      </c>
      <c r="P103" s="71">
        <f t="shared" si="66"/>
        <v>740</v>
      </c>
      <c r="Q103" s="71">
        <f t="shared" si="66"/>
        <v>780</v>
      </c>
      <c r="R103" s="71">
        <f t="shared" si="66"/>
        <v>780</v>
      </c>
      <c r="S103" s="71">
        <f t="shared" si="66"/>
        <v>695</v>
      </c>
      <c r="T103" s="70">
        <f>-CF!R40</f>
        <v>449</v>
      </c>
      <c r="U103" s="141">
        <f>-CF!S40</f>
        <v>387</v>
      </c>
      <c r="V103" s="141">
        <f>-CF!T40</f>
        <v>498</v>
      </c>
      <c r="W103" s="141">
        <f>-CF!U40</f>
        <v>823</v>
      </c>
      <c r="X103" s="141">
        <f>-CF!V40</f>
        <v>1044</v>
      </c>
      <c r="Y103" s="144">
        <f>-CF!W40</f>
        <v>1238</v>
      </c>
      <c r="Z103" s="1602">
        <f>SUM(Z96:Z102)</f>
        <v>1469.0585249335102</v>
      </c>
      <c r="AA103" s="81">
        <f t="shared" ref="AA103:AD103" si="67">SUM(AA96:AA102)</f>
        <v>1554.3775014851897</v>
      </c>
      <c r="AB103" s="81">
        <f t="shared" si="67"/>
        <v>1642.0356939882952</v>
      </c>
      <c r="AC103" s="81">
        <f t="shared" si="67"/>
        <v>1754.0532539192434</v>
      </c>
      <c r="AD103" s="81">
        <f t="shared" si="67"/>
        <v>1801.2919613341246</v>
      </c>
      <c r="AE103" s="56"/>
      <c r="AM103" s="49"/>
      <c r="AN103" s="49"/>
      <c r="AO103" s="49"/>
      <c r="AP103" s="49"/>
      <c r="AQ103" s="49"/>
      <c r="AR103" s="49"/>
      <c r="AS103" s="49"/>
    </row>
    <row r="104" spans="1:46" s="50" customFormat="1" x14ac:dyDescent="0.2">
      <c r="A104" s="53" t="str">
        <f>A93</f>
        <v>Total as % of adjusted revenue</v>
      </c>
      <c r="B104" s="82">
        <f t="shared" ref="B104:AD104" si="68">B103/B13</f>
        <v>3.0501089324618737E-2</v>
      </c>
      <c r="C104" s="82">
        <f t="shared" si="68"/>
        <v>3.0446293494704992E-2</v>
      </c>
      <c r="D104" s="82">
        <f t="shared" si="68"/>
        <v>3.0452820195957277E-2</v>
      </c>
      <c r="E104" s="82">
        <f t="shared" si="68"/>
        <v>3.7076892975934257E-2</v>
      </c>
      <c r="F104" s="82">
        <f t="shared" si="68"/>
        <v>4.1920805499080262E-2</v>
      </c>
      <c r="G104" s="82">
        <f t="shared" si="68"/>
        <v>2.7182235834609495E-2</v>
      </c>
      <c r="H104" s="82">
        <f t="shared" si="68"/>
        <v>2.5185873605947956E-2</v>
      </c>
      <c r="I104" s="101">
        <f t="shared" si="68"/>
        <v>2.9993183367416496E-2</v>
      </c>
      <c r="J104" s="101">
        <f t="shared" si="68"/>
        <v>3.0899705014749264E-2</v>
      </c>
      <c r="K104" s="82">
        <f t="shared" si="68"/>
        <v>3.404581215623477E-2</v>
      </c>
      <c r="L104" s="82">
        <f t="shared" si="68"/>
        <v>4.3894496906545101E-2</v>
      </c>
      <c r="M104" s="83">
        <f t="shared" si="68"/>
        <v>4.3528195704605491E-2</v>
      </c>
      <c r="N104" s="83">
        <f t="shared" si="68"/>
        <v>4.461060769279513E-2</v>
      </c>
      <c r="O104" s="83">
        <f t="shared" si="68"/>
        <v>4.4791477513467709E-2</v>
      </c>
      <c r="P104" s="83">
        <f t="shared" si="68"/>
        <v>4.6386259637685702E-2</v>
      </c>
      <c r="Q104" s="83">
        <f t="shared" si="68"/>
        <v>3.7054631828978619E-2</v>
      </c>
      <c r="R104" s="83">
        <f t="shared" si="68"/>
        <v>3.7054631828978619E-2</v>
      </c>
      <c r="S104" s="83">
        <f t="shared" si="68"/>
        <v>2.8206168831168832E-2</v>
      </c>
      <c r="T104" s="83">
        <f t="shared" si="68"/>
        <v>2.7215420050915262E-2</v>
      </c>
      <c r="U104" s="83">
        <f t="shared" si="68"/>
        <v>2.5365406043127744E-2</v>
      </c>
      <c r="V104" s="83">
        <f t="shared" si="68"/>
        <v>2.6162332545311268E-2</v>
      </c>
      <c r="W104" s="83">
        <f t="shared" si="68"/>
        <v>3.5475667054614426E-2</v>
      </c>
      <c r="X104" s="83">
        <f t="shared" si="68"/>
        <v>3.8217959512391549E-2</v>
      </c>
      <c r="Y104" s="85">
        <f t="shared" ref="Y104" si="69">Y103/Y13</f>
        <v>3.9516103290880657E-2</v>
      </c>
      <c r="Z104" s="1603">
        <f>Z103/Z13</f>
        <v>3.968700926818023E-2</v>
      </c>
      <c r="AA104" s="25">
        <f t="shared" si="68"/>
        <v>3.8359577260888275E-2</v>
      </c>
      <c r="AB104" s="25">
        <f t="shared" si="68"/>
        <v>3.7017352539685695E-2</v>
      </c>
      <c r="AC104" s="25">
        <f t="shared" si="68"/>
        <v>3.6945074306076742E-2</v>
      </c>
      <c r="AD104" s="25">
        <f t="shared" si="68"/>
        <v>3.6869771206160182E-2</v>
      </c>
      <c r="AE104" s="113"/>
      <c r="AM104" s="49"/>
      <c r="AN104" s="49"/>
      <c r="AO104" s="49"/>
      <c r="AP104" s="49"/>
      <c r="AQ104" s="49"/>
      <c r="AR104" s="49"/>
      <c r="AS104" s="49"/>
    </row>
    <row r="105" spans="1:46" s="50" customFormat="1" x14ac:dyDescent="0.2">
      <c r="A105" s="53"/>
      <c r="E105" s="82"/>
      <c r="F105" s="82"/>
      <c r="H105" s="52"/>
      <c r="I105" s="102"/>
      <c r="M105" s="53"/>
      <c r="N105" s="53"/>
      <c r="O105" s="53"/>
      <c r="P105" s="53"/>
      <c r="Q105" s="53"/>
      <c r="R105" s="53"/>
      <c r="S105" s="53"/>
      <c r="T105" s="124"/>
      <c r="U105" s="53"/>
      <c r="V105" s="53"/>
      <c r="W105" s="53"/>
      <c r="X105" s="53"/>
      <c r="Y105" s="55"/>
      <c r="Z105" s="56"/>
      <c r="AE105" s="56"/>
      <c r="AM105" s="49"/>
      <c r="AN105" s="49"/>
      <c r="AO105" s="49"/>
      <c r="AP105" s="49"/>
      <c r="AQ105" s="49"/>
      <c r="AR105" s="49"/>
      <c r="AS105" s="49"/>
    </row>
    <row r="106" spans="1:46" s="50" customFormat="1" x14ac:dyDescent="0.2">
      <c r="A106" s="70" t="s">
        <v>108</v>
      </c>
      <c r="I106" s="102"/>
      <c r="M106" s="53"/>
      <c r="N106" s="83"/>
      <c r="O106" s="83"/>
      <c r="P106" s="83"/>
      <c r="Q106" s="83"/>
      <c r="R106" s="83"/>
      <c r="S106" s="53"/>
      <c r="T106" s="53"/>
      <c r="U106" s="53"/>
      <c r="V106" s="53"/>
      <c r="W106" s="53"/>
      <c r="X106" s="53"/>
      <c r="Y106" s="55"/>
      <c r="Z106" s="56"/>
      <c r="AE106" s="56"/>
      <c r="AM106" s="49"/>
      <c r="AN106" s="49"/>
      <c r="AO106" s="49"/>
      <c r="AP106" s="49"/>
      <c r="AQ106" s="49"/>
      <c r="AR106" s="49"/>
      <c r="AS106" s="49"/>
    </row>
    <row r="107" spans="1:46" s="50" customFormat="1" x14ac:dyDescent="0.2">
      <c r="A107" s="53" t="str">
        <f>A4</f>
        <v>Propulsion</v>
      </c>
      <c r="C107" s="50">
        <v>230</v>
      </c>
      <c r="D107" s="50">
        <v>287</v>
      </c>
      <c r="E107" s="50">
        <v>454</v>
      </c>
      <c r="F107" s="50">
        <v>214</v>
      </c>
      <c r="G107" s="50">
        <v>172</v>
      </c>
      <c r="H107" s="102">
        <v>154</v>
      </c>
      <c r="I107" s="102">
        <v>130</v>
      </c>
      <c r="J107" s="102">
        <v>285</v>
      </c>
      <c r="K107" s="50">
        <v>217</v>
      </c>
      <c r="L107" s="50">
        <v>338</v>
      </c>
      <c r="M107" s="50">
        <v>372</v>
      </c>
      <c r="N107" s="50">
        <v>248</v>
      </c>
      <c r="O107" s="50">
        <v>639</v>
      </c>
      <c r="P107" s="50">
        <v>583</v>
      </c>
      <c r="Q107" s="50">
        <v>413</v>
      </c>
      <c r="R107" s="50">
        <v>454</v>
      </c>
      <c r="S107" s="50">
        <v>709</v>
      </c>
      <c r="T107" s="50">
        <v>390</v>
      </c>
      <c r="U107" s="50">
        <v>548</v>
      </c>
      <c r="V107" s="50">
        <v>385</v>
      </c>
      <c r="W107" s="53">
        <v>361</v>
      </c>
      <c r="X107" s="53">
        <v>608</v>
      </c>
      <c r="Y107" s="55">
        <v>467</v>
      </c>
      <c r="Z107" s="1596">
        <f>Propulsion!BD28</f>
        <v>766.26054167011978</v>
      </c>
      <c r="AA107" s="59">
        <f>Propulsion!BL28</f>
        <v>845.99626733410412</v>
      </c>
      <c r="AB107" s="59">
        <f>Propulsion!BT28</f>
        <v>932.17255058247588</v>
      </c>
      <c r="AC107" s="59">
        <f>Propulsion!CB28</f>
        <v>990.79026493967683</v>
      </c>
      <c r="AD107" s="59">
        <f>Propulsion!CJ28</f>
        <v>1004.9802881189673</v>
      </c>
      <c r="AE107" s="56"/>
      <c r="AM107" s="49"/>
      <c r="AN107" s="49"/>
      <c r="AO107" s="49"/>
      <c r="AP107" s="49"/>
      <c r="AQ107" s="49"/>
      <c r="AR107" s="49"/>
      <c r="AS107" s="49"/>
    </row>
    <row r="108" spans="1:46" s="50" customFormat="1" x14ac:dyDescent="0.2">
      <c r="A108" s="53" t="str">
        <f>A5</f>
        <v>Equipment, Defense &amp; Aerosystems</v>
      </c>
      <c r="H108" s="102"/>
      <c r="I108" s="102"/>
      <c r="J108" s="102"/>
      <c r="R108" s="50">
        <v>316</v>
      </c>
      <c r="S108" s="50">
        <v>391</v>
      </c>
      <c r="T108" s="50">
        <v>332</v>
      </c>
      <c r="U108" s="50">
        <v>400</v>
      </c>
      <c r="V108" s="50">
        <v>344</v>
      </c>
      <c r="W108" s="53">
        <v>443</v>
      </c>
      <c r="X108" s="53">
        <v>453</v>
      </c>
      <c r="Y108" s="55">
        <v>455</v>
      </c>
      <c r="Z108" s="1596">
        <f>'Equipment &amp; Defense'!BB27</f>
        <v>513.38834151915398</v>
      </c>
      <c r="AA108" s="59">
        <f>'Equipment &amp; Defense'!BJ27</f>
        <v>555.98636682701533</v>
      </c>
      <c r="AB108" s="59">
        <f>'Equipment &amp; Defense'!BR27</f>
        <v>604.28346800461611</v>
      </c>
      <c r="AC108" s="59">
        <f>'Equipment &amp; Defense'!BZ27</f>
        <v>651.727174894722</v>
      </c>
      <c r="AD108" s="59">
        <f>'Equipment &amp; Defense'!CH27</f>
        <v>681.07982583537455</v>
      </c>
      <c r="AE108" s="56"/>
      <c r="AM108" s="49"/>
      <c r="AN108" s="49"/>
      <c r="AO108" s="49"/>
      <c r="AP108" s="49"/>
      <c r="AQ108" s="49"/>
      <c r="AR108" s="49"/>
      <c r="AS108" s="49"/>
    </row>
    <row r="109" spans="1:46" s="50" customFormat="1" x14ac:dyDescent="0.2">
      <c r="A109" s="53" t="str">
        <f>A6</f>
        <v>Interiors</v>
      </c>
      <c r="H109" s="102"/>
      <c r="I109" s="102"/>
      <c r="J109" s="102"/>
      <c r="R109" s="50">
        <v>-1</v>
      </c>
      <c r="S109" s="50">
        <v>4</v>
      </c>
      <c r="T109" s="50">
        <v>52</v>
      </c>
      <c r="U109" s="50">
        <v>132</v>
      </c>
      <c r="V109" s="50">
        <v>68</v>
      </c>
      <c r="W109" s="53">
        <v>127</v>
      </c>
      <c r="X109" s="53">
        <v>141</v>
      </c>
      <c r="Y109" s="55">
        <v>141</v>
      </c>
      <c r="Z109" s="1596">
        <f>Interiors!AM26</f>
        <v>127.25414807094283</v>
      </c>
      <c r="AA109" s="59">
        <f>Interiors!AU26</f>
        <v>139.04020123137735</v>
      </c>
      <c r="AB109" s="59">
        <f>Interiors!BC26</f>
        <v>151.15935080240666</v>
      </c>
      <c r="AC109" s="59">
        <f>Interiors!BK26</f>
        <v>163.07162816968926</v>
      </c>
      <c r="AD109" s="59">
        <f>Interiors!BS26</f>
        <v>170.46369475956541</v>
      </c>
      <c r="AE109" s="56"/>
      <c r="AM109" s="49"/>
      <c r="AN109" s="49"/>
      <c r="AO109" s="49"/>
      <c r="AP109" s="49"/>
      <c r="AQ109" s="49"/>
      <c r="AR109" s="49"/>
      <c r="AS109" s="49"/>
    </row>
    <row r="110" spans="1:46" s="50" customFormat="1" hidden="1" outlineLevel="1" x14ac:dyDescent="0.2">
      <c r="A110" s="98" t="str">
        <f>A99</f>
        <v>Equipment</v>
      </c>
      <c r="C110" s="50">
        <v>106</v>
      </c>
      <c r="D110" s="50">
        <v>150</v>
      </c>
      <c r="E110" s="50">
        <v>183</v>
      </c>
      <c r="F110" s="50">
        <v>162</v>
      </c>
      <c r="G110" s="50">
        <v>169</v>
      </c>
      <c r="H110" s="102">
        <v>147</v>
      </c>
      <c r="I110" s="102">
        <v>129</v>
      </c>
      <c r="J110" s="102">
        <v>173</v>
      </c>
      <c r="K110" s="50">
        <v>173</v>
      </c>
      <c r="L110" s="50">
        <v>173</v>
      </c>
      <c r="M110" s="50">
        <v>163</v>
      </c>
      <c r="N110" s="50">
        <v>191</v>
      </c>
      <c r="O110" s="50">
        <v>245</v>
      </c>
      <c r="P110" s="50">
        <v>220</v>
      </c>
      <c r="Q110" s="50">
        <v>225</v>
      </c>
      <c r="S110" s="53"/>
      <c r="T110" s="53"/>
      <c r="U110" s="53"/>
      <c r="V110" s="53"/>
      <c r="W110" s="53"/>
      <c r="X110" s="53"/>
      <c r="Y110" s="55"/>
      <c r="Z110" s="1597"/>
      <c r="AA110" s="64"/>
      <c r="AB110" s="64"/>
      <c r="AC110" s="64"/>
      <c r="AD110" s="64"/>
      <c r="AE110" s="56"/>
      <c r="AM110" s="49"/>
      <c r="AN110" s="49"/>
      <c r="AO110" s="49"/>
      <c r="AP110" s="49"/>
      <c r="AQ110" s="49"/>
      <c r="AR110" s="49"/>
      <c r="AS110" s="49"/>
    </row>
    <row r="111" spans="1:46" s="50" customFormat="1" hidden="1" outlineLevel="1" x14ac:dyDescent="0.2">
      <c r="A111" s="98" t="str">
        <f>A100</f>
        <v>Defense &amp; Security</v>
      </c>
      <c r="C111" s="50">
        <v>54</v>
      </c>
      <c r="D111" s="50">
        <v>70</v>
      </c>
      <c r="E111" s="50">
        <v>73</v>
      </c>
      <c r="F111" s="50">
        <f>23+17</f>
        <v>40</v>
      </c>
      <c r="G111" s="50">
        <f>38+25</f>
        <v>63</v>
      </c>
      <c r="H111" s="102">
        <f>25+47</f>
        <v>72</v>
      </c>
      <c r="I111" s="102">
        <f>32+34</f>
        <v>66</v>
      </c>
      <c r="J111" s="102">
        <f>67+58</f>
        <v>125</v>
      </c>
      <c r="K111" s="50">
        <f>46+36</f>
        <v>82</v>
      </c>
      <c r="L111" s="50">
        <f>44+64</f>
        <v>108</v>
      </c>
      <c r="M111" s="50">
        <f>51+87</f>
        <v>138</v>
      </c>
      <c r="N111" s="50">
        <v>46</v>
      </c>
      <c r="O111" s="50">
        <v>63</v>
      </c>
      <c r="P111" s="50">
        <v>78</v>
      </c>
      <c r="Q111" s="50">
        <v>71</v>
      </c>
      <c r="S111" s="53"/>
      <c r="T111" s="53"/>
      <c r="U111" s="53"/>
      <c r="V111" s="53"/>
      <c r="W111" s="53"/>
      <c r="X111" s="53"/>
      <c r="Y111" s="55"/>
      <c r="Z111" s="1597"/>
      <c r="AA111" s="64"/>
      <c r="AB111" s="64"/>
      <c r="AC111" s="64"/>
      <c r="AD111" s="64"/>
      <c r="AE111" s="56"/>
      <c r="AM111" s="49"/>
      <c r="AN111" s="49"/>
      <c r="AO111" s="49"/>
      <c r="AP111" s="49"/>
      <c r="AQ111" s="49"/>
      <c r="AR111" s="49"/>
      <c r="AS111" s="49"/>
    </row>
    <row r="112" spans="1:46" s="50" customFormat="1" hidden="1" outlineLevel="1" x14ac:dyDescent="0.2">
      <c r="A112" s="98" t="s">
        <v>81</v>
      </c>
      <c r="H112" s="102"/>
      <c r="I112" s="102"/>
      <c r="J112" s="102"/>
      <c r="Q112" s="50">
        <f>87-27</f>
        <v>60</v>
      </c>
      <c r="S112" s="53"/>
      <c r="T112" s="53"/>
      <c r="U112" s="53"/>
      <c r="V112" s="53"/>
      <c r="W112" s="53"/>
      <c r="X112" s="53"/>
      <c r="Y112" s="55"/>
      <c r="Z112" s="1597"/>
      <c r="AA112" s="64"/>
      <c r="AB112" s="64"/>
      <c r="AC112" s="64"/>
      <c r="AD112" s="64"/>
      <c r="AE112" s="56"/>
      <c r="AM112" s="49"/>
      <c r="AN112" s="49"/>
      <c r="AO112" s="49"/>
      <c r="AP112" s="49"/>
      <c r="AQ112" s="49"/>
      <c r="AR112" s="49"/>
      <c r="AS112" s="49"/>
    </row>
    <row r="113" spans="1:45" s="50" customFormat="1" hidden="1" outlineLevel="1" x14ac:dyDescent="0.2">
      <c r="A113" s="98" t="str">
        <f>A11</f>
        <v>Communications</v>
      </c>
      <c r="B113" s="53"/>
      <c r="C113" s="50">
        <v>57</v>
      </c>
      <c r="D113" s="50">
        <v>63</v>
      </c>
      <c r="H113" s="102"/>
      <c r="I113" s="102"/>
      <c r="J113" s="102"/>
      <c r="R113" s="53"/>
      <c r="S113" s="53"/>
      <c r="T113" s="53"/>
      <c r="U113" s="53"/>
      <c r="V113" s="53"/>
      <c r="W113" s="53"/>
      <c r="X113" s="53"/>
      <c r="Y113" s="55"/>
      <c r="Z113" s="1614"/>
      <c r="AA113" s="145"/>
      <c r="AB113" s="145"/>
      <c r="AC113" s="145"/>
      <c r="AD113" s="145"/>
      <c r="AE113" s="56"/>
      <c r="AM113" s="49"/>
      <c r="AN113" s="49"/>
      <c r="AO113" s="49"/>
      <c r="AP113" s="49"/>
      <c r="AQ113" s="49"/>
      <c r="AR113" s="49"/>
      <c r="AS113" s="49"/>
    </row>
    <row r="114" spans="1:45" s="50" customFormat="1" collapsed="1" x14ac:dyDescent="0.2">
      <c r="A114" s="53" t="str">
        <f>A12</f>
        <v>Holding company and other</v>
      </c>
      <c r="B114" s="53"/>
      <c r="C114" s="50">
        <v>10</v>
      </c>
      <c r="D114" s="50">
        <v>13</v>
      </c>
      <c r="E114" s="50">
        <v>8</v>
      </c>
      <c r="F114" s="50">
        <v>16</v>
      </c>
      <c r="G114" s="50">
        <v>6</v>
      </c>
      <c r="H114" s="102">
        <v>14</v>
      </c>
      <c r="I114" s="102">
        <v>17</v>
      </c>
      <c r="J114" s="102">
        <v>18</v>
      </c>
      <c r="K114" s="50">
        <v>28</v>
      </c>
      <c r="L114" s="50">
        <v>20</v>
      </c>
      <c r="M114" s="50">
        <v>43</v>
      </c>
      <c r="N114" s="50">
        <v>31</v>
      </c>
      <c r="O114" s="50">
        <v>19</v>
      </c>
      <c r="P114" s="50">
        <v>19</v>
      </c>
      <c r="Q114" s="50">
        <v>53</v>
      </c>
      <c r="R114" s="53">
        <v>53</v>
      </c>
      <c r="S114" s="53">
        <v>90</v>
      </c>
      <c r="T114" s="53">
        <v>49</v>
      </c>
      <c r="U114" s="53">
        <v>57</v>
      </c>
      <c r="V114" s="53">
        <v>14</v>
      </c>
      <c r="W114" s="53">
        <v>62</v>
      </c>
      <c r="X114" s="53">
        <v>68</v>
      </c>
      <c r="Y114" s="55">
        <v>84</v>
      </c>
      <c r="Z114" s="1598">
        <v>100</v>
      </c>
      <c r="AA114" s="106">
        <f t="shared" ref="AA114:AD114" si="70">Z114</f>
        <v>100</v>
      </c>
      <c r="AB114" s="106">
        <f t="shared" si="70"/>
        <v>100</v>
      </c>
      <c r="AC114" s="106">
        <f t="shared" si="70"/>
        <v>100</v>
      </c>
      <c r="AD114" s="106">
        <f t="shared" si="70"/>
        <v>100</v>
      </c>
      <c r="AE114" s="56"/>
      <c r="AM114" s="49"/>
      <c r="AN114" s="49"/>
      <c r="AO114" s="49"/>
      <c r="AP114" s="49"/>
      <c r="AQ114" s="49"/>
      <c r="AR114" s="49"/>
      <c r="AS114" s="49"/>
    </row>
    <row r="115" spans="1:45" s="50" customFormat="1" x14ac:dyDescent="0.2">
      <c r="A115" s="70" t="s">
        <v>109</v>
      </c>
      <c r="C115" s="50">
        <f>SUM(C107:C114)</f>
        <v>457</v>
      </c>
      <c r="D115" s="50">
        <f t="shared" ref="D115:N115" si="71">SUM(D107:D114)</f>
        <v>583</v>
      </c>
      <c r="E115" s="50">
        <f t="shared" si="71"/>
        <v>718</v>
      </c>
      <c r="F115" s="50">
        <f t="shared" si="71"/>
        <v>432</v>
      </c>
      <c r="G115" s="50">
        <f t="shared" si="71"/>
        <v>410</v>
      </c>
      <c r="H115" s="102">
        <f t="shared" si="71"/>
        <v>387</v>
      </c>
      <c r="I115" s="50">
        <f t="shared" si="71"/>
        <v>342</v>
      </c>
      <c r="J115" s="51">
        <f t="shared" si="71"/>
        <v>601</v>
      </c>
      <c r="K115" s="51">
        <f t="shared" si="71"/>
        <v>500</v>
      </c>
      <c r="L115" s="51">
        <f t="shared" si="71"/>
        <v>639</v>
      </c>
      <c r="M115" s="51">
        <f t="shared" si="71"/>
        <v>716</v>
      </c>
      <c r="N115" s="51">
        <f t="shared" si="71"/>
        <v>516</v>
      </c>
      <c r="O115" s="51">
        <f>SUM(O107:O114)</f>
        <v>966</v>
      </c>
      <c r="P115" s="51">
        <f>SUM(P107:P114)</f>
        <v>900</v>
      </c>
      <c r="Q115" s="51">
        <f t="shared" ref="Q115:V115" si="72">SUM(Q107:Q114)</f>
        <v>822</v>
      </c>
      <c r="R115" s="51">
        <f t="shared" si="72"/>
        <v>822</v>
      </c>
      <c r="S115" s="70">
        <f t="shared" si="72"/>
        <v>1194</v>
      </c>
      <c r="T115" s="70">
        <f t="shared" si="72"/>
        <v>823</v>
      </c>
      <c r="U115" s="70">
        <f t="shared" si="72"/>
        <v>1137</v>
      </c>
      <c r="V115" s="70">
        <f t="shared" si="72"/>
        <v>811</v>
      </c>
      <c r="W115" s="70">
        <f t="shared" ref="W115" si="73">SUM(W107:W114)</f>
        <v>993</v>
      </c>
      <c r="X115" s="70">
        <f>SUM(X107:X114)</f>
        <v>1270</v>
      </c>
      <c r="Y115" s="80">
        <f>SUM(Y107:Y114)</f>
        <v>1147</v>
      </c>
      <c r="Z115" s="1602">
        <f t="shared" ref="Z115:AD115" si="74">SUM(Z107:Z114)</f>
        <v>1506.9030312602167</v>
      </c>
      <c r="AA115" s="81">
        <f t="shared" si="74"/>
        <v>1641.0228353924967</v>
      </c>
      <c r="AB115" s="81">
        <f t="shared" si="74"/>
        <v>1787.6153693894985</v>
      </c>
      <c r="AC115" s="81">
        <f t="shared" si="74"/>
        <v>1905.5890680040882</v>
      </c>
      <c r="AD115" s="81">
        <f t="shared" si="74"/>
        <v>1956.5238087139073</v>
      </c>
      <c r="AE115" s="56"/>
      <c r="AM115" s="49"/>
      <c r="AN115" s="49"/>
      <c r="AO115" s="49"/>
      <c r="AP115" s="49"/>
      <c r="AQ115" s="49"/>
      <c r="AR115" s="49"/>
      <c r="AS115" s="49"/>
    </row>
    <row r="116" spans="1:45" s="50" customFormat="1" x14ac:dyDescent="0.2">
      <c r="A116" s="53" t="s">
        <v>85</v>
      </c>
      <c r="B116" s="53"/>
      <c r="C116" s="53"/>
      <c r="D116" s="53"/>
      <c r="E116" s="53"/>
      <c r="F116" s="53">
        <v>-12</v>
      </c>
      <c r="G116" s="53">
        <v>12</v>
      </c>
      <c r="H116" s="49">
        <v>-14</v>
      </c>
      <c r="I116" s="53">
        <v>18</v>
      </c>
      <c r="J116" s="53">
        <v>0</v>
      </c>
      <c r="K116" s="53">
        <v>9</v>
      </c>
      <c r="L116" s="53">
        <v>-26</v>
      </c>
      <c r="M116" s="53">
        <v>-2</v>
      </c>
      <c r="N116" s="53">
        <v>4</v>
      </c>
      <c r="O116" s="53">
        <v>7</v>
      </c>
      <c r="P116" s="53">
        <v>7</v>
      </c>
      <c r="Q116" s="53">
        <v>-2</v>
      </c>
      <c r="R116" s="53">
        <v>-2</v>
      </c>
      <c r="S116" s="53">
        <v>1</v>
      </c>
      <c r="T116" s="53">
        <v>3</v>
      </c>
      <c r="U116" s="53">
        <v>6</v>
      </c>
      <c r="V116" s="53">
        <v>3</v>
      </c>
      <c r="W116" s="53">
        <v>-7</v>
      </c>
      <c r="X116" s="53">
        <v>10</v>
      </c>
      <c r="Y116" s="55">
        <v>-15</v>
      </c>
      <c r="Z116" s="1608">
        <v>0</v>
      </c>
      <c r="AA116" s="109">
        <v>0</v>
      </c>
      <c r="AB116" s="109">
        <v>0</v>
      </c>
      <c r="AC116" s="109">
        <v>0</v>
      </c>
      <c r="AD116" s="109">
        <v>0</v>
      </c>
      <c r="AE116" s="56"/>
      <c r="AM116" s="49"/>
      <c r="AN116" s="49"/>
      <c r="AO116" s="49"/>
      <c r="AP116" s="49"/>
      <c r="AQ116" s="49"/>
      <c r="AR116" s="49"/>
      <c r="AS116" s="49"/>
    </row>
    <row r="117" spans="1:45" s="50" customFormat="1" x14ac:dyDescent="0.2">
      <c r="A117" s="53" t="s">
        <v>86</v>
      </c>
      <c r="B117" s="67"/>
      <c r="C117" s="67"/>
      <c r="D117" s="67"/>
      <c r="E117" s="67"/>
      <c r="F117" s="67">
        <v>161</v>
      </c>
      <c r="G117" s="67">
        <v>184</v>
      </c>
      <c r="H117" s="135">
        <v>202</v>
      </c>
      <c r="I117" s="67">
        <v>219</v>
      </c>
      <c r="J117" s="67">
        <v>253</v>
      </c>
      <c r="K117" s="67">
        <v>250</v>
      </c>
      <c r="L117" s="67">
        <v>281</v>
      </c>
      <c r="M117" s="67">
        <v>241</v>
      </c>
      <c r="N117" s="67">
        <v>114</v>
      </c>
      <c r="O117" s="67">
        <v>105</v>
      </c>
      <c r="P117" s="67">
        <v>105</v>
      </c>
      <c r="Q117" s="67">
        <v>356</v>
      </c>
      <c r="R117" s="67">
        <v>356</v>
      </c>
      <c r="S117" s="67">
        <v>405</v>
      </c>
      <c r="T117" s="67">
        <v>386</v>
      </c>
      <c r="U117" s="67">
        <v>366</v>
      </c>
      <c r="V117" s="67">
        <v>360</v>
      </c>
      <c r="W117" s="67">
        <v>296</v>
      </c>
      <c r="X117" s="67">
        <v>298</v>
      </c>
      <c r="Y117" s="136">
        <v>283</v>
      </c>
      <c r="Z117" s="1615">
        <f t="shared" ref="Z117:AD117" si="75">-Z50</f>
        <v>300</v>
      </c>
      <c r="AA117" s="146">
        <f t="shared" si="75"/>
        <v>300</v>
      </c>
      <c r="AB117" s="146">
        <f t="shared" si="75"/>
        <v>300</v>
      </c>
      <c r="AC117" s="146">
        <f t="shared" si="75"/>
        <v>300</v>
      </c>
      <c r="AD117" s="146">
        <f t="shared" si="75"/>
        <v>300</v>
      </c>
      <c r="AE117" s="56"/>
      <c r="AM117" s="49"/>
      <c r="AN117" s="49"/>
      <c r="AO117" s="49"/>
      <c r="AP117" s="49"/>
      <c r="AQ117" s="49"/>
      <c r="AR117" s="49"/>
      <c r="AS117" s="49"/>
    </row>
    <row r="118" spans="1:45" s="50" customFormat="1" x14ac:dyDescent="0.2">
      <c r="A118" s="70" t="s">
        <v>110</v>
      </c>
      <c r="B118" s="51">
        <v>97</v>
      </c>
      <c r="C118" s="51">
        <f>C115+C116+C117</f>
        <v>457</v>
      </c>
      <c r="D118" s="51">
        <f t="shared" ref="D118:N118" si="76">D115+D116+D117</f>
        <v>583</v>
      </c>
      <c r="E118" s="51">
        <f t="shared" si="76"/>
        <v>718</v>
      </c>
      <c r="F118" s="51">
        <f t="shared" si="76"/>
        <v>581</v>
      </c>
      <c r="G118" s="51">
        <f>G115+G116+G117</f>
        <v>606</v>
      </c>
      <c r="H118" s="147">
        <f t="shared" si="76"/>
        <v>575</v>
      </c>
      <c r="I118" s="51">
        <f t="shared" si="76"/>
        <v>579</v>
      </c>
      <c r="J118" s="51">
        <f t="shared" si="76"/>
        <v>854</v>
      </c>
      <c r="K118" s="51">
        <f t="shared" si="76"/>
        <v>759</v>
      </c>
      <c r="L118" s="51">
        <f t="shared" si="76"/>
        <v>894</v>
      </c>
      <c r="M118" s="51">
        <f t="shared" si="76"/>
        <v>955</v>
      </c>
      <c r="N118" s="51">
        <f t="shared" si="76"/>
        <v>634</v>
      </c>
      <c r="O118" s="51">
        <f>O115+O116+O117</f>
        <v>1078</v>
      </c>
      <c r="P118" s="51">
        <f>P115+P116+P117</f>
        <v>1012</v>
      </c>
      <c r="Q118" s="51">
        <f t="shared" ref="Q118:V118" si="77">Q115+Q116+Q117</f>
        <v>1176</v>
      </c>
      <c r="R118" s="51">
        <f>R115+R116+R117</f>
        <v>1176</v>
      </c>
      <c r="S118" s="71">
        <f>S115+S116+S117</f>
        <v>1600</v>
      </c>
      <c r="T118" s="71">
        <f t="shared" si="77"/>
        <v>1212</v>
      </c>
      <c r="U118" s="71">
        <f t="shared" si="77"/>
        <v>1509</v>
      </c>
      <c r="V118" s="71">
        <f t="shared" si="77"/>
        <v>1174</v>
      </c>
      <c r="W118" s="71">
        <f t="shared" ref="W118" si="78">W115+W116+W117</f>
        <v>1282</v>
      </c>
      <c r="X118" s="71">
        <f>X115+X116+X117</f>
        <v>1578</v>
      </c>
      <c r="Y118" s="72">
        <f>Y115+Y116+Y117</f>
        <v>1415</v>
      </c>
      <c r="Z118" s="1600">
        <f t="shared" ref="Z118:AD118" si="79">Z115+Z116+Z117</f>
        <v>1806.9030312602167</v>
      </c>
      <c r="AA118" s="73">
        <f t="shared" si="79"/>
        <v>1941.0228353924967</v>
      </c>
      <c r="AB118" s="73">
        <f t="shared" si="79"/>
        <v>2087.6153693894985</v>
      </c>
      <c r="AC118" s="73">
        <f t="shared" si="79"/>
        <v>2205.5890680040884</v>
      </c>
      <c r="AD118" s="73">
        <f t="shared" si="79"/>
        <v>2256.5238087139073</v>
      </c>
      <c r="AE118" s="56"/>
      <c r="AM118" s="49"/>
      <c r="AN118" s="49"/>
      <c r="AO118" s="49"/>
      <c r="AP118" s="49"/>
      <c r="AQ118" s="49"/>
      <c r="AR118" s="49"/>
      <c r="AS118" s="49"/>
    </row>
    <row r="119" spans="1:45" s="50" customFormat="1" x14ac:dyDescent="0.2">
      <c r="A119" s="53" t="str">
        <f>A104</f>
        <v>Total as % of adjusted revenue</v>
      </c>
      <c r="B119" s="82">
        <f t="shared" ref="B119:AD119" si="80">B118/B13</f>
        <v>9.605862547039018E-3</v>
      </c>
      <c r="C119" s="82">
        <f t="shared" si="80"/>
        <v>4.3211043872919817E-2</v>
      </c>
      <c r="D119" s="82">
        <f t="shared" si="80"/>
        <v>5.1460852678965489E-2</v>
      </c>
      <c r="E119" s="82">
        <f t="shared" si="80"/>
        <v>7.0240657405595777E-2</v>
      </c>
      <c r="F119" s="82">
        <f t="shared" si="80"/>
        <v>5.6249394907541869E-2</v>
      </c>
      <c r="G119" s="82">
        <f t="shared" si="80"/>
        <v>5.8001531393568145E-2</v>
      </c>
      <c r="H119" s="82">
        <f t="shared" si="80"/>
        <v>5.3438661710037173E-2</v>
      </c>
      <c r="I119" s="82">
        <f t="shared" si="80"/>
        <v>4.9335378323108386E-2</v>
      </c>
      <c r="J119" s="82">
        <f t="shared" si="80"/>
        <v>6.297935103244838E-2</v>
      </c>
      <c r="K119" s="82">
        <f t="shared" si="80"/>
        <v>5.2844113346793849E-2</v>
      </c>
      <c r="L119" s="82">
        <f t="shared" si="80"/>
        <v>5.8222077499185933E-2</v>
      </c>
      <c r="M119" s="82">
        <f t="shared" si="80"/>
        <v>5.4840932582979215E-2</v>
      </c>
      <c r="N119" s="82">
        <f t="shared" si="80"/>
        <v>4.0174893859704706E-2</v>
      </c>
      <c r="O119" s="82">
        <f t="shared" si="80"/>
        <v>6.5250287512862423E-2</v>
      </c>
      <c r="P119" s="82">
        <f t="shared" si="80"/>
        <v>6.3436344261267472E-2</v>
      </c>
      <c r="Q119" s="82">
        <f t="shared" si="80"/>
        <v>5.5866983372921612E-2</v>
      </c>
      <c r="R119" s="82">
        <f t="shared" si="80"/>
        <v>5.5866983372921612E-2</v>
      </c>
      <c r="S119" s="83">
        <f t="shared" si="80"/>
        <v>6.4935064935064929E-2</v>
      </c>
      <c r="T119" s="83">
        <f t="shared" si="80"/>
        <v>7.3463450115165474E-2</v>
      </c>
      <c r="U119" s="83">
        <f t="shared" si="80"/>
        <v>9.8905420462738411E-2</v>
      </c>
      <c r="V119" s="83">
        <f t="shared" si="80"/>
        <v>6.1675860257420542E-2</v>
      </c>
      <c r="W119" s="83">
        <f t="shared" ref="W119" si="81">W118/W13</f>
        <v>5.5261002629423683E-2</v>
      </c>
      <c r="X119" s="83">
        <f t="shared" si="80"/>
        <v>5.7766226159534355E-2</v>
      </c>
      <c r="Y119" s="85">
        <f t="shared" ref="Y119" si="82">Y118/Y13</f>
        <v>4.5165820805004947E-2</v>
      </c>
      <c r="Z119" s="1603">
        <f t="shared" si="80"/>
        <v>4.8813969036102772E-2</v>
      </c>
      <c r="AA119" s="25">
        <f t="shared" si="80"/>
        <v>4.7901372316727621E-2</v>
      </c>
      <c r="AB119" s="25">
        <f t="shared" si="80"/>
        <v>4.7062310751758908E-2</v>
      </c>
      <c r="AC119" s="25">
        <f t="shared" si="80"/>
        <v>4.6455631734105371E-2</v>
      </c>
      <c r="AD119" s="25">
        <f t="shared" si="80"/>
        <v>4.6187691020901908E-2</v>
      </c>
      <c r="AE119" s="113"/>
      <c r="AM119" s="49"/>
      <c r="AN119" s="49"/>
      <c r="AO119" s="49"/>
      <c r="AP119" s="49"/>
      <c r="AQ119" s="49"/>
      <c r="AR119" s="49"/>
      <c r="AS119" s="49"/>
    </row>
    <row r="120" spans="1:45" s="49" customFormat="1" x14ac:dyDescent="0.2">
      <c r="A120" s="141"/>
      <c r="F120" s="82"/>
      <c r="G120" s="82"/>
      <c r="H120" s="82"/>
      <c r="I120" s="82"/>
      <c r="J120" s="82"/>
      <c r="K120" s="82"/>
      <c r="T120" s="70"/>
      <c r="U120" s="70"/>
      <c r="V120" s="70"/>
      <c r="W120" s="70"/>
      <c r="X120" s="70"/>
      <c r="Y120" s="80"/>
      <c r="Z120" s="1615"/>
      <c r="AA120" s="146"/>
      <c r="AB120" s="146"/>
      <c r="AC120" s="146"/>
      <c r="AD120" s="146"/>
      <c r="AE120" s="148"/>
    </row>
    <row r="121" spans="1:45" s="49" customFormat="1" x14ac:dyDescent="0.2">
      <c r="A121" s="141" t="s">
        <v>111</v>
      </c>
      <c r="B121" s="141">
        <f>B107+B110+B111+B114</f>
        <v>0</v>
      </c>
      <c r="C121" s="141">
        <f>C115</f>
        <v>457</v>
      </c>
      <c r="D121" s="141">
        <f t="shared" ref="D121:AC121" si="83">D115</f>
        <v>583</v>
      </c>
      <c r="E121" s="141">
        <f t="shared" si="83"/>
        <v>718</v>
      </c>
      <c r="F121" s="141">
        <f t="shared" si="83"/>
        <v>432</v>
      </c>
      <c r="G121" s="141">
        <f t="shared" si="83"/>
        <v>410</v>
      </c>
      <c r="H121" s="141">
        <f t="shared" si="83"/>
        <v>387</v>
      </c>
      <c r="I121" s="141">
        <f t="shared" si="83"/>
        <v>342</v>
      </c>
      <c r="J121" s="141">
        <f t="shared" si="83"/>
        <v>601</v>
      </c>
      <c r="K121" s="141">
        <f t="shared" si="83"/>
        <v>500</v>
      </c>
      <c r="L121" s="141">
        <f t="shared" si="83"/>
        <v>639</v>
      </c>
      <c r="M121" s="141">
        <f t="shared" si="83"/>
        <v>716</v>
      </c>
      <c r="N121" s="141">
        <f t="shared" si="83"/>
        <v>516</v>
      </c>
      <c r="O121" s="141">
        <f t="shared" si="83"/>
        <v>966</v>
      </c>
      <c r="P121" s="141">
        <f t="shared" si="83"/>
        <v>900</v>
      </c>
      <c r="Q121" s="141">
        <f t="shared" si="83"/>
        <v>822</v>
      </c>
      <c r="R121" s="141">
        <f t="shared" si="83"/>
        <v>822</v>
      </c>
      <c r="S121" s="141">
        <f t="shared" si="83"/>
        <v>1194</v>
      </c>
      <c r="T121" s="70">
        <f t="shared" si="83"/>
        <v>823</v>
      </c>
      <c r="U121" s="70">
        <f t="shared" si="83"/>
        <v>1137</v>
      </c>
      <c r="V121" s="70">
        <f t="shared" si="83"/>
        <v>811</v>
      </c>
      <c r="W121" s="70">
        <f t="shared" ref="W121:X121" si="84">W115</f>
        <v>993</v>
      </c>
      <c r="X121" s="70">
        <f t="shared" si="84"/>
        <v>1270</v>
      </c>
      <c r="Y121" s="80">
        <f t="shared" ref="Y121" si="85">Y115</f>
        <v>1147</v>
      </c>
      <c r="Z121" s="1616">
        <f t="shared" si="83"/>
        <v>1506.9030312602167</v>
      </c>
      <c r="AA121" s="149">
        <f t="shared" si="83"/>
        <v>1641.0228353924967</v>
      </c>
      <c r="AB121" s="149">
        <f t="shared" si="83"/>
        <v>1787.6153693894985</v>
      </c>
      <c r="AC121" s="149">
        <f t="shared" si="83"/>
        <v>1905.5890680040882</v>
      </c>
      <c r="AD121" s="149">
        <f>AD115</f>
        <v>1956.5238087139073</v>
      </c>
      <c r="AE121" s="148"/>
    </row>
    <row r="122" spans="1:45" s="49" customFormat="1" x14ac:dyDescent="0.2">
      <c r="T122" s="139"/>
      <c r="Y122" s="133"/>
      <c r="Z122" s="148"/>
      <c r="AE122" s="148"/>
    </row>
    <row r="123" spans="1:45" s="49" customFormat="1" x14ac:dyDescent="0.2">
      <c r="A123" s="141" t="s">
        <v>112</v>
      </c>
      <c r="T123" s="139"/>
      <c r="Y123" s="133"/>
      <c r="Z123" s="148"/>
      <c r="AE123" s="148"/>
    </row>
    <row r="124" spans="1:45" s="49" customFormat="1" x14ac:dyDescent="0.2">
      <c r="A124" s="50" t="str">
        <f>A4</f>
        <v>Propulsion</v>
      </c>
      <c r="C124" s="50"/>
      <c r="D124" s="50"/>
      <c r="E124" s="50"/>
      <c r="F124" s="50">
        <v>152</v>
      </c>
      <c r="G124" s="50">
        <v>779</v>
      </c>
      <c r="H124" s="50">
        <v>620</v>
      </c>
      <c r="I124" s="50">
        <v>692</v>
      </c>
      <c r="J124" s="50">
        <v>464</v>
      </c>
      <c r="K124" s="50">
        <v>493</v>
      </c>
      <c r="L124" s="50">
        <v>380</v>
      </c>
      <c r="M124" s="50">
        <v>727</v>
      </c>
      <c r="N124" s="50">
        <v>929</v>
      </c>
      <c r="O124" s="50">
        <v>1158</v>
      </c>
      <c r="P124" s="50">
        <v>1158</v>
      </c>
      <c r="Q124" s="50">
        <v>1331</v>
      </c>
      <c r="R124" s="50">
        <v>1418</v>
      </c>
      <c r="S124" s="50">
        <v>1125</v>
      </c>
      <c r="T124" s="50">
        <v>796</v>
      </c>
      <c r="U124" s="50">
        <v>1331</v>
      </c>
      <c r="V124" s="50">
        <v>2448</v>
      </c>
      <c r="W124" s="53">
        <v>2700</v>
      </c>
      <c r="X124" s="53">
        <v>2616</v>
      </c>
      <c r="Y124" s="55">
        <v>2793</v>
      </c>
      <c r="Z124" s="148"/>
      <c r="AE124" s="148"/>
    </row>
    <row r="125" spans="1:45" s="49" customFormat="1" x14ac:dyDescent="0.2">
      <c r="A125" s="50" t="str">
        <f>A5</f>
        <v>Equipment, Defense &amp; Aerosystems</v>
      </c>
      <c r="C125" s="50"/>
      <c r="D125" s="50"/>
      <c r="E125" s="50"/>
      <c r="F125" s="50"/>
      <c r="G125" s="50"/>
      <c r="H125" s="50"/>
      <c r="I125" s="50"/>
      <c r="J125" s="50"/>
      <c r="K125" s="50"/>
      <c r="L125" s="50"/>
      <c r="M125" s="50"/>
      <c r="N125" s="50"/>
      <c r="O125" s="50"/>
      <c r="P125" s="50"/>
      <c r="Q125" s="50"/>
      <c r="R125" s="50">
        <v>406</v>
      </c>
      <c r="S125" s="50">
        <v>706</v>
      </c>
      <c r="T125" s="50">
        <v>811</v>
      </c>
      <c r="U125" s="50">
        <v>692</v>
      </c>
      <c r="V125" s="50">
        <v>607</v>
      </c>
      <c r="W125" s="53">
        <v>538</v>
      </c>
      <c r="X125" s="53">
        <v>569</v>
      </c>
      <c r="Y125" s="55">
        <v>1093</v>
      </c>
      <c r="Z125" s="148"/>
      <c r="AE125" s="148"/>
    </row>
    <row r="126" spans="1:45" s="49" customFormat="1" x14ac:dyDescent="0.2">
      <c r="A126" s="50" t="str">
        <f>A6</f>
        <v>Interiors</v>
      </c>
      <c r="C126" s="50"/>
      <c r="D126" s="50"/>
      <c r="E126" s="50"/>
      <c r="F126" s="50"/>
      <c r="G126" s="50"/>
      <c r="H126" s="50"/>
      <c r="I126" s="50"/>
      <c r="J126" s="50"/>
      <c r="K126" s="50"/>
      <c r="L126" s="50"/>
      <c r="M126" s="50"/>
      <c r="N126" s="50"/>
      <c r="O126" s="50"/>
      <c r="P126" s="50"/>
      <c r="Q126" s="50"/>
      <c r="R126" s="50">
        <v>-67</v>
      </c>
      <c r="S126" s="50">
        <v>-1</v>
      </c>
      <c r="T126" s="50">
        <v>-377</v>
      </c>
      <c r="U126" s="50">
        <v>-181</v>
      </c>
      <c r="V126" s="50">
        <v>-483</v>
      </c>
      <c r="W126" s="53">
        <v>-277</v>
      </c>
      <c r="X126" s="53">
        <v>-132</v>
      </c>
      <c r="Y126" s="55">
        <v>9</v>
      </c>
      <c r="Z126" s="148"/>
      <c r="AE126" s="148"/>
    </row>
    <row r="127" spans="1:45" s="49" customFormat="1" hidden="1" outlineLevel="1" x14ac:dyDescent="0.2">
      <c r="A127" s="63" t="s">
        <v>69</v>
      </c>
      <c r="C127" s="50"/>
      <c r="D127" s="50"/>
      <c r="E127" s="50"/>
      <c r="F127" s="50">
        <v>-226</v>
      </c>
      <c r="G127" s="50">
        <v>-113</v>
      </c>
      <c r="H127" s="50">
        <v>163</v>
      </c>
      <c r="I127" s="50">
        <v>-19</v>
      </c>
      <c r="J127" s="50">
        <v>38</v>
      </c>
      <c r="K127" s="50">
        <v>73</v>
      </c>
      <c r="L127" s="50">
        <v>149</v>
      </c>
      <c r="M127" s="50">
        <v>153</v>
      </c>
      <c r="N127" s="50">
        <v>165</v>
      </c>
      <c r="O127" s="50">
        <v>328</v>
      </c>
      <c r="P127" s="50">
        <v>328</v>
      </c>
      <c r="Q127" s="50">
        <v>343</v>
      </c>
      <c r="R127" s="50"/>
      <c r="T127" s="139"/>
      <c r="U127" s="139"/>
      <c r="V127" s="139"/>
      <c r="W127" s="139"/>
      <c r="X127" s="139"/>
      <c r="Y127" s="150"/>
      <c r="Z127" s="148"/>
      <c r="AE127" s="148"/>
    </row>
    <row r="128" spans="1:45" s="49" customFormat="1" hidden="1" outlineLevel="1" x14ac:dyDescent="0.2">
      <c r="A128" s="63" t="s">
        <v>80</v>
      </c>
      <c r="C128" s="50"/>
      <c r="D128" s="50"/>
      <c r="E128" s="50"/>
      <c r="F128" s="50">
        <v>32</v>
      </c>
      <c r="G128" s="50">
        <v>8</v>
      </c>
      <c r="H128" s="50">
        <v>-53</v>
      </c>
      <c r="I128" s="50">
        <v>-80</v>
      </c>
      <c r="J128" s="50">
        <v>13</v>
      </c>
      <c r="K128" s="50">
        <v>126</v>
      </c>
      <c r="L128" s="50">
        <v>17</v>
      </c>
      <c r="M128" s="50">
        <v>0</v>
      </c>
      <c r="N128" s="50">
        <v>17</v>
      </c>
      <c r="O128" s="50">
        <v>105</v>
      </c>
      <c r="P128" s="50">
        <v>105</v>
      </c>
      <c r="Q128" s="50">
        <v>7</v>
      </c>
      <c r="R128" s="50"/>
      <c r="T128" s="139"/>
      <c r="U128" s="139"/>
      <c r="V128" s="139"/>
      <c r="W128" s="139"/>
      <c r="X128" s="139"/>
      <c r="Y128" s="150"/>
      <c r="Z128" s="148"/>
      <c r="AE128" s="148"/>
    </row>
    <row r="129" spans="1:31" s="49" customFormat="1" hidden="1" outlineLevel="1" x14ac:dyDescent="0.2">
      <c r="A129" s="63" t="s">
        <v>81</v>
      </c>
      <c r="C129" s="50"/>
      <c r="D129" s="50"/>
      <c r="E129" s="50"/>
      <c r="F129" s="50"/>
      <c r="G129" s="50"/>
      <c r="H129" s="50"/>
      <c r="I129" s="50"/>
      <c r="J129" s="50"/>
      <c r="K129" s="50"/>
      <c r="L129" s="50"/>
      <c r="M129" s="50"/>
      <c r="N129" s="50"/>
      <c r="O129" s="50"/>
      <c r="P129" s="50"/>
      <c r="Q129" s="50">
        <f>183-107</f>
        <v>76</v>
      </c>
      <c r="R129" s="50"/>
      <c r="T129" s="139"/>
      <c r="U129" s="139"/>
      <c r="V129" s="139"/>
      <c r="W129" s="139"/>
      <c r="X129" s="139"/>
      <c r="Y129" s="150"/>
      <c r="Z129" s="148"/>
      <c r="AE129" s="148"/>
    </row>
    <row r="130" spans="1:31" s="49" customFormat="1" hidden="1" outlineLevel="2" x14ac:dyDescent="0.2">
      <c r="A130" s="50" t="s">
        <v>82</v>
      </c>
      <c r="C130" s="50"/>
      <c r="D130" s="50"/>
      <c r="E130" s="50"/>
      <c r="F130" s="50">
        <v>33</v>
      </c>
      <c r="G130" s="50">
        <v>29</v>
      </c>
      <c r="H130" s="50">
        <v>51</v>
      </c>
      <c r="I130" s="50">
        <v>-61</v>
      </c>
      <c r="J130" s="50">
        <v>11</v>
      </c>
      <c r="K130" s="50">
        <v>-49</v>
      </c>
      <c r="L130" s="50">
        <v>97</v>
      </c>
      <c r="M130" s="50">
        <v>45</v>
      </c>
      <c r="N130" s="50"/>
      <c r="O130" s="50"/>
      <c r="P130" s="50"/>
      <c r="T130" s="139"/>
      <c r="U130" s="139"/>
      <c r="V130" s="139"/>
      <c r="W130" s="139"/>
      <c r="X130" s="139"/>
      <c r="Y130" s="150"/>
      <c r="Z130" s="148"/>
      <c r="AE130" s="148"/>
    </row>
    <row r="131" spans="1:31" s="49" customFormat="1" collapsed="1" x14ac:dyDescent="0.2">
      <c r="A131" s="53" t="str">
        <f>A12</f>
        <v>Holding company and other</v>
      </c>
      <c r="C131" s="50"/>
      <c r="D131" s="50"/>
      <c r="E131" s="50"/>
      <c r="F131" s="50">
        <v>58</v>
      </c>
      <c r="G131" s="50">
        <v>115</v>
      </c>
      <c r="H131" s="50">
        <v>153</v>
      </c>
      <c r="I131" s="50">
        <v>0</v>
      </c>
      <c r="J131" s="50">
        <v>38</v>
      </c>
      <c r="K131" s="50">
        <v>56</v>
      </c>
      <c r="L131" s="50">
        <v>97</v>
      </c>
      <c r="M131" s="50">
        <v>49</v>
      </c>
      <c r="N131" s="50">
        <v>-20</v>
      </c>
      <c r="O131" s="50">
        <v>-153</v>
      </c>
      <c r="P131" s="50">
        <v>-153</v>
      </c>
      <c r="Q131" s="50">
        <v>24</v>
      </c>
      <c r="R131" s="50">
        <v>24</v>
      </c>
      <c r="S131" s="67">
        <v>153</v>
      </c>
      <c r="T131" s="139">
        <v>-157</v>
      </c>
      <c r="U131" s="139">
        <v>-162</v>
      </c>
      <c r="V131" s="139">
        <v>94</v>
      </c>
      <c r="W131" s="139">
        <v>-16</v>
      </c>
      <c r="X131" s="139">
        <v>136</v>
      </c>
      <c r="Y131" s="150">
        <v>26</v>
      </c>
      <c r="Z131" s="152"/>
      <c r="AA131" s="151"/>
      <c r="AB131" s="151"/>
      <c r="AC131" s="151"/>
      <c r="AD131" s="151"/>
      <c r="AE131" s="152"/>
    </row>
    <row r="132" spans="1:31" s="49" customFormat="1" x14ac:dyDescent="0.2">
      <c r="A132" s="141" t="s">
        <v>100</v>
      </c>
      <c r="B132" s="153"/>
      <c r="C132" s="138"/>
      <c r="D132" s="138"/>
      <c r="E132" s="138"/>
      <c r="F132" s="138">
        <f>+SUM(F124:F131)</f>
        <v>49</v>
      </c>
      <c r="G132" s="138">
        <f>+SUM(G124:G131)</f>
        <v>818</v>
      </c>
      <c r="H132" s="138">
        <f>+SUM(H124:H131)</f>
        <v>934</v>
      </c>
      <c r="I132" s="138">
        <f>+SUM(I124:I131)</f>
        <v>532</v>
      </c>
      <c r="J132" s="138">
        <f>+SUM(J124:J131)</f>
        <v>564</v>
      </c>
      <c r="K132" s="138">
        <f t="shared" ref="K132:V132" si="86">SUM(K124:K131)</f>
        <v>699</v>
      </c>
      <c r="L132" s="138">
        <f t="shared" si="86"/>
        <v>740</v>
      </c>
      <c r="M132" s="138">
        <f t="shared" si="86"/>
        <v>974</v>
      </c>
      <c r="N132" s="138">
        <f t="shared" si="86"/>
        <v>1091</v>
      </c>
      <c r="O132" s="138">
        <f t="shared" si="86"/>
        <v>1438</v>
      </c>
      <c r="P132" s="138">
        <f t="shared" si="86"/>
        <v>1438</v>
      </c>
      <c r="Q132" s="138">
        <f t="shared" si="86"/>
        <v>1781</v>
      </c>
      <c r="R132" s="138">
        <f t="shared" si="86"/>
        <v>1781</v>
      </c>
      <c r="S132" s="138">
        <f t="shared" si="86"/>
        <v>1983</v>
      </c>
      <c r="T132" s="138">
        <f t="shared" si="86"/>
        <v>1073</v>
      </c>
      <c r="U132" s="138">
        <f t="shared" si="86"/>
        <v>1680</v>
      </c>
      <c r="V132" s="138">
        <f t="shared" si="86"/>
        <v>2666</v>
      </c>
      <c r="W132" s="138">
        <f t="shared" ref="W132:X132" si="87">SUM(W124:W131)</f>
        <v>2945</v>
      </c>
      <c r="X132" s="138">
        <f t="shared" si="87"/>
        <v>3189</v>
      </c>
      <c r="Y132" s="154">
        <f t="shared" ref="Y132" si="88">SUM(Y124:Y131)</f>
        <v>3921</v>
      </c>
      <c r="Z132" s="1609">
        <f>CF!X72</f>
        <v>5099.131526557172</v>
      </c>
      <c r="AA132" s="112">
        <f>CF!Y72</f>
        <v>5651.6200455197386</v>
      </c>
      <c r="AB132" s="112">
        <f>CF!Z72</f>
        <v>6017.0226491483463</v>
      </c>
      <c r="AC132" s="112">
        <f>CF!AA72</f>
        <v>6467.2613735289133</v>
      </c>
      <c r="AD132" s="112">
        <f>CF!AB72</f>
        <v>6588.0820893660375</v>
      </c>
      <c r="AE132" s="152"/>
    </row>
    <row r="133" spans="1:31" s="49" customFormat="1" x14ac:dyDescent="0.2">
      <c r="C133" s="151"/>
      <c r="D133" s="151"/>
      <c r="E133" s="151"/>
      <c r="F133" s="151"/>
      <c r="G133" s="151"/>
      <c r="H133" s="151"/>
      <c r="I133" s="151"/>
      <c r="J133" s="151"/>
      <c r="K133" s="151"/>
      <c r="L133" s="151"/>
      <c r="M133" s="151"/>
      <c r="N133" s="151"/>
      <c r="O133" s="151"/>
      <c r="P133" s="151"/>
      <c r="Q133" s="151"/>
      <c r="R133" s="151"/>
      <c r="S133" s="151"/>
      <c r="T133" s="151"/>
      <c r="U133" s="151"/>
      <c r="V133" s="151"/>
      <c r="W133" s="151"/>
      <c r="X133" s="151"/>
      <c r="Y133" s="96"/>
      <c r="Z133" s="1606"/>
      <c r="AA133" s="155"/>
      <c r="AB133" s="155"/>
      <c r="AC133" s="155"/>
      <c r="AD133" s="155"/>
      <c r="AE133" s="152"/>
    </row>
    <row r="134" spans="1:31" s="49" customFormat="1" x14ac:dyDescent="0.2">
      <c r="A134" s="1347" t="s">
        <v>113</v>
      </c>
      <c r="B134" s="135"/>
      <c r="C134" s="157"/>
      <c r="D134" s="157"/>
      <c r="E134" s="157"/>
      <c r="F134" s="157"/>
      <c r="G134" s="157"/>
      <c r="H134" s="157"/>
      <c r="I134" s="157"/>
      <c r="J134" s="157">
        <f>+J132/J51</f>
        <v>0.45374094931617054</v>
      </c>
      <c r="K134" s="157">
        <f t="shared" ref="K134:AD134" si="89">+K132/K51</f>
        <v>0.54312354312354316</v>
      </c>
      <c r="L134" s="157">
        <f t="shared" si="89"/>
        <v>0.49333333333333335</v>
      </c>
      <c r="M134" s="157">
        <f t="shared" si="89"/>
        <v>0.33901844761573269</v>
      </c>
      <c r="N134" s="157">
        <f t="shared" si="89"/>
        <v>0.3648829431438127</v>
      </c>
      <c r="O134" s="157">
        <f t="shared" si="89"/>
        <v>0.51894622879826779</v>
      </c>
      <c r="P134" s="157">
        <f t="shared" si="89"/>
        <v>0.57108816521048456</v>
      </c>
      <c r="Q134" s="157">
        <f t="shared" si="89"/>
        <v>0.78114035087719302</v>
      </c>
      <c r="R134" s="157">
        <f t="shared" si="89"/>
        <v>0.78114035087719302</v>
      </c>
      <c r="S134" s="157">
        <f>+S132/S51</f>
        <v>0.51856694560669458</v>
      </c>
      <c r="T134" s="157">
        <f t="shared" si="89"/>
        <v>0.77027997128499637</v>
      </c>
      <c r="U134" s="157">
        <f t="shared" si="89"/>
        <v>1.3238770685579195</v>
      </c>
      <c r="V134" s="157">
        <f t="shared" si="89"/>
        <v>1.0693943040513438</v>
      </c>
      <c r="W134" s="157">
        <f t="shared" si="89"/>
        <v>0.88999697793895438</v>
      </c>
      <c r="X134" s="157">
        <f t="shared" si="89"/>
        <v>0.7618251313903488</v>
      </c>
      <c r="Y134" s="158">
        <f t="shared" ref="Y134" si="90">+Y132/Y51</f>
        <v>0.81909337789847503</v>
      </c>
      <c r="Z134" s="1617">
        <f t="shared" si="89"/>
        <v>0.79045552798249374</v>
      </c>
      <c r="AA134" s="159">
        <f t="shared" si="89"/>
        <v>0.76724597824180518</v>
      </c>
      <c r="AB134" s="159">
        <f t="shared" si="89"/>
        <v>0.74351925967786736</v>
      </c>
      <c r="AC134" s="159">
        <f t="shared" si="89"/>
        <v>0.7470918895628379</v>
      </c>
      <c r="AD134" s="160">
        <f t="shared" si="89"/>
        <v>0.72981909800810241</v>
      </c>
      <c r="AE134" s="152"/>
    </row>
  </sheetData>
  <pageMargins left="0.75" right="0.75" top="1" bottom="1" header="0.5" footer="0.5"/>
  <pageSetup paperSize="9" scale="71"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49A98-7C47-4F7E-8E39-F5256B8C3CBE}">
  <sheetPr codeName="Sheet2">
    <tabColor theme="4"/>
    <pageSetUpPr fitToPage="1"/>
  </sheetPr>
  <dimension ref="A1:FR350"/>
  <sheetViews>
    <sheetView showGridLines="0" zoomScaleNormal="100" workbookViewId="0">
      <pane xSplit="2" ySplit="1" topLeftCell="CD2" activePane="bottomRight" state="frozen"/>
      <selection pane="topRight" activeCell="C1" sqref="C1"/>
      <selection pane="bottomLeft" activeCell="A2" sqref="A2"/>
      <selection pane="bottomRight" activeCell="J2" sqref="J2"/>
    </sheetView>
  </sheetViews>
  <sheetFormatPr defaultColWidth="8.85546875" defaultRowHeight="11.25" outlineLevelRow="2" outlineLevelCol="2" x14ac:dyDescent="0.2"/>
  <cols>
    <col min="1" max="1" width="1.42578125" style="4" customWidth="1"/>
    <col min="2" max="2" width="35" style="4" customWidth="1"/>
    <col min="3" max="6" width="7.7109375" style="4" hidden="1" customWidth="1" outlineLevel="2"/>
    <col min="7" max="9" width="7.7109375" style="4" hidden="1" customWidth="1" outlineLevel="1"/>
    <col min="10" max="10" width="7.7109375" style="4" customWidth="1" collapsed="1"/>
    <col min="11" max="14" width="7.7109375" style="4" hidden="1" customWidth="1" outlineLevel="2"/>
    <col min="15" max="17" width="7.7109375" style="4" hidden="1" customWidth="1" outlineLevel="1"/>
    <col min="18" max="18" width="7.7109375" style="4" customWidth="1" collapsed="1"/>
    <col min="19" max="22" width="7.7109375" style="4" hidden="1" customWidth="1" outlineLevel="2"/>
    <col min="23" max="25" width="7.7109375" style="4" hidden="1" customWidth="1" outlineLevel="1"/>
    <col min="26" max="26" width="7.7109375" style="4" customWidth="1" collapsed="1"/>
    <col min="27" max="30" width="7.7109375" style="4" hidden="1" customWidth="1" outlineLevel="2"/>
    <col min="31" max="33" width="7.7109375" style="4" hidden="1" customWidth="1" outlineLevel="1"/>
    <col min="34" max="34" width="7.7109375" style="4" customWidth="1" collapsed="1"/>
    <col min="35" max="38" width="7.7109375" style="4" hidden="1" customWidth="1" outlineLevel="2"/>
    <col min="39" max="41" width="7.7109375" style="4" hidden="1" customWidth="1" outlineLevel="1"/>
    <col min="42" max="42" width="7.7109375" style="4" customWidth="1" collapsed="1"/>
    <col min="43" max="46" width="7.7109375" style="4" hidden="1" customWidth="1" outlineLevel="2"/>
    <col min="47" max="49" width="7.7109375" style="4" hidden="1" customWidth="1" outlineLevel="1"/>
    <col min="50" max="50" width="7.7109375" style="4" customWidth="1" collapsed="1"/>
    <col min="51" max="54" width="7.7109375" style="4" hidden="1" customWidth="1" outlineLevel="2"/>
    <col min="55" max="57" width="7.7109375" style="4" hidden="1" customWidth="1" outlineLevel="1"/>
    <col min="58" max="58" width="7.7109375" style="4" customWidth="1" collapsed="1"/>
    <col min="59" max="62" width="7.7109375" style="4" hidden="1" customWidth="1" outlineLevel="2"/>
    <col min="63" max="65" width="7.7109375" style="4" hidden="1" customWidth="1" outlineLevel="1"/>
    <col min="66" max="66" width="7.7109375" style="4" customWidth="1" collapsed="1"/>
    <col min="67" max="70" width="7.7109375" style="4" hidden="1" customWidth="1" outlineLevel="2"/>
    <col min="71" max="73" width="7.7109375" style="4" hidden="1" customWidth="1" outlineLevel="1"/>
    <col min="74" max="74" width="7.7109375" style="4" customWidth="1" collapsed="1"/>
    <col min="75" max="78" width="7.7109375" style="4" hidden="1" customWidth="1" outlineLevel="2"/>
    <col min="79" max="81" width="7.7109375" style="4" hidden="1" customWidth="1" outlineLevel="1"/>
    <col min="82" max="82" width="7.7109375" style="4" customWidth="1" collapsed="1"/>
    <col min="83" max="86" width="7.7109375" style="4" hidden="1" customWidth="1" outlineLevel="2"/>
    <col min="87" max="89" width="7.7109375" style="4" hidden="1" customWidth="1" outlineLevel="1"/>
    <col min="90" max="90" width="7.7109375" style="4" customWidth="1" collapsed="1"/>
    <col min="91" max="94" width="7.7109375" style="4" hidden="1" customWidth="1" outlineLevel="2"/>
    <col min="95" max="97" width="7.7109375" style="4" hidden="1" customWidth="1" outlineLevel="1"/>
    <col min="98" max="98" width="7.7109375" style="4" customWidth="1" collapsed="1"/>
    <col min="99" max="102" width="7.7109375" style="4" hidden="1" customWidth="1" outlineLevel="2"/>
    <col min="103" max="105" width="7.7109375" style="4" hidden="1" customWidth="1" outlineLevel="1"/>
    <col min="106" max="106" width="7.7109375" style="4" customWidth="1" collapsed="1"/>
    <col min="107" max="110" width="7.7109375" style="4" hidden="1" customWidth="1" outlineLevel="2"/>
    <col min="111" max="111" width="7.7109375" style="4" hidden="1" customWidth="1" outlineLevel="1" collapsed="1"/>
    <col min="112" max="113" width="7.7109375" style="4" hidden="1" customWidth="1" outlineLevel="1"/>
    <col min="114" max="114" width="7.7109375" style="4" customWidth="1" collapsed="1"/>
    <col min="115" max="118" width="7.7109375" style="4" hidden="1" customWidth="1" outlineLevel="2"/>
    <col min="119" max="121" width="7.7109375" style="4" hidden="1" customWidth="1" outlineLevel="1"/>
    <col min="122" max="122" width="7.7109375" style="4" customWidth="1" collapsed="1"/>
    <col min="123" max="126" width="7.7109375" style="4" hidden="1" customWidth="1" outlineLevel="2"/>
    <col min="127" max="129" width="7.7109375" style="4" hidden="1" customWidth="1" outlineLevel="1"/>
    <col min="130" max="130" width="7.7109375" style="4" customWidth="1" collapsed="1"/>
    <col min="131" max="134" width="7.7109375" style="4" hidden="1" customWidth="1" outlineLevel="2"/>
    <col min="135" max="137" width="7.7109375" style="4" hidden="1" customWidth="1" outlineLevel="1"/>
    <col min="138" max="138" width="7.7109375" style="4" customWidth="1" collapsed="1"/>
    <col min="139" max="142" width="7.7109375" style="4" hidden="1" customWidth="1" outlineLevel="2"/>
    <col min="143" max="145" width="7.7109375" style="4" hidden="1" customWidth="1" outlineLevel="1"/>
    <col min="146" max="146" width="7.7109375" style="4" customWidth="1" collapsed="1"/>
    <col min="147" max="150" width="7.7109375" style="4" hidden="1" customWidth="1" outlineLevel="2"/>
    <col min="151" max="153" width="7.7109375" style="4" hidden="1" customWidth="1" outlineLevel="1"/>
    <col min="154" max="154" width="7.7109375" style="4" customWidth="1" collapsed="1"/>
    <col min="155" max="158" width="7.7109375" style="4" hidden="1" customWidth="1" outlineLevel="2"/>
    <col min="159" max="161" width="7.7109375" style="4" hidden="1" customWidth="1" outlineLevel="1"/>
    <col min="162" max="162" width="7.7109375" style="4" customWidth="1" collapsed="1"/>
    <col min="163" max="163" width="8.85546875" style="4"/>
    <col min="164" max="173" width="7.28515625" style="4" hidden="1" customWidth="1" outlineLevel="1"/>
    <col min="174" max="174" width="8.85546875" style="4" collapsed="1"/>
    <col min="175" max="16384" width="8.85546875" style="4"/>
  </cols>
  <sheetData>
    <row r="1" spans="1:173" x14ac:dyDescent="0.2">
      <c r="A1" s="161" t="s">
        <v>114</v>
      </c>
      <c r="B1" s="162"/>
      <c r="C1" s="163" t="s">
        <v>115</v>
      </c>
      <c r="D1" s="164" t="s">
        <v>116</v>
      </c>
      <c r="E1" s="164" t="s">
        <v>117</v>
      </c>
      <c r="F1" s="165" t="s">
        <v>118</v>
      </c>
      <c r="G1" s="164" t="s">
        <v>119</v>
      </c>
      <c r="H1" s="164" t="s">
        <v>120</v>
      </c>
      <c r="I1" s="166" t="s">
        <v>121</v>
      </c>
      <c r="J1" s="166" t="s">
        <v>122</v>
      </c>
      <c r="K1" s="163" t="s">
        <v>123</v>
      </c>
      <c r="L1" s="164" t="s">
        <v>124</v>
      </c>
      <c r="M1" s="164" t="s">
        <v>125</v>
      </c>
      <c r="N1" s="165" t="s">
        <v>126</v>
      </c>
      <c r="O1" s="164" t="s">
        <v>127</v>
      </c>
      <c r="P1" s="164" t="s">
        <v>128</v>
      </c>
      <c r="Q1" s="166" t="s">
        <v>129</v>
      </c>
      <c r="R1" s="166" t="s">
        <v>130</v>
      </c>
      <c r="S1" s="163" t="s">
        <v>131</v>
      </c>
      <c r="T1" s="164" t="s">
        <v>132</v>
      </c>
      <c r="U1" s="164" t="s">
        <v>133</v>
      </c>
      <c r="V1" s="165" t="s">
        <v>134</v>
      </c>
      <c r="W1" s="164" t="s">
        <v>135</v>
      </c>
      <c r="X1" s="164" t="s">
        <v>136</v>
      </c>
      <c r="Y1" s="166" t="s">
        <v>137</v>
      </c>
      <c r="Z1" s="166" t="s">
        <v>138</v>
      </c>
      <c r="AA1" s="163" t="s">
        <v>139</v>
      </c>
      <c r="AB1" s="164" t="s">
        <v>140</v>
      </c>
      <c r="AC1" s="164" t="s">
        <v>141</v>
      </c>
      <c r="AD1" s="165" t="s">
        <v>142</v>
      </c>
      <c r="AE1" s="164" t="s">
        <v>143</v>
      </c>
      <c r="AF1" s="164" t="s">
        <v>144</v>
      </c>
      <c r="AG1" s="166" t="s">
        <v>145</v>
      </c>
      <c r="AH1" s="166" t="s">
        <v>146</v>
      </c>
      <c r="AI1" s="163" t="s">
        <v>147</v>
      </c>
      <c r="AJ1" s="164" t="s">
        <v>148</v>
      </c>
      <c r="AK1" s="164" t="s">
        <v>149</v>
      </c>
      <c r="AL1" s="165" t="s">
        <v>150</v>
      </c>
      <c r="AM1" s="164" t="s">
        <v>151</v>
      </c>
      <c r="AN1" s="164" t="s">
        <v>152</v>
      </c>
      <c r="AO1" s="166" t="s">
        <v>153</v>
      </c>
      <c r="AP1" s="166" t="s">
        <v>154</v>
      </c>
      <c r="AQ1" s="163" t="s">
        <v>155</v>
      </c>
      <c r="AR1" s="164" t="s">
        <v>156</v>
      </c>
      <c r="AS1" s="164" t="s">
        <v>157</v>
      </c>
      <c r="AT1" s="165" t="s">
        <v>158</v>
      </c>
      <c r="AU1" s="164" t="s">
        <v>159</v>
      </c>
      <c r="AV1" s="164" t="s">
        <v>160</v>
      </c>
      <c r="AW1" s="166" t="s">
        <v>161</v>
      </c>
      <c r="AX1" s="166" t="s">
        <v>162</v>
      </c>
      <c r="AY1" s="163" t="s">
        <v>163</v>
      </c>
      <c r="AZ1" s="164" t="s">
        <v>164</v>
      </c>
      <c r="BA1" s="164" t="s">
        <v>165</v>
      </c>
      <c r="BB1" s="165" t="s">
        <v>166</v>
      </c>
      <c r="BC1" s="164" t="s">
        <v>167</v>
      </c>
      <c r="BD1" s="164" t="s">
        <v>168</v>
      </c>
      <c r="BE1" s="166" t="s">
        <v>169</v>
      </c>
      <c r="BF1" s="166" t="s">
        <v>170</v>
      </c>
      <c r="BG1" s="163" t="s">
        <v>171</v>
      </c>
      <c r="BH1" s="164" t="s">
        <v>172</v>
      </c>
      <c r="BI1" s="164" t="s">
        <v>173</v>
      </c>
      <c r="BJ1" s="165" t="s">
        <v>174</v>
      </c>
      <c r="BK1" s="164" t="s">
        <v>175</v>
      </c>
      <c r="BL1" s="164" t="s">
        <v>176</v>
      </c>
      <c r="BM1" s="166" t="s">
        <v>177</v>
      </c>
      <c r="BN1" s="166" t="s">
        <v>178</v>
      </c>
      <c r="BO1" s="163" t="s">
        <v>179</v>
      </c>
      <c r="BP1" s="164" t="s">
        <v>180</v>
      </c>
      <c r="BQ1" s="164" t="s">
        <v>181</v>
      </c>
      <c r="BR1" s="165" t="s">
        <v>182</v>
      </c>
      <c r="BS1" s="164" t="s">
        <v>183</v>
      </c>
      <c r="BT1" s="164" t="s">
        <v>184</v>
      </c>
      <c r="BU1" s="166" t="s">
        <v>185</v>
      </c>
      <c r="BV1" s="166" t="s">
        <v>186</v>
      </c>
      <c r="BW1" s="163" t="s">
        <v>187</v>
      </c>
      <c r="BX1" s="164" t="s">
        <v>188</v>
      </c>
      <c r="BY1" s="164" t="s">
        <v>189</v>
      </c>
      <c r="BZ1" s="165" t="s">
        <v>190</v>
      </c>
      <c r="CA1" s="164" t="s">
        <v>191</v>
      </c>
      <c r="CB1" s="164" t="s">
        <v>192</v>
      </c>
      <c r="CC1" s="166" t="s">
        <v>193</v>
      </c>
      <c r="CD1" s="166" t="s">
        <v>194</v>
      </c>
      <c r="CE1" s="163" t="s">
        <v>195</v>
      </c>
      <c r="CF1" s="164" t="s">
        <v>196</v>
      </c>
      <c r="CG1" s="164" t="s">
        <v>197</v>
      </c>
      <c r="CH1" s="165" t="s">
        <v>198</v>
      </c>
      <c r="CI1" s="164" t="s">
        <v>199</v>
      </c>
      <c r="CJ1" s="164" t="s">
        <v>200</v>
      </c>
      <c r="CK1" s="166" t="s">
        <v>201</v>
      </c>
      <c r="CL1" s="166" t="s">
        <v>202</v>
      </c>
      <c r="CM1" s="163" t="s">
        <v>203</v>
      </c>
      <c r="CN1" s="164" t="s">
        <v>204</v>
      </c>
      <c r="CO1" s="164" t="s">
        <v>205</v>
      </c>
      <c r="CP1" s="165" t="s">
        <v>206</v>
      </c>
      <c r="CQ1" s="164" t="s">
        <v>207</v>
      </c>
      <c r="CR1" s="164" t="s">
        <v>208</v>
      </c>
      <c r="CS1" s="166" t="s">
        <v>209</v>
      </c>
      <c r="CT1" s="166" t="s">
        <v>210</v>
      </c>
      <c r="CU1" s="163" t="s">
        <v>211</v>
      </c>
      <c r="CV1" s="164" t="s">
        <v>212</v>
      </c>
      <c r="CW1" s="164" t="s">
        <v>213</v>
      </c>
      <c r="CX1" s="165" t="s">
        <v>1134</v>
      </c>
      <c r="CY1" s="164" t="s">
        <v>214</v>
      </c>
      <c r="CZ1" s="164" t="s">
        <v>1135</v>
      </c>
      <c r="DA1" s="164" t="s">
        <v>215</v>
      </c>
      <c r="DB1" s="166" t="s">
        <v>1128</v>
      </c>
      <c r="DC1" s="163" t="s">
        <v>1139</v>
      </c>
      <c r="DD1" s="164" t="s">
        <v>1142</v>
      </c>
      <c r="DE1" s="164" t="s">
        <v>1148</v>
      </c>
      <c r="DF1" s="165" t="s">
        <v>1170</v>
      </c>
      <c r="DG1" s="164" t="s">
        <v>1143</v>
      </c>
      <c r="DH1" s="164" t="s">
        <v>1171</v>
      </c>
      <c r="DI1" s="164" t="s">
        <v>1149</v>
      </c>
      <c r="DJ1" s="166" t="s">
        <v>1129</v>
      </c>
      <c r="DK1" s="163" t="s">
        <v>1172</v>
      </c>
      <c r="DL1" s="164" t="s">
        <v>1174</v>
      </c>
      <c r="DM1" s="164" t="s">
        <v>1176</v>
      </c>
      <c r="DN1" s="165" t="s">
        <v>1180</v>
      </c>
      <c r="DO1" s="164" t="s">
        <v>1173</v>
      </c>
      <c r="DP1" s="164" t="s">
        <v>1181</v>
      </c>
      <c r="DQ1" s="164" t="s">
        <v>1177</v>
      </c>
      <c r="DR1" s="166" t="s">
        <v>1130</v>
      </c>
      <c r="DS1" s="163" t="s">
        <v>1182</v>
      </c>
      <c r="DT1" s="164" t="s">
        <v>1184</v>
      </c>
      <c r="DU1" s="168" t="s">
        <v>216</v>
      </c>
      <c r="DV1" s="167" t="s">
        <v>217</v>
      </c>
      <c r="DW1" s="164" t="s">
        <v>1183</v>
      </c>
      <c r="DX1" s="168" t="s">
        <v>218</v>
      </c>
      <c r="DY1" s="168" t="s">
        <v>219</v>
      </c>
      <c r="DZ1" s="169" t="s">
        <v>220</v>
      </c>
      <c r="EA1" s="170" t="s">
        <v>221</v>
      </c>
      <c r="EB1" s="168" t="s">
        <v>222</v>
      </c>
      <c r="EC1" s="168" t="s">
        <v>223</v>
      </c>
      <c r="ED1" s="167" t="s">
        <v>224</v>
      </c>
      <c r="EE1" s="168" t="s">
        <v>225</v>
      </c>
      <c r="EF1" s="168" t="s">
        <v>226</v>
      </c>
      <c r="EG1" s="168" t="s">
        <v>227</v>
      </c>
      <c r="EH1" s="169" t="s">
        <v>228</v>
      </c>
      <c r="EI1" s="170" t="s">
        <v>229</v>
      </c>
      <c r="EJ1" s="168" t="s">
        <v>230</v>
      </c>
      <c r="EK1" s="168" t="s">
        <v>231</v>
      </c>
      <c r="EL1" s="167" t="s">
        <v>232</v>
      </c>
      <c r="EM1" s="168" t="s">
        <v>233</v>
      </c>
      <c r="EN1" s="168" t="s">
        <v>234</v>
      </c>
      <c r="EO1" s="168" t="s">
        <v>235</v>
      </c>
      <c r="EP1" s="169" t="s">
        <v>236</v>
      </c>
      <c r="EQ1" s="170" t="s">
        <v>237</v>
      </c>
      <c r="ER1" s="168" t="s">
        <v>238</v>
      </c>
      <c r="ES1" s="168" t="s">
        <v>239</v>
      </c>
      <c r="ET1" s="167" t="s">
        <v>240</v>
      </c>
      <c r="EU1" s="168" t="s">
        <v>241</v>
      </c>
      <c r="EV1" s="168" t="s">
        <v>242</v>
      </c>
      <c r="EW1" s="168" t="s">
        <v>243</v>
      </c>
      <c r="EX1" s="169" t="s">
        <v>244</v>
      </c>
      <c r="EY1" s="170" t="s">
        <v>245</v>
      </c>
      <c r="EZ1" s="168" t="s">
        <v>246</v>
      </c>
      <c r="FA1" s="168" t="s">
        <v>247</v>
      </c>
      <c r="FB1" s="167" t="s">
        <v>248</v>
      </c>
      <c r="FC1" s="168" t="s">
        <v>249</v>
      </c>
      <c r="FD1" s="168" t="s">
        <v>250</v>
      </c>
      <c r="FE1" s="168" t="s">
        <v>251</v>
      </c>
      <c r="FF1" s="169" t="s">
        <v>252</v>
      </c>
    </row>
    <row r="2" spans="1:173" ht="12.75" x14ac:dyDescent="0.2">
      <c r="A2" s="171" t="s">
        <v>253</v>
      </c>
      <c r="B2" s="172"/>
      <c r="C2" s="173"/>
      <c r="D2" s="174"/>
      <c r="E2" s="174"/>
      <c r="F2" s="175"/>
      <c r="G2" s="174"/>
      <c r="H2" s="174"/>
      <c r="I2" s="176"/>
      <c r="J2" s="176"/>
      <c r="K2" s="173"/>
      <c r="L2" s="174"/>
      <c r="M2" s="174"/>
      <c r="N2" s="175"/>
      <c r="O2" s="174"/>
      <c r="P2" s="174"/>
      <c r="Q2" s="176"/>
      <c r="R2" s="176"/>
      <c r="S2" s="173"/>
      <c r="T2" s="174"/>
      <c r="U2" s="174"/>
      <c r="V2" s="175"/>
      <c r="W2" s="174"/>
      <c r="X2" s="174"/>
      <c r="Y2" s="176"/>
      <c r="Z2" s="176"/>
      <c r="AA2" s="173"/>
      <c r="AB2" s="174"/>
      <c r="AC2" s="174"/>
      <c r="AD2" s="175"/>
      <c r="AE2" s="174"/>
      <c r="AF2" s="174"/>
      <c r="AG2" s="176"/>
      <c r="AH2" s="176"/>
      <c r="AI2" s="173"/>
      <c r="AJ2" s="174"/>
      <c r="AK2" s="174"/>
      <c r="AL2" s="175"/>
      <c r="AM2" s="174"/>
      <c r="AN2" s="174"/>
      <c r="AO2" s="176"/>
      <c r="AP2" s="176"/>
      <c r="AQ2" s="173"/>
      <c r="AR2" s="174"/>
      <c r="AS2" s="174"/>
      <c r="AT2" s="175"/>
      <c r="AU2" s="174"/>
      <c r="AV2" s="174"/>
      <c r="AW2" s="176"/>
      <c r="AX2" s="176"/>
      <c r="AY2" s="173"/>
      <c r="AZ2" s="174"/>
      <c r="BA2" s="174"/>
      <c r="BB2" s="175"/>
      <c r="BC2" s="174"/>
      <c r="BD2" s="174"/>
      <c r="BE2" s="176"/>
      <c r="BF2" s="176"/>
      <c r="BG2" s="173"/>
      <c r="BH2" s="174"/>
      <c r="BI2" s="174"/>
      <c r="BJ2" s="175"/>
      <c r="BK2" s="174"/>
      <c r="BL2" s="174"/>
      <c r="BM2" s="176"/>
      <c r="BN2" s="176"/>
      <c r="BO2" s="173"/>
      <c r="BP2" s="174"/>
      <c r="BQ2" s="174"/>
      <c r="BR2" s="175"/>
      <c r="BS2" s="174"/>
      <c r="BT2" s="174"/>
      <c r="BU2" s="176"/>
      <c r="BV2" s="176"/>
      <c r="BW2" s="173"/>
      <c r="BX2" s="174"/>
      <c r="BY2" s="174"/>
      <c r="BZ2" s="175"/>
      <c r="CA2" s="174"/>
      <c r="CB2" s="174"/>
      <c r="CC2" s="176"/>
      <c r="CD2" s="176"/>
      <c r="CE2" s="173"/>
      <c r="CF2" s="174"/>
      <c r="CG2" s="174"/>
      <c r="CH2" s="175"/>
      <c r="CI2" s="174"/>
      <c r="CJ2" s="174"/>
      <c r="CK2" s="176"/>
      <c r="CL2" s="176"/>
      <c r="CM2" s="177"/>
      <c r="CN2" s="178"/>
      <c r="CO2" s="178"/>
      <c r="CP2" s="175"/>
      <c r="CQ2" s="174"/>
      <c r="CR2" s="174"/>
      <c r="CS2" s="176"/>
      <c r="CT2" s="176"/>
      <c r="CU2" s="174"/>
      <c r="CV2" s="174"/>
      <c r="CW2" s="174"/>
      <c r="CX2" s="175"/>
      <c r="CY2" s="174"/>
      <c r="CZ2" s="174"/>
      <c r="DA2" s="176"/>
      <c r="DB2" s="176"/>
      <c r="DC2" s="174"/>
      <c r="DD2" s="174"/>
      <c r="DE2" s="174"/>
      <c r="DF2" s="175"/>
      <c r="DG2" s="174"/>
      <c r="DH2" s="174"/>
      <c r="DI2" s="176"/>
      <c r="DJ2" s="176"/>
      <c r="DK2" s="174"/>
      <c r="DL2" s="174"/>
      <c r="DM2" s="174"/>
      <c r="DN2" s="175"/>
      <c r="DO2" s="174"/>
      <c r="DP2" s="174"/>
      <c r="DQ2" s="176"/>
      <c r="DR2" s="176"/>
      <c r="DS2" s="174"/>
      <c r="DT2" s="174"/>
      <c r="DU2" s="174"/>
      <c r="DV2" s="175"/>
      <c r="DW2" s="174"/>
      <c r="DX2" s="174"/>
      <c r="DY2" s="176"/>
      <c r="DZ2" s="176"/>
      <c r="EA2" s="174"/>
      <c r="EB2" s="174"/>
      <c r="EC2" s="174"/>
      <c r="ED2" s="175"/>
      <c r="EE2" s="174"/>
      <c r="EF2" s="174"/>
      <c r="EG2" s="176"/>
      <c r="EH2" s="176"/>
      <c r="EI2" s="174"/>
      <c r="EJ2" s="174"/>
      <c r="EK2" s="174"/>
      <c r="EL2" s="175"/>
      <c r="EM2" s="174"/>
      <c r="EN2" s="174"/>
      <c r="EO2" s="176"/>
      <c r="EP2" s="176"/>
      <c r="EQ2" s="174"/>
      <c r="ER2" s="174"/>
      <c r="ES2" s="174"/>
      <c r="ET2" s="175"/>
      <c r="EU2" s="174"/>
      <c r="EV2" s="174"/>
      <c r="EW2" s="176"/>
      <c r="EX2" s="176"/>
      <c r="EY2" s="174"/>
      <c r="EZ2" s="174"/>
      <c r="FA2" s="174"/>
      <c r="FB2" s="175"/>
      <c r="FC2" s="174"/>
      <c r="FD2" s="174"/>
      <c r="FE2" s="176"/>
      <c r="FF2" s="176"/>
    </row>
    <row r="3" spans="1:173" ht="11.25" customHeight="1" x14ac:dyDescent="0.25">
      <c r="B3" s="4" t="s">
        <v>68</v>
      </c>
      <c r="C3" s="38">
        <v>1785</v>
      </c>
      <c r="D3" s="4">
        <v>1886</v>
      </c>
      <c r="E3" s="4">
        <v>1771</v>
      </c>
      <c r="F3" s="179">
        <v>2147</v>
      </c>
      <c r="G3" s="4">
        <f>C3+D3</f>
        <v>3671</v>
      </c>
      <c r="H3" s="4">
        <f>E3+F3</f>
        <v>3918</v>
      </c>
      <c r="I3" s="180">
        <f>C3+D3+E3</f>
        <v>5442</v>
      </c>
      <c r="J3" s="180">
        <f>SUM(C3:F3)</f>
        <v>7589</v>
      </c>
      <c r="K3" s="38">
        <v>1825</v>
      </c>
      <c r="L3" s="4">
        <v>1938</v>
      </c>
      <c r="M3" s="4">
        <v>1944</v>
      </c>
      <c r="N3" s="179">
        <f>R3-Q3</f>
        <v>2446</v>
      </c>
      <c r="O3" s="4">
        <f>K3+L3</f>
        <v>3763</v>
      </c>
      <c r="P3" s="4">
        <f>R3-O3</f>
        <v>4390</v>
      </c>
      <c r="Q3" s="180">
        <v>5707</v>
      </c>
      <c r="R3" s="180">
        <v>8153</v>
      </c>
      <c r="S3" s="38">
        <v>2070</v>
      </c>
      <c r="T3" s="4">
        <f>W3-S3</f>
        <v>2416</v>
      </c>
      <c r="U3" s="4">
        <f>Y3-W3</f>
        <v>2220</v>
      </c>
      <c r="V3" s="179">
        <f>Z3-Y3</f>
        <v>2613</v>
      </c>
      <c r="W3" s="4">
        <v>4486</v>
      </c>
      <c r="X3" s="4">
        <f>Z3-W3</f>
        <v>4833</v>
      </c>
      <c r="Y3" s="180">
        <v>6706</v>
      </c>
      <c r="Z3" s="180">
        <f>Divisional!M4</f>
        <v>9319</v>
      </c>
      <c r="AA3" s="38">
        <v>2301</v>
      </c>
      <c r="AB3" s="4">
        <f>AE3-AA3</f>
        <v>2556</v>
      </c>
      <c r="AC3" s="4">
        <f>AG3-AE3</f>
        <v>2056</v>
      </c>
      <c r="AD3" s="179">
        <f>AH3-AG3</f>
        <v>2478</v>
      </c>
      <c r="AE3" s="4">
        <v>4857</v>
      </c>
      <c r="AF3" s="4">
        <f>+AH3-AE3</f>
        <v>4534</v>
      </c>
      <c r="AG3" s="180">
        <v>6913</v>
      </c>
      <c r="AH3" s="180">
        <f>Divisional!N4</f>
        <v>9391</v>
      </c>
      <c r="AI3" s="38">
        <v>2360</v>
      </c>
      <c r="AJ3" s="4">
        <f>AM3-AI3</f>
        <v>2331</v>
      </c>
      <c r="AK3" s="4">
        <v>2303</v>
      </c>
      <c r="AL3" s="179">
        <f>AP3-AO3</f>
        <v>2747</v>
      </c>
      <c r="AM3" s="4">
        <v>4691</v>
      </c>
      <c r="AN3" s="4">
        <f>+AP3-AM3</f>
        <v>5050</v>
      </c>
      <c r="AO3" s="180">
        <f>+AI3+AJ3+AK3</f>
        <v>6994</v>
      </c>
      <c r="AP3" s="180">
        <f>Divisional!O4</f>
        <v>9741</v>
      </c>
      <c r="AQ3" s="38">
        <v>2186</v>
      </c>
      <c r="AR3" s="4">
        <v>2228</v>
      </c>
      <c r="AS3" s="4">
        <v>2196</v>
      </c>
      <c r="AT3" s="179">
        <v>2747</v>
      </c>
      <c r="AU3" s="4">
        <f>AQ3+AR3</f>
        <v>4414</v>
      </c>
      <c r="AV3" s="4">
        <f>AS3+AT3</f>
        <v>4943</v>
      </c>
      <c r="AW3" s="180">
        <f>AQ3+AR3+AS3</f>
        <v>6610</v>
      </c>
      <c r="AX3" s="180">
        <f>AQ3+AR3+AS3+AT3</f>
        <v>9357</v>
      </c>
      <c r="AY3" s="38">
        <v>2286</v>
      </c>
      <c r="AZ3" s="4">
        <f>BC3-AY3</f>
        <v>2458</v>
      </c>
      <c r="BA3" s="4">
        <v>2491</v>
      </c>
      <c r="BB3" s="179">
        <f>+BF3-BE3</f>
        <v>3217</v>
      </c>
      <c r="BC3" s="4">
        <v>4744</v>
      </c>
      <c r="BD3" s="4">
        <f>+BF3-BC3</f>
        <v>5708</v>
      </c>
      <c r="BE3" s="180">
        <f>+AY3+AZ3+BA3</f>
        <v>7235</v>
      </c>
      <c r="BF3" s="180">
        <f>Divisional!Q4</f>
        <v>10452</v>
      </c>
      <c r="BG3" s="38">
        <v>2319</v>
      </c>
      <c r="BH3" s="4">
        <v>2486</v>
      </c>
      <c r="BI3" s="4">
        <v>2524</v>
      </c>
      <c r="BJ3" s="179">
        <v>3250</v>
      </c>
      <c r="BK3" s="4">
        <f>BG3+BH3</f>
        <v>4805</v>
      </c>
      <c r="BL3" s="4">
        <f>BI3+BJ3</f>
        <v>5774</v>
      </c>
      <c r="BM3" s="180">
        <f>BG3+BH3+BI3</f>
        <v>7329</v>
      </c>
      <c r="BN3" s="180">
        <f>BG3+BH3+BI3+BJ3</f>
        <v>10579</v>
      </c>
      <c r="BO3" s="38">
        <v>2771</v>
      </c>
      <c r="BP3" s="4">
        <v>3131</v>
      </c>
      <c r="BQ3" s="4">
        <v>2987</v>
      </c>
      <c r="BR3" s="179">
        <f>BV3-BU3</f>
        <v>3156</v>
      </c>
      <c r="BS3" s="4">
        <f t="shared" ref="BS3:BS10" si="0">BO3+BP3</f>
        <v>5902</v>
      </c>
      <c r="BT3" s="4">
        <f t="shared" ref="BT3:BT10" si="1">BV3-BS3</f>
        <v>6143</v>
      </c>
      <c r="BU3" s="180">
        <f t="shared" ref="BU3:BU10" si="2">BO3+BP3+BQ3</f>
        <v>8889</v>
      </c>
      <c r="BV3" s="180">
        <f>Divisional!S4</f>
        <v>12045</v>
      </c>
      <c r="BW3" s="38">
        <v>2497</v>
      </c>
      <c r="BX3" s="4">
        <f>CA3-BW3</f>
        <v>1550</v>
      </c>
      <c r="BY3" s="4">
        <v>1559</v>
      </c>
      <c r="BZ3" s="179">
        <f>CD3-CC3</f>
        <v>2057</v>
      </c>
      <c r="CA3" s="4">
        <v>4047</v>
      </c>
      <c r="CB3" s="4">
        <f>CD3-CA3</f>
        <v>3616</v>
      </c>
      <c r="CC3" s="180">
        <f>BW3+BX3+BY3</f>
        <v>5606</v>
      </c>
      <c r="CD3" s="180">
        <f>Divisional!T4</f>
        <v>7663</v>
      </c>
      <c r="CE3" s="38">
        <v>1561</v>
      </c>
      <c r="CF3" s="4">
        <f>CI3-CE3</f>
        <v>1688</v>
      </c>
      <c r="CG3" s="4">
        <v>1812</v>
      </c>
      <c r="CH3" s="179">
        <f>CL3-CK3</f>
        <v>2378</v>
      </c>
      <c r="CI3" s="4">
        <v>3249</v>
      </c>
      <c r="CJ3" s="4">
        <f>CL3-CI3</f>
        <v>4190</v>
      </c>
      <c r="CK3" s="180">
        <f>CE3+CF3+CG3</f>
        <v>5061</v>
      </c>
      <c r="CL3" s="180">
        <f>Divisional!U4</f>
        <v>7439</v>
      </c>
      <c r="CM3" s="38">
        <v>1942</v>
      </c>
      <c r="CN3" s="4">
        <f>CQ3-CM3</f>
        <v>2234</v>
      </c>
      <c r="CO3" s="4">
        <v>2503</v>
      </c>
      <c r="CP3" s="179">
        <f>CT3-CS3</f>
        <v>2827</v>
      </c>
      <c r="CQ3" s="4">
        <v>4176</v>
      </c>
      <c r="CR3" s="4">
        <f>CT3-CQ3</f>
        <v>5330</v>
      </c>
      <c r="CS3" s="180">
        <f>CM3+CN3+CO3</f>
        <v>6679</v>
      </c>
      <c r="CT3" s="180">
        <f>Divisional!V4</f>
        <v>9506</v>
      </c>
      <c r="CU3" s="38">
        <f>Propulsion!Y9</f>
        <v>2714</v>
      </c>
      <c r="CV3" s="4">
        <f>Propulsion!Z9</f>
        <v>2963</v>
      </c>
      <c r="CW3" s="4">
        <f>Propulsion!AA9</f>
        <v>3083</v>
      </c>
      <c r="CX3" s="179">
        <f>Propulsion!AB9</f>
        <v>3116.0000000000005</v>
      </c>
      <c r="CY3" s="4">
        <f>Propulsion!AC9</f>
        <v>5677</v>
      </c>
      <c r="CZ3" s="4">
        <f>Propulsion!AD9</f>
        <v>6199</v>
      </c>
      <c r="DA3" s="180">
        <f>Propulsion!AE9</f>
        <v>8760</v>
      </c>
      <c r="DB3" s="180">
        <f>Divisional!W4</f>
        <v>11876</v>
      </c>
      <c r="DC3" s="4">
        <f>Propulsion!AG9</f>
        <v>3097</v>
      </c>
      <c r="DD3" s="4">
        <f>Propulsion!AH9</f>
        <v>3364</v>
      </c>
      <c r="DE3" s="4">
        <f>Propulsion!AI9</f>
        <v>3339</v>
      </c>
      <c r="DF3" s="179">
        <f>Propulsion!AJ9</f>
        <v>3852</v>
      </c>
      <c r="DG3" s="4">
        <f>Propulsion!AK9</f>
        <v>6461</v>
      </c>
      <c r="DH3" s="4">
        <f>Propulsion!AL9</f>
        <v>7191</v>
      </c>
      <c r="DI3" s="180">
        <f>Propulsion!AM9</f>
        <v>9800</v>
      </c>
      <c r="DJ3" s="180">
        <f>Divisional!X4</f>
        <v>13652</v>
      </c>
      <c r="DK3" s="4">
        <f>Propulsion!AO9</f>
        <v>3684</v>
      </c>
      <c r="DL3" s="4">
        <f>Propulsion!AP9</f>
        <v>3857</v>
      </c>
      <c r="DM3" s="4">
        <f>Propulsion!AQ9</f>
        <v>4044</v>
      </c>
      <c r="DN3" s="179">
        <f>Propulsion!AR9</f>
        <v>4083.0000000000018</v>
      </c>
      <c r="DO3" s="4">
        <f>Propulsion!AS9</f>
        <v>7541</v>
      </c>
      <c r="DP3" s="4">
        <f>Propulsion!AT9</f>
        <v>8127.0000000000018</v>
      </c>
      <c r="DQ3" s="180">
        <f>Propulsion!AU9</f>
        <v>11585</v>
      </c>
      <c r="DR3" s="180">
        <f>Divisional!Y4</f>
        <v>15668</v>
      </c>
      <c r="DS3" s="4">
        <f>Propulsion!AW9</f>
        <v>4552</v>
      </c>
      <c r="DT3" s="4">
        <f>Propulsion!AX9</f>
        <v>4626</v>
      </c>
      <c r="DU3" s="11">
        <f>Propulsion!AY9</f>
        <v>4441.5256560491998</v>
      </c>
      <c r="DV3" s="181">
        <f>Propulsion!AZ9</f>
        <v>5533.5642584716479</v>
      </c>
      <c r="DW3" s="4">
        <f>Propulsion!BA9</f>
        <v>9178</v>
      </c>
      <c r="DX3" s="11">
        <f>Propulsion!BB9</f>
        <v>9975.0899145208477</v>
      </c>
      <c r="DY3" s="182">
        <f>Propulsion!BC9</f>
        <v>13622.949283281345</v>
      </c>
      <c r="DZ3" s="182">
        <f>Divisional!Z4</f>
        <v>19156.513541752993</v>
      </c>
      <c r="EA3" s="11">
        <f>Propulsion!BE9</f>
        <v>4524.3769416844489</v>
      </c>
      <c r="EB3" s="11">
        <f>Propulsion!BF9</f>
        <v>5099.2897902052591</v>
      </c>
      <c r="EC3" s="11">
        <f>Propulsion!BG9</f>
        <v>5100.2177723481163</v>
      </c>
      <c r="ED3" s="181">
        <f>Propulsion!BH9</f>
        <v>6426.0221791147742</v>
      </c>
      <c r="EE3" s="11">
        <f>Propulsion!BI9</f>
        <v>9623.6667318897089</v>
      </c>
      <c r="EF3" s="11">
        <f>Propulsion!BJ9</f>
        <v>11526.239951462896</v>
      </c>
      <c r="EG3" s="182">
        <f>Propulsion!BK9</f>
        <v>14723.884504237825</v>
      </c>
      <c r="EH3" s="182">
        <f>Divisional!AA4</f>
        <v>21149.906683352601</v>
      </c>
      <c r="EI3" s="11">
        <f>Propulsion!BM9</f>
        <v>5014.8989649878149</v>
      </c>
      <c r="EJ3" s="11">
        <f>Propulsion!BN9</f>
        <v>5642.0666780022466</v>
      </c>
      <c r="EK3" s="11">
        <f>Propulsion!BO9</f>
        <v>5644.904835645104</v>
      </c>
      <c r="EL3" s="181">
        <f>Propulsion!BP9</f>
        <v>7002.4432859267336</v>
      </c>
      <c r="EM3" s="11">
        <f>Propulsion!BQ9</f>
        <v>10656.965642990062</v>
      </c>
      <c r="EN3" s="11">
        <f>Propulsion!BR9</f>
        <v>12647.34812157184</v>
      </c>
      <c r="EO3" s="182">
        <f>Propulsion!BS9</f>
        <v>16301.870478635166</v>
      </c>
      <c r="EP3" s="182">
        <f>Divisional!AB4</f>
        <v>23304.313764561895</v>
      </c>
      <c r="EQ3" s="11">
        <f>Propulsion!BU9</f>
        <v>5345.6899732330148</v>
      </c>
      <c r="ER3" s="11">
        <f>Propulsion!BV9</f>
        <v>5998.9234123795322</v>
      </c>
      <c r="ES3" s="11">
        <f>Propulsion!BW9</f>
        <v>6001.8876495755867</v>
      </c>
      <c r="ET3" s="181">
        <f>Propulsion!BX9</f>
        <v>7423.2555883037894</v>
      </c>
      <c r="EU3" s="11">
        <f>Propulsion!BY9</f>
        <v>11344.613385612549</v>
      </c>
      <c r="EV3" s="11">
        <f>Propulsion!BZ9</f>
        <v>13425.14323787938</v>
      </c>
      <c r="EW3" s="182">
        <f>Propulsion!CA9</f>
        <v>17346.501035188136</v>
      </c>
      <c r="EX3" s="182">
        <f>Divisional!AC4</f>
        <v>24769.756623491921</v>
      </c>
      <c r="EY3" s="11">
        <f>Propulsion!CC9</f>
        <v>5423.7584300610661</v>
      </c>
      <c r="EZ3" s="11">
        <f>Propulsion!CD9</f>
        <v>6096.8571638051781</v>
      </c>
      <c r="FA3" s="11">
        <f>Propulsion!CE9</f>
        <v>6097.9816715199076</v>
      </c>
      <c r="FB3" s="181">
        <f>Propulsion!CF9</f>
        <v>7505.9099375880332</v>
      </c>
      <c r="FC3" s="11">
        <f>Propulsion!CG9</f>
        <v>11520.615593866245</v>
      </c>
      <c r="FD3" s="11">
        <f>Propulsion!CH9</f>
        <v>13603.891609107937</v>
      </c>
      <c r="FE3" s="182">
        <f>Propulsion!CI9</f>
        <v>17618.59726538615</v>
      </c>
      <c r="FF3" s="182">
        <f>Divisional!AD4</f>
        <v>25124.507202974182</v>
      </c>
      <c r="FG3" s="14"/>
    </row>
    <row r="4" spans="1:173" ht="11.25" customHeight="1" x14ac:dyDescent="0.25">
      <c r="B4" s="4" t="s">
        <v>79</v>
      </c>
      <c r="C4" s="38"/>
      <c r="F4" s="179"/>
      <c r="I4" s="180"/>
      <c r="J4" s="180"/>
      <c r="K4" s="38"/>
      <c r="N4" s="179"/>
      <c r="Q4" s="180"/>
      <c r="R4" s="180"/>
      <c r="S4" s="38"/>
      <c r="V4" s="179"/>
      <c r="Y4" s="180"/>
      <c r="Z4" s="180"/>
      <c r="AA4" s="38"/>
      <c r="AD4" s="179"/>
      <c r="AG4" s="180"/>
      <c r="AH4" s="180"/>
      <c r="AI4" s="38"/>
      <c r="AL4" s="179"/>
      <c r="AO4" s="180"/>
      <c r="AP4" s="180"/>
      <c r="AQ4" s="38"/>
      <c r="AT4" s="179"/>
      <c r="AW4" s="180"/>
      <c r="AX4" s="180"/>
      <c r="AY4" s="38"/>
      <c r="BB4" s="179"/>
      <c r="BE4" s="180"/>
      <c r="BF4" s="180"/>
      <c r="BG4" s="38">
        <v>1641</v>
      </c>
      <c r="BH4" s="4">
        <v>2070</v>
      </c>
      <c r="BI4" s="4">
        <v>2052</v>
      </c>
      <c r="BJ4" s="179">
        <v>2179</v>
      </c>
      <c r="BK4" s="4">
        <f>BG4+BH4</f>
        <v>3711</v>
      </c>
      <c r="BL4" s="4">
        <f>BI4+BJ4</f>
        <v>4231</v>
      </c>
      <c r="BM4" s="180">
        <f>BG4+BH4+BI4</f>
        <v>5763</v>
      </c>
      <c r="BN4" s="180">
        <f>BG4+BH4+BI4+BJ4</f>
        <v>7942</v>
      </c>
      <c r="BO4" s="38">
        <v>2201</v>
      </c>
      <c r="BP4" s="4">
        <v>2352</v>
      </c>
      <c r="BQ4" s="4">
        <v>2298</v>
      </c>
      <c r="BR4" s="179">
        <f>BV4-BU4</f>
        <v>2405</v>
      </c>
      <c r="BS4" s="4">
        <f>BO4+BP4</f>
        <v>4553</v>
      </c>
      <c r="BT4" s="4">
        <f t="shared" si="1"/>
        <v>4703</v>
      </c>
      <c r="BU4" s="180">
        <f t="shared" si="2"/>
        <v>6851</v>
      </c>
      <c r="BV4" s="180">
        <f>Divisional!S5</f>
        <v>9256</v>
      </c>
      <c r="BW4" s="38">
        <v>2187</v>
      </c>
      <c r="BX4" s="4">
        <f t="shared" ref="BX4:BX12" si="3">CA4-BW4</f>
        <v>1451</v>
      </c>
      <c r="BY4" s="4">
        <v>1461</v>
      </c>
      <c r="BZ4" s="179">
        <f>CD4-CC4</f>
        <v>1794</v>
      </c>
      <c r="CA4" s="4">
        <v>3638</v>
      </c>
      <c r="CB4" s="4">
        <f>CD4-CA4</f>
        <v>3255</v>
      </c>
      <c r="CC4" s="180">
        <f>BW4+BX4+BY4</f>
        <v>5099</v>
      </c>
      <c r="CD4" s="180">
        <f>Divisional!T5</f>
        <v>6893</v>
      </c>
      <c r="CE4" s="38">
        <v>1464</v>
      </c>
      <c r="CF4" s="4">
        <f t="shared" ref="CF4:CF10" si="4">CI4-CE4</f>
        <v>1508</v>
      </c>
      <c r="CG4" s="4">
        <v>1535</v>
      </c>
      <c r="CH4" s="179">
        <f>CL4-CK4</f>
        <v>1818</v>
      </c>
      <c r="CI4" s="4">
        <v>2972</v>
      </c>
      <c r="CJ4" s="4">
        <f>CL4-CI4</f>
        <v>3353</v>
      </c>
      <c r="CK4" s="180">
        <f>CE4+CF4+CG4</f>
        <v>4507</v>
      </c>
      <c r="CL4" s="180">
        <f>Divisional!U5</f>
        <v>6325</v>
      </c>
      <c r="CM4" s="38">
        <v>1716</v>
      </c>
      <c r="CN4" s="4">
        <f t="shared" ref="CN4:CN10" si="5">CQ4-CM4</f>
        <v>1790</v>
      </c>
      <c r="CO4" s="4">
        <v>1820</v>
      </c>
      <c r="CP4" s="179">
        <f>CT4-CS4</f>
        <v>2209</v>
      </c>
      <c r="CQ4" s="4">
        <v>3506</v>
      </c>
      <c r="CR4" s="4">
        <f>CT4-CQ4</f>
        <v>4029</v>
      </c>
      <c r="CS4" s="180">
        <f>CM4+CN4+CO4</f>
        <v>5326</v>
      </c>
      <c r="CT4" s="180">
        <f>Divisional!V5</f>
        <v>7535</v>
      </c>
      <c r="CU4" s="38">
        <f>'Equipment &amp; Defense'!W15</f>
        <v>1966</v>
      </c>
      <c r="CV4" s="4">
        <f>'Equipment &amp; Defense'!X15</f>
        <v>2134</v>
      </c>
      <c r="CW4" s="4">
        <f>'Equipment &amp; Defense'!Y15</f>
        <v>2134</v>
      </c>
      <c r="CX4" s="179">
        <f>'Equipment &amp; Defense'!Z15</f>
        <v>2601</v>
      </c>
      <c r="CY4" s="4">
        <f>'Equipment &amp; Defense'!AA15</f>
        <v>4100</v>
      </c>
      <c r="CZ4" s="4">
        <f>'Equipment &amp; Defense'!AB15</f>
        <v>4735</v>
      </c>
      <c r="DA4" s="180">
        <f>'Equipment &amp; Defense'!AC15</f>
        <v>6234</v>
      </c>
      <c r="DB4" s="180">
        <f>Divisional!W5</f>
        <v>8835</v>
      </c>
      <c r="DC4" s="4">
        <f>'Equipment &amp; Defense'!AE15</f>
        <v>2444</v>
      </c>
      <c r="DD4" s="4">
        <f>'Equipment &amp; Defense'!AF15</f>
        <v>2726</v>
      </c>
      <c r="DE4" s="4">
        <f>'Equipment &amp; Defense'!AG15</f>
        <v>2527</v>
      </c>
      <c r="DF4" s="179">
        <f>'Equipment &amp; Defense'!AH15</f>
        <v>2921</v>
      </c>
      <c r="DG4" s="4">
        <f>'Equipment &amp; Defense'!AI15</f>
        <v>5170</v>
      </c>
      <c r="DH4" s="4">
        <f>'Equipment &amp; Defense'!AJ15</f>
        <v>5448</v>
      </c>
      <c r="DI4" s="180">
        <f>'Equipment &amp; Defense'!AK15</f>
        <v>7697</v>
      </c>
      <c r="DJ4" s="180">
        <f>Divisional!X5</f>
        <v>10618</v>
      </c>
      <c r="DK4" s="4">
        <f>'Equipment &amp; Defense'!AM15</f>
        <v>2783</v>
      </c>
      <c r="DL4" s="4">
        <f>'Equipment &amp; Defense'!AN15</f>
        <v>2826</v>
      </c>
      <c r="DM4" s="4">
        <f>'Equipment &amp; Defense'!AO15</f>
        <v>3004</v>
      </c>
      <c r="DN4" s="179">
        <f>'Equipment &amp; Defense'!AP15</f>
        <v>3689</v>
      </c>
      <c r="DO4" s="4">
        <f>'Equipment &amp; Defense'!AQ15</f>
        <v>5609</v>
      </c>
      <c r="DP4" s="4">
        <f>'Equipment &amp; Defense'!AR15</f>
        <v>6693</v>
      </c>
      <c r="DQ4" s="180">
        <f>'Equipment &amp; Defense'!AS15</f>
        <v>8613</v>
      </c>
      <c r="DR4" s="180">
        <f>Divisional!Y5</f>
        <v>12302</v>
      </c>
      <c r="DS4" s="4">
        <f>'Equipment &amp; Defense'!AU15</f>
        <v>3367</v>
      </c>
      <c r="DT4" s="4">
        <f>'Equipment &amp; Defense'!AV15</f>
        <v>3564</v>
      </c>
      <c r="DU4" s="11">
        <f>'Equipment &amp; Defense'!AW15</f>
        <v>3581.5021411699336</v>
      </c>
      <c r="DV4" s="181">
        <f>'Equipment &amp; Defense'!AX15</f>
        <v>4155.7361879487516</v>
      </c>
      <c r="DW4" s="4">
        <f>'Equipment &amp; Defense'!AY15</f>
        <v>6931</v>
      </c>
      <c r="DX4" s="11">
        <f>'Equipment &amp; Defense'!AZ15</f>
        <v>7737.2383291186852</v>
      </c>
      <c r="DY4" s="182">
        <f>'Equipment &amp; Defense'!BA15</f>
        <v>10512.502141169934</v>
      </c>
      <c r="DZ4" s="182">
        <f>Divisional!Z5</f>
        <v>14668.238329118685</v>
      </c>
      <c r="EA4" s="11">
        <f>'Equipment &amp; Defense'!BC15</f>
        <v>3645.2705594002309</v>
      </c>
      <c r="EB4" s="11">
        <f>'Equipment &amp; Defense'!BD15</f>
        <v>3858.8163494809696</v>
      </c>
      <c r="EC4" s="11">
        <f>'Equipment &amp; Defense'!BE15</f>
        <v>3878.3130611451415</v>
      </c>
      <c r="ED4" s="181">
        <f>'Equipment &amp; Defense'!BF15</f>
        <v>4502.9247964598071</v>
      </c>
      <c r="EE4" s="11">
        <f>'Equipment &amp; Defense'!BG15</f>
        <v>7504.0869088812005</v>
      </c>
      <c r="EF4" s="11">
        <f>'Equipment &amp; Defense'!BH15</f>
        <v>8381.2378576049487</v>
      </c>
      <c r="EG4" s="182">
        <f>'Equipment &amp; Defense'!BI15</f>
        <v>11382.399970026341</v>
      </c>
      <c r="EH4" s="182">
        <f>Divisional!AA5</f>
        <v>15885.32476648615</v>
      </c>
      <c r="EI4" s="11">
        <f>'Equipment &amp; Defense'!BK15</f>
        <v>3960.7368510869342</v>
      </c>
      <c r="EJ4" s="11">
        <f>'Equipment &amp; Defense'!BL15</f>
        <v>4193.0480850621298</v>
      </c>
      <c r="EK4" s="11">
        <f>'Equipment &amp; Defense'!BM15</f>
        <v>4214.8225972256114</v>
      </c>
      <c r="EL4" s="181">
        <f>'Equipment &amp; Defense'!BN15</f>
        <v>4896.634409614353</v>
      </c>
      <c r="EM4" s="11">
        <f>'Equipment &amp; Defense'!BO15</f>
        <v>8153.7849361490644</v>
      </c>
      <c r="EN4" s="11">
        <f>'Equipment &amp; Defense'!BP15</f>
        <v>9111.4570068399644</v>
      </c>
      <c r="EO4" s="182">
        <f>'Equipment &amp; Defense'!BQ15</f>
        <v>12368.607533374676</v>
      </c>
      <c r="EP4" s="182">
        <f>Divisional!AB5</f>
        <v>17265.241942989029</v>
      </c>
      <c r="EQ4" s="11">
        <f>'Equipment &amp; Defense'!BS15</f>
        <v>4270.4185944870314</v>
      </c>
      <c r="ER4" s="11">
        <f>'Equipment &amp; Defense'!BT15</f>
        <v>4521.2017807095781</v>
      </c>
      <c r="ES4" s="11">
        <f>'Equipment &amp; Defense'!BU15</f>
        <v>4545.3172018430378</v>
      </c>
      <c r="ET4" s="181">
        <f>'Equipment &amp; Defense'!BV15</f>
        <v>5283.8388485238356</v>
      </c>
      <c r="EU4" s="11">
        <f>'Equipment &amp; Defense'!BW15</f>
        <v>8791.6203751966095</v>
      </c>
      <c r="EV4" s="11">
        <f>'Equipment &amp; Defense'!BX15</f>
        <v>9829.1560503668734</v>
      </c>
      <c r="EW4" s="182">
        <f>'Equipment &amp; Defense'!BY15</f>
        <v>13336.937577039647</v>
      </c>
      <c r="EX4" s="182">
        <f>Divisional!AC5</f>
        <v>18620.776425563483</v>
      </c>
      <c r="EY4" s="11">
        <f>'Equipment &amp; Defense'!CA15</f>
        <v>4461.3731398545206</v>
      </c>
      <c r="EZ4" s="11">
        <f>'Equipment &amp; Defense'!CB15</f>
        <v>4723.7005952510954</v>
      </c>
      <c r="FA4" s="11">
        <f>'Equipment &amp; Defense'!CC15</f>
        <v>4749.579006138516</v>
      </c>
      <c r="FB4" s="181">
        <f>'Equipment &amp; Defense'!CD15</f>
        <v>5524.7708540522835</v>
      </c>
      <c r="FC4" s="11">
        <f>'Equipment &amp; Defense'!CE15</f>
        <v>9185.0737351056159</v>
      </c>
      <c r="FD4" s="11">
        <f>'Equipment &amp; Defense'!CF15</f>
        <v>10274.3498601908</v>
      </c>
      <c r="FE4" s="182">
        <f>'Equipment &amp; Defense'!CG15</f>
        <v>13934.652741244132</v>
      </c>
      <c r="FF4" s="182">
        <f>Divisional!AD5</f>
        <v>19459.423595296415</v>
      </c>
      <c r="FG4" s="14"/>
      <c r="FH4" s="183" t="s">
        <v>254</v>
      </c>
      <c r="FI4" s="184"/>
      <c r="FJ4" s="185" t="s">
        <v>255</v>
      </c>
      <c r="FK4" s="185" t="s">
        <v>256</v>
      </c>
      <c r="FL4" s="185" t="s">
        <v>257</v>
      </c>
      <c r="FM4" s="185" t="s">
        <v>258</v>
      </c>
      <c r="FN4" s="185" t="s">
        <v>259</v>
      </c>
      <c r="FO4" s="185" t="s">
        <v>260</v>
      </c>
      <c r="FP4" s="185" t="s">
        <v>261</v>
      </c>
      <c r="FQ4" s="185" t="s">
        <v>262</v>
      </c>
    </row>
    <row r="5" spans="1:173" ht="11.25" customHeight="1" x14ac:dyDescent="0.25">
      <c r="B5" s="4" t="s">
        <v>70</v>
      </c>
      <c r="C5" s="38"/>
      <c r="F5" s="179"/>
      <c r="I5" s="180"/>
      <c r="J5" s="180"/>
      <c r="K5" s="38"/>
      <c r="N5" s="179"/>
      <c r="Q5" s="180"/>
      <c r="R5" s="180"/>
      <c r="S5" s="38"/>
      <c r="V5" s="179"/>
      <c r="Y5" s="180"/>
      <c r="Z5" s="180"/>
      <c r="AA5" s="38"/>
      <c r="AD5" s="179"/>
      <c r="AG5" s="180"/>
      <c r="AH5" s="180"/>
      <c r="AI5" s="38"/>
      <c r="AL5" s="179"/>
      <c r="AO5" s="180"/>
      <c r="AP5" s="180"/>
      <c r="AQ5" s="38"/>
      <c r="AT5" s="179"/>
      <c r="AW5" s="180"/>
      <c r="AX5" s="180"/>
      <c r="AY5" s="38"/>
      <c r="BB5" s="179"/>
      <c r="BE5" s="180"/>
      <c r="BF5" s="180"/>
      <c r="BG5" s="38">
        <v>256</v>
      </c>
      <c r="BH5" s="4">
        <v>724</v>
      </c>
      <c r="BI5" s="4">
        <v>769</v>
      </c>
      <c r="BJ5" s="179">
        <v>762</v>
      </c>
      <c r="BK5" s="4">
        <f>BG5+BH5</f>
        <v>980</v>
      </c>
      <c r="BL5" s="4">
        <f>BI5+BJ5</f>
        <v>1531</v>
      </c>
      <c r="BM5" s="180">
        <f>BG5+BH5+BI5</f>
        <v>1749</v>
      </c>
      <c r="BN5" s="180">
        <f>BG5+BH5+BI5+BJ5</f>
        <v>2511</v>
      </c>
      <c r="BO5" s="38">
        <v>806</v>
      </c>
      <c r="BP5" s="4">
        <v>834</v>
      </c>
      <c r="BQ5" s="4">
        <v>805</v>
      </c>
      <c r="BR5" s="179">
        <f>BV5-BU5</f>
        <v>876</v>
      </c>
      <c r="BS5" s="4">
        <f t="shared" si="0"/>
        <v>1640</v>
      </c>
      <c r="BT5" s="4">
        <f t="shared" si="1"/>
        <v>1681</v>
      </c>
      <c r="BU5" s="180">
        <f t="shared" si="2"/>
        <v>2445</v>
      </c>
      <c r="BV5" s="180">
        <f>Divisional!S6</f>
        <v>3321</v>
      </c>
      <c r="BW5" s="38">
        <v>694</v>
      </c>
      <c r="BX5" s="4">
        <f t="shared" si="3"/>
        <v>378</v>
      </c>
      <c r="BY5" s="4">
        <v>357</v>
      </c>
      <c r="BZ5" s="179">
        <f>CD5-CC5</f>
        <v>493</v>
      </c>
      <c r="CA5" s="4">
        <v>1072</v>
      </c>
      <c r="CB5" s="4">
        <f>CD5-CA5</f>
        <v>850</v>
      </c>
      <c r="CC5" s="180">
        <f>BW5+BX5+BY5</f>
        <v>1429</v>
      </c>
      <c r="CD5" s="180">
        <f>Divisional!T6</f>
        <v>1922</v>
      </c>
      <c r="CE5" s="38">
        <v>313</v>
      </c>
      <c r="CF5" s="4">
        <f t="shared" si="4"/>
        <v>333</v>
      </c>
      <c r="CG5" s="4">
        <v>385</v>
      </c>
      <c r="CH5" s="179">
        <f>CL5-CK5</f>
        <v>444</v>
      </c>
      <c r="CI5" s="4">
        <v>646</v>
      </c>
      <c r="CJ5" s="4">
        <f>CL5-CI5</f>
        <v>829</v>
      </c>
      <c r="CK5" s="180">
        <f>CE5+CF5+CG5</f>
        <v>1031</v>
      </c>
      <c r="CL5" s="180">
        <f>Divisional!U6</f>
        <v>1475</v>
      </c>
      <c r="CM5" s="38">
        <v>409</v>
      </c>
      <c r="CN5" s="4">
        <f t="shared" si="5"/>
        <v>461</v>
      </c>
      <c r="CO5" s="4">
        <v>522</v>
      </c>
      <c r="CP5" s="179">
        <f>CT5-CS5</f>
        <v>586</v>
      </c>
      <c r="CQ5" s="4">
        <v>870</v>
      </c>
      <c r="CR5" s="4">
        <f>CT5-CQ5</f>
        <v>1108</v>
      </c>
      <c r="CS5" s="180">
        <f>CM5+CN5+CO5</f>
        <v>1392</v>
      </c>
      <c r="CT5" s="180">
        <f>Divisional!V6</f>
        <v>1978</v>
      </c>
      <c r="CU5" s="38">
        <f>Interiors!H14</f>
        <v>584</v>
      </c>
      <c r="CV5" s="4">
        <f>Interiors!I14</f>
        <v>579</v>
      </c>
      <c r="CW5" s="4">
        <f>Interiors!J14</f>
        <v>605</v>
      </c>
      <c r="CX5" s="179">
        <f>Interiors!K14</f>
        <v>709</v>
      </c>
      <c r="CY5" s="4">
        <f>Interiors!L14</f>
        <v>1163</v>
      </c>
      <c r="CZ5" s="4">
        <f>Interiors!M14</f>
        <v>1314</v>
      </c>
      <c r="DA5" s="180">
        <f>Interiors!N14</f>
        <v>1768</v>
      </c>
      <c r="DB5" s="180">
        <f>Divisional!W6</f>
        <v>2477</v>
      </c>
      <c r="DC5" s="4">
        <f>Interiors!P14</f>
        <v>676</v>
      </c>
      <c r="DD5" s="4">
        <f>Interiors!Q14</f>
        <v>735</v>
      </c>
      <c r="DE5" s="4">
        <f>Interiors!R14</f>
        <v>771</v>
      </c>
      <c r="DF5" s="179">
        <f>Interiors!S14</f>
        <v>855</v>
      </c>
      <c r="DG5" s="4">
        <f>Interiors!T14</f>
        <v>1411</v>
      </c>
      <c r="DH5" s="4">
        <f>Interiors!U14</f>
        <v>1626</v>
      </c>
      <c r="DI5" s="180">
        <f>Interiors!V14</f>
        <v>2182</v>
      </c>
      <c r="DJ5" s="180">
        <f>Divisional!X6</f>
        <v>3037</v>
      </c>
      <c r="DK5" s="4">
        <f>Interiors!X14</f>
        <v>788</v>
      </c>
      <c r="DL5" s="4">
        <f>Interiors!Y14</f>
        <v>828</v>
      </c>
      <c r="DM5" s="4">
        <f>Interiors!Z14</f>
        <v>802</v>
      </c>
      <c r="DN5" s="179">
        <f>Interiors!AA14</f>
        <v>931</v>
      </c>
      <c r="DO5" s="4">
        <f>Interiors!AB14</f>
        <v>1616</v>
      </c>
      <c r="DP5" s="4">
        <f>Interiors!AC14</f>
        <v>1733</v>
      </c>
      <c r="DQ5" s="180">
        <f>Interiors!AD14</f>
        <v>2418</v>
      </c>
      <c r="DR5" s="180">
        <f>Divisional!Y6</f>
        <v>3349</v>
      </c>
      <c r="DS5" s="4">
        <f>Interiors!AF14</f>
        <v>700</v>
      </c>
      <c r="DT5" s="4">
        <f>Interiors!AG14</f>
        <v>755</v>
      </c>
      <c r="DU5" s="11">
        <f>Interiors!AH14</f>
        <v>781.90299158626567</v>
      </c>
      <c r="DV5" s="181">
        <f>Interiors!AI14</f>
        <v>944.45071018730505</v>
      </c>
      <c r="DW5" s="4">
        <f>Interiors!AJ14</f>
        <v>1455</v>
      </c>
      <c r="DX5" s="11">
        <f>Interiors!AK14</f>
        <v>1726.3537017735707</v>
      </c>
      <c r="DY5" s="182">
        <f>Interiors!AL14</f>
        <v>2236.9029915862657</v>
      </c>
      <c r="DZ5" s="182">
        <f>Divisional!Z6</f>
        <v>3181.3537017735707</v>
      </c>
      <c r="EA5" s="11">
        <f>Interiors!AN14</f>
        <v>764.83275663206462</v>
      </c>
      <c r="EB5" s="11">
        <f>Interiors!AO14</f>
        <v>824.92675893886974</v>
      </c>
      <c r="EC5" s="11">
        <f>Interiors!AP14</f>
        <v>854.32145781968813</v>
      </c>
      <c r="ED5" s="181">
        <f>Interiors!AQ14</f>
        <v>1031.9240573938114</v>
      </c>
      <c r="EE5" s="11">
        <f>Interiors!AR14</f>
        <v>1589.7595155709344</v>
      </c>
      <c r="EF5" s="11">
        <f>Interiors!AS14</f>
        <v>1886.2455152134996</v>
      </c>
      <c r="EG5" s="182">
        <f>Interiors!AT14</f>
        <v>2444.0809733906226</v>
      </c>
      <c r="EH5" s="182">
        <f>Divisional!AA6</f>
        <v>3476.005030784434</v>
      </c>
      <c r="EI5" s="11">
        <f>Interiors!AV14</f>
        <v>831.00415897441258</v>
      </c>
      <c r="EJ5" s="11">
        <f>Interiors!AW14</f>
        <v>896.26144258076442</v>
      </c>
      <c r="EK5" s="11">
        <f>Interiors!AX14</f>
        <v>928.6937062152906</v>
      </c>
      <c r="EL5" s="181">
        <f>Interiors!AY14</f>
        <v>1123.0244622896989</v>
      </c>
      <c r="EM5" s="11">
        <f>Interiors!AZ14</f>
        <v>1727.265601555177</v>
      </c>
      <c r="EN5" s="11">
        <f>Interiors!BA14</f>
        <v>2051.7181685049895</v>
      </c>
      <c r="EO5" s="182">
        <f>Interiors!BB14</f>
        <v>2655.9593077704676</v>
      </c>
      <c r="EP5" s="182">
        <f>Divisional!AB6</f>
        <v>3778.9837700601665</v>
      </c>
      <c r="EQ5" s="11">
        <f>Interiors!BD14</f>
        <v>895.95897972647708</v>
      </c>
      <c r="ER5" s="11">
        <f>Interiors!BE14</f>
        <v>966.27823864380616</v>
      </c>
      <c r="ES5" s="11">
        <f>Interiors!BF14</f>
        <v>1001.7800493242972</v>
      </c>
      <c r="ET5" s="181">
        <f>Interiors!BG14</f>
        <v>1212.7734365476513</v>
      </c>
      <c r="EU5" s="11">
        <f>Interiors!BH14</f>
        <v>1862.2372183702832</v>
      </c>
      <c r="EV5" s="11">
        <f>Interiors!BI14</f>
        <v>2214.5534858719484</v>
      </c>
      <c r="EW5" s="182">
        <f>Interiors!BJ14</f>
        <v>2864.0172676945804</v>
      </c>
      <c r="EX5" s="182">
        <f>Divisional!AC6</f>
        <v>4076.7907042422316</v>
      </c>
      <c r="EY5" s="11">
        <f>Interiors!BL14</f>
        <v>936.00128507530883</v>
      </c>
      <c r="EZ5" s="11">
        <f>Interiors!BM14</f>
        <v>1009.4216365294191</v>
      </c>
      <c r="FA5" s="11">
        <f>Interiors!BN14</f>
        <v>1047.0833350215739</v>
      </c>
      <c r="FB5" s="181">
        <f>Interiors!BO14</f>
        <v>1269.0861123628333</v>
      </c>
      <c r="FC5" s="11">
        <f>Interiors!BP14</f>
        <v>1945.4229216047279</v>
      </c>
      <c r="FD5" s="11">
        <f>Interiors!BQ14</f>
        <v>2316.1694473844072</v>
      </c>
      <c r="FE5" s="182">
        <f>Interiors!BR14</f>
        <v>2992.5062566263014</v>
      </c>
      <c r="FF5" s="182">
        <f>Divisional!AD6</f>
        <v>4261.5923689891351</v>
      </c>
      <c r="FG5" s="14"/>
      <c r="FH5" s="4" t="s">
        <v>186</v>
      </c>
      <c r="FJ5" s="4">
        <f>FN5/4</f>
        <v>1488.5413732394363</v>
      </c>
      <c r="FK5" s="4">
        <f>FJ5</f>
        <v>1488.5413732394363</v>
      </c>
      <c r="FL5" s="4">
        <f>FK5</f>
        <v>1488.5413732394363</v>
      </c>
      <c r="FM5" s="4">
        <f>FL5</f>
        <v>1488.5413732394363</v>
      </c>
      <c r="FN5" s="186">
        <f>'Civil AM'!AL5</f>
        <v>5954.1654929577453</v>
      </c>
      <c r="FO5" s="4">
        <f>FJ5+FK5</f>
        <v>2977.0827464788727</v>
      </c>
      <c r="FP5" s="4">
        <f>FL5+FM5</f>
        <v>2977.0827464788727</v>
      </c>
      <c r="FQ5" s="4">
        <f>FJ5+FK5+FL5</f>
        <v>4465.624119718309</v>
      </c>
    </row>
    <row r="6" spans="1:173" ht="11.25" hidden="1" customHeight="1" outlineLevel="1" x14ac:dyDescent="0.2">
      <c r="B6" s="187" t="s">
        <v>69</v>
      </c>
      <c r="C6" s="38">
        <v>915</v>
      </c>
      <c r="D6" s="4">
        <v>1030</v>
      </c>
      <c r="E6" s="4">
        <v>982</v>
      </c>
      <c r="F6" s="179">
        <v>1164</v>
      </c>
      <c r="G6" s="4">
        <f>C6+D6</f>
        <v>1945</v>
      </c>
      <c r="H6" s="4">
        <f>E6+F6</f>
        <v>2146</v>
      </c>
      <c r="I6" s="180">
        <f>C6+D6+E6</f>
        <v>2927</v>
      </c>
      <c r="J6" s="180">
        <f>SUM(C6:F6)</f>
        <v>4091</v>
      </c>
      <c r="K6" s="38">
        <v>1016</v>
      </c>
      <c r="L6" s="4">
        <v>1121</v>
      </c>
      <c r="M6" s="4">
        <v>1021</v>
      </c>
      <c r="N6" s="179">
        <f>R6-Q6</f>
        <v>1288</v>
      </c>
      <c r="O6" s="4">
        <f>K6+L6</f>
        <v>2137</v>
      </c>
      <c r="P6" s="4">
        <f>R6-O6</f>
        <v>2309</v>
      </c>
      <c r="Q6" s="180">
        <v>3158</v>
      </c>
      <c r="R6" s="180">
        <v>4446</v>
      </c>
      <c r="S6" s="38">
        <v>1172</v>
      </c>
      <c r="T6" s="4">
        <f t="shared" ref="T6:T12" si="6">W6-S6</f>
        <v>1242</v>
      </c>
      <c r="U6" s="4">
        <f t="shared" ref="U6:U12" si="7">Y6-W6</f>
        <v>1180</v>
      </c>
      <c r="V6" s="179">
        <f>Z6-Y6</f>
        <v>1349</v>
      </c>
      <c r="W6" s="4">
        <v>2414</v>
      </c>
      <c r="X6" s="4">
        <f>Z6-W6</f>
        <v>2529</v>
      </c>
      <c r="Y6" s="180">
        <v>3594</v>
      </c>
      <c r="Z6" s="180">
        <f>Divisional!M7</f>
        <v>4943</v>
      </c>
      <c r="AA6" s="38">
        <v>1219</v>
      </c>
      <c r="AB6" s="4">
        <f>AE6-AA6</f>
        <v>1323</v>
      </c>
      <c r="AC6" s="4">
        <f>AG6-AE6</f>
        <v>1208</v>
      </c>
      <c r="AD6" s="179">
        <f>AH6-AG6</f>
        <v>1395</v>
      </c>
      <c r="AE6" s="4">
        <v>2542</v>
      </c>
      <c r="AF6" s="4">
        <f t="shared" ref="AF6:AF12" si="8">+AH6-AE6</f>
        <v>2603</v>
      </c>
      <c r="AG6" s="180">
        <v>3750</v>
      </c>
      <c r="AH6" s="180">
        <f>Divisional!N7</f>
        <v>5145</v>
      </c>
      <c r="AI6" s="38">
        <v>1335</v>
      </c>
      <c r="AJ6" s="4">
        <f>AM6-AI6</f>
        <v>1380</v>
      </c>
      <c r="AK6" s="4">
        <v>1225</v>
      </c>
      <c r="AL6" s="179">
        <f>AP6-AO6</f>
        <v>1475</v>
      </c>
      <c r="AM6" s="4">
        <v>2715</v>
      </c>
      <c r="AN6" s="4">
        <f>+AP6-AM6</f>
        <v>2700</v>
      </c>
      <c r="AO6" s="180">
        <f>+AI6+AJ6+AK6</f>
        <v>3940</v>
      </c>
      <c r="AP6" s="180">
        <f>Divisional!O7</f>
        <v>5415</v>
      </c>
      <c r="AQ6" s="38">
        <v>1304</v>
      </c>
      <c r="AR6" s="4">
        <v>1332</v>
      </c>
      <c r="AS6" s="4">
        <v>1198</v>
      </c>
      <c r="AT6" s="179">
        <v>1426</v>
      </c>
      <c r="AU6" s="4">
        <f>AQ6+AR6</f>
        <v>2636</v>
      </c>
      <c r="AV6" s="4">
        <f>AS6+AT6</f>
        <v>2624</v>
      </c>
      <c r="AW6" s="180">
        <f>AQ6+AR6+AS6</f>
        <v>3834</v>
      </c>
      <c r="AX6" s="180">
        <f>AQ6+AR6+AS6+AT6</f>
        <v>5260</v>
      </c>
      <c r="AY6" s="38">
        <f>1263</f>
        <v>1263</v>
      </c>
      <c r="AZ6" s="4">
        <f>BC6-AY6</f>
        <v>1322</v>
      </c>
      <c r="BA6" s="4">
        <v>1345</v>
      </c>
      <c r="BB6" s="179">
        <f>+BF6-BE6</f>
        <v>1465</v>
      </c>
      <c r="BC6" s="4">
        <v>2585</v>
      </c>
      <c r="BD6" s="4">
        <f>+BF6-BC6</f>
        <v>2810</v>
      </c>
      <c r="BE6" s="180">
        <f>+AY6+AZ6+BA6</f>
        <v>3930</v>
      </c>
      <c r="BF6" s="180">
        <f>Divisional!Q7</f>
        <v>5395</v>
      </c>
      <c r="BG6" s="38"/>
      <c r="BJ6" s="179"/>
      <c r="BM6" s="180"/>
      <c r="BN6" s="180"/>
      <c r="BO6" s="38"/>
      <c r="BR6" s="179"/>
      <c r="BU6" s="180"/>
      <c r="BV6" s="180"/>
      <c r="BW6" s="38"/>
      <c r="BZ6" s="179"/>
      <c r="CC6" s="180"/>
      <c r="CD6" s="180"/>
      <c r="CE6" s="38"/>
      <c r="CH6" s="179"/>
      <c r="CK6" s="180"/>
      <c r="CL6" s="180"/>
      <c r="CM6" s="38"/>
      <c r="CP6" s="179"/>
      <c r="CS6" s="180"/>
      <c r="CT6" s="180"/>
      <c r="CU6" s="187"/>
      <c r="CV6" s="187"/>
      <c r="CW6" s="187"/>
      <c r="CX6" s="188"/>
      <c r="CY6" s="187"/>
      <c r="CZ6" s="187"/>
      <c r="DA6" s="189"/>
      <c r="DB6" s="189"/>
      <c r="DC6" s="187"/>
      <c r="DE6" s="187"/>
      <c r="DF6" s="188"/>
      <c r="DG6" s="187"/>
      <c r="DH6" s="187"/>
      <c r="DI6" s="189"/>
      <c r="DJ6" s="189"/>
      <c r="DK6" s="187"/>
      <c r="DN6" s="188"/>
      <c r="DO6" s="187"/>
      <c r="DP6" s="187"/>
      <c r="DQ6" s="189"/>
      <c r="DR6" s="189"/>
      <c r="DS6" s="187"/>
      <c r="DU6" s="187"/>
      <c r="DV6" s="188"/>
      <c r="DW6" s="187"/>
      <c r="DX6" s="187"/>
      <c r="DY6" s="189"/>
      <c r="DZ6" s="189"/>
      <c r="EA6" s="187"/>
      <c r="EB6" s="187"/>
      <c r="EC6" s="187"/>
      <c r="ED6" s="188"/>
      <c r="EE6" s="187"/>
      <c r="EF6" s="187"/>
      <c r="EG6" s="189"/>
      <c r="EH6" s="189"/>
      <c r="EI6" s="187"/>
      <c r="EJ6" s="187"/>
      <c r="EK6" s="187"/>
      <c r="EL6" s="188"/>
      <c r="EM6" s="187"/>
      <c r="EN6" s="187"/>
      <c r="EO6" s="189"/>
      <c r="EP6" s="189"/>
      <c r="EQ6" s="187"/>
      <c r="ER6" s="187"/>
      <c r="ES6" s="187"/>
      <c r="ET6" s="188"/>
      <c r="EU6" s="187"/>
      <c r="EV6" s="187"/>
      <c r="EW6" s="189"/>
      <c r="EX6" s="189"/>
      <c r="EY6" s="187"/>
      <c r="EZ6" s="187"/>
      <c r="FA6" s="187"/>
      <c r="FB6" s="188"/>
      <c r="FC6" s="187"/>
      <c r="FD6" s="187"/>
      <c r="FE6" s="189"/>
      <c r="FF6" s="189"/>
      <c r="FH6" s="4" t="s">
        <v>194</v>
      </c>
      <c r="FJ6" s="4">
        <f>FJ5*(1+$BW$144)</f>
        <v>1439.4195079225349</v>
      </c>
      <c r="FK6" s="4">
        <f>FK5*(1+$BX$144)</f>
        <v>506.10406690140832</v>
      </c>
      <c r="FL6" s="4">
        <f>FL5*(1+$BY$144)</f>
        <v>651.98112147887298</v>
      </c>
      <c r="FM6" s="4">
        <f>FN6-FL6-FK6-FJ6</f>
        <v>784.46130369718389</v>
      </c>
      <c r="FN6" s="186">
        <f>'Civil AM'!AM5</f>
        <v>3381.9659999999999</v>
      </c>
      <c r="FO6" s="4">
        <f>FJ6+FK6</f>
        <v>1945.5235748239431</v>
      </c>
      <c r="FP6" s="4">
        <f>FL6+FM6</f>
        <v>1436.442425176057</v>
      </c>
      <c r="FQ6" s="4">
        <f>FJ6+FK6+FL6</f>
        <v>2597.5046963028162</v>
      </c>
    </row>
    <row r="7" spans="1:173" ht="11.25" hidden="1" customHeight="1" outlineLevel="1" x14ac:dyDescent="0.2">
      <c r="B7" s="187" t="s">
        <v>81</v>
      </c>
      <c r="C7" s="38"/>
      <c r="F7" s="179"/>
      <c r="I7" s="180"/>
      <c r="J7" s="180"/>
      <c r="K7" s="38"/>
      <c r="N7" s="179"/>
      <c r="Q7" s="180"/>
      <c r="R7" s="180"/>
      <c r="S7" s="38"/>
      <c r="V7" s="179"/>
      <c r="Y7" s="180"/>
      <c r="Z7" s="180"/>
      <c r="AA7" s="38"/>
      <c r="AD7" s="179"/>
      <c r="AG7" s="180"/>
      <c r="AH7" s="180"/>
      <c r="AI7" s="38"/>
      <c r="AL7" s="179"/>
      <c r="AO7" s="180"/>
      <c r="AP7" s="180"/>
      <c r="AQ7" s="38"/>
      <c r="AT7" s="179"/>
      <c r="AW7" s="180"/>
      <c r="AX7" s="180"/>
      <c r="AY7" s="38">
        <v>369</v>
      </c>
      <c r="AZ7" s="4">
        <f>BC7-AY7</f>
        <v>1147</v>
      </c>
      <c r="BA7" s="4">
        <v>1200</v>
      </c>
      <c r="BB7" s="179">
        <f>+BF7-BE7</f>
        <v>1083</v>
      </c>
      <c r="BC7" s="4">
        <v>1516</v>
      </c>
      <c r="BD7" s="4">
        <f>+BF7-BC7</f>
        <v>2283</v>
      </c>
      <c r="BE7" s="180">
        <f>+AY7+AZ7+BA7</f>
        <v>2716</v>
      </c>
      <c r="BF7" s="180">
        <f>Divisional!Q9</f>
        <v>3799</v>
      </c>
      <c r="BG7" s="38"/>
      <c r="BJ7" s="179"/>
      <c r="BM7" s="180"/>
      <c r="BN7" s="180"/>
      <c r="BO7" s="38"/>
      <c r="BR7" s="179"/>
      <c r="BU7" s="180"/>
      <c r="BV7" s="180"/>
      <c r="BW7" s="38"/>
      <c r="BZ7" s="179"/>
      <c r="CC7" s="180"/>
      <c r="CD7" s="180"/>
      <c r="CE7" s="38"/>
      <c r="CH7" s="179"/>
      <c r="CK7" s="180"/>
      <c r="CL7" s="180"/>
      <c r="CM7" s="38"/>
      <c r="CP7" s="179"/>
      <c r="CS7" s="180"/>
      <c r="CT7" s="180"/>
      <c r="CU7" s="187"/>
      <c r="CV7" s="187"/>
      <c r="CW7" s="187"/>
      <c r="CX7" s="188"/>
      <c r="CY7" s="187"/>
      <c r="CZ7" s="187"/>
      <c r="DA7" s="189"/>
      <c r="DB7" s="189"/>
      <c r="DC7" s="187"/>
      <c r="DE7" s="187"/>
      <c r="DF7" s="188"/>
      <c r="DG7" s="187"/>
      <c r="DH7" s="187"/>
      <c r="DI7" s="189"/>
      <c r="DJ7" s="189"/>
      <c r="DK7" s="187"/>
      <c r="DN7" s="188"/>
      <c r="DO7" s="187"/>
      <c r="DP7" s="187"/>
      <c r="DQ7" s="189"/>
      <c r="DR7" s="189"/>
      <c r="DS7" s="187"/>
      <c r="DU7" s="187"/>
      <c r="DV7" s="188"/>
      <c r="DW7" s="187"/>
      <c r="DX7" s="187"/>
      <c r="DY7" s="189"/>
      <c r="DZ7" s="189"/>
      <c r="EA7" s="187"/>
      <c r="EB7" s="187"/>
      <c r="EC7" s="187"/>
      <c r="ED7" s="188"/>
      <c r="EE7" s="187"/>
      <c r="EF7" s="187"/>
      <c r="EG7" s="189"/>
      <c r="EH7" s="189"/>
      <c r="EI7" s="187"/>
      <c r="EJ7" s="187"/>
      <c r="EK7" s="187"/>
      <c r="EL7" s="188"/>
      <c r="EM7" s="187"/>
      <c r="EN7" s="187"/>
      <c r="EO7" s="189"/>
      <c r="EP7" s="189"/>
      <c r="EQ7" s="187"/>
      <c r="ER7" s="187"/>
      <c r="ES7" s="187"/>
      <c r="ET7" s="188"/>
      <c r="EU7" s="187"/>
      <c r="EV7" s="187"/>
      <c r="EW7" s="189"/>
      <c r="EX7" s="189"/>
      <c r="EY7" s="187"/>
      <c r="EZ7" s="187"/>
      <c r="FA7" s="187"/>
      <c r="FB7" s="188"/>
      <c r="FC7" s="187"/>
      <c r="FD7" s="187"/>
      <c r="FE7" s="189"/>
      <c r="FF7" s="189"/>
      <c r="FH7" s="4" t="s">
        <v>202</v>
      </c>
      <c r="FJ7" s="4">
        <f>FJ6*(1+$CE$144)</f>
        <v>670.76949069190118</v>
      </c>
      <c r="FK7" s="4">
        <f>FK6*(1+$CF$144)</f>
        <v>784.46130369718287</v>
      </c>
      <c r="FL7" s="11">
        <v>950</v>
      </c>
      <c r="FM7" s="4">
        <f>FN7-FL7-FK7-FJ7</f>
        <v>1216.8547916109158</v>
      </c>
      <c r="FN7" s="186">
        <f>'Civil AM'!AN5</f>
        <v>3622.0855859999997</v>
      </c>
      <c r="FO7" s="4">
        <f>FJ7+FK7</f>
        <v>1455.2307943890842</v>
      </c>
      <c r="FP7" s="4">
        <f>FL7+FM7</f>
        <v>2166.8547916109155</v>
      </c>
      <c r="FQ7" s="4">
        <f>FJ7+FK7+FL7</f>
        <v>2405.2307943890842</v>
      </c>
    </row>
    <row r="8" spans="1:173" ht="11.25" hidden="1" customHeight="1" outlineLevel="1" x14ac:dyDescent="0.25">
      <c r="B8" s="187" t="s">
        <v>263</v>
      </c>
      <c r="C8" s="38">
        <v>292</v>
      </c>
      <c r="D8" s="4">
        <v>274</v>
      </c>
      <c r="E8" s="4">
        <v>258</v>
      </c>
      <c r="F8" s="179">
        <v>373</v>
      </c>
      <c r="G8" s="4">
        <f>C8+D8</f>
        <v>566</v>
      </c>
      <c r="H8" s="4">
        <f>E8+F8</f>
        <v>631</v>
      </c>
      <c r="I8" s="180">
        <f>C8+D8+E8</f>
        <v>824</v>
      </c>
      <c r="J8" s="180">
        <f>SUM(C8:F8)</f>
        <v>1197</v>
      </c>
      <c r="K8" s="38">
        <v>257</v>
      </c>
      <c r="L8" s="4">
        <v>327</v>
      </c>
      <c r="M8" s="4">
        <v>256</v>
      </c>
      <c r="N8" s="179">
        <f>R8-Q8</f>
        <v>381</v>
      </c>
      <c r="O8" s="4">
        <f>K8+L8</f>
        <v>584</v>
      </c>
      <c r="P8" s="4">
        <f>R8-O8</f>
        <v>637</v>
      </c>
      <c r="Q8" s="180">
        <v>840</v>
      </c>
      <c r="R8" s="180">
        <v>1221</v>
      </c>
      <c r="S8" s="38">
        <v>278</v>
      </c>
      <c r="T8" s="4">
        <f t="shared" si="6"/>
        <v>338</v>
      </c>
      <c r="U8" s="4">
        <f t="shared" si="7"/>
        <v>266</v>
      </c>
      <c r="V8" s="179">
        <f>Z8-Y8</f>
        <v>384</v>
      </c>
      <c r="W8" s="4">
        <v>616</v>
      </c>
      <c r="X8" s="4">
        <f>Z8-W8</f>
        <v>650</v>
      </c>
      <c r="Y8" s="180">
        <v>882</v>
      </c>
      <c r="Z8" s="180">
        <f>Divisional!M8</f>
        <v>1266</v>
      </c>
      <c r="AA8" s="38">
        <v>269</v>
      </c>
      <c r="AB8" s="4">
        <f>AE8-AA8</f>
        <v>315</v>
      </c>
      <c r="AC8" s="4">
        <f>AG8-AE8</f>
        <v>253</v>
      </c>
      <c r="AD8" s="179">
        <f>AH8-AG8</f>
        <v>401</v>
      </c>
      <c r="AE8" s="4">
        <v>584</v>
      </c>
      <c r="AF8" s="4">
        <f t="shared" si="8"/>
        <v>654</v>
      </c>
      <c r="AG8" s="180">
        <v>837</v>
      </c>
      <c r="AH8" s="180">
        <f>Divisional!N8</f>
        <v>1238</v>
      </c>
      <c r="AI8" s="38">
        <v>284</v>
      </c>
      <c r="AJ8" s="4">
        <f>AM8-AI8</f>
        <v>340</v>
      </c>
      <c r="AK8" s="4">
        <v>281</v>
      </c>
      <c r="AL8" s="179">
        <f>AP8-AO8</f>
        <v>440</v>
      </c>
      <c r="AM8" s="4">
        <v>624</v>
      </c>
      <c r="AN8" s="4">
        <f>+AP8-AM8</f>
        <v>721</v>
      </c>
      <c r="AO8" s="180">
        <f>+AI8+AJ8+AK8</f>
        <v>905</v>
      </c>
      <c r="AP8" s="180">
        <f>Divisional!O8</f>
        <v>1345</v>
      </c>
      <c r="AQ8" s="38">
        <v>275</v>
      </c>
      <c r="AR8" s="4">
        <v>337</v>
      </c>
      <c r="AS8" s="4">
        <v>279</v>
      </c>
      <c r="AT8" s="179">
        <v>425</v>
      </c>
      <c r="AU8" s="4">
        <f>AQ8+AR8</f>
        <v>612</v>
      </c>
      <c r="AV8" s="4">
        <f>AS8+AT8</f>
        <v>704</v>
      </c>
      <c r="AW8" s="180">
        <f>AQ8+AR8+AS8</f>
        <v>891</v>
      </c>
      <c r="AX8" s="180">
        <f>AQ8+AR8+AS8+AT8</f>
        <v>1316</v>
      </c>
      <c r="AY8" s="38">
        <v>298</v>
      </c>
      <c r="AZ8" s="4">
        <f>BC8-AY8</f>
        <v>353</v>
      </c>
      <c r="BA8" s="4">
        <v>309</v>
      </c>
      <c r="BB8" s="179">
        <f>+BF8-BE8</f>
        <v>426</v>
      </c>
      <c r="BC8" s="4">
        <v>651</v>
      </c>
      <c r="BD8" s="4">
        <f>+BF8-BC8</f>
        <v>735</v>
      </c>
      <c r="BE8" s="180">
        <f>+AY8+AZ8+BA8</f>
        <v>960</v>
      </c>
      <c r="BF8" s="180">
        <f>Divisional!Q8</f>
        <v>1386</v>
      </c>
      <c r="BG8" s="38"/>
      <c r="BJ8" s="179"/>
      <c r="BM8" s="180"/>
      <c r="BN8" s="180"/>
      <c r="BO8" s="38"/>
      <c r="BR8" s="179"/>
      <c r="BU8" s="180"/>
      <c r="BV8" s="180"/>
      <c r="BW8" s="38"/>
      <c r="BZ8" s="179"/>
      <c r="CC8" s="180"/>
      <c r="CD8" s="180"/>
      <c r="CE8" s="38"/>
      <c r="CH8" s="179"/>
      <c r="CK8" s="180"/>
      <c r="CL8" s="180"/>
      <c r="CM8" s="38"/>
      <c r="CP8" s="179"/>
      <c r="CS8" s="180"/>
      <c r="CT8" s="180"/>
      <c r="CU8" s="187"/>
      <c r="CV8" s="187"/>
      <c r="CW8" s="187"/>
      <c r="CX8" s="188"/>
      <c r="CY8" s="187"/>
      <c r="CZ8" s="187"/>
      <c r="DA8" s="189"/>
      <c r="DB8" s="189"/>
      <c r="DC8" s="187"/>
      <c r="DE8" s="187"/>
      <c r="DF8" s="188"/>
      <c r="DG8" s="187"/>
      <c r="DH8" s="187"/>
      <c r="DI8" s="189"/>
      <c r="DJ8" s="189"/>
      <c r="DK8" s="187"/>
      <c r="DN8" s="188"/>
      <c r="DO8" s="187"/>
      <c r="DP8" s="187"/>
      <c r="DQ8" s="189"/>
      <c r="DR8" s="189"/>
      <c r="DS8" s="187"/>
      <c r="DU8" s="187"/>
      <c r="DV8" s="188"/>
      <c r="DW8" s="187"/>
      <c r="DX8" s="187"/>
      <c r="DY8" s="189"/>
      <c r="DZ8" s="189"/>
      <c r="EA8" s="187"/>
      <c r="EB8" s="187"/>
      <c r="EC8" s="187"/>
      <c r="ED8" s="188"/>
      <c r="EE8" s="187"/>
      <c r="EF8" s="187"/>
      <c r="EG8" s="189"/>
      <c r="EH8" s="189"/>
      <c r="EI8" s="187"/>
      <c r="EJ8" s="187"/>
      <c r="EK8" s="187"/>
      <c r="EL8" s="188"/>
      <c r="EM8" s="187"/>
      <c r="EN8" s="187"/>
      <c r="EO8" s="189"/>
      <c r="EP8" s="189"/>
      <c r="EQ8" s="187"/>
      <c r="ER8" s="187"/>
      <c r="ES8" s="187"/>
      <c r="ET8" s="188"/>
      <c r="EU8" s="187"/>
      <c r="EV8" s="187"/>
      <c r="EW8" s="189"/>
      <c r="EX8" s="189"/>
      <c r="EY8" s="187"/>
      <c r="EZ8" s="187"/>
      <c r="FA8" s="187"/>
      <c r="FB8" s="188"/>
      <c r="FC8" s="187"/>
      <c r="FD8" s="187"/>
      <c r="FE8" s="189"/>
      <c r="FF8" s="189"/>
      <c r="FL8" s="14"/>
      <c r="FM8" s="14"/>
    </row>
    <row r="9" spans="1:173" ht="11.25" hidden="1" customHeight="1" outlineLevel="1" x14ac:dyDescent="0.25">
      <c r="B9" s="4" t="s">
        <v>82</v>
      </c>
      <c r="C9" s="38">
        <v>340</v>
      </c>
      <c r="D9" s="4">
        <v>384</v>
      </c>
      <c r="E9" s="4">
        <v>349</v>
      </c>
      <c r="F9" s="179">
        <v>409</v>
      </c>
      <c r="G9" s="4">
        <f>C9+D9</f>
        <v>724</v>
      </c>
      <c r="H9" s="4">
        <f>E9+F9</f>
        <v>758</v>
      </c>
      <c r="I9" s="180">
        <f>C9+D9+E9</f>
        <v>1073</v>
      </c>
      <c r="J9" s="180">
        <f>SUM(C9:F9)</f>
        <v>1482</v>
      </c>
      <c r="K9" s="38">
        <v>345</v>
      </c>
      <c r="L9" s="4">
        <v>377</v>
      </c>
      <c r="M9" s="4">
        <v>368</v>
      </c>
      <c r="N9" s="179">
        <f>R9-Q9</f>
        <v>440</v>
      </c>
      <c r="O9" s="4">
        <f>K9+L9</f>
        <v>722</v>
      </c>
      <c r="P9" s="4">
        <f>R9-O9</f>
        <v>808</v>
      </c>
      <c r="Q9" s="180">
        <v>1090</v>
      </c>
      <c r="R9" s="180">
        <v>1530</v>
      </c>
      <c r="S9" s="38">
        <v>414</v>
      </c>
      <c r="T9" s="4">
        <f t="shared" si="6"/>
        <v>471</v>
      </c>
      <c r="U9" s="4">
        <f t="shared" si="7"/>
        <v>474</v>
      </c>
      <c r="V9" s="179">
        <f>Z9-Y9</f>
        <v>519</v>
      </c>
      <c r="W9" s="4">
        <v>885</v>
      </c>
      <c r="X9" s="4">
        <f>Z9-W9</f>
        <v>993</v>
      </c>
      <c r="Y9" s="180">
        <v>1359</v>
      </c>
      <c r="Z9" s="180">
        <f>Divisional!M10</f>
        <v>1878</v>
      </c>
      <c r="AA9" s="38">
        <v>449</v>
      </c>
      <c r="AB9" s="4">
        <f>AE9-AA9</f>
        <v>500</v>
      </c>
      <c r="AC9" s="4">
        <f>AG9-AE9</f>
        <v>470</v>
      </c>
      <c r="AD9" s="179"/>
      <c r="AE9" s="4">
        <v>949</v>
      </c>
      <c r="AG9" s="180">
        <v>1419</v>
      </c>
      <c r="AH9" s="180"/>
      <c r="AI9" s="38"/>
      <c r="AL9" s="179"/>
      <c r="AO9" s="180"/>
      <c r="AP9" s="180"/>
      <c r="AQ9" s="38"/>
      <c r="AT9" s="179"/>
      <c r="AW9" s="180"/>
      <c r="AX9" s="180"/>
      <c r="AY9" s="38"/>
      <c r="BB9" s="179"/>
      <c r="BE9" s="180"/>
      <c r="BF9" s="180"/>
      <c r="BG9" s="38"/>
      <c r="BJ9" s="179"/>
      <c r="BM9" s="180"/>
      <c r="BN9" s="180"/>
      <c r="BO9" s="38"/>
      <c r="BR9" s="179"/>
      <c r="BS9" s="4">
        <f t="shared" si="0"/>
        <v>0</v>
      </c>
      <c r="BT9" s="4">
        <f t="shared" si="1"/>
        <v>0</v>
      </c>
      <c r="BU9" s="180">
        <f t="shared" si="2"/>
        <v>0</v>
      </c>
      <c r="BV9" s="180"/>
      <c r="BW9" s="38"/>
      <c r="BZ9" s="179"/>
      <c r="CC9" s="180"/>
      <c r="CD9" s="180"/>
      <c r="CE9" s="38"/>
      <c r="CH9" s="179"/>
      <c r="CK9" s="180"/>
      <c r="CL9" s="180"/>
      <c r="CM9" s="38"/>
      <c r="CP9" s="179"/>
      <c r="CQ9" s="4">
        <f>CM9+CN9</f>
        <v>0</v>
      </c>
      <c r="CR9" s="4">
        <f>CT9-CQ9</f>
        <v>0</v>
      </c>
      <c r="CS9" s="180">
        <f>CM9+CN9+CO9</f>
        <v>0</v>
      </c>
      <c r="CT9" s="180"/>
      <c r="CX9" s="179"/>
      <c r="DA9" s="180"/>
      <c r="DB9" s="180"/>
      <c r="DF9" s="179"/>
      <c r="DI9" s="180"/>
      <c r="DJ9" s="180"/>
      <c r="DN9" s="179"/>
      <c r="DQ9" s="180"/>
      <c r="DR9" s="180"/>
      <c r="DV9" s="179"/>
      <c r="DY9" s="180"/>
      <c r="DZ9" s="180"/>
      <c r="ED9" s="179"/>
      <c r="EG9" s="180"/>
      <c r="EH9" s="180"/>
      <c r="EL9" s="179"/>
      <c r="EO9" s="180"/>
      <c r="EP9" s="180"/>
      <c r="ET9" s="179"/>
      <c r="EW9" s="180"/>
      <c r="EX9" s="180"/>
      <c r="FB9" s="179"/>
      <c r="FE9" s="180"/>
      <c r="FF9" s="180"/>
      <c r="FH9" s="4" t="s">
        <v>264</v>
      </c>
      <c r="FJ9" s="14">
        <f>FJ7/FJ6-1</f>
        <v>-0.53400000000000003</v>
      </c>
      <c r="FK9" s="14">
        <f>FK7/FK6-1</f>
        <v>0.55000000000000004</v>
      </c>
      <c r="FL9" s="14">
        <f t="shared" ref="FL9:FQ9" si="9">FL7/FL6-1</f>
        <v>0.45709740466892357</v>
      </c>
      <c r="FM9" s="14">
        <f t="shared" si="9"/>
        <v>0.55119798245732654</v>
      </c>
      <c r="FN9" s="14">
        <f t="shared" si="9"/>
        <v>7.0999999999999952E-2</v>
      </c>
      <c r="FO9" s="14">
        <f t="shared" si="9"/>
        <v>-0.25201071155317523</v>
      </c>
      <c r="FP9" s="14">
        <f t="shared" si="9"/>
        <v>0.50848704663212363</v>
      </c>
      <c r="FQ9" s="14">
        <f t="shared" si="9"/>
        <v>-7.4022542553015214E-2</v>
      </c>
    </row>
    <row r="10" spans="1:173" ht="11.25" customHeight="1" collapsed="1" x14ac:dyDescent="0.25">
      <c r="B10" s="4" t="s">
        <v>265</v>
      </c>
      <c r="C10" s="38">
        <v>1</v>
      </c>
      <c r="D10" s="4">
        <v>0</v>
      </c>
      <c r="E10" s="4">
        <v>1</v>
      </c>
      <c r="F10" s="179">
        <v>2</v>
      </c>
      <c r="G10" s="4">
        <f>C10+D10</f>
        <v>1</v>
      </c>
      <c r="H10" s="4">
        <f>E10+F10</f>
        <v>3</v>
      </c>
      <c r="I10" s="180">
        <f>C10+D10+E10</f>
        <v>2</v>
      </c>
      <c r="J10" s="180">
        <f>SUM(C10:F10)</f>
        <v>4</v>
      </c>
      <c r="K10" s="38">
        <v>0</v>
      </c>
      <c r="L10" s="4">
        <v>2</v>
      </c>
      <c r="M10" s="4">
        <v>0</v>
      </c>
      <c r="N10" s="179">
        <f>R10-Q10</f>
        <v>3</v>
      </c>
      <c r="O10" s="4">
        <f>K10+L10</f>
        <v>2</v>
      </c>
      <c r="P10" s="4">
        <f>R10-O10</f>
        <v>3</v>
      </c>
      <c r="Q10" s="180">
        <v>2</v>
      </c>
      <c r="R10" s="180">
        <v>5</v>
      </c>
      <c r="S10" s="38">
        <v>1</v>
      </c>
      <c r="T10" s="4">
        <f t="shared" si="6"/>
        <v>1</v>
      </c>
      <c r="U10" s="4">
        <f t="shared" si="7"/>
        <v>1</v>
      </c>
      <c r="V10" s="179">
        <f>Z10-Y10</f>
        <v>5</v>
      </c>
      <c r="W10" s="4">
        <v>2</v>
      </c>
      <c r="X10" s="4">
        <f>Z10-W10</f>
        <v>6</v>
      </c>
      <c r="Y10" s="180">
        <v>3</v>
      </c>
      <c r="Z10" s="180">
        <f>Divisional!M12</f>
        <v>8</v>
      </c>
      <c r="AA10" s="38">
        <v>2</v>
      </c>
      <c r="AB10" s="4">
        <f>AE10-AA10</f>
        <v>2</v>
      </c>
      <c r="AC10" s="4">
        <f>AG10-AE10</f>
        <v>0</v>
      </c>
      <c r="AD10" s="179">
        <f>AH10-AG10</f>
        <v>3</v>
      </c>
      <c r="AE10" s="4">
        <v>4</v>
      </c>
      <c r="AF10" s="4">
        <f t="shared" si="8"/>
        <v>3</v>
      </c>
      <c r="AG10" s="180">
        <v>4</v>
      </c>
      <c r="AH10" s="180">
        <f>Divisional!N12</f>
        <v>7</v>
      </c>
      <c r="AI10" s="38">
        <v>3</v>
      </c>
      <c r="AJ10" s="4">
        <f>AM10-AI10</f>
        <v>5</v>
      </c>
      <c r="AK10" s="4">
        <v>6</v>
      </c>
      <c r="AL10" s="179">
        <f>AP10-AO10</f>
        <v>6</v>
      </c>
      <c r="AM10" s="4">
        <v>8</v>
      </c>
      <c r="AN10" s="4">
        <f>+AP10-AM10</f>
        <v>12</v>
      </c>
      <c r="AO10" s="180">
        <f>+AI10+AJ10+AK10</f>
        <v>14</v>
      </c>
      <c r="AP10" s="180">
        <f>Divisional!O12</f>
        <v>20</v>
      </c>
      <c r="AQ10" s="38">
        <v>3</v>
      </c>
      <c r="AR10" s="4">
        <v>5</v>
      </c>
      <c r="AS10" s="4">
        <v>6</v>
      </c>
      <c r="AT10" s="179">
        <v>6</v>
      </c>
      <c r="AU10" s="4">
        <f>AQ10+AR10</f>
        <v>8</v>
      </c>
      <c r="AV10" s="4">
        <f>AS10+AT10</f>
        <v>12</v>
      </c>
      <c r="AW10" s="180">
        <f>AQ10+AR10+AS10</f>
        <v>14</v>
      </c>
      <c r="AX10" s="180">
        <f>AQ10+AR10+AS10+AT10</f>
        <v>20</v>
      </c>
      <c r="AY10" s="38">
        <v>6</v>
      </c>
      <c r="AZ10" s="4">
        <f>BC10-AY10</f>
        <v>4</v>
      </c>
      <c r="BA10" s="4">
        <v>3</v>
      </c>
      <c r="BB10" s="179">
        <f>+BF10-BE10</f>
        <v>5</v>
      </c>
      <c r="BC10" s="4">
        <v>10</v>
      </c>
      <c r="BD10" s="4">
        <f>+BF10-BC10</f>
        <v>8</v>
      </c>
      <c r="BE10" s="180">
        <f>+AY10+AZ10+BA10</f>
        <v>13</v>
      </c>
      <c r="BF10" s="180">
        <f>Divisional!Q12</f>
        <v>18</v>
      </c>
      <c r="BG10" s="38">
        <v>6</v>
      </c>
      <c r="BH10" s="4">
        <v>4</v>
      </c>
      <c r="BI10" s="4">
        <v>3</v>
      </c>
      <c r="BJ10" s="179">
        <v>5</v>
      </c>
      <c r="BK10" s="4">
        <f>BG10+BH10</f>
        <v>10</v>
      </c>
      <c r="BL10" s="4">
        <f>BI10+BJ10</f>
        <v>8</v>
      </c>
      <c r="BM10" s="180">
        <f>BG10+BH10+BI10</f>
        <v>13</v>
      </c>
      <c r="BN10" s="180">
        <f>BG10+BH10+BI10+BJ10</f>
        <v>18</v>
      </c>
      <c r="BO10" s="38">
        <v>3</v>
      </c>
      <c r="BP10" s="4">
        <v>4</v>
      </c>
      <c r="BQ10" s="4">
        <v>5</v>
      </c>
      <c r="BR10" s="179">
        <f>BV10-BU10</f>
        <v>6</v>
      </c>
      <c r="BS10" s="4">
        <f t="shared" si="0"/>
        <v>7</v>
      </c>
      <c r="BT10" s="4">
        <f t="shared" si="1"/>
        <v>11</v>
      </c>
      <c r="BU10" s="180">
        <f t="shared" si="2"/>
        <v>12</v>
      </c>
      <c r="BV10" s="180">
        <f>Divisional!S12</f>
        <v>18</v>
      </c>
      <c r="BW10" s="38">
        <v>5</v>
      </c>
      <c r="BX10" s="4">
        <f t="shared" si="3"/>
        <v>5</v>
      </c>
      <c r="BY10" s="4">
        <v>5</v>
      </c>
      <c r="BZ10" s="179">
        <f>CD10-CC10</f>
        <v>5</v>
      </c>
      <c r="CA10" s="4">
        <v>10</v>
      </c>
      <c r="CB10" s="4">
        <f>CD10-CA10</f>
        <v>10</v>
      </c>
      <c r="CC10" s="180">
        <f>BW10+BX10+BY10</f>
        <v>15</v>
      </c>
      <c r="CD10" s="180">
        <f>Divisional!T12</f>
        <v>20</v>
      </c>
      <c r="CE10" s="38">
        <v>4</v>
      </c>
      <c r="CF10" s="4">
        <f t="shared" si="4"/>
        <v>5</v>
      </c>
      <c r="CG10" s="4">
        <v>2</v>
      </c>
      <c r="CH10" s="179">
        <f>CL10-CK10</f>
        <v>7</v>
      </c>
      <c r="CI10" s="4">
        <v>9</v>
      </c>
      <c r="CJ10" s="4">
        <f>CL10-CI10</f>
        <v>9</v>
      </c>
      <c r="CK10" s="180">
        <f>CE10+CF10+CG10</f>
        <v>11</v>
      </c>
      <c r="CL10" s="180">
        <f>Divisional!U12</f>
        <v>18</v>
      </c>
      <c r="CM10" s="38">
        <v>4</v>
      </c>
      <c r="CN10" s="4">
        <f t="shared" si="5"/>
        <v>4</v>
      </c>
      <c r="CO10" s="4">
        <v>4</v>
      </c>
      <c r="CP10" s="179">
        <f>CT10-CS10</f>
        <v>4</v>
      </c>
      <c r="CQ10" s="4">
        <v>8</v>
      </c>
      <c r="CR10" s="4">
        <f>CT10-CQ10</f>
        <v>8</v>
      </c>
      <c r="CS10" s="180">
        <f>CM10+CN10+CO10</f>
        <v>12</v>
      </c>
      <c r="CT10" s="180">
        <f>Divisional!V12</f>
        <v>16</v>
      </c>
      <c r="CU10" s="38">
        <v>2</v>
      </c>
      <c r="CV10" s="4">
        <f t="shared" ref="CV10" si="10">CY10-CU10</f>
        <v>3</v>
      </c>
      <c r="CW10" s="4">
        <v>3</v>
      </c>
      <c r="CX10" s="179">
        <f>CZ10-CW10</f>
        <v>3</v>
      </c>
      <c r="CY10" s="4">
        <v>5</v>
      </c>
      <c r="CZ10" s="4">
        <f>DB10-CY10</f>
        <v>6</v>
      </c>
      <c r="DA10" s="180">
        <f>CU10+CV10+CW10</f>
        <v>8</v>
      </c>
      <c r="DB10" s="180">
        <f>Divisional!W12</f>
        <v>11</v>
      </c>
      <c r="DC10" s="4">
        <v>3</v>
      </c>
      <c r="DD10" s="4">
        <f>DG10-DC10</f>
        <v>2</v>
      </c>
      <c r="DE10" s="4">
        <v>2</v>
      </c>
      <c r="DF10" s="179">
        <f>DH10-DE10</f>
        <v>3</v>
      </c>
      <c r="DG10" s="4">
        <v>5</v>
      </c>
      <c r="DH10" s="4">
        <f>DJ10-DG10</f>
        <v>5</v>
      </c>
      <c r="DI10" s="180">
        <f>DC10+DD10+DE10</f>
        <v>7</v>
      </c>
      <c r="DJ10" s="180">
        <f>Divisional!X12</f>
        <v>10</v>
      </c>
      <c r="DK10" s="4">
        <v>2</v>
      </c>
      <c r="DL10" s="4">
        <f>DO10-DK10</f>
        <v>1</v>
      </c>
      <c r="DM10" s="4">
        <v>2</v>
      </c>
      <c r="DN10" s="179">
        <f>DP10-DM10</f>
        <v>5</v>
      </c>
      <c r="DO10" s="4">
        <v>3</v>
      </c>
      <c r="DP10" s="4">
        <f>DR10-DO10</f>
        <v>7</v>
      </c>
      <c r="DQ10" s="180">
        <f>DK10+DL10+DM10</f>
        <v>5</v>
      </c>
      <c r="DR10" s="180">
        <f>Divisional!Y12</f>
        <v>10</v>
      </c>
      <c r="DS10" s="4">
        <v>5</v>
      </c>
      <c r="DT10" s="4">
        <f>DW10-DS10</f>
        <v>2</v>
      </c>
      <c r="DU10" s="11">
        <f>DX10/2</f>
        <v>1.5</v>
      </c>
      <c r="DV10" s="181">
        <f>DX10-DU10</f>
        <v>1.5</v>
      </c>
      <c r="DW10" s="4">
        <v>7</v>
      </c>
      <c r="DX10" s="11">
        <f>DZ10-DW10</f>
        <v>3</v>
      </c>
      <c r="DY10" s="182">
        <f>DS10+DT10+DU10</f>
        <v>8.5</v>
      </c>
      <c r="DZ10" s="182">
        <f>Divisional!Z12</f>
        <v>10</v>
      </c>
      <c r="EA10" s="11">
        <f>EE10/2</f>
        <v>2.5</v>
      </c>
      <c r="EB10" s="11">
        <f>EE10-EA10</f>
        <v>2.5</v>
      </c>
      <c r="EC10" s="11">
        <f>EF10/2</f>
        <v>2.5</v>
      </c>
      <c r="ED10" s="181">
        <f>EF10-EC10</f>
        <v>2.5</v>
      </c>
      <c r="EE10" s="11">
        <f>EH10/2</f>
        <v>5</v>
      </c>
      <c r="EF10" s="11">
        <f>EH10-EE10</f>
        <v>5</v>
      </c>
      <c r="EG10" s="182">
        <f>EA10+EB10+EC10</f>
        <v>7.5</v>
      </c>
      <c r="EH10" s="182">
        <f>Divisional!AA12</f>
        <v>10</v>
      </c>
      <c r="EI10" s="11">
        <f>EM10/2</f>
        <v>2.5</v>
      </c>
      <c r="EJ10" s="11">
        <f>EM10-EI10</f>
        <v>2.5</v>
      </c>
      <c r="EK10" s="11">
        <f>EN10/2</f>
        <v>2.5</v>
      </c>
      <c r="EL10" s="181">
        <f>EN10-EK10</f>
        <v>2.5</v>
      </c>
      <c r="EM10" s="11">
        <f>EP10/2</f>
        <v>5</v>
      </c>
      <c r="EN10" s="11">
        <f>EP10-EM10</f>
        <v>5</v>
      </c>
      <c r="EO10" s="182">
        <f>EI10+EJ10+EK10</f>
        <v>7.5</v>
      </c>
      <c r="EP10" s="182">
        <f>Divisional!AB12</f>
        <v>10</v>
      </c>
      <c r="EQ10" s="11">
        <f>EU10/2</f>
        <v>2.5</v>
      </c>
      <c r="ER10" s="11">
        <f>EU10-EQ10</f>
        <v>2.5</v>
      </c>
      <c r="ES10" s="11">
        <f>EV10/2</f>
        <v>2.5</v>
      </c>
      <c r="ET10" s="181">
        <f>EV10-ES10</f>
        <v>2.5</v>
      </c>
      <c r="EU10" s="11">
        <f>EX10/2</f>
        <v>5</v>
      </c>
      <c r="EV10" s="11">
        <f>EX10-EU10</f>
        <v>5</v>
      </c>
      <c r="EW10" s="182">
        <f>EQ10+ER10+ES10</f>
        <v>7.5</v>
      </c>
      <c r="EX10" s="182">
        <f>Divisional!AC12</f>
        <v>10</v>
      </c>
      <c r="EY10" s="11">
        <f>FC10/2</f>
        <v>2.5</v>
      </c>
      <c r="EZ10" s="11">
        <f>FC10-EY10</f>
        <v>2.5</v>
      </c>
      <c r="FA10" s="11">
        <f>FD10/2</f>
        <v>2.5</v>
      </c>
      <c r="FB10" s="181">
        <f>FD10-FA10</f>
        <v>2.5</v>
      </c>
      <c r="FC10" s="11">
        <f>FF10/2</f>
        <v>5</v>
      </c>
      <c r="FD10" s="11">
        <f>FF10-FC10</f>
        <v>5</v>
      </c>
      <c r="FE10" s="182">
        <f>EY10+EZ10+FA10</f>
        <v>7.5</v>
      </c>
      <c r="FF10" s="182">
        <f>Divisional!AD12</f>
        <v>10</v>
      </c>
      <c r="FL10" s="14"/>
    </row>
    <row r="11" spans="1:173" ht="11.25" customHeight="1" x14ac:dyDescent="0.25">
      <c r="A11" s="186" t="s">
        <v>266</v>
      </c>
      <c r="C11" s="190">
        <f t="shared" ref="C11:AE11" si="11">SUM(C3:C10)</f>
        <v>3333</v>
      </c>
      <c r="D11" s="191">
        <f t="shared" si="11"/>
        <v>3574</v>
      </c>
      <c r="E11" s="191">
        <f t="shared" si="11"/>
        <v>3361</v>
      </c>
      <c r="F11" s="192">
        <f t="shared" si="11"/>
        <v>4095</v>
      </c>
      <c r="G11" s="191">
        <f t="shared" si="11"/>
        <v>6907</v>
      </c>
      <c r="H11" s="191">
        <f t="shared" si="11"/>
        <v>7456</v>
      </c>
      <c r="I11" s="193">
        <f t="shared" si="11"/>
        <v>10268</v>
      </c>
      <c r="J11" s="193">
        <f t="shared" si="11"/>
        <v>14363</v>
      </c>
      <c r="K11" s="190">
        <f t="shared" si="11"/>
        <v>3443</v>
      </c>
      <c r="L11" s="191">
        <f t="shared" si="11"/>
        <v>3765</v>
      </c>
      <c r="M11" s="191">
        <f t="shared" si="11"/>
        <v>3589</v>
      </c>
      <c r="N11" s="192">
        <f t="shared" si="11"/>
        <v>4558</v>
      </c>
      <c r="O11" s="191">
        <f t="shared" si="11"/>
        <v>7208</v>
      </c>
      <c r="P11" s="191">
        <f t="shared" si="11"/>
        <v>8147</v>
      </c>
      <c r="Q11" s="193">
        <f t="shared" si="11"/>
        <v>10797</v>
      </c>
      <c r="R11" s="193">
        <f t="shared" si="11"/>
        <v>15355</v>
      </c>
      <c r="S11" s="190">
        <f t="shared" si="11"/>
        <v>3935</v>
      </c>
      <c r="T11" s="191">
        <f t="shared" si="11"/>
        <v>4468</v>
      </c>
      <c r="U11" s="191">
        <f t="shared" si="11"/>
        <v>4141</v>
      </c>
      <c r="V11" s="192">
        <f t="shared" si="11"/>
        <v>4870</v>
      </c>
      <c r="W11" s="191">
        <f t="shared" si="11"/>
        <v>8403</v>
      </c>
      <c r="X11" s="191">
        <f t="shared" si="11"/>
        <v>9011</v>
      </c>
      <c r="Y11" s="193">
        <f t="shared" si="11"/>
        <v>12544</v>
      </c>
      <c r="Z11" s="193">
        <f t="shared" si="11"/>
        <v>17414</v>
      </c>
      <c r="AA11" s="190">
        <f t="shared" si="11"/>
        <v>4240</v>
      </c>
      <c r="AB11" s="191">
        <f t="shared" si="11"/>
        <v>4696</v>
      </c>
      <c r="AC11" s="191">
        <f t="shared" si="11"/>
        <v>3987</v>
      </c>
      <c r="AD11" s="192">
        <f t="shared" si="11"/>
        <v>4277</v>
      </c>
      <c r="AE11" s="191">
        <f t="shared" si="11"/>
        <v>8936</v>
      </c>
      <c r="AF11" s="191">
        <f>AF3+AF6+AF8+AF10</f>
        <v>7794</v>
      </c>
      <c r="AG11" s="193">
        <f>SUM(AG3:AG10)</f>
        <v>12923</v>
      </c>
      <c r="AH11" s="193">
        <f>SUM(AH3:AH10)</f>
        <v>15781</v>
      </c>
      <c r="AI11" s="190">
        <f>AI3+AI6+AI8+AI10</f>
        <v>3982</v>
      </c>
      <c r="AJ11" s="191">
        <f>AJ3+AJ6+AJ8+AJ10</f>
        <v>4056</v>
      </c>
      <c r="AK11" s="191">
        <f>AK3+AK6+AK8+AK10</f>
        <v>3815</v>
      </c>
      <c r="AL11" s="192">
        <f>SUM(AL3:AL10)</f>
        <v>4668</v>
      </c>
      <c r="AM11" s="191">
        <f>AM3+AM6+AM8+AM10</f>
        <v>8038</v>
      </c>
      <c r="AN11" s="191">
        <f>AN3+AN6+AN8+AN10</f>
        <v>8483</v>
      </c>
      <c r="AO11" s="193">
        <f>+AI11+AJ11+AK11</f>
        <v>11853</v>
      </c>
      <c r="AP11" s="193">
        <f t="shared" ref="AP11:BC11" si="12">SUM(AP3:AP10)</f>
        <v>16521</v>
      </c>
      <c r="AQ11" s="190">
        <f t="shared" si="12"/>
        <v>3768</v>
      </c>
      <c r="AR11" s="191">
        <f t="shared" si="12"/>
        <v>3902</v>
      </c>
      <c r="AS11" s="191">
        <f t="shared" si="12"/>
        <v>3679</v>
      </c>
      <c r="AT11" s="192">
        <f t="shared" si="12"/>
        <v>4604</v>
      </c>
      <c r="AU11" s="191">
        <f t="shared" si="12"/>
        <v>7670</v>
      </c>
      <c r="AV11" s="191">
        <f t="shared" si="12"/>
        <v>8283</v>
      </c>
      <c r="AW11" s="193">
        <f t="shared" si="12"/>
        <v>11349</v>
      </c>
      <c r="AX11" s="193">
        <f t="shared" si="12"/>
        <v>15953</v>
      </c>
      <c r="AY11" s="190">
        <f t="shared" si="12"/>
        <v>4222</v>
      </c>
      <c r="AZ11" s="191">
        <f t="shared" si="12"/>
        <v>5284</v>
      </c>
      <c r="BA11" s="191">
        <f t="shared" si="12"/>
        <v>5348</v>
      </c>
      <c r="BB11" s="192">
        <f t="shared" si="12"/>
        <v>6196</v>
      </c>
      <c r="BC11" s="191">
        <f t="shared" si="12"/>
        <v>9506</v>
      </c>
      <c r="BD11" s="191">
        <f>+BF11-BC11</f>
        <v>11544</v>
      </c>
      <c r="BE11" s="193">
        <f>+AY11+AZ11+BA11</f>
        <v>14854</v>
      </c>
      <c r="BF11" s="193">
        <f t="shared" ref="BF11:DA11" si="13">SUM(BF3:BF10)</f>
        <v>21050</v>
      </c>
      <c r="BG11" s="190">
        <f t="shared" si="13"/>
        <v>4222</v>
      </c>
      <c r="BH11" s="191">
        <f t="shared" si="13"/>
        <v>5284</v>
      </c>
      <c r="BI11" s="191">
        <f t="shared" si="13"/>
        <v>5348</v>
      </c>
      <c r="BJ11" s="192">
        <f t="shared" si="13"/>
        <v>6196</v>
      </c>
      <c r="BK11" s="191">
        <f t="shared" si="13"/>
        <v>9506</v>
      </c>
      <c r="BL11" s="191">
        <f t="shared" si="13"/>
        <v>11544</v>
      </c>
      <c r="BM11" s="193">
        <f t="shared" si="13"/>
        <v>14854</v>
      </c>
      <c r="BN11" s="193">
        <f>SUM(BN3:BN10)</f>
        <v>21050</v>
      </c>
      <c r="BO11" s="190">
        <f t="shared" si="13"/>
        <v>5781</v>
      </c>
      <c r="BP11" s="191">
        <f t="shared" si="13"/>
        <v>6321</v>
      </c>
      <c r="BQ11" s="191">
        <f t="shared" si="13"/>
        <v>6095</v>
      </c>
      <c r="BR11" s="192">
        <f t="shared" si="13"/>
        <v>6443</v>
      </c>
      <c r="BS11" s="191">
        <f t="shared" si="13"/>
        <v>12102</v>
      </c>
      <c r="BT11" s="191">
        <f t="shared" si="13"/>
        <v>12538</v>
      </c>
      <c r="BU11" s="193">
        <f t="shared" si="13"/>
        <v>18197</v>
      </c>
      <c r="BV11" s="193">
        <f t="shared" si="13"/>
        <v>24640</v>
      </c>
      <c r="BW11" s="190">
        <f t="shared" si="13"/>
        <v>5383</v>
      </c>
      <c r="BX11" s="191">
        <f>SUM(BX3:BX10)</f>
        <v>3384</v>
      </c>
      <c r="BY11" s="191">
        <f t="shared" si="13"/>
        <v>3382</v>
      </c>
      <c r="BZ11" s="192">
        <f>SUM(BZ3:BZ10)</f>
        <v>4349</v>
      </c>
      <c r="CA11" s="191">
        <f>SUM(CA3:CA10)</f>
        <v>8767</v>
      </c>
      <c r="CB11" s="191">
        <f>SUM(CB3:CB10)</f>
        <v>7731</v>
      </c>
      <c r="CC11" s="193">
        <f>SUM(CC3:CC10)</f>
        <v>12149</v>
      </c>
      <c r="CD11" s="193">
        <f t="shared" si="13"/>
        <v>16498</v>
      </c>
      <c r="CE11" s="190">
        <f t="shared" ref="CE11:CK11" si="14">SUM(CE3:CE10)</f>
        <v>3342</v>
      </c>
      <c r="CF11" s="191">
        <f t="shared" si="14"/>
        <v>3534</v>
      </c>
      <c r="CG11" s="191">
        <f t="shared" si="14"/>
        <v>3734</v>
      </c>
      <c r="CH11" s="192">
        <f t="shared" si="14"/>
        <v>4647</v>
      </c>
      <c r="CI11" s="191">
        <f t="shared" si="14"/>
        <v>6876</v>
      </c>
      <c r="CJ11" s="191">
        <f t="shared" si="14"/>
        <v>8381</v>
      </c>
      <c r="CK11" s="193">
        <f t="shared" si="14"/>
        <v>10610</v>
      </c>
      <c r="CL11" s="193">
        <f t="shared" si="13"/>
        <v>15257</v>
      </c>
      <c r="CM11" s="190">
        <f t="shared" ref="CM11:CS11" si="15">SUM(CM3:CM10)</f>
        <v>4071</v>
      </c>
      <c r="CN11" s="191">
        <f t="shared" si="15"/>
        <v>4489</v>
      </c>
      <c r="CO11" s="191">
        <f t="shared" si="15"/>
        <v>4849</v>
      </c>
      <c r="CP11" s="192">
        <f t="shared" si="15"/>
        <v>5626</v>
      </c>
      <c r="CQ11" s="191">
        <f>SUM(CQ3:CQ10)</f>
        <v>8560</v>
      </c>
      <c r="CR11" s="191">
        <f t="shared" si="15"/>
        <v>10475</v>
      </c>
      <c r="CS11" s="193">
        <f t="shared" si="15"/>
        <v>13409</v>
      </c>
      <c r="CT11" s="193">
        <f t="shared" si="13"/>
        <v>19035</v>
      </c>
      <c r="CU11" s="190">
        <f>SUM(CU3:CU10)</f>
        <v>5266</v>
      </c>
      <c r="CV11" s="191">
        <f t="shared" ref="CV11" si="16">SUM(CV3:CV10)</f>
        <v>5679</v>
      </c>
      <c r="CW11" s="191">
        <f>SUM(CW3:CW10)</f>
        <v>5825</v>
      </c>
      <c r="CX11" s="192">
        <f t="shared" si="13"/>
        <v>6429</v>
      </c>
      <c r="CY11" s="191">
        <f>SUM(CY3:CY10)</f>
        <v>10945</v>
      </c>
      <c r="CZ11" s="191">
        <f t="shared" si="13"/>
        <v>12254</v>
      </c>
      <c r="DA11" s="193">
        <f t="shared" si="13"/>
        <v>16770</v>
      </c>
      <c r="DB11" s="193">
        <f>SUM(DB3:DB10)</f>
        <v>23199</v>
      </c>
      <c r="DC11" s="191">
        <f t="shared" ref="DC11:DI11" si="17">SUM(DC3:DC10)</f>
        <v>6220</v>
      </c>
      <c r="DD11" s="191">
        <f t="shared" si="17"/>
        <v>6827</v>
      </c>
      <c r="DE11" s="191">
        <f>SUM(DE3:DE10)</f>
        <v>6639</v>
      </c>
      <c r="DF11" s="192">
        <f t="shared" si="17"/>
        <v>7631</v>
      </c>
      <c r="DG11" s="191">
        <f t="shared" si="17"/>
        <v>13047</v>
      </c>
      <c r="DH11" s="191">
        <f t="shared" si="17"/>
        <v>14270</v>
      </c>
      <c r="DI11" s="193">
        <f t="shared" si="17"/>
        <v>19686</v>
      </c>
      <c r="DJ11" s="193">
        <f>SUM(DJ3:DJ10)</f>
        <v>27317</v>
      </c>
      <c r="DK11" s="191">
        <f t="shared" ref="DK11:DQ11" si="18">SUM(DK3:DK10)</f>
        <v>7257</v>
      </c>
      <c r="DL11" s="191">
        <f t="shared" si="18"/>
        <v>7512</v>
      </c>
      <c r="DM11" s="191">
        <f>SUM(DM3:DM10)</f>
        <v>7852</v>
      </c>
      <c r="DN11" s="192">
        <f t="shared" ref="DN11" si="19">SUM(DN3:DN10)</f>
        <v>8708.0000000000018</v>
      </c>
      <c r="DO11" s="191">
        <f t="shared" si="18"/>
        <v>14769</v>
      </c>
      <c r="DP11" s="191">
        <f t="shared" si="18"/>
        <v>16560</v>
      </c>
      <c r="DQ11" s="193">
        <f t="shared" si="18"/>
        <v>22621</v>
      </c>
      <c r="DR11" s="193">
        <f>SUM(DR3:DR10)</f>
        <v>31329</v>
      </c>
      <c r="DS11" s="191">
        <f t="shared" ref="DS11:DY11" si="20">SUM(DS3:DS10)</f>
        <v>8624</v>
      </c>
      <c r="DT11" s="191">
        <f t="shared" si="20"/>
        <v>8947</v>
      </c>
      <c r="DU11" s="195">
        <f t="shared" si="20"/>
        <v>8806.4307888053991</v>
      </c>
      <c r="DV11" s="194">
        <f t="shared" si="20"/>
        <v>10635.251156607705</v>
      </c>
      <c r="DW11" s="191">
        <f t="shared" si="20"/>
        <v>17571</v>
      </c>
      <c r="DX11" s="195">
        <f t="shared" si="20"/>
        <v>19441.681945413104</v>
      </c>
      <c r="DY11" s="196">
        <f t="shared" si="20"/>
        <v>26380.854416037546</v>
      </c>
      <c r="DZ11" s="196">
        <f>SUM(DZ3:DZ10)</f>
        <v>37016.105572645254</v>
      </c>
      <c r="EA11" s="195">
        <f t="shared" ref="EA11:EG11" si="21">SUM(EA3:EA10)</f>
        <v>8936.9802577167447</v>
      </c>
      <c r="EB11" s="195">
        <f t="shared" si="21"/>
        <v>9785.532898625097</v>
      </c>
      <c r="EC11" s="195">
        <f t="shared" si="21"/>
        <v>9835.3522913129455</v>
      </c>
      <c r="ED11" s="194">
        <f t="shared" si="21"/>
        <v>11963.371032968393</v>
      </c>
      <c r="EE11" s="195">
        <f t="shared" si="21"/>
        <v>18722.513156341844</v>
      </c>
      <c r="EF11" s="195">
        <f t="shared" si="21"/>
        <v>21798.723324281345</v>
      </c>
      <c r="EG11" s="196">
        <f t="shared" si="21"/>
        <v>28557.865447654789</v>
      </c>
      <c r="EH11" s="196">
        <f>SUM(EH3:EH10)</f>
        <v>40521.236480623185</v>
      </c>
      <c r="EI11" s="195">
        <f t="shared" ref="EI11:EO11" si="22">SUM(EI3:EI10)</f>
        <v>9809.1399750491619</v>
      </c>
      <c r="EJ11" s="195">
        <f t="shared" si="22"/>
        <v>10733.87620564514</v>
      </c>
      <c r="EK11" s="195">
        <f t="shared" si="22"/>
        <v>10790.921139086005</v>
      </c>
      <c r="EL11" s="194">
        <f t="shared" si="22"/>
        <v>13024.602157830786</v>
      </c>
      <c r="EM11" s="195">
        <f t="shared" si="22"/>
        <v>20543.016180694303</v>
      </c>
      <c r="EN11" s="195">
        <f t="shared" si="22"/>
        <v>23815.523296916796</v>
      </c>
      <c r="EO11" s="196">
        <f t="shared" si="22"/>
        <v>31333.937319780311</v>
      </c>
      <c r="EP11" s="196">
        <f>SUM(EP3:EP10)</f>
        <v>44358.539477611092</v>
      </c>
      <c r="EQ11" s="195">
        <f t="shared" ref="EQ11:EW11" si="23">SUM(EQ3:EQ10)</f>
        <v>10514.567547446524</v>
      </c>
      <c r="ER11" s="195">
        <f t="shared" si="23"/>
        <v>11488.903431732917</v>
      </c>
      <c r="ES11" s="195">
        <f t="shared" si="23"/>
        <v>11551.484900742922</v>
      </c>
      <c r="ET11" s="194">
        <f t="shared" si="23"/>
        <v>13922.367873375277</v>
      </c>
      <c r="EU11" s="195">
        <f t="shared" si="23"/>
        <v>22003.470979179441</v>
      </c>
      <c r="EV11" s="195">
        <f t="shared" si="23"/>
        <v>25473.852774118201</v>
      </c>
      <c r="EW11" s="196">
        <f t="shared" si="23"/>
        <v>33554.95587992236</v>
      </c>
      <c r="EX11" s="196">
        <f>SUM(EX3:EX10)</f>
        <v>47477.323753297635</v>
      </c>
      <c r="EY11" s="195">
        <f t="shared" ref="EY11:FE11" si="24">SUM(EY3:EY10)</f>
        <v>10823.632854990894</v>
      </c>
      <c r="EZ11" s="195">
        <f t="shared" si="24"/>
        <v>11832.479395585693</v>
      </c>
      <c r="FA11" s="195">
        <f t="shared" si="24"/>
        <v>11897.144012679999</v>
      </c>
      <c r="FB11" s="194">
        <f t="shared" si="24"/>
        <v>14302.266904003149</v>
      </c>
      <c r="FC11" s="195">
        <f t="shared" si="24"/>
        <v>22656.112250576589</v>
      </c>
      <c r="FD11" s="195">
        <f t="shared" si="24"/>
        <v>26199.410916683144</v>
      </c>
      <c r="FE11" s="196">
        <f t="shared" si="24"/>
        <v>34553.256263256582</v>
      </c>
      <c r="FF11" s="196">
        <f>SUM(FF3:FF10)</f>
        <v>48855.523167259729</v>
      </c>
      <c r="FK11" s="23"/>
    </row>
    <row r="12" spans="1:173" ht="11.25" customHeight="1" x14ac:dyDescent="0.2">
      <c r="B12" s="197" t="s">
        <v>267</v>
      </c>
      <c r="C12" s="198">
        <v>-26</v>
      </c>
      <c r="D12" s="199">
        <f>G12-C12</f>
        <v>-20</v>
      </c>
      <c r="E12" s="199">
        <v>-33</v>
      </c>
      <c r="F12" s="200">
        <f>J12-I12</f>
        <v>-126</v>
      </c>
      <c r="G12" s="199">
        <v>-46</v>
      </c>
      <c r="H12" s="199">
        <f>J12-G12</f>
        <v>-159</v>
      </c>
      <c r="I12" s="201">
        <v>-79</v>
      </c>
      <c r="J12" s="180">
        <v>-205</v>
      </c>
      <c r="K12" s="198">
        <v>-90</v>
      </c>
      <c r="L12" s="199">
        <f>O12-K12</f>
        <v>-146</v>
      </c>
      <c r="M12" s="199">
        <v>-63</v>
      </c>
      <c r="N12" s="200">
        <f>R12-Q12</f>
        <v>-13</v>
      </c>
      <c r="O12" s="199">
        <v>-236</v>
      </c>
      <c r="P12" s="199">
        <f>R12-O12</f>
        <v>-75</v>
      </c>
      <c r="Q12" s="201">
        <v>-298</v>
      </c>
      <c r="R12" s="180">
        <v>-311</v>
      </c>
      <c r="S12" s="198">
        <v>140</v>
      </c>
      <c r="T12" s="199">
        <f t="shared" si="6"/>
        <v>165</v>
      </c>
      <c r="U12" s="199">
        <f t="shared" si="7"/>
        <v>162</v>
      </c>
      <c r="V12" s="200">
        <f>Z12-Y12</f>
        <v>219</v>
      </c>
      <c r="W12" s="199">
        <v>305</v>
      </c>
      <c r="X12" s="199">
        <f>Z12-W12</f>
        <v>381</v>
      </c>
      <c r="Y12" s="201">
        <v>467</v>
      </c>
      <c r="Z12" s="180">
        <f>Divisional!M14</f>
        <v>686</v>
      </c>
      <c r="AA12" s="198">
        <v>172</v>
      </c>
      <c r="AB12" s="199">
        <f>AE12-AA12</f>
        <v>147</v>
      </c>
      <c r="AC12" s="199">
        <v>154</v>
      </c>
      <c r="AD12" s="200">
        <f>+AF12-AC12</f>
        <v>228</v>
      </c>
      <c r="AE12" s="199">
        <v>319</v>
      </c>
      <c r="AF12" s="199">
        <f t="shared" si="8"/>
        <v>382</v>
      </c>
      <c r="AG12" s="201">
        <f>+AG13-AG11</f>
        <v>473</v>
      </c>
      <c r="AH12" s="180">
        <f>Divisional!N14</f>
        <v>701</v>
      </c>
      <c r="AI12" s="198">
        <v>199</v>
      </c>
      <c r="AJ12" s="199">
        <f>AM12-AI12</f>
        <v>145</v>
      </c>
      <c r="AK12" s="199">
        <v>37</v>
      </c>
      <c r="AL12" s="200">
        <f>+AN12-AK12</f>
        <v>38</v>
      </c>
      <c r="AM12" s="199">
        <v>344</v>
      </c>
      <c r="AN12" s="199">
        <f>+AP12-AM12</f>
        <v>75</v>
      </c>
      <c r="AO12" s="201">
        <f>+AI12+AJ12+AK12</f>
        <v>381</v>
      </c>
      <c r="AP12" s="180">
        <f>Divisional!O14</f>
        <v>419</v>
      </c>
      <c r="AQ12" s="198"/>
      <c r="AR12" s="199"/>
      <c r="AS12" s="199"/>
      <c r="AT12" s="200"/>
      <c r="AU12" s="199"/>
      <c r="AV12" s="199"/>
      <c r="AW12" s="201"/>
      <c r="AX12" s="180"/>
      <c r="AY12" s="198">
        <v>-54</v>
      </c>
      <c r="AZ12" s="199">
        <f>BC12-AY12</f>
        <v>-59</v>
      </c>
      <c r="BA12" s="199">
        <v>22</v>
      </c>
      <c r="BB12" s="200">
        <f>+BF12-BA12-AZ12-AY12</f>
        <v>66</v>
      </c>
      <c r="BC12" s="199">
        <v>-113</v>
      </c>
      <c r="BD12" s="199">
        <f>BA12+BB12</f>
        <v>88</v>
      </c>
      <c r="BE12" s="201">
        <f>BC12+BA12</f>
        <v>-91</v>
      </c>
      <c r="BF12" s="180">
        <f>Divisional!Q14</f>
        <v>-25</v>
      </c>
      <c r="BG12" s="198">
        <v>-54</v>
      </c>
      <c r="BH12" s="199">
        <f>BK12-BG12</f>
        <v>-59</v>
      </c>
      <c r="BI12" s="199">
        <v>22</v>
      </c>
      <c r="BJ12" s="200">
        <f>+BN12-BI12-BH12-BG12</f>
        <v>66</v>
      </c>
      <c r="BK12" s="199">
        <v>-113</v>
      </c>
      <c r="BL12" s="199">
        <f>BI12+BJ12</f>
        <v>88</v>
      </c>
      <c r="BM12" s="201">
        <f>BK12+BI12</f>
        <v>-91</v>
      </c>
      <c r="BN12" s="180">
        <f>+Divisional!R14</f>
        <v>-25</v>
      </c>
      <c r="BO12" s="198">
        <v>64</v>
      </c>
      <c r="BP12" s="199">
        <v>149</v>
      </c>
      <c r="BQ12" s="199">
        <v>85</v>
      </c>
      <c r="BR12" s="200">
        <f>BV12-BU12</f>
        <v>160</v>
      </c>
      <c r="BS12" s="199">
        <f>BO12+BP12</f>
        <v>213</v>
      </c>
      <c r="BT12" s="199">
        <f>BV12-BS12</f>
        <v>245</v>
      </c>
      <c r="BU12" s="201">
        <f>BO12+BP12+BQ12</f>
        <v>298</v>
      </c>
      <c r="BV12" s="180">
        <f>Divisional!S14</f>
        <v>458</v>
      </c>
      <c r="BW12" s="198">
        <v>0</v>
      </c>
      <c r="BX12" s="199">
        <f t="shared" si="3"/>
        <v>135</v>
      </c>
      <c r="BY12" s="199">
        <v>0</v>
      </c>
      <c r="BZ12" s="200">
        <v>0</v>
      </c>
      <c r="CA12" s="199">
        <v>135</v>
      </c>
      <c r="CB12" s="199">
        <f>CD12-CA12</f>
        <v>-2</v>
      </c>
      <c r="CC12" s="201">
        <f>BW12+BX12+BY12</f>
        <v>135</v>
      </c>
      <c r="CD12" s="180">
        <f>Divisional!T14</f>
        <v>133</v>
      </c>
      <c r="CE12" s="198">
        <v>-53</v>
      </c>
      <c r="CF12" s="199">
        <f>CI12-CE12</f>
        <v>-54</v>
      </c>
      <c r="CG12" s="199">
        <v>-15</v>
      </c>
      <c r="CH12" s="200">
        <f>CL12-CG12-CF12-CE12</f>
        <v>-2</v>
      </c>
      <c r="CI12" s="199">
        <v>-107</v>
      </c>
      <c r="CJ12" s="199">
        <f>CL12-CI12</f>
        <v>-17</v>
      </c>
      <c r="CK12" s="201">
        <f>CE12+CF12+CG12</f>
        <v>-122</v>
      </c>
      <c r="CL12" s="180">
        <f>Divisional!U14</f>
        <v>-124</v>
      </c>
      <c r="CM12" s="198">
        <v>23</v>
      </c>
      <c r="CN12" s="199">
        <f>CQ12-CM12</f>
        <v>92</v>
      </c>
      <c r="CO12" s="199">
        <v>203</v>
      </c>
      <c r="CP12" s="200">
        <f>CR12-CO12</f>
        <v>170</v>
      </c>
      <c r="CQ12" s="199">
        <v>115</v>
      </c>
      <c r="CR12" s="199">
        <f>CT12-CQ12</f>
        <v>373</v>
      </c>
      <c r="CS12" s="201">
        <f>CM12+CN12+CO12</f>
        <v>318</v>
      </c>
      <c r="CT12" s="180">
        <f>Divisional!V14</f>
        <v>488</v>
      </c>
      <c r="CU12" s="198">
        <v>87</v>
      </c>
      <c r="CV12" s="199">
        <f>CY12-CU12</f>
        <v>97</v>
      </c>
      <c r="CW12" s="199">
        <v>112</v>
      </c>
      <c r="CX12" s="179">
        <f>CZ12-CW12</f>
        <v>156</v>
      </c>
      <c r="CY12" s="199">
        <v>184</v>
      </c>
      <c r="CZ12" s="4">
        <f>DB12-CY12</f>
        <v>268</v>
      </c>
      <c r="DA12" s="180">
        <f>CU12+CV12+CW12</f>
        <v>296</v>
      </c>
      <c r="DB12" s="180">
        <f>Divisional!W14</f>
        <v>452</v>
      </c>
      <c r="DC12" s="4">
        <v>60</v>
      </c>
      <c r="DD12" s="4">
        <f>DG12-DC12</f>
        <v>97</v>
      </c>
      <c r="DE12" s="199">
        <v>43</v>
      </c>
      <c r="DF12" s="179">
        <f>DH12-DE12</f>
        <v>199</v>
      </c>
      <c r="DG12" s="199">
        <v>157</v>
      </c>
      <c r="DH12" s="4">
        <f>DJ12-DG12</f>
        <v>242</v>
      </c>
      <c r="DI12" s="180">
        <f>DC12+DD12+DE12</f>
        <v>200</v>
      </c>
      <c r="DJ12" s="180">
        <f>Divisional!X14</f>
        <v>399</v>
      </c>
      <c r="DK12" s="4">
        <v>123</v>
      </c>
      <c r="DL12" s="4">
        <f>DO12-DK12</f>
        <v>-27</v>
      </c>
      <c r="DM12" s="4">
        <v>-138</v>
      </c>
      <c r="DN12" s="179">
        <f>DP12-DM12</f>
        <v>-98</v>
      </c>
      <c r="DO12" s="199">
        <v>96</v>
      </c>
      <c r="DP12" s="4">
        <f>DR12-DO12</f>
        <v>-236</v>
      </c>
      <c r="DQ12" s="180">
        <f>DK12+DL12+DM12</f>
        <v>-42</v>
      </c>
      <c r="DR12" s="180">
        <f>Divisional!Y14</f>
        <v>-140</v>
      </c>
      <c r="DS12" s="4">
        <v>-136</v>
      </c>
      <c r="DT12" s="4">
        <f>DW12-DS12</f>
        <v>-190</v>
      </c>
      <c r="DU12" s="11">
        <f>DX12/2</f>
        <v>0</v>
      </c>
      <c r="DV12" s="181">
        <f>DX12-DU12</f>
        <v>0</v>
      </c>
      <c r="DW12" s="199">
        <v>-326</v>
      </c>
      <c r="DX12" s="11">
        <f>DZ12-DW12</f>
        <v>0</v>
      </c>
      <c r="DY12" s="182">
        <f>DS12+DT12+DU12</f>
        <v>-326</v>
      </c>
      <c r="DZ12" s="182">
        <f>Divisional!Z14</f>
        <v>-326</v>
      </c>
      <c r="EA12" s="11">
        <f>EE12/2</f>
        <v>0</v>
      </c>
      <c r="EB12" s="11">
        <f>EE12-EA12</f>
        <v>0</v>
      </c>
      <c r="EC12" s="11">
        <f>EF12/2</f>
        <v>0</v>
      </c>
      <c r="ED12" s="181">
        <f>EF12-EC12</f>
        <v>0</v>
      </c>
      <c r="EE12" s="11">
        <f>EH12/2</f>
        <v>0</v>
      </c>
      <c r="EF12" s="11">
        <f>EH12-EE12</f>
        <v>0</v>
      </c>
      <c r="EG12" s="182">
        <f>EA12+EB12+EC12</f>
        <v>0</v>
      </c>
      <c r="EH12" s="182">
        <f>Divisional!AA14</f>
        <v>0</v>
      </c>
      <c r="EI12" s="11">
        <f>EM12/2</f>
        <v>0</v>
      </c>
      <c r="EJ12" s="11">
        <f>EM12-EI12</f>
        <v>0</v>
      </c>
      <c r="EK12" s="11">
        <f>EN12/2</f>
        <v>0</v>
      </c>
      <c r="EL12" s="181">
        <f>EN12-EK12</f>
        <v>0</v>
      </c>
      <c r="EM12" s="11">
        <f>EP12/2</f>
        <v>0</v>
      </c>
      <c r="EN12" s="11">
        <f>EP12-EM12</f>
        <v>0</v>
      </c>
      <c r="EO12" s="182">
        <f>EI12+EJ12+EK12</f>
        <v>0</v>
      </c>
      <c r="EP12" s="182">
        <f>Divisional!AB14</f>
        <v>0</v>
      </c>
      <c r="EQ12" s="11">
        <f>EU12/2</f>
        <v>0</v>
      </c>
      <c r="ER12" s="11">
        <f>EU12-EQ12</f>
        <v>0</v>
      </c>
      <c r="ES12" s="11">
        <f>EV12/2</f>
        <v>0</v>
      </c>
      <c r="ET12" s="181">
        <f>EV12-ES12</f>
        <v>0</v>
      </c>
      <c r="EU12" s="11">
        <f>EX12/2</f>
        <v>0</v>
      </c>
      <c r="EV12" s="11">
        <f>EX12-EU12</f>
        <v>0</v>
      </c>
      <c r="EW12" s="182">
        <f>EQ12+ER12+ES12</f>
        <v>0</v>
      </c>
      <c r="EX12" s="182">
        <f>Divisional!AC14</f>
        <v>0</v>
      </c>
      <c r="EY12" s="11">
        <f>FC12/2</f>
        <v>0</v>
      </c>
      <c r="EZ12" s="11">
        <f>FC12-EY12</f>
        <v>0</v>
      </c>
      <c r="FA12" s="11">
        <f>FD12/2</f>
        <v>0</v>
      </c>
      <c r="FB12" s="181">
        <f>FD12-FA12</f>
        <v>0</v>
      </c>
      <c r="FC12" s="11">
        <f>FF12/2</f>
        <v>0</v>
      </c>
      <c r="FD12" s="11">
        <f>FF12-FC12</f>
        <v>0</v>
      </c>
      <c r="FE12" s="182">
        <f>EY12+EZ12+FA12</f>
        <v>0</v>
      </c>
      <c r="FF12" s="182">
        <f>Divisional!AD14</f>
        <v>0</v>
      </c>
    </row>
    <row r="13" spans="1:173" ht="11.25" customHeight="1" x14ac:dyDescent="0.2">
      <c r="A13" s="186" t="s">
        <v>268</v>
      </c>
      <c r="C13" s="190">
        <f t="shared" ref="C13:AF13" si="25">C11+C12</f>
        <v>3307</v>
      </c>
      <c r="D13" s="191">
        <f t="shared" si="25"/>
        <v>3554</v>
      </c>
      <c r="E13" s="191">
        <f t="shared" si="25"/>
        <v>3328</v>
      </c>
      <c r="F13" s="192">
        <f t="shared" si="25"/>
        <v>3969</v>
      </c>
      <c r="G13" s="191">
        <f t="shared" si="25"/>
        <v>6861</v>
      </c>
      <c r="H13" s="191">
        <f t="shared" si="25"/>
        <v>7297</v>
      </c>
      <c r="I13" s="193">
        <f t="shared" si="25"/>
        <v>10189</v>
      </c>
      <c r="J13" s="193">
        <f t="shared" si="25"/>
        <v>14158</v>
      </c>
      <c r="K13" s="190">
        <f t="shared" si="25"/>
        <v>3353</v>
      </c>
      <c r="L13" s="191">
        <f t="shared" si="25"/>
        <v>3619</v>
      </c>
      <c r="M13" s="191">
        <f t="shared" si="25"/>
        <v>3526</v>
      </c>
      <c r="N13" s="192">
        <f t="shared" si="25"/>
        <v>4545</v>
      </c>
      <c r="O13" s="191">
        <f t="shared" si="25"/>
        <v>6972</v>
      </c>
      <c r="P13" s="191">
        <f t="shared" si="25"/>
        <v>8072</v>
      </c>
      <c r="Q13" s="193">
        <f t="shared" si="25"/>
        <v>10499</v>
      </c>
      <c r="R13" s="193">
        <f t="shared" si="25"/>
        <v>15044</v>
      </c>
      <c r="S13" s="190">
        <f t="shared" si="25"/>
        <v>4075</v>
      </c>
      <c r="T13" s="191">
        <f t="shared" si="25"/>
        <v>4633</v>
      </c>
      <c r="U13" s="191">
        <f t="shared" si="25"/>
        <v>4303</v>
      </c>
      <c r="V13" s="192">
        <f t="shared" si="25"/>
        <v>5089</v>
      </c>
      <c r="W13" s="191">
        <f t="shared" si="25"/>
        <v>8708</v>
      </c>
      <c r="X13" s="191">
        <f t="shared" si="25"/>
        <v>9392</v>
      </c>
      <c r="Y13" s="193">
        <f t="shared" si="25"/>
        <v>13011</v>
      </c>
      <c r="Z13" s="193">
        <f t="shared" si="25"/>
        <v>18100</v>
      </c>
      <c r="AA13" s="190">
        <f t="shared" si="25"/>
        <v>4412</v>
      </c>
      <c r="AB13" s="191">
        <f t="shared" si="25"/>
        <v>4843</v>
      </c>
      <c r="AC13" s="191">
        <f t="shared" si="25"/>
        <v>4141</v>
      </c>
      <c r="AD13" s="192">
        <f t="shared" si="25"/>
        <v>4505</v>
      </c>
      <c r="AE13" s="191">
        <f t="shared" si="25"/>
        <v>9255</v>
      </c>
      <c r="AF13" s="191">
        <f t="shared" si="25"/>
        <v>8176</v>
      </c>
      <c r="AG13" s="193">
        <f>+AA13+AB13+AC13</f>
        <v>13396</v>
      </c>
      <c r="AH13" s="193">
        <f t="shared" ref="AH13:AN13" si="26">AH11+AH12</f>
        <v>16482</v>
      </c>
      <c r="AI13" s="190">
        <f t="shared" si="26"/>
        <v>4181</v>
      </c>
      <c r="AJ13" s="191">
        <f t="shared" si="26"/>
        <v>4201</v>
      </c>
      <c r="AK13" s="191">
        <f t="shared" si="26"/>
        <v>3852</v>
      </c>
      <c r="AL13" s="192">
        <f t="shared" si="26"/>
        <v>4706</v>
      </c>
      <c r="AM13" s="191">
        <f t="shared" si="26"/>
        <v>8382</v>
      </c>
      <c r="AN13" s="191">
        <f t="shared" si="26"/>
        <v>8558</v>
      </c>
      <c r="AO13" s="193">
        <f>+AI13+AJ13+AK13</f>
        <v>12234</v>
      </c>
      <c r="AP13" s="193">
        <f>AP11+AP12</f>
        <v>16940</v>
      </c>
      <c r="AQ13" s="190"/>
      <c r="AR13" s="191"/>
      <c r="AS13" s="191"/>
      <c r="AT13" s="192"/>
      <c r="AU13" s="191"/>
      <c r="AV13" s="191"/>
      <c r="AW13" s="193"/>
      <c r="AX13" s="193"/>
      <c r="AY13" s="190">
        <f>AY11+AY12</f>
        <v>4168</v>
      </c>
      <c r="AZ13" s="191">
        <f>AZ11+AZ12</f>
        <v>5225</v>
      </c>
      <c r="BA13" s="191">
        <f>BA11+BA12</f>
        <v>5370</v>
      </c>
      <c r="BB13" s="192">
        <f>+BF13-BE13</f>
        <v>6262</v>
      </c>
      <c r="BC13" s="191">
        <f>BC11+BC12</f>
        <v>9393</v>
      </c>
      <c r="BD13" s="191">
        <f>+BF13-BC13</f>
        <v>11632</v>
      </c>
      <c r="BE13" s="193">
        <f>+AY13+AZ13+BA13</f>
        <v>14763</v>
      </c>
      <c r="BF13" s="193">
        <f>BF11+BF12</f>
        <v>21025</v>
      </c>
      <c r="BG13" s="190">
        <f>BG11+BG12</f>
        <v>4168</v>
      </c>
      <c r="BH13" s="191">
        <f>BH11+BH12</f>
        <v>5225</v>
      </c>
      <c r="BI13" s="191">
        <f>BI11+BI12</f>
        <v>5370</v>
      </c>
      <c r="BJ13" s="192">
        <f>+BN13-BM13</f>
        <v>6262</v>
      </c>
      <c r="BK13" s="191">
        <f>BK11+BK12</f>
        <v>9393</v>
      </c>
      <c r="BL13" s="191">
        <f>+BN13-BK13</f>
        <v>11632</v>
      </c>
      <c r="BM13" s="193">
        <f>+BG13+BH13+BI13</f>
        <v>14763</v>
      </c>
      <c r="BN13" s="193">
        <f>BN11+BN12</f>
        <v>21025</v>
      </c>
      <c r="BO13" s="190">
        <f>BO11+BO12</f>
        <v>5845</v>
      </c>
      <c r="BP13" s="191">
        <f t="shared" ref="BP13:DA13" si="27">BP11+BP12</f>
        <v>6470</v>
      </c>
      <c r="BQ13" s="191">
        <f t="shared" si="27"/>
        <v>6180</v>
      </c>
      <c r="BR13" s="192">
        <f t="shared" si="27"/>
        <v>6603</v>
      </c>
      <c r="BS13" s="191">
        <f t="shared" si="27"/>
        <v>12315</v>
      </c>
      <c r="BT13" s="191">
        <f t="shared" si="27"/>
        <v>12783</v>
      </c>
      <c r="BU13" s="193">
        <f t="shared" si="27"/>
        <v>18495</v>
      </c>
      <c r="BV13" s="193">
        <f t="shared" si="27"/>
        <v>25098</v>
      </c>
      <c r="BW13" s="190">
        <f t="shared" si="27"/>
        <v>5383</v>
      </c>
      <c r="BX13" s="191">
        <f t="shared" si="27"/>
        <v>3519</v>
      </c>
      <c r="BY13" s="191">
        <f t="shared" si="27"/>
        <v>3382</v>
      </c>
      <c r="BZ13" s="192">
        <f t="shared" si="27"/>
        <v>4349</v>
      </c>
      <c r="CA13" s="191">
        <f t="shared" si="27"/>
        <v>8902</v>
      </c>
      <c r="CB13" s="191">
        <f t="shared" si="27"/>
        <v>7729</v>
      </c>
      <c r="CC13" s="193">
        <f t="shared" si="27"/>
        <v>12284</v>
      </c>
      <c r="CD13" s="193">
        <f t="shared" si="27"/>
        <v>16631</v>
      </c>
      <c r="CE13" s="190">
        <f t="shared" si="27"/>
        <v>3289</v>
      </c>
      <c r="CF13" s="191">
        <f t="shared" si="27"/>
        <v>3480</v>
      </c>
      <c r="CG13" s="191">
        <f t="shared" si="27"/>
        <v>3719</v>
      </c>
      <c r="CH13" s="192">
        <f t="shared" si="27"/>
        <v>4645</v>
      </c>
      <c r="CI13" s="191">
        <f t="shared" si="27"/>
        <v>6769</v>
      </c>
      <c r="CJ13" s="191">
        <f t="shared" si="27"/>
        <v>8364</v>
      </c>
      <c r="CK13" s="193">
        <f t="shared" si="27"/>
        <v>10488</v>
      </c>
      <c r="CL13" s="193">
        <f t="shared" si="27"/>
        <v>15133</v>
      </c>
      <c r="CM13" s="190">
        <f t="shared" si="27"/>
        <v>4094</v>
      </c>
      <c r="CN13" s="191">
        <f>CN11+CN12</f>
        <v>4581</v>
      </c>
      <c r="CO13" s="191">
        <f t="shared" si="27"/>
        <v>5052</v>
      </c>
      <c r="CP13" s="192">
        <f t="shared" si="27"/>
        <v>5796</v>
      </c>
      <c r="CQ13" s="191">
        <f t="shared" si="27"/>
        <v>8675</v>
      </c>
      <c r="CR13" s="191">
        <f t="shared" si="27"/>
        <v>10848</v>
      </c>
      <c r="CS13" s="193">
        <f t="shared" si="27"/>
        <v>13727</v>
      </c>
      <c r="CT13" s="193">
        <f t="shared" si="27"/>
        <v>19523</v>
      </c>
      <c r="CU13" s="190">
        <f>CU11+CU12</f>
        <v>5353</v>
      </c>
      <c r="CV13" s="191">
        <f>CV11+CV12</f>
        <v>5776</v>
      </c>
      <c r="CW13" s="191">
        <f>CW11+CW12</f>
        <v>5937</v>
      </c>
      <c r="CX13" s="192">
        <f t="shared" si="27"/>
        <v>6585</v>
      </c>
      <c r="CY13" s="191">
        <f t="shared" si="27"/>
        <v>11129</v>
      </c>
      <c r="CZ13" s="191">
        <f t="shared" si="27"/>
        <v>12522</v>
      </c>
      <c r="DA13" s="193">
        <f t="shared" si="27"/>
        <v>17066</v>
      </c>
      <c r="DB13" s="193">
        <f>DB11+DB12</f>
        <v>23651</v>
      </c>
      <c r="DC13" s="191">
        <f>DC11+DC12</f>
        <v>6280</v>
      </c>
      <c r="DD13" s="191">
        <f t="shared" ref="DD13:DI13" si="28">DD11+DD12</f>
        <v>6924</v>
      </c>
      <c r="DE13" s="191">
        <f>DE11+DE12</f>
        <v>6682</v>
      </c>
      <c r="DF13" s="192">
        <f t="shared" si="28"/>
        <v>7830</v>
      </c>
      <c r="DG13" s="191">
        <f t="shared" si="28"/>
        <v>13204</v>
      </c>
      <c r="DH13" s="191">
        <f t="shared" si="28"/>
        <v>14512</v>
      </c>
      <c r="DI13" s="193">
        <f t="shared" si="28"/>
        <v>19886</v>
      </c>
      <c r="DJ13" s="193">
        <f>DJ11+DJ12</f>
        <v>27716</v>
      </c>
      <c r="DK13" s="191">
        <f>DK11+DK12</f>
        <v>7380</v>
      </c>
      <c r="DL13" s="191">
        <f t="shared" ref="DL13" si="29">DL11+DL12</f>
        <v>7485</v>
      </c>
      <c r="DM13" s="191">
        <f>DM11+DM12</f>
        <v>7714</v>
      </c>
      <c r="DN13" s="192">
        <f t="shared" ref="DN13" si="30">DN11+DN12</f>
        <v>8610.0000000000018</v>
      </c>
      <c r="DO13" s="191">
        <f t="shared" ref="DO13:DQ13" si="31">DO11+DO12</f>
        <v>14865</v>
      </c>
      <c r="DP13" s="191">
        <f t="shared" si="31"/>
        <v>16324</v>
      </c>
      <c r="DQ13" s="193">
        <f t="shared" si="31"/>
        <v>22579</v>
      </c>
      <c r="DR13" s="193">
        <f>DR11+DR12</f>
        <v>31189</v>
      </c>
      <c r="DS13" s="191">
        <f>DS11+DS12</f>
        <v>8488</v>
      </c>
      <c r="DT13" s="191">
        <f t="shared" ref="DT13" si="32">DT11+DT12</f>
        <v>8757</v>
      </c>
      <c r="DU13" s="195">
        <f t="shared" ref="DU13:DY13" si="33">DU11+DU12</f>
        <v>8806.4307888053991</v>
      </c>
      <c r="DV13" s="194">
        <f t="shared" si="33"/>
        <v>10635.251156607705</v>
      </c>
      <c r="DW13" s="191">
        <f t="shared" si="33"/>
        <v>17245</v>
      </c>
      <c r="DX13" s="195">
        <f t="shared" si="33"/>
        <v>19441.681945413104</v>
      </c>
      <c r="DY13" s="196">
        <f t="shared" si="33"/>
        <v>26054.854416037546</v>
      </c>
      <c r="DZ13" s="196">
        <f>DZ11+DZ12</f>
        <v>36690.105572645254</v>
      </c>
      <c r="EA13" s="195">
        <f>EA11+EA12</f>
        <v>8936.9802577167447</v>
      </c>
      <c r="EB13" s="195">
        <f t="shared" ref="EB13:EG13" si="34">EB11+EB12</f>
        <v>9785.532898625097</v>
      </c>
      <c r="EC13" s="195">
        <f t="shared" si="34"/>
        <v>9835.3522913129455</v>
      </c>
      <c r="ED13" s="194">
        <f t="shared" si="34"/>
        <v>11963.371032968393</v>
      </c>
      <c r="EE13" s="195">
        <f t="shared" si="34"/>
        <v>18722.513156341844</v>
      </c>
      <c r="EF13" s="195">
        <f t="shared" si="34"/>
        <v>21798.723324281345</v>
      </c>
      <c r="EG13" s="196">
        <f t="shared" si="34"/>
        <v>28557.865447654789</v>
      </c>
      <c r="EH13" s="196">
        <f>EH11+EH12</f>
        <v>40521.236480623185</v>
      </c>
      <c r="EI13" s="195">
        <f>EI11+EI12</f>
        <v>9809.1399750491619</v>
      </c>
      <c r="EJ13" s="195">
        <f t="shared" ref="EJ13:EO13" si="35">EJ11+EJ12</f>
        <v>10733.87620564514</v>
      </c>
      <c r="EK13" s="195">
        <f t="shared" si="35"/>
        <v>10790.921139086005</v>
      </c>
      <c r="EL13" s="194">
        <f t="shared" si="35"/>
        <v>13024.602157830786</v>
      </c>
      <c r="EM13" s="195">
        <f t="shared" si="35"/>
        <v>20543.016180694303</v>
      </c>
      <c r="EN13" s="195">
        <f t="shared" si="35"/>
        <v>23815.523296916796</v>
      </c>
      <c r="EO13" s="196">
        <f t="shared" si="35"/>
        <v>31333.937319780311</v>
      </c>
      <c r="EP13" s="196">
        <f>EP11+EP12</f>
        <v>44358.539477611092</v>
      </c>
      <c r="EQ13" s="195">
        <f>EQ11+EQ12</f>
        <v>10514.567547446524</v>
      </c>
      <c r="ER13" s="195">
        <f t="shared" ref="ER13:EW13" si="36">ER11+ER12</f>
        <v>11488.903431732917</v>
      </c>
      <c r="ES13" s="195">
        <f t="shared" si="36"/>
        <v>11551.484900742922</v>
      </c>
      <c r="ET13" s="194">
        <f t="shared" si="36"/>
        <v>13922.367873375277</v>
      </c>
      <c r="EU13" s="195">
        <f t="shared" si="36"/>
        <v>22003.470979179441</v>
      </c>
      <c r="EV13" s="195">
        <f t="shared" si="36"/>
        <v>25473.852774118201</v>
      </c>
      <c r="EW13" s="196">
        <f t="shared" si="36"/>
        <v>33554.95587992236</v>
      </c>
      <c r="EX13" s="196">
        <f>EX11+EX12</f>
        <v>47477.323753297635</v>
      </c>
      <c r="EY13" s="195">
        <f>EY11+EY12</f>
        <v>10823.632854990894</v>
      </c>
      <c r="EZ13" s="195">
        <f t="shared" ref="EZ13:FE13" si="37">EZ11+EZ12</f>
        <v>11832.479395585693</v>
      </c>
      <c r="FA13" s="195">
        <f t="shared" si="37"/>
        <v>11897.144012679999</v>
      </c>
      <c r="FB13" s="194">
        <f t="shared" si="37"/>
        <v>14302.266904003149</v>
      </c>
      <c r="FC13" s="195">
        <f t="shared" si="37"/>
        <v>22656.112250576589</v>
      </c>
      <c r="FD13" s="195">
        <f t="shared" si="37"/>
        <v>26199.410916683144</v>
      </c>
      <c r="FE13" s="196">
        <f t="shared" si="37"/>
        <v>34553.256263256582</v>
      </c>
      <c r="FF13" s="196">
        <f>FF11+FF12</f>
        <v>48855.523167259729</v>
      </c>
    </row>
    <row r="14" spans="1:173" s="197" customFormat="1" ht="11.25" customHeight="1" x14ac:dyDescent="0.2">
      <c r="A14" s="202"/>
      <c r="B14" s="197" t="s">
        <v>269</v>
      </c>
      <c r="C14" s="203">
        <f>C11/J11</f>
        <v>0.23205458469679036</v>
      </c>
      <c r="D14" s="204">
        <f>D11/J11</f>
        <v>0.24883380909280792</v>
      </c>
      <c r="E14" s="204">
        <f>E11/J11</f>
        <v>0.23400403815358908</v>
      </c>
      <c r="F14" s="205">
        <f>F11/J11</f>
        <v>0.28510756805681264</v>
      </c>
      <c r="G14" s="206">
        <f>G11/J11</f>
        <v>0.4808883937895983</v>
      </c>
      <c r="H14" s="206">
        <f>H11/J11</f>
        <v>0.51911160621040175</v>
      </c>
      <c r="I14" s="207">
        <f>I11/J11</f>
        <v>0.7148924319431873</v>
      </c>
      <c r="J14" s="208"/>
      <c r="K14" s="203">
        <f>K11/R11</f>
        <v>0.22422663627482906</v>
      </c>
      <c r="L14" s="204">
        <f>L11/R11</f>
        <v>0.2451970042331488</v>
      </c>
      <c r="M14" s="204">
        <f>M11/R11</f>
        <v>0.23373493975903614</v>
      </c>
      <c r="N14" s="205">
        <f>N11/R11</f>
        <v>0.296841419732986</v>
      </c>
      <c r="O14" s="206">
        <f>O11/R11</f>
        <v>0.46942364050797786</v>
      </c>
      <c r="P14" s="206">
        <f>P11/R11</f>
        <v>0.53057635949202209</v>
      </c>
      <c r="Q14" s="207">
        <f>Q11/R11</f>
        <v>0.70315858026701406</v>
      </c>
      <c r="R14" s="208"/>
      <c r="S14" s="203">
        <f>S11/Z11</f>
        <v>0.22596761226599288</v>
      </c>
      <c r="T14" s="204">
        <f>T11/Z11</f>
        <v>0.25657516940392788</v>
      </c>
      <c r="U14" s="204">
        <f>U11/Z11</f>
        <v>0.23779717468703343</v>
      </c>
      <c r="V14" s="205">
        <f>V11/Z11</f>
        <v>0.27966004364304581</v>
      </c>
      <c r="W14" s="206">
        <f>W11/Z11</f>
        <v>0.48254278166992076</v>
      </c>
      <c r="X14" s="206">
        <f>X11/Z11</f>
        <v>0.51745721833007929</v>
      </c>
      <c r="Y14" s="207">
        <f>Y11/Z11</f>
        <v>0.72033995635695414</v>
      </c>
      <c r="Z14" s="208"/>
      <c r="AA14" s="203">
        <f>AA11/AH11</f>
        <v>0.26867752360433433</v>
      </c>
      <c r="AB14" s="204">
        <f>AB11/AH11</f>
        <v>0.29757303085989478</v>
      </c>
      <c r="AC14" s="204">
        <f>AC11/AH11</f>
        <v>0.25264558646473606</v>
      </c>
      <c r="AD14" s="205">
        <f>AD11/AH11</f>
        <v>0.27102211520182495</v>
      </c>
      <c r="AE14" s="206">
        <f>AE11/AH11</f>
        <v>0.56625055446422912</v>
      </c>
      <c r="AF14" s="206">
        <f>AF11/AH11</f>
        <v>0.49388505164438251</v>
      </c>
      <c r="AG14" s="207">
        <f>AG11/AH11</f>
        <v>0.81889614092896523</v>
      </c>
      <c r="AH14" s="208"/>
      <c r="AI14" s="203">
        <f>AI11/AP11</f>
        <v>0.24102657224138974</v>
      </c>
      <c r="AJ14" s="204">
        <f>AJ11/AP11</f>
        <v>0.24550571999273652</v>
      </c>
      <c r="AK14" s="204">
        <f>AK11/AP11</f>
        <v>0.23091822528902609</v>
      </c>
      <c r="AL14" s="205">
        <f>AL11/AP11</f>
        <v>0.28254948247684764</v>
      </c>
      <c r="AM14" s="206">
        <f>AM11/AP11</f>
        <v>0.48653229223412625</v>
      </c>
      <c r="AN14" s="206">
        <f>AN11/AP11</f>
        <v>0.51346770776587369</v>
      </c>
      <c r="AO14" s="207">
        <f>AO11/AP11</f>
        <v>0.71745051752315236</v>
      </c>
      <c r="AP14" s="208"/>
      <c r="AQ14" s="203">
        <f>AQ11/AX11</f>
        <v>0.23619381934432396</v>
      </c>
      <c r="AR14" s="204">
        <f>AR11/AX11</f>
        <v>0.24459349338682379</v>
      </c>
      <c r="AS14" s="204">
        <f>AS11/AX11</f>
        <v>0.23061493136087255</v>
      </c>
      <c r="AT14" s="205">
        <f>AT11/AX11</f>
        <v>0.2885977559079797</v>
      </c>
      <c r="AU14" s="206">
        <f>AU11/AX11</f>
        <v>0.48078731273114772</v>
      </c>
      <c r="AV14" s="206">
        <f>AV11/AX11</f>
        <v>0.51921268726885228</v>
      </c>
      <c r="AW14" s="207">
        <f>AW11/AX11</f>
        <v>0.71140224409202035</v>
      </c>
      <c r="AX14" s="208"/>
      <c r="AY14" s="203">
        <f>AY11/BF11</f>
        <v>0.20057007125890736</v>
      </c>
      <c r="AZ14" s="204">
        <f>AZ11/BF11</f>
        <v>0.251021377672209</v>
      </c>
      <c r="BA14" s="204">
        <f>BA11/BF11</f>
        <v>0.25406175771971495</v>
      </c>
      <c r="BB14" s="205">
        <f>BB11/BF11</f>
        <v>0.29434679334916863</v>
      </c>
      <c r="BC14" s="206">
        <f>BC11/BF11</f>
        <v>0.45159144893111641</v>
      </c>
      <c r="BD14" s="206">
        <f>BD11/BF11</f>
        <v>0.54840855106888364</v>
      </c>
      <c r="BE14" s="207">
        <f>BE11/BF11</f>
        <v>0.70565320665083131</v>
      </c>
      <c r="BF14" s="208"/>
      <c r="BG14" s="203">
        <f>BG11/BN11</f>
        <v>0.20057007125890736</v>
      </c>
      <c r="BH14" s="204">
        <f>BH11/BN11</f>
        <v>0.251021377672209</v>
      </c>
      <c r="BI14" s="204">
        <f>BI11/BN11</f>
        <v>0.25406175771971495</v>
      </c>
      <c r="BJ14" s="205">
        <f>BJ11/BN11</f>
        <v>0.29434679334916863</v>
      </c>
      <c r="BK14" s="206">
        <f>BK11/BN11</f>
        <v>0.45159144893111641</v>
      </c>
      <c r="BL14" s="206">
        <f>BL11/BN11</f>
        <v>0.54840855106888364</v>
      </c>
      <c r="BM14" s="207">
        <f>BM11/BN11</f>
        <v>0.70565320665083131</v>
      </c>
      <c r="BN14" s="208"/>
      <c r="BO14" s="203">
        <f>BO11/BV11</f>
        <v>0.23461850649350649</v>
      </c>
      <c r="BP14" s="204">
        <f>BP11/BV11</f>
        <v>0.25653409090909091</v>
      </c>
      <c r="BQ14" s="204">
        <f>BQ11/BV11</f>
        <v>0.24736201298701299</v>
      </c>
      <c r="BR14" s="205">
        <f>BR11/BV11</f>
        <v>0.26148538961038958</v>
      </c>
      <c r="BS14" s="206">
        <f>BS11/BV11</f>
        <v>0.49115259740259742</v>
      </c>
      <c r="BT14" s="206">
        <f>BT11/BV11</f>
        <v>0.50884740259740258</v>
      </c>
      <c r="BU14" s="207">
        <f>BU11/BV11</f>
        <v>0.73851461038961042</v>
      </c>
      <c r="BV14" s="208"/>
      <c r="BW14" s="203">
        <f>BW11/CD11</f>
        <v>0.32628197357255423</v>
      </c>
      <c r="BX14" s="204">
        <f>BX11/CD11</f>
        <v>0.20511577160867983</v>
      </c>
      <c r="BY14" s="204">
        <f>BY11/CD11</f>
        <v>0.20499454479330828</v>
      </c>
      <c r="BZ14" s="205">
        <f>BZ11/CD11</f>
        <v>0.26360771002545763</v>
      </c>
      <c r="CA14" s="206">
        <f>CA11/CD11</f>
        <v>0.53139774518123406</v>
      </c>
      <c r="CB14" s="206">
        <f>CB11/CD11</f>
        <v>0.46860225481876588</v>
      </c>
      <c r="CC14" s="207">
        <f>CC11/CD11</f>
        <v>0.73639228997454231</v>
      </c>
      <c r="CD14" s="208"/>
      <c r="CE14" s="203">
        <f>CE11/CL11</f>
        <v>0.2190469948220489</v>
      </c>
      <c r="CF14" s="204">
        <f>CF11/CL11</f>
        <v>0.23163138231631383</v>
      </c>
      <c r="CG14" s="204">
        <f>CG11/CL11</f>
        <v>0.24474011928950645</v>
      </c>
      <c r="CH14" s="205">
        <f>CH11/CL11</f>
        <v>0.30458150357213082</v>
      </c>
      <c r="CI14" s="206">
        <f>CI11/CL11</f>
        <v>0.45067837713836273</v>
      </c>
      <c r="CJ14" s="206">
        <f>CJ11/CL11</f>
        <v>0.54932162286163733</v>
      </c>
      <c r="CK14" s="207">
        <f>CK11/CL11</f>
        <v>0.69541849642786913</v>
      </c>
      <c r="CL14" s="208"/>
      <c r="CM14" s="203">
        <f>CM11/CT11</f>
        <v>0.21386918833727345</v>
      </c>
      <c r="CN14" s="204">
        <f>CN11/CT11</f>
        <v>0.23582873653795638</v>
      </c>
      <c r="CO14" s="204">
        <f>CO11/CT11</f>
        <v>0.25474126608878384</v>
      </c>
      <c r="CP14" s="205">
        <f>CP11/CT11</f>
        <v>0.29556080903598636</v>
      </c>
      <c r="CQ14" s="206">
        <f>CQ11/CT11</f>
        <v>0.44969792487522986</v>
      </c>
      <c r="CR14" s="206">
        <f>CR11/CT11</f>
        <v>0.55030207512477014</v>
      </c>
      <c r="CS14" s="207">
        <f>CS11/CT11</f>
        <v>0.70443919096401364</v>
      </c>
      <c r="CT14" s="208"/>
      <c r="CU14" s="203">
        <f>CU11/DB11</f>
        <v>0.22699254278201647</v>
      </c>
      <c r="CV14" s="204">
        <f>CV11/DB11</f>
        <v>0.24479503426871849</v>
      </c>
      <c r="CW14" s="204">
        <f>CW11/DB11</f>
        <v>0.25108840898314583</v>
      </c>
      <c r="CX14" s="205">
        <f>CX11/DB11</f>
        <v>0.27712401396611924</v>
      </c>
      <c r="CY14" s="206">
        <f>CY11/DB11</f>
        <v>0.47178757705073493</v>
      </c>
      <c r="CZ14" s="206">
        <f>CZ11/DB11</f>
        <v>0.52821242294926507</v>
      </c>
      <c r="DA14" s="207">
        <f>DA11/DB11</f>
        <v>0.72287598603388081</v>
      </c>
      <c r="DB14" s="211"/>
      <c r="DC14" s="203">
        <f>DC11/DJ11</f>
        <v>0.22769703847421019</v>
      </c>
      <c r="DD14" s="204">
        <f>DD11/DJ11</f>
        <v>0.24991763370794742</v>
      </c>
      <c r="DE14" s="204">
        <f>DE11/DJ11</f>
        <v>0.24303547241644397</v>
      </c>
      <c r="DF14" s="205">
        <f>DF11/DJ11</f>
        <v>0.27934985540139839</v>
      </c>
      <c r="DG14" s="206">
        <f>DG11/DJ11</f>
        <v>0.47761467218215764</v>
      </c>
      <c r="DH14" s="206">
        <f>DH11/DJ11</f>
        <v>0.52238532781784242</v>
      </c>
      <c r="DI14" s="207">
        <f>DI11/DJ11</f>
        <v>0.72065014459860155</v>
      </c>
      <c r="DJ14" s="211"/>
      <c r="DK14" s="203">
        <f>DK11/DR11</f>
        <v>0.23163841807909605</v>
      </c>
      <c r="DL14" s="204">
        <f>DL11/DR11</f>
        <v>0.23977784161639376</v>
      </c>
      <c r="DM14" s="204">
        <f>DM11/DR11</f>
        <v>0.25063040633279071</v>
      </c>
      <c r="DN14" s="205">
        <f>DN11/DR11</f>
        <v>0.27795333397171956</v>
      </c>
      <c r="DO14" s="206">
        <f>DO11/DR11</f>
        <v>0.47141625969548978</v>
      </c>
      <c r="DP14" s="206">
        <f>DP11/DR11</f>
        <v>0.52858374030451016</v>
      </c>
      <c r="DQ14" s="207">
        <f>DQ11/DR11</f>
        <v>0.72204666602828049</v>
      </c>
      <c r="DR14" s="211"/>
      <c r="DS14" s="203">
        <f>DS11/DZ11</f>
        <v>0.23297966835206727</v>
      </c>
      <c r="DT14" s="204">
        <f>DT11/DZ11</f>
        <v>0.24170559980820336</v>
      </c>
      <c r="DU14" s="213">
        <f>DU11/DZ11</f>
        <v>0.23790808494217486</v>
      </c>
      <c r="DV14" s="209">
        <f>DV11/DZ11</f>
        <v>0.28731415669148919</v>
      </c>
      <c r="DW14" s="206">
        <f>DW11/DZ11</f>
        <v>0.47468526816027062</v>
      </c>
      <c r="DX14" s="210">
        <f>DX11/DZ11</f>
        <v>0.52522224163366404</v>
      </c>
      <c r="DY14" s="214">
        <f>DY11/DZ11</f>
        <v>0.7126858433085107</v>
      </c>
      <c r="DZ14" s="211"/>
      <c r="EA14" s="212">
        <f>EA11/EH11</f>
        <v>0.22055053186716825</v>
      </c>
      <c r="EB14" s="213">
        <f>EB11/EH11</f>
        <v>0.24149146838854318</v>
      </c>
      <c r="EC14" s="213">
        <f>EC11/EH11</f>
        <v>0.24272093217135918</v>
      </c>
      <c r="ED14" s="209">
        <f>ED11/EH11</f>
        <v>0.29523706757292922</v>
      </c>
      <c r="EE14" s="210">
        <f>EE11/EH11</f>
        <v>0.46204200025571152</v>
      </c>
      <c r="EF14" s="210">
        <f>EF11/EH11</f>
        <v>0.5379579997442886</v>
      </c>
      <c r="EG14" s="214">
        <f>EG11/EH11</f>
        <v>0.70476293242707067</v>
      </c>
      <c r="EH14" s="211"/>
      <c r="EI14" s="212">
        <f>EI11/EP11</f>
        <v>0.22113306909034031</v>
      </c>
      <c r="EJ14" s="213">
        <f>EJ11/EP11</f>
        <v>0.24197992837574839</v>
      </c>
      <c r="EK14" s="213">
        <f>EK11/EP11</f>
        <v>0.24326592503192004</v>
      </c>
      <c r="EL14" s="209">
        <f>EL11/EP11</f>
        <v>0.29362107750199129</v>
      </c>
      <c r="EM14" s="210">
        <f>EM11/EP11</f>
        <v>0.46311299746608875</v>
      </c>
      <c r="EN14" s="210">
        <f>EN11/EP11</f>
        <v>0.53688700253391142</v>
      </c>
      <c r="EO14" s="214">
        <f>EO11/EP11</f>
        <v>0.70637892249800882</v>
      </c>
      <c r="EP14" s="211"/>
      <c r="EQ14" s="212">
        <f>EQ11/EX11</f>
        <v>0.22146504301890466</v>
      </c>
      <c r="ER14" s="213">
        <f>ER11/EX11</f>
        <v>0.24198717458110583</v>
      </c>
      <c r="ES14" s="213">
        <f>ES11/EX11</f>
        <v>0.24330530846192841</v>
      </c>
      <c r="ET14" s="209">
        <f>ET11/EX11</f>
        <v>0.29324247393806124</v>
      </c>
      <c r="EU14" s="210">
        <f>EU11/EX11</f>
        <v>0.46345221760001049</v>
      </c>
      <c r="EV14" s="210">
        <f>EV11/EX11</f>
        <v>0.53654778239998968</v>
      </c>
      <c r="EW14" s="214">
        <f>EW11/EX11</f>
        <v>0.70675752606193887</v>
      </c>
      <c r="EX14" s="211"/>
      <c r="EY14" s="212">
        <f>EY11/FF11</f>
        <v>0.22154368950129869</v>
      </c>
      <c r="EZ14" s="213">
        <f>EZ11/FF11</f>
        <v>0.24219327986881872</v>
      </c>
      <c r="FA14" s="213">
        <f>FA11/FF11</f>
        <v>0.24351686854215918</v>
      </c>
      <c r="FB14" s="209">
        <f>FB11/FF11</f>
        <v>0.29274616208772353</v>
      </c>
      <c r="FC14" s="210">
        <f>FC11/FF11</f>
        <v>0.46373696937011744</v>
      </c>
      <c r="FD14" s="210">
        <f>FD11/FF11</f>
        <v>0.53626303062988256</v>
      </c>
      <c r="FE14" s="214">
        <f>FE11/FF11</f>
        <v>0.70725383791227647</v>
      </c>
      <c r="FF14" s="211"/>
    </row>
    <row r="15" spans="1:173" ht="11.25" customHeight="1" x14ac:dyDescent="0.2">
      <c r="A15" s="186"/>
      <c r="B15" s="197"/>
      <c r="C15" s="190"/>
      <c r="D15" s="191"/>
      <c r="E15" s="191"/>
      <c r="F15" s="192"/>
      <c r="G15" s="191"/>
      <c r="H15" s="191"/>
      <c r="I15" s="193"/>
      <c r="J15" s="193"/>
      <c r="K15" s="190"/>
      <c r="L15" s="191"/>
      <c r="M15" s="191"/>
      <c r="N15" s="192"/>
      <c r="O15" s="191"/>
      <c r="P15" s="191"/>
      <c r="Q15" s="193"/>
      <c r="R15" s="193"/>
      <c r="S15" s="190"/>
      <c r="T15" s="191"/>
      <c r="U15" s="191"/>
      <c r="V15" s="192"/>
      <c r="W15" s="191"/>
      <c r="X15" s="191"/>
      <c r="Y15" s="193"/>
      <c r="Z15" s="193"/>
      <c r="AA15" s="190"/>
      <c r="AB15" s="191"/>
      <c r="AC15" s="191"/>
      <c r="AD15" s="192"/>
      <c r="AE15" s="191"/>
      <c r="AF15" s="191"/>
      <c r="AG15" s="193"/>
      <c r="AH15" s="193"/>
      <c r="AI15" s="190"/>
      <c r="AJ15" s="191"/>
      <c r="AK15" s="191"/>
      <c r="AL15" s="192"/>
      <c r="AM15" s="191"/>
      <c r="AN15" s="191"/>
      <c r="AO15" s="193"/>
      <c r="AP15" s="193"/>
      <c r="AQ15" s="190"/>
      <c r="AR15" s="191"/>
      <c r="AS15" s="191"/>
      <c r="AT15" s="192"/>
      <c r="AU15" s="191"/>
      <c r="AV15" s="191"/>
      <c r="AW15" s="193"/>
      <c r="AX15" s="193"/>
      <c r="AY15" s="190"/>
      <c r="AZ15" s="191"/>
      <c r="BA15" s="191"/>
      <c r="BB15" s="192"/>
      <c r="BC15" s="191"/>
      <c r="BD15" s="191"/>
      <c r="BE15" s="193"/>
      <c r="BF15" s="193"/>
      <c r="BG15" s="190"/>
      <c r="BH15" s="191"/>
      <c r="BI15" s="191"/>
      <c r="BJ15" s="192"/>
      <c r="BK15" s="191"/>
      <c r="BL15" s="191"/>
      <c r="BM15" s="193"/>
      <c r="BN15" s="193"/>
      <c r="BO15" s="190"/>
      <c r="BP15" s="191"/>
      <c r="BQ15" s="191"/>
      <c r="BR15" s="192"/>
      <c r="BS15" s="191"/>
      <c r="BT15" s="191"/>
      <c r="BU15" s="193"/>
      <c r="BV15" s="193"/>
      <c r="BW15" s="190"/>
      <c r="BX15" s="191"/>
      <c r="BY15" s="191"/>
      <c r="BZ15" s="192"/>
      <c r="CA15" s="191"/>
      <c r="CB15" s="191"/>
      <c r="CC15" s="193"/>
      <c r="CD15" s="193"/>
      <c r="CE15" s="190"/>
      <c r="CF15" s="191"/>
      <c r="CG15" s="191"/>
      <c r="CH15" s="192"/>
      <c r="CI15" s="191"/>
      <c r="CJ15" s="191"/>
      <c r="CK15" s="193"/>
      <c r="CL15" s="193"/>
      <c r="CM15" s="65"/>
      <c r="CN15" s="124"/>
      <c r="CO15" s="124"/>
      <c r="CP15" s="215"/>
      <c r="CQ15" s="191"/>
      <c r="CR15" s="191"/>
      <c r="CS15" s="193"/>
      <c r="CT15" s="193"/>
      <c r="CU15" s="216"/>
      <c r="CV15" s="217"/>
      <c r="CW15" s="217"/>
      <c r="CX15" s="218"/>
      <c r="CY15" s="195"/>
      <c r="CZ15" s="195"/>
      <c r="DA15" s="196"/>
      <c r="DB15" s="196"/>
      <c r="DC15" s="195"/>
      <c r="DD15" s="195"/>
      <c r="DE15" s="195"/>
      <c r="DF15" s="194"/>
      <c r="DG15" s="195"/>
      <c r="DH15" s="195"/>
      <c r="DI15" s="196"/>
      <c r="DJ15" s="196"/>
      <c r="DK15" s="195"/>
      <c r="DL15" s="195"/>
      <c r="DM15" s="195"/>
      <c r="DN15" s="194"/>
      <c r="DO15" s="195"/>
      <c r="DP15" s="195"/>
      <c r="DQ15" s="196"/>
      <c r="DR15" s="196"/>
      <c r="DS15" s="195"/>
      <c r="DT15" s="195"/>
      <c r="DU15" s="195"/>
      <c r="DV15" s="194"/>
      <c r="DW15" s="195"/>
      <c r="DX15" s="195"/>
      <c r="DY15" s="196"/>
      <c r="DZ15" s="196"/>
      <c r="EA15" s="195"/>
      <c r="EB15" s="195"/>
      <c r="EC15" s="195"/>
      <c r="ED15" s="194"/>
      <c r="EE15" s="195"/>
      <c r="EF15" s="195"/>
      <c r="EG15" s="196"/>
      <c r="EH15" s="196"/>
      <c r="EI15" s="195"/>
      <c r="EJ15" s="195"/>
      <c r="EK15" s="195"/>
      <c r="EL15" s="194"/>
      <c r="EM15" s="195"/>
      <c r="EN15" s="195"/>
      <c r="EO15" s="196"/>
      <c r="EP15" s="196"/>
      <c r="EQ15" s="195"/>
      <c r="ER15" s="195"/>
      <c r="ES15" s="195"/>
      <c r="ET15" s="194"/>
      <c r="EU15" s="195"/>
      <c r="EV15" s="195"/>
      <c r="EW15" s="196"/>
      <c r="EX15" s="196"/>
      <c r="EY15" s="195"/>
      <c r="EZ15" s="195"/>
      <c r="FA15" s="195"/>
      <c r="FB15" s="194"/>
      <c r="FC15" s="195"/>
      <c r="FD15" s="195"/>
      <c r="FE15" s="196"/>
      <c r="FF15" s="196"/>
    </row>
    <row r="16" spans="1:173" ht="11.25" customHeight="1" x14ac:dyDescent="0.2">
      <c r="A16" s="219" t="s">
        <v>270</v>
      </c>
      <c r="C16" s="38"/>
      <c r="F16" s="179"/>
      <c r="I16" s="180"/>
      <c r="J16" s="180"/>
      <c r="K16" s="38"/>
      <c r="N16" s="179"/>
      <c r="Q16" s="180"/>
      <c r="R16" s="180"/>
      <c r="S16" s="38"/>
      <c r="V16" s="179"/>
      <c r="Y16" s="180"/>
      <c r="Z16" s="180"/>
      <c r="AA16" s="38"/>
      <c r="AD16" s="179"/>
      <c r="AG16" s="180"/>
      <c r="AH16" s="180"/>
      <c r="AI16" s="38"/>
      <c r="AL16" s="179"/>
      <c r="AO16" s="180"/>
      <c r="AP16" s="180"/>
      <c r="AQ16" s="38"/>
      <c r="AT16" s="179"/>
      <c r="AW16" s="180"/>
      <c r="AX16" s="180"/>
      <c r="AY16" s="38"/>
      <c r="BB16" s="179"/>
      <c r="BE16" s="180"/>
      <c r="BF16" s="180"/>
      <c r="BG16" s="38"/>
      <c r="BJ16" s="179"/>
      <c r="BM16" s="180"/>
      <c r="BN16" s="180"/>
      <c r="BO16" s="38"/>
      <c r="BR16" s="179"/>
      <c r="BU16" s="180"/>
      <c r="BV16" s="180"/>
      <c r="BW16" s="38"/>
      <c r="BZ16" s="179"/>
      <c r="CC16" s="180"/>
      <c r="CD16" s="180"/>
      <c r="CE16" s="38"/>
      <c r="CH16" s="179"/>
      <c r="CK16" s="180"/>
      <c r="CL16" s="180"/>
      <c r="CM16" s="38"/>
      <c r="CP16" s="179"/>
      <c r="CS16" s="180"/>
      <c r="CT16" s="180"/>
      <c r="CX16" s="179"/>
      <c r="DA16" s="180"/>
      <c r="DB16" s="180"/>
      <c r="DF16" s="179"/>
      <c r="DI16" s="180"/>
      <c r="DJ16" s="180"/>
      <c r="DN16" s="179"/>
      <c r="DQ16" s="180"/>
      <c r="DR16" s="180"/>
      <c r="DV16" s="179"/>
      <c r="DY16" s="180"/>
      <c r="DZ16" s="180"/>
      <c r="ED16" s="179"/>
      <c r="EG16" s="180"/>
      <c r="EH16" s="180"/>
      <c r="EL16" s="179"/>
      <c r="EO16" s="180"/>
      <c r="EP16" s="180"/>
      <c r="ET16" s="179"/>
      <c r="EW16" s="180"/>
      <c r="EX16" s="180"/>
      <c r="FB16" s="179"/>
      <c r="FE16" s="180"/>
      <c r="FF16" s="180"/>
    </row>
    <row r="17" spans="1:162" ht="11.25" customHeight="1" x14ac:dyDescent="0.2">
      <c r="B17" s="197" t="s">
        <v>68</v>
      </c>
      <c r="C17" s="220"/>
      <c r="D17" s="221"/>
      <c r="E17" s="221"/>
      <c r="F17" s="222"/>
      <c r="G17" s="221"/>
      <c r="H17" s="221"/>
      <c r="I17" s="223"/>
      <c r="J17" s="223"/>
      <c r="K17" s="220">
        <f t="shared" ref="K17:AN17" si="38">K3/C3-1</f>
        <v>2.2408963585434094E-2</v>
      </c>
      <c r="L17" s="221">
        <f t="shared" si="38"/>
        <v>2.7571580063626699E-2</v>
      </c>
      <c r="M17" s="221">
        <f t="shared" si="38"/>
        <v>9.7684923771880205E-2</v>
      </c>
      <c r="N17" s="222">
        <f t="shared" si="38"/>
        <v>0.13926408942710755</v>
      </c>
      <c r="O17" s="221">
        <f t="shared" si="38"/>
        <v>2.5061291201307512E-2</v>
      </c>
      <c r="P17" s="221">
        <f t="shared" si="38"/>
        <v>0.1204696273608985</v>
      </c>
      <c r="Q17" s="223">
        <f t="shared" si="38"/>
        <v>4.8695332598309493E-2</v>
      </c>
      <c r="R17" s="223">
        <f t="shared" si="38"/>
        <v>7.4318091975227318E-2</v>
      </c>
      <c r="S17" s="220">
        <f t="shared" si="38"/>
        <v>0.13424657534246576</v>
      </c>
      <c r="T17" s="221">
        <f t="shared" si="38"/>
        <v>0.24664602683178538</v>
      </c>
      <c r="U17" s="221">
        <f t="shared" si="38"/>
        <v>0.14197530864197527</v>
      </c>
      <c r="V17" s="222">
        <f t="shared" si="38"/>
        <v>6.827473426001629E-2</v>
      </c>
      <c r="W17" s="221">
        <f t="shared" si="38"/>
        <v>0.19213393568960946</v>
      </c>
      <c r="X17" s="221">
        <f t="shared" si="38"/>
        <v>0.10091116173120729</v>
      </c>
      <c r="Y17" s="223">
        <f t="shared" si="38"/>
        <v>0.17504818643770803</v>
      </c>
      <c r="Z17" s="223">
        <f t="shared" si="38"/>
        <v>0.14301484116276209</v>
      </c>
      <c r="AA17" s="220">
        <f t="shared" si="38"/>
        <v>0.11159420289855082</v>
      </c>
      <c r="AB17" s="221">
        <f t="shared" si="38"/>
        <v>5.7947019867549576E-2</v>
      </c>
      <c r="AC17" s="221">
        <f t="shared" si="38"/>
        <v>-7.3873873873873896E-2</v>
      </c>
      <c r="AD17" s="222">
        <f t="shared" si="38"/>
        <v>-5.1664753157290466E-2</v>
      </c>
      <c r="AE17" s="221">
        <f t="shared" si="38"/>
        <v>8.2701738742755326E-2</v>
      </c>
      <c r="AF17" s="221">
        <f t="shared" si="38"/>
        <v>-6.1866335609352396E-2</v>
      </c>
      <c r="AG17" s="223">
        <f t="shared" si="38"/>
        <v>3.0867879510885876E-2</v>
      </c>
      <c r="AH17" s="223">
        <f t="shared" si="38"/>
        <v>7.7261508745574137E-3</v>
      </c>
      <c r="AI17" s="220">
        <f t="shared" si="38"/>
        <v>2.564102564102555E-2</v>
      </c>
      <c r="AJ17" s="221">
        <f t="shared" si="38"/>
        <v>-8.8028169014084501E-2</v>
      </c>
      <c r="AK17" s="221">
        <f t="shared" si="38"/>
        <v>0.12013618677042803</v>
      </c>
      <c r="AL17" s="222">
        <f t="shared" si="38"/>
        <v>0.10855528652138813</v>
      </c>
      <c r="AM17" s="221">
        <f t="shared" si="38"/>
        <v>-3.4177475808112034E-2</v>
      </c>
      <c r="AN17" s="221">
        <f t="shared" si="38"/>
        <v>0.11380679311865904</v>
      </c>
      <c r="AO17" s="223">
        <f>+AO3/AG3-1</f>
        <v>1.1717054824244233E-2</v>
      </c>
      <c r="AP17" s="223">
        <f>AP3/AH3-1</f>
        <v>3.7269726333723829E-2</v>
      </c>
      <c r="AQ17" s="220"/>
      <c r="AR17" s="221"/>
      <c r="AS17" s="221"/>
      <c r="AT17" s="222"/>
      <c r="AU17" s="221"/>
      <c r="AV17" s="221"/>
      <c r="AW17" s="223"/>
      <c r="AX17" s="223"/>
      <c r="AY17" s="220">
        <f t="shared" ref="AY17:BF17" si="39">AY3/AQ3-1</f>
        <v>4.5745654162854477E-2</v>
      </c>
      <c r="AZ17" s="221">
        <f t="shared" si="39"/>
        <v>0.10323159784560154</v>
      </c>
      <c r="BA17" s="221">
        <f t="shared" si="39"/>
        <v>0.13433515482695801</v>
      </c>
      <c r="BB17" s="222">
        <f t="shared" si="39"/>
        <v>0.17109574080815437</v>
      </c>
      <c r="BC17" s="221">
        <f t="shared" si="39"/>
        <v>7.4762120525600384E-2</v>
      </c>
      <c r="BD17" s="221">
        <f t="shared" si="39"/>
        <v>0.1547643131701395</v>
      </c>
      <c r="BE17" s="223">
        <f t="shared" si="39"/>
        <v>9.4553706505295043E-2</v>
      </c>
      <c r="BF17" s="223">
        <f t="shared" si="39"/>
        <v>0.11702468739980754</v>
      </c>
      <c r="BG17" s="220"/>
      <c r="BH17" s="221"/>
      <c r="BI17" s="221"/>
      <c r="BJ17" s="222"/>
      <c r="BK17" s="221"/>
      <c r="BL17" s="221"/>
      <c r="BM17" s="223"/>
      <c r="BN17" s="223"/>
      <c r="BO17" s="220">
        <f t="shared" ref="BO17:DZ19" si="40">BO3/BG3-1</f>
        <v>0.19491159982751194</v>
      </c>
      <c r="BP17" s="221">
        <f t="shared" si="40"/>
        <v>0.25945293644408696</v>
      </c>
      <c r="BQ17" s="221">
        <f t="shared" si="40"/>
        <v>0.18343898573692541</v>
      </c>
      <c r="BR17" s="222">
        <f t="shared" si="40"/>
        <v>-2.892307692307694E-2</v>
      </c>
      <c r="BS17" s="221">
        <f t="shared" si="40"/>
        <v>0.22830385015608745</v>
      </c>
      <c r="BT17" s="221">
        <f t="shared" si="40"/>
        <v>6.3907170072739827E-2</v>
      </c>
      <c r="BU17" s="223">
        <f t="shared" si="40"/>
        <v>0.21285304952926731</v>
      </c>
      <c r="BV17" s="223">
        <f t="shared" si="40"/>
        <v>0.13857642499291045</v>
      </c>
      <c r="BW17" s="220">
        <f t="shared" si="40"/>
        <v>-9.8881270299530866E-2</v>
      </c>
      <c r="BX17" s="221">
        <f t="shared" si="40"/>
        <v>-0.50495049504950495</v>
      </c>
      <c r="BY17" s="221">
        <f t="shared" si="40"/>
        <v>-0.47807164378975564</v>
      </c>
      <c r="BZ17" s="222">
        <f t="shared" si="40"/>
        <v>-0.34822560202788344</v>
      </c>
      <c r="CA17" s="221">
        <f t="shared" si="40"/>
        <v>-0.31430023720772615</v>
      </c>
      <c r="CB17" s="221">
        <f t="shared" si="40"/>
        <v>-0.41136252645287319</v>
      </c>
      <c r="CC17" s="223">
        <f t="shared" si="40"/>
        <v>-0.36933288333895831</v>
      </c>
      <c r="CD17" s="223">
        <f t="shared" si="40"/>
        <v>-0.36380240763802407</v>
      </c>
      <c r="CE17" s="220">
        <f t="shared" si="40"/>
        <v>-0.37484981978374043</v>
      </c>
      <c r="CF17" s="221">
        <f t="shared" si="40"/>
        <v>8.9032258064516201E-2</v>
      </c>
      <c r="CG17" s="221">
        <f t="shared" si="40"/>
        <v>0.16228351507376515</v>
      </c>
      <c r="CH17" s="222">
        <f t="shared" si="40"/>
        <v>0.15605250364608647</v>
      </c>
      <c r="CI17" s="221">
        <f t="shared" si="40"/>
        <v>-0.19718309859154926</v>
      </c>
      <c r="CJ17" s="221">
        <f t="shared" si="40"/>
        <v>0.15873893805309724</v>
      </c>
      <c r="CK17" s="223">
        <f t="shared" si="40"/>
        <v>-9.721726721369961E-2</v>
      </c>
      <c r="CL17" s="223">
        <f t="shared" si="40"/>
        <v>-2.9231371525512251E-2</v>
      </c>
      <c r="CM17" s="220">
        <f>CM3/CE3-1</f>
        <v>0.24407431133888524</v>
      </c>
      <c r="CN17" s="221">
        <f t="shared" si="40"/>
        <v>0.32345971563981046</v>
      </c>
      <c r="CO17" s="221">
        <f t="shared" si="40"/>
        <v>0.38134657836644581</v>
      </c>
      <c r="CP17" s="222">
        <f t="shared" si="40"/>
        <v>0.18881412952060561</v>
      </c>
      <c r="CQ17" s="221">
        <f t="shared" si="40"/>
        <v>0.28531855955678664</v>
      </c>
      <c r="CR17" s="221">
        <f t="shared" si="40"/>
        <v>0.2720763723150359</v>
      </c>
      <c r="CS17" s="223">
        <f t="shared" si="40"/>
        <v>0.31969966409800432</v>
      </c>
      <c r="CT17" s="223">
        <f t="shared" si="40"/>
        <v>0.27785992740959808</v>
      </c>
      <c r="CU17" s="220">
        <f>CU3/CM3-1</f>
        <v>0.39752832131822857</v>
      </c>
      <c r="CV17" s="221">
        <f t="shared" ref="CV17:CW19" si="41">CV3/CN3-1</f>
        <v>0.32632050134288271</v>
      </c>
      <c r="CW17" s="221">
        <f t="shared" si="41"/>
        <v>0.2317219336795846</v>
      </c>
      <c r="CX17" s="222">
        <f t="shared" si="40"/>
        <v>0.10222851078882234</v>
      </c>
      <c r="CY17" s="221">
        <f t="shared" si="40"/>
        <v>0.3594348659003832</v>
      </c>
      <c r="CZ17" s="221">
        <f t="shared" si="40"/>
        <v>0.16303939962476544</v>
      </c>
      <c r="DA17" s="223">
        <f t="shared" si="40"/>
        <v>0.31157358886060793</v>
      </c>
      <c r="DB17" s="223">
        <f t="shared" si="40"/>
        <v>0.24931622133389442</v>
      </c>
      <c r="DC17" s="220">
        <f t="shared" si="40"/>
        <v>0.14112011790714818</v>
      </c>
      <c r="DD17" s="221">
        <f t="shared" si="40"/>
        <v>0.13533580830239611</v>
      </c>
      <c r="DE17" s="221">
        <f t="shared" si="40"/>
        <v>8.3036003892312582E-2</v>
      </c>
      <c r="DF17" s="222">
        <f t="shared" si="40"/>
        <v>0.23620025673940925</v>
      </c>
      <c r="DG17" s="221">
        <f t="shared" si="40"/>
        <v>0.13810110974106049</v>
      </c>
      <c r="DH17" s="221">
        <f t="shared" si="40"/>
        <v>0.16002581061461529</v>
      </c>
      <c r="DI17" s="223">
        <f t="shared" si="40"/>
        <v>0.11872146118721472</v>
      </c>
      <c r="DJ17" s="223">
        <f t="shared" si="40"/>
        <v>0.14954530144829903</v>
      </c>
      <c r="DK17" s="220">
        <f t="shared" si="40"/>
        <v>0.18953826283500153</v>
      </c>
      <c r="DL17" s="221">
        <f t="shared" si="40"/>
        <v>0.14655172413793105</v>
      </c>
      <c r="DM17" s="221">
        <f t="shared" si="40"/>
        <v>0.21114106019766399</v>
      </c>
      <c r="DN17" s="222">
        <f t="shared" si="40"/>
        <v>5.9968847352025456E-2</v>
      </c>
      <c r="DO17" s="221">
        <f t="shared" si="40"/>
        <v>0.16715678687509672</v>
      </c>
      <c r="DP17" s="221">
        <f t="shared" si="40"/>
        <v>0.13016270337922431</v>
      </c>
      <c r="DQ17" s="223">
        <f t="shared" si="40"/>
        <v>0.18214285714285716</v>
      </c>
      <c r="DR17" s="223">
        <f t="shared" si="40"/>
        <v>0.14767067096396125</v>
      </c>
      <c r="DS17" s="220">
        <f t="shared" si="40"/>
        <v>0.23561346362649305</v>
      </c>
      <c r="DT17" s="221">
        <f t="shared" si="40"/>
        <v>0.19937775473165664</v>
      </c>
      <c r="DU17" s="225">
        <f t="shared" si="40"/>
        <v>9.8300112771809944E-2</v>
      </c>
      <c r="DV17" s="224">
        <f t="shared" si="40"/>
        <v>0.35526922813412831</v>
      </c>
      <c r="DW17" s="221">
        <f t="shared" si="40"/>
        <v>0.21707996286964604</v>
      </c>
      <c r="DX17" s="225">
        <f t="shared" si="40"/>
        <v>0.22740124455775135</v>
      </c>
      <c r="DY17" s="226">
        <f t="shared" si="40"/>
        <v>0.17591275643343507</v>
      </c>
      <c r="DZ17" s="226">
        <f t="shared" si="40"/>
        <v>0.22265212801589174</v>
      </c>
      <c r="EA17" s="225">
        <f t="shared" ref="DV17:FF19" si="42">EA3/DS3-1</f>
        <v>-6.0683344278451568E-3</v>
      </c>
      <c r="EB17" s="225">
        <f t="shared" si="42"/>
        <v>0.10231080635651946</v>
      </c>
      <c r="EC17" s="225">
        <f t="shared" si="42"/>
        <v>0.14830312088860764</v>
      </c>
      <c r="ED17" s="224">
        <f t="shared" si="42"/>
        <v>0.1612808452123442</v>
      </c>
      <c r="EE17" s="225">
        <f t="shared" si="42"/>
        <v>4.8558153398312154E-2</v>
      </c>
      <c r="EF17" s="225">
        <f t="shared" si="42"/>
        <v>0.15550236140568741</v>
      </c>
      <c r="EG17" s="226">
        <f t="shared" si="42"/>
        <v>8.0814748558712957E-2</v>
      </c>
      <c r="EH17" s="226">
        <f t="shared" si="42"/>
        <v>0.10405824302292088</v>
      </c>
      <c r="EI17" s="225">
        <f t="shared" si="42"/>
        <v>0.10841758536607293</v>
      </c>
      <c r="EJ17" s="225">
        <f t="shared" si="42"/>
        <v>0.10644166347234396</v>
      </c>
      <c r="EK17" s="225">
        <f t="shared" si="42"/>
        <v>0.10679682468660867</v>
      </c>
      <c r="EL17" s="224">
        <f t="shared" si="42"/>
        <v>8.9701076458370554E-2</v>
      </c>
      <c r="EM17" s="225">
        <f t="shared" si="42"/>
        <v>0.10737060414575006</v>
      </c>
      <c r="EN17" s="225">
        <f t="shared" si="42"/>
        <v>9.7265732348965628E-2</v>
      </c>
      <c r="EO17" s="226">
        <f t="shared" si="42"/>
        <v>0.10717185223391046</v>
      </c>
      <c r="EP17" s="226">
        <f t="shared" si="42"/>
        <v>0.10186366840592531</v>
      </c>
      <c r="EQ17" s="225">
        <f t="shared" si="42"/>
        <v>6.5961649587491511E-2</v>
      </c>
      <c r="ER17" s="225">
        <f t="shared" si="42"/>
        <v>6.32492940518814E-2</v>
      </c>
      <c r="ES17" s="225">
        <f t="shared" si="42"/>
        <v>6.3239828539941367E-2</v>
      </c>
      <c r="ET17" s="224">
        <f t="shared" si="42"/>
        <v>6.0095067563458837E-2</v>
      </c>
      <c r="EU17" s="225">
        <f t="shared" si="42"/>
        <v>6.452566008550531E-2</v>
      </c>
      <c r="EV17" s="225">
        <f t="shared" si="42"/>
        <v>6.1498672198395443E-2</v>
      </c>
      <c r="EW17" s="226">
        <f t="shared" si="42"/>
        <v>6.4080410767711316E-2</v>
      </c>
      <c r="EX17" s="226">
        <f t="shared" si="42"/>
        <v>6.2882901154484028E-2</v>
      </c>
      <c r="EY17" s="225">
        <f t="shared" si="42"/>
        <v>1.4604000085855384E-2</v>
      </c>
      <c r="EZ17" s="225">
        <f t="shared" si="42"/>
        <v>1.632522115944135E-2</v>
      </c>
      <c r="FA17" s="225">
        <f t="shared" si="42"/>
        <v>1.6010633246544614E-2</v>
      </c>
      <c r="FB17" s="224">
        <f t="shared" si="42"/>
        <v>1.1134514809711726E-2</v>
      </c>
      <c r="FC17" s="225">
        <f t="shared" si="42"/>
        <v>1.5514165381510958E-2</v>
      </c>
      <c r="FD17" s="225">
        <f t="shared" si="42"/>
        <v>1.3314447977300858E-2</v>
      </c>
      <c r="FE17" s="226">
        <f t="shared" si="42"/>
        <v>1.5685943213911369E-2</v>
      </c>
      <c r="FF17" s="226">
        <f t="shared" si="42"/>
        <v>1.4321924307718614E-2</v>
      </c>
    </row>
    <row r="18" spans="1:162" ht="11.25" customHeight="1" x14ac:dyDescent="0.2">
      <c r="B18" s="197" t="s">
        <v>79</v>
      </c>
      <c r="C18" s="220"/>
      <c r="D18" s="221"/>
      <c r="E18" s="221"/>
      <c r="F18" s="222"/>
      <c r="G18" s="221"/>
      <c r="H18" s="221"/>
      <c r="I18" s="223"/>
      <c r="J18" s="223"/>
      <c r="K18" s="220"/>
      <c r="L18" s="221"/>
      <c r="M18" s="221"/>
      <c r="N18" s="222"/>
      <c r="O18" s="221"/>
      <c r="P18" s="221"/>
      <c r="Q18" s="223"/>
      <c r="R18" s="223"/>
      <c r="S18" s="220"/>
      <c r="T18" s="221"/>
      <c r="U18" s="221"/>
      <c r="V18" s="222"/>
      <c r="W18" s="221"/>
      <c r="X18" s="221"/>
      <c r="Y18" s="223"/>
      <c r="Z18" s="223"/>
      <c r="AA18" s="220"/>
      <c r="AB18" s="221"/>
      <c r="AC18" s="221"/>
      <c r="AD18" s="222"/>
      <c r="AE18" s="221"/>
      <c r="AF18" s="221"/>
      <c r="AG18" s="223"/>
      <c r="AH18" s="223"/>
      <c r="AI18" s="220"/>
      <c r="AJ18" s="221"/>
      <c r="AK18" s="221"/>
      <c r="AL18" s="222"/>
      <c r="AM18" s="221"/>
      <c r="AN18" s="221"/>
      <c r="AO18" s="223"/>
      <c r="AP18" s="223"/>
      <c r="AQ18" s="220"/>
      <c r="AR18" s="221"/>
      <c r="AS18" s="221"/>
      <c r="AT18" s="222"/>
      <c r="AU18" s="221"/>
      <c r="AV18" s="221"/>
      <c r="AW18" s="223"/>
      <c r="AX18" s="223"/>
      <c r="AY18" s="220"/>
      <c r="AZ18" s="221"/>
      <c r="BA18" s="221"/>
      <c r="BB18" s="222"/>
      <c r="BC18" s="221"/>
      <c r="BD18" s="221"/>
      <c r="BE18" s="223"/>
      <c r="BF18" s="223"/>
      <c r="BG18" s="220"/>
      <c r="BH18" s="221"/>
      <c r="BI18" s="221"/>
      <c r="BJ18" s="222"/>
      <c r="BK18" s="221"/>
      <c r="BL18" s="221"/>
      <c r="BM18" s="223"/>
      <c r="BN18" s="223"/>
      <c r="BO18" s="220">
        <f t="shared" si="40"/>
        <v>0.34125533211456438</v>
      </c>
      <c r="BP18" s="221">
        <f t="shared" si="40"/>
        <v>0.13623188405797104</v>
      </c>
      <c r="BQ18" s="221">
        <f t="shared" si="40"/>
        <v>0.11988304093567259</v>
      </c>
      <c r="BR18" s="222">
        <f t="shared" si="40"/>
        <v>0.10371730151445613</v>
      </c>
      <c r="BS18" s="221">
        <f t="shared" si="40"/>
        <v>0.22689302074912421</v>
      </c>
      <c r="BT18" s="221">
        <f t="shared" si="40"/>
        <v>0.11155755140628698</v>
      </c>
      <c r="BU18" s="223">
        <f t="shared" si="40"/>
        <v>0.1887905604719764</v>
      </c>
      <c r="BV18" s="223">
        <f t="shared" si="40"/>
        <v>0.16544950893981358</v>
      </c>
      <c r="BW18" s="220">
        <f t="shared" si="40"/>
        <v>-6.360745115856381E-3</v>
      </c>
      <c r="BX18" s="221">
        <f t="shared" si="40"/>
        <v>-0.38307823129251706</v>
      </c>
      <c r="BY18" s="221">
        <f t="shared" si="40"/>
        <v>-0.36422976501305482</v>
      </c>
      <c r="BZ18" s="222">
        <f t="shared" si="40"/>
        <v>-0.25405405405405401</v>
      </c>
      <c r="CA18" s="221">
        <f t="shared" si="40"/>
        <v>-0.20096639578300024</v>
      </c>
      <c r="CB18" s="221">
        <f t="shared" si="40"/>
        <v>-0.30788858175632572</v>
      </c>
      <c r="CC18" s="223">
        <f t="shared" si="40"/>
        <v>-0.25572909064370164</v>
      </c>
      <c r="CD18" s="223">
        <f t="shared" si="40"/>
        <v>-0.25529386343993088</v>
      </c>
      <c r="CE18" s="220">
        <f t="shared" si="40"/>
        <v>-0.33058984910836764</v>
      </c>
      <c r="CF18" s="221">
        <f t="shared" si="40"/>
        <v>3.9283252929014578E-2</v>
      </c>
      <c r="CG18" s="221">
        <f t="shared" si="40"/>
        <v>5.0650239561943922E-2</v>
      </c>
      <c r="CH18" s="222">
        <f t="shared" si="40"/>
        <v>1.3377926421404673E-2</v>
      </c>
      <c r="CI18" s="221">
        <f t="shared" si="40"/>
        <v>-0.183067619571193</v>
      </c>
      <c r="CJ18" s="221">
        <f t="shared" si="40"/>
        <v>3.0107526881720359E-2</v>
      </c>
      <c r="CK18" s="223">
        <f t="shared" si="40"/>
        <v>-0.11610119631300253</v>
      </c>
      <c r="CL18" s="223">
        <f>CL4/CD4-1</f>
        <v>-8.2402437255186367E-2</v>
      </c>
      <c r="CM18" s="220">
        <f>CM4/CE4-1</f>
        <v>0.17213114754098369</v>
      </c>
      <c r="CN18" s="221">
        <f t="shared" si="40"/>
        <v>0.18700265251989401</v>
      </c>
      <c r="CO18" s="221">
        <f t="shared" si="40"/>
        <v>0.18566775244299683</v>
      </c>
      <c r="CP18" s="222">
        <f t="shared" si="40"/>
        <v>0.21507150715071499</v>
      </c>
      <c r="CQ18" s="221">
        <f t="shared" si="40"/>
        <v>0.17967698519515474</v>
      </c>
      <c r="CR18" s="221">
        <f t="shared" si="40"/>
        <v>0.20161049806143749</v>
      </c>
      <c r="CS18" s="223">
        <f t="shared" si="40"/>
        <v>0.1817173285999556</v>
      </c>
      <c r="CT18" s="223">
        <f t="shared" si="40"/>
        <v>0.19130434782608696</v>
      </c>
      <c r="CU18" s="220">
        <f>CU4/CM4-1</f>
        <v>0.14568764568764569</v>
      </c>
      <c r="CV18" s="221">
        <f t="shared" si="41"/>
        <v>0.19217877094972069</v>
      </c>
      <c r="CW18" s="221">
        <f t="shared" si="41"/>
        <v>0.17252747252747258</v>
      </c>
      <c r="CX18" s="222">
        <f t="shared" si="40"/>
        <v>0.17745586238116795</v>
      </c>
      <c r="CY18" s="221">
        <f t="shared" si="40"/>
        <v>0.16942384483742146</v>
      </c>
      <c r="CZ18" s="221">
        <f t="shared" si="40"/>
        <v>0.17522958550508805</v>
      </c>
      <c r="DA18" s="223">
        <f t="shared" si="40"/>
        <v>0.17048441607209908</v>
      </c>
      <c r="DB18" s="223">
        <f t="shared" si="40"/>
        <v>0.17252820172528205</v>
      </c>
      <c r="DC18" s="220">
        <f t="shared" si="40"/>
        <v>0.24313326551373349</v>
      </c>
      <c r="DD18" s="221">
        <f t="shared" si="40"/>
        <v>0.27741330834114342</v>
      </c>
      <c r="DE18" s="221">
        <f t="shared" si="40"/>
        <v>0.18416119962511712</v>
      </c>
      <c r="DF18" s="222">
        <f t="shared" si="40"/>
        <v>0.12302960399846219</v>
      </c>
      <c r="DG18" s="221">
        <f t="shared" si="40"/>
        <v>0.26097560975609757</v>
      </c>
      <c r="DH18" s="221">
        <f t="shared" si="40"/>
        <v>0.15058078141499465</v>
      </c>
      <c r="DI18" s="223">
        <f t="shared" si="40"/>
        <v>0.23468078280397808</v>
      </c>
      <c r="DJ18" s="223">
        <f t="shared" si="40"/>
        <v>0.20181097906055467</v>
      </c>
      <c r="DK18" s="220">
        <f t="shared" si="40"/>
        <v>0.1387070376432078</v>
      </c>
      <c r="DL18" s="221">
        <f t="shared" si="40"/>
        <v>3.6683785766691068E-2</v>
      </c>
      <c r="DM18" s="221">
        <f t="shared" si="40"/>
        <v>0.18876137712702801</v>
      </c>
      <c r="DN18" s="222">
        <f t="shared" si="40"/>
        <v>0.26292365628209513</v>
      </c>
      <c r="DO18" s="221">
        <f t="shared" si="40"/>
        <v>8.4912959381044484E-2</v>
      </c>
      <c r="DP18" s="221">
        <f t="shared" si="40"/>
        <v>0.2285242290748899</v>
      </c>
      <c r="DQ18" s="223">
        <f t="shared" si="40"/>
        <v>0.11900740548265554</v>
      </c>
      <c r="DR18" s="223">
        <f t="shared" si="40"/>
        <v>0.15859860614051602</v>
      </c>
      <c r="DS18" s="220">
        <f t="shared" si="40"/>
        <v>0.20984549047790146</v>
      </c>
      <c r="DT18" s="221">
        <f t="shared" si="40"/>
        <v>0.26114649681528657</v>
      </c>
      <c r="DU18" s="225">
        <f t="shared" si="40"/>
        <v>0.19224438787281417</v>
      </c>
      <c r="DV18" s="224">
        <f t="shared" si="42"/>
        <v>0.12652105935178959</v>
      </c>
      <c r="DW18" s="221">
        <f t="shared" si="40"/>
        <v>0.23569263683366026</v>
      </c>
      <c r="DX18" s="225">
        <f t="shared" si="42"/>
        <v>0.15601947245161885</v>
      </c>
      <c r="DY18" s="226">
        <f t="shared" si="42"/>
        <v>0.22053896913618187</v>
      </c>
      <c r="DZ18" s="226">
        <f t="shared" si="42"/>
        <v>0.19234582418457857</v>
      </c>
      <c r="EA18" s="225">
        <f t="shared" si="42"/>
        <v>8.2646438788307464E-2</v>
      </c>
      <c r="EB18" s="225">
        <f t="shared" si="42"/>
        <v>8.2720636779172185E-2</v>
      </c>
      <c r="EC18" s="225">
        <f t="shared" si="42"/>
        <v>8.2873305187596946E-2</v>
      </c>
      <c r="ED18" s="224">
        <f t="shared" si="42"/>
        <v>8.3544429388436647E-2</v>
      </c>
      <c r="EE18" s="225">
        <f t="shared" si="42"/>
        <v>8.2684592249487876E-2</v>
      </c>
      <c r="EF18" s="225">
        <f t="shared" si="42"/>
        <v>8.3233771675690127E-2</v>
      </c>
      <c r="EG18" s="226">
        <f t="shared" si="42"/>
        <v>8.2748884820640356E-2</v>
      </c>
      <c r="EH18" s="226">
        <f t="shared" si="42"/>
        <v>8.2974274760136968E-2</v>
      </c>
      <c r="EI18" s="225">
        <f t="shared" si="42"/>
        <v>8.65412557301668E-2</v>
      </c>
      <c r="EJ18" s="225">
        <f t="shared" si="42"/>
        <v>8.6615092637439384E-2</v>
      </c>
      <c r="EK18" s="225">
        <f t="shared" si="42"/>
        <v>8.6766986257965861E-2</v>
      </c>
      <c r="EL18" s="224">
        <f t="shared" si="42"/>
        <v>8.7434196872237413E-2</v>
      </c>
      <c r="EM18" s="225">
        <f t="shared" si="42"/>
        <v>8.6579224782023401E-2</v>
      </c>
      <c r="EN18" s="225">
        <f t="shared" si="42"/>
        <v>8.7125453499978134E-2</v>
      </c>
      <c r="EO18" s="226">
        <f t="shared" si="42"/>
        <v>8.6643200550441835E-2</v>
      </c>
      <c r="EP18" s="226">
        <f t="shared" si="42"/>
        <v>8.6867419885184871E-2</v>
      </c>
      <c r="EQ18" s="225">
        <f t="shared" si="42"/>
        <v>7.8187911755640105E-2</v>
      </c>
      <c r="ER18" s="225">
        <f t="shared" si="42"/>
        <v>7.8261371916173994E-2</v>
      </c>
      <c r="ES18" s="225">
        <f t="shared" si="42"/>
        <v>7.841245912342143E-2</v>
      </c>
      <c r="ET18" s="224">
        <f t="shared" si="42"/>
        <v>7.9075627567625206E-2</v>
      </c>
      <c r="EU18" s="225">
        <f t="shared" si="42"/>
        <v>7.8225688320495257E-2</v>
      </c>
      <c r="EV18" s="225">
        <f t="shared" si="42"/>
        <v>7.8768855846889529E-2</v>
      </c>
      <c r="EW18" s="226">
        <f t="shared" si="42"/>
        <v>7.8289333787339377E-2</v>
      </c>
      <c r="EX18" s="226">
        <f t="shared" si="42"/>
        <v>7.8512336348979028E-2</v>
      </c>
      <c r="EY18" s="225">
        <f t="shared" si="42"/>
        <v>4.4715650501804483E-2</v>
      </c>
      <c r="EZ18" s="225">
        <f t="shared" si="42"/>
        <v>4.4788714232023574E-2</v>
      </c>
      <c r="FA18" s="225">
        <f t="shared" si="42"/>
        <v>4.4938954802242081E-2</v>
      </c>
      <c r="FB18" s="224">
        <f t="shared" si="42"/>
        <v>4.5597909481239762E-2</v>
      </c>
      <c r="FC18" s="225">
        <f t="shared" si="42"/>
        <v>4.475322444757035E-2</v>
      </c>
      <c r="FD18" s="225">
        <f t="shared" si="42"/>
        <v>4.5293187690036651E-2</v>
      </c>
      <c r="FE18" s="226">
        <f t="shared" si="42"/>
        <v>4.4816522590124919E-2</v>
      </c>
      <c r="FF18" s="226">
        <f t="shared" si="42"/>
        <v>4.5038249241938111E-2</v>
      </c>
    </row>
    <row r="19" spans="1:162" ht="11.25" customHeight="1" x14ac:dyDescent="0.2">
      <c r="B19" s="197" t="s">
        <v>70</v>
      </c>
      <c r="C19" s="220"/>
      <c r="D19" s="221"/>
      <c r="E19" s="221"/>
      <c r="F19" s="222"/>
      <c r="G19" s="221"/>
      <c r="H19" s="221"/>
      <c r="I19" s="223"/>
      <c r="J19" s="223"/>
      <c r="K19" s="220"/>
      <c r="L19" s="221"/>
      <c r="M19" s="221"/>
      <c r="N19" s="222"/>
      <c r="O19" s="221"/>
      <c r="P19" s="221"/>
      <c r="Q19" s="223"/>
      <c r="R19" s="223"/>
      <c r="S19" s="220"/>
      <c r="T19" s="221"/>
      <c r="U19" s="221"/>
      <c r="V19" s="222"/>
      <c r="W19" s="221"/>
      <c r="X19" s="221"/>
      <c r="Y19" s="223"/>
      <c r="Z19" s="223"/>
      <c r="AA19" s="220"/>
      <c r="AB19" s="221"/>
      <c r="AC19" s="221"/>
      <c r="AD19" s="222"/>
      <c r="AE19" s="221"/>
      <c r="AF19" s="221"/>
      <c r="AG19" s="223"/>
      <c r="AH19" s="223"/>
      <c r="AI19" s="220"/>
      <c r="AJ19" s="221"/>
      <c r="AK19" s="221"/>
      <c r="AL19" s="222"/>
      <c r="AM19" s="221"/>
      <c r="AN19" s="221"/>
      <c r="AO19" s="223"/>
      <c r="AP19" s="223"/>
      <c r="AQ19" s="220"/>
      <c r="AR19" s="221"/>
      <c r="AS19" s="221"/>
      <c r="AT19" s="222"/>
      <c r="AU19" s="221"/>
      <c r="AV19" s="221"/>
      <c r="AW19" s="223"/>
      <c r="AX19" s="223"/>
      <c r="AY19" s="220"/>
      <c r="AZ19" s="221"/>
      <c r="BA19" s="221"/>
      <c r="BB19" s="222"/>
      <c r="BC19" s="221"/>
      <c r="BD19" s="221"/>
      <c r="BE19" s="223"/>
      <c r="BF19" s="223"/>
      <c r="BG19" s="220"/>
      <c r="BH19" s="221"/>
      <c r="BI19" s="221"/>
      <c r="BJ19" s="222"/>
      <c r="BK19" s="221"/>
      <c r="BL19" s="221"/>
      <c r="BM19" s="223"/>
      <c r="BN19" s="223"/>
      <c r="BO19" s="220">
        <f t="shared" si="40"/>
        <v>2.1484375</v>
      </c>
      <c r="BP19" s="221">
        <f t="shared" si="40"/>
        <v>0.15193370165745845</v>
      </c>
      <c r="BQ19" s="221">
        <f t="shared" si="40"/>
        <v>4.6814044213264072E-2</v>
      </c>
      <c r="BR19" s="222">
        <f t="shared" si="40"/>
        <v>0.14960629921259838</v>
      </c>
      <c r="BS19" s="221">
        <f t="shared" si="40"/>
        <v>0.67346938775510212</v>
      </c>
      <c r="BT19" s="221">
        <f t="shared" si="40"/>
        <v>9.7975179621162534E-2</v>
      </c>
      <c r="BU19" s="223">
        <f t="shared" si="40"/>
        <v>0.39794168096054894</v>
      </c>
      <c r="BV19" s="223">
        <f t="shared" si="40"/>
        <v>0.32258064516129026</v>
      </c>
      <c r="BW19" s="220">
        <f t="shared" si="40"/>
        <v>-0.13895781637717119</v>
      </c>
      <c r="BX19" s="221">
        <f t="shared" si="40"/>
        <v>-0.54676258992805749</v>
      </c>
      <c r="BY19" s="221">
        <f t="shared" si="40"/>
        <v>-0.55652173913043479</v>
      </c>
      <c r="BZ19" s="222">
        <f t="shared" si="40"/>
        <v>-0.43721461187214616</v>
      </c>
      <c r="CA19" s="221">
        <f t="shared" si="40"/>
        <v>-0.34634146341463412</v>
      </c>
      <c r="CB19" s="221">
        <f t="shared" si="40"/>
        <v>-0.49434860202260555</v>
      </c>
      <c r="CC19" s="223">
        <f t="shared" si="40"/>
        <v>-0.41554192229038855</v>
      </c>
      <c r="CD19" s="223">
        <f t="shared" si="40"/>
        <v>-0.42125865703101473</v>
      </c>
      <c r="CE19" s="220">
        <f t="shared" si="40"/>
        <v>-0.54899135446685876</v>
      </c>
      <c r="CF19" s="221">
        <f t="shared" si="40"/>
        <v>-0.11904761904761907</v>
      </c>
      <c r="CG19" s="221">
        <f t="shared" si="40"/>
        <v>7.8431372549019551E-2</v>
      </c>
      <c r="CH19" s="222">
        <f t="shared" si="40"/>
        <v>-9.9391480730223081E-2</v>
      </c>
      <c r="CI19" s="221">
        <f t="shared" si="40"/>
        <v>-0.39738805970149249</v>
      </c>
      <c r="CJ19" s="221">
        <f t="shared" si="40"/>
        <v>-2.4705882352941133E-2</v>
      </c>
      <c r="CK19" s="223">
        <f t="shared" si="40"/>
        <v>-0.2785164450664801</v>
      </c>
      <c r="CL19" s="223">
        <f>CL5/CD5-1</f>
        <v>-0.2325702393340271</v>
      </c>
      <c r="CM19" s="220">
        <f>CM5/CE5-1</f>
        <v>0.30670926517571884</v>
      </c>
      <c r="CN19" s="221">
        <f t="shared" si="40"/>
        <v>0.38438438438438438</v>
      </c>
      <c r="CO19" s="221">
        <f t="shared" si="40"/>
        <v>0.35584415584415585</v>
      </c>
      <c r="CP19" s="222">
        <f t="shared" si="40"/>
        <v>0.31981981981981988</v>
      </c>
      <c r="CQ19" s="221">
        <f t="shared" si="40"/>
        <v>0.34674922600619196</v>
      </c>
      <c r="CR19" s="221">
        <f t="shared" si="40"/>
        <v>0.33655006031363088</v>
      </c>
      <c r="CS19" s="223">
        <f t="shared" si="40"/>
        <v>0.35014548981571281</v>
      </c>
      <c r="CT19" s="223">
        <f t="shared" si="40"/>
        <v>0.34101694915254233</v>
      </c>
      <c r="CU19" s="220">
        <f>CU5/CM5-1</f>
        <v>0.42787286063569674</v>
      </c>
      <c r="CV19" s="221">
        <f t="shared" si="41"/>
        <v>0.25596529284164848</v>
      </c>
      <c r="CW19" s="221">
        <f t="shared" si="41"/>
        <v>0.15900383141762453</v>
      </c>
      <c r="CX19" s="222">
        <f t="shared" si="40"/>
        <v>0.20989761092150161</v>
      </c>
      <c r="CY19" s="221">
        <f t="shared" si="40"/>
        <v>0.33678160919540234</v>
      </c>
      <c r="CZ19" s="221">
        <f t="shared" si="40"/>
        <v>0.1859205776173285</v>
      </c>
      <c r="DA19" s="223">
        <f t="shared" si="40"/>
        <v>0.27011494252873569</v>
      </c>
      <c r="DB19" s="223">
        <f t="shared" si="40"/>
        <v>0.25227502527805856</v>
      </c>
      <c r="DC19" s="220">
        <f t="shared" si="40"/>
        <v>0.15753424657534243</v>
      </c>
      <c r="DD19" s="221">
        <f t="shared" si="40"/>
        <v>0.26943005181347157</v>
      </c>
      <c r="DE19" s="221">
        <f t="shared" si="40"/>
        <v>0.27438016528925613</v>
      </c>
      <c r="DF19" s="222">
        <f t="shared" si="40"/>
        <v>0.20592383638928058</v>
      </c>
      <c r="DG19" s="221">
        <f t="shared" si="40"/>
        <v>0.21324161650902829</v>
      </c>
      <c r="DH19" s="221">
        <f t="shared" si="40"/>
        <v>0.23744292237442921</v>
      </c>
      <c r="DI19" s="223">
        <f t="shared" si="40"/>
        <v>0.23416289592760187</v>
      </c>
      <c r="DJ19" s="223">
        <f t="shared" si="40"/>
        <v>0.22607993540573279</v>
      </c>
      <c r="DK19" s="220">
        <f t="shared" si="40"/>
        <v>0.16568047337278102</v>
      </c>
      <c r="DL19" s="221">
        <f t="shared" si="40"/>
        <v>0.12653061224489792</v>
      </c>
      <c r="DM19" s="221">
        <f t="shared" si="40"/>
        <v>4.0207522697795151E-2</v>
      </c>
      <c r="DN19" s="222">
        <f t="shared" si="40"/>
        <v>8.8888888888888795E-2</v>
      </c>
      <c r="DO19" s="221">
        <f t="shared" si="40"/>
        <v>0.14528703047484059</v>
      </c>
      <c r="DP19" s="221">
        <f t="shared" si="40"/>
        <v>6.5805658056580674E-2</v>
      </c>
      <c r="DQ19" s="223">
        <f t="shared" si="40"/>
        <v>0.10815765352887263</v>
      </c>
      <c r="DR19" s="223">
        <f t="shared" si="40"/>
        <v>0.10273296015805067</v>
      </c>
      <c r="DS19" s="220">
        <f t="shared" si="40"/>
        <v>-0.1116751269035533</v>
      </c>
      <c r="DT19" s="221">
        <f t="shared" si="40"/>
        <v>-8.8164251207729416E-2</v>
      </c>
      <c r="DU19" s="225">
        <f t="shared" si="40"/>
        <v>-2.505861398221243E-2</v>
      </c>
      <c r="DV19" s="224">
        <f t="shared" si="42"/>
        <v>1.4447594186149271E-2</v>
      </c>
      <c r="DW19" s="221">
        <f t="shared" si="40"/>
        <v>-9.9628712871287162E-2</v>
      </c>
      <c r="DX19" s="225">
        <f t="shared" si="42"/>
        <v>-3.8351403499303771E-3</v>
      </c>
      <c r="DY19" s="226">
        <f t="shared" si="42"/>
        <v>-7.4895371552412882E-2</v>
      </c>
      <c r="DZ19" s="226">
        <f t="shared" si="42"/>
        <v>-5.0058613982212341E-2</v>
      </c>
      <c r="EA19" s="225">
        <f t="shared" si="42"/>
        <v>9.2618223760092322E-2</v>
      </c>
      <c r="EB19" s="225">
        <f t="shared" si="42"/>
        <v>9.2618223760092322E-2</v>
      </c>
      <c r="EC19" s="225">
        <f t="shared" si="42"/>
        <v>9.2618223760092544E-2</v>
      </c>
      <c r="ED19" s="224">
        <f t="shared" si="42"/>
        <v>9.2618223760092766E-2</v>
      </c>
      <c r="EE19" s="225">
        <f t="shared" si="42"/>
        <v>9.2618223760092322E-2</v>
      </c>
      <c r="EF19" s="225">
        <f t="shared" si="42"/>
        <v>9.2618223760092766E-2</v>
      </c>
      <c r="EG19" s="226">
        <f t="shared" si="42"/>
        <v>9.2618223760092544E-2</v>
      </c>
      <c r="EH19" s="226">
        <f t="shared" si="42"/>
        <v>9.2618223760092544E-2</v>
      </c>
      <c r="EI19" s="225">
        <f t="shared" si="42"/>
        <v>8.6517479499352623E-2</v>
      </c>
      <c r="EJ19" s="225">
        <f t="shared" si="42"/>
        <v>8.6473960104839875E-2</v>
      </c>
      <c r="EK19" s="225">
        <f t="shared" si="42"/>
        <v>8.7054173478690045E-2</v>
      </c>
      <c r="EL19" s="224">
        <f t="shared" si="42"/>
        <v>8.828208262337367E-2</v>
      </c>
      <c r="EM19" s="225">
        <f t="shared" si="42"/>
        <v>8.6494897270584792E-2</v>
      </c>
      <c r="EN19" s="225">
        <f t="shared" si="42"/>
        <v>8.7725935970090596E-2</v>
      </c>
      <c r="EO19" s="226">
        <f t="shared" si="42"/>
        <v>8.669039065670181E-2</v>
      </c>
      <c r="EP19" s="226">
        <f t="shared" si="42"/>
        <v>8.7162917369932202E-2</v>
      </c>
      <c r="EQ19" s="225">
        <f t="shared" si="42"/>
        <v>7.816425471591959E-2</v>
      </c>
      <c r="ER19" s="225">
        <f t="shared" si="42"/>
        <v>7.8120950803629352E-2</v>
      </c>
      <c r="ES19" s="225">
        <f t="shared" si="42"/>
        <v>7.8698006263933529E-2</v>
      </c>
      <c r="ET19" s="224">
        <f t="shared" si="42"/>
        <v>7.9917203294900707E-2</v>
      </c>
      <c r="EU19" s="225">
        <f t="shared" si="42"/>
        <v>7.8141784733964492E-2</v>
      </c>
      <c r="EV19" s="225">
        <f t="shared" si="42"/>
        <v>7.9365343577188607E-2</v>
      </c>
      <c r="EW19" s="226">
        <f t="shared" si="42"/>
        <v>7.8336275452490334E-2</v>
      </c>
      <c r="EX19" s="226">
        <f t="shared" si="42"/>
        <v>7.8806089759237974E-2</v>
      </c>
      <c r="EY19" s="225">
        <f t="shared" si="42"/>
        <v>4.4692119008680642E-2</v>
      </c>
      <c r="EZ19" s="225">
        <f t="shared" si="42"/>
        <v>4.4649042232562053E-2</v>
      </c>
      <c r="FA19" s="225">
        <f t="shared" si="42"/>
        <v>4.5222786906001788E-2</v>
      </c>
      <c r="FB19" s="224">
        <f t="shared" si="42"/>
        <v>4.6432972654385285E-2</v>
      </c>
      <c r="FC19" s="225">
        <f t="shared" si="42"/>
        <v>4.466976731742256E-2</v>
      </c>
      <c r="FD19" s="225">
        <f t="shared" si="42"/>
        <v>4.5885530496658555E-2</v>
      </c>
      <c r="FE19" s="226">
        <f t="shared" si="42"/>
        <v>4.486320329875304E-2</v>
      </c>
      <c r="FF19" s="226">
        <f t="shared" si="42"/>
        <v>4.5330182036228184E-2</v>
      </c>
    </row>
    <row r="20" spans="1:162" ht="11.25" hidden="1" customHeight="1" outlineLevel="1" x14ac:dyDescent="0.2">
      <c r="B20" s="227" t="s">
        <v>69</v>
      </c>
      <c r="C20" s="220"/>
      <c r="D20" s="221"/>
      <c r="E20" s="221"/>
      <c r="F20" s="222"/>
      <c r="G20" s="221"/>
      <c r="H20" s="221"/>
      <c r="I20" s="223"/>
      <c r="J20" s="223"/>
      <c r="K20" s="220">
        <f t="shared" ref="K20:AN20" si="43">K6/C6-1</f>
        <v>0.11038251366120222</v>
      </c>
      <c r="L20" s="221">
        <f t="shared" si="43"/>
        <v>8.8349514563106801E-2</v>
      </c>
      <c r="M20" s="221">
        <f t="shared" si="43"/>
        <v>3.9714867617107963E-2</v>
      </c>
      <c r="N20" s="222">
        <f t="shared" si="43"/>
        <v>0.10652920962199319</v>
      </c>
      <c r="O20" s="221">
        <f t="shared" si="43"/>
        <v>9.871465295629811E-2</v>
      </c>
      <c r="P20" s="221">
        <f t="shared" si="43"/>
        <v>7.5955265610438083E-2</v>
      </c>
      <c r="Q20" s="223">
        <f t="shared" si="43"/>
        <v>7.8920396310215191E-2</v>
      </c>
      <c r="R20" s="223">
        <f t="shared" si="43"/>
        <v>8.6775849425568374E-2</v>
      </c>
      <c r="S20" s="220">
        <f t="shared" si="43"/>
        <v>0.15354330708661412</v>
      </c>
      <c r="T20" s="221">
        <f t="shared" si="43"/>
        <v>0.10793933987511162</v>
      </c>
      <c r="U20" s="221">
        <f t="shared" si="43"/>
        <v>0.15572967678746319</v>
      </c>
      <c r="V20" s="222">
        <f t="shared" si="43"/>
        <v>4.7360248447204878E-2</v>
      </c>
      <c r="W20" s="221">
        <f t="shared" si="43"/>
        <v>0.12962096396817979</v>
      </c>
      <c r="X20" s="221">
        <f t="shared" si="43"/>
        <v>9.5279341706366427E-2</v>
      </c>
      <c r="Y20" s="223">
        <f t="shared" si="43"/>
        <v>0.13806206459784676</v>
      </c>
      <c r="Z20" s="223">
        <f t="shared" si="43"/>
        <v>0.11178587494376968</v>
      </c>
      <c r="AA20" s="220">
        <f t="shared" si="43"/>
        <v>4.0102389078498391E-2</v>
      </c>
      <c r="AB20" s="221">
        <f t="shared" si="43"/>
        <v>6.5217391304347894E-2</v>
      </c>
      <c r="AC20" s="221">
        <f t="shared" si="43"/>
        <v>2.3728813559322104E-2</v>
      </c>
      <c r="AD20" s="222">
        <f t="shared" si="43"/>
        <v>3.4099332839140128E-2</v>
      </c>
      <c r="AE20" s="221">
        <f t="shared" si="43"/>
        <v>5.3024026512013211E-2</v>
      </c>
      <c r="AF20" s="221">
        <f t="shared" si="43"/>
        <v>2.9260577303281909E-2</v>
      </c>
      <c r="AG20" s="223">
        <f t="shared" si="43"/>
        <v>4.3405676126878179E-2</v>
      </c>
      <c r="AH20" s="223">
        <f t="shared" si="43"/>
        <v>4.0865870928585846E-2</v>
      </c>
      <c r="AI20" s="220">
        <f t="shared" si="43"/>
        <v>9.5159967186218219E-2</v>
      </c>
      <c r="AJ20" s="221">
        <f t="shared" si="43"/>
        <v>4.3083900226757343E-2</v>
      </c>
      <c r="AK20" s="221">
        <f t="shared" si="43"/>
        <v>1.4072847682119249E-2</v>
      </c>
      <c r="AL20" s="222">
        <f t="shared" si="43"/>
        <v>5.7347670250896154E-2</v>
      </c>
      <c r="AM20" s="221">
        <f t="shared" si="43"/>
        <v>6.8056648308418621E-2</v>
      </c>
      <c r="AN20" s="221">
        <f t="shared" si="43"/>
        <v>3.7264694583173164E-2</v>
      </c>
      <c r="AO20" s="223">
        <f>+AO6/AG6-1</f>
        <v>5.0666666666666638E-2</v>
      </c>
      <c r="AP20" s="223">
        <f>AP6/AH6-1</f>
        <v>5.2478134110787167E-2</v>
      </c>
      <c r="AQ20" s="220"/>
      <c r="AR20" s="221"/>
      <c r="AS20" s="221"/>
      <c r="AT20" s="222"/>
      <c r="AU20" s="221"/>
      <c r="AV20" s="221"/>
      <c r="AW20" s="223"/>
      <c r="AX20" s="223"/>
      <c r="AY20" s="220">
        <f t="shared" ref="AY20:BF20" si="44">AY6/AQ6-1</f>
        <v>-3.1441717791411028E-2</v>
      </c>
      <c r="AZ20" s="221">
        <f t="shared" si="44"/>
        <v>-7.5075075075075048E-3</v>
      </c>
      <c r="BA20" s="221">
        <f t="shared" si="44"/>
        <v>0.12270450751252082</v>
      </c>
      <c r="BB20" s="222">
        <f t="shared" si="44"/>
        <v>2.7349228611500687E-2</v>
      </c>
      <c r="BC20" s="221">
        <f t="shared" si="44"/>
        <v>-1.9347496206373327E-2</v>
      </c>
      <c r="BD20" s="221">
        <f t="shared" si="44"/>
        <v>7.0884146341463339E-2</v>
      </c>
      <c r="BE20" s="223">
        <f t="shared" si="44"/>
        <v>2.5039123630672844E-2</v>
      </c>
      <c r="BF20" s="223">
        <f t="shared" si="44"/>
        <v>2.5665399239543696E-2</v>
      </c>
      <c r="BG20" s="220"/>
      <c r="BH20" s="221"/>
      <c r="BI20" s="221"/>
      <c r="BJ20" s="222"/>
      <c r="BK20" s="221"/>
      <c r="BL20" s="221"/>
      <c r="BM20" s="223"/>
      <c r="BN20" s="223"/>
      <c r="BO20" s="220"/>
      <c r="BP20" s="221"/>
      <c r="BQ20" s="221"/>
      <c r="BR20" s="222"/>
      <c r="BS20" s="221"/>
      <c r="BT20" s="221"/>
      <c r="BU20" s="223"/>
      <c r="BV20" s="223"/>
      <c r="BW20" s="220"/>
      <c r="BX20" s="221"/>
      <c r="BY20" s="221"/>
      <c r="BZ20" s="222"/>
      <c r="CA20" s="221"/>
      <c r="CB20" s="221"/>
      <c r="CC20" s="223"/>
      <c r="CD20" s="223"/>
      <c r="CE20" s="220"/>
      <c r="CF20" s="221"/>
      <c r="CG20" s="221"/>
      <c r="CH20" s="222"/>
      <c r="CI20" s="221"/>
      <c r="CJ20" s="221"/>
      <c r="CK20" s="223"/>
      <c r="CL20" s="223"/>
      <c r="CM20" s="220"/>
      <c r="CN20" s="221"/>
      <c r="CO20" s="221"/>
      <c r="CP20" s="222"/>
      <c r="CQ20" s="221"/>
      <c r="CR20" s="221"/>
      <c r="CS20" s="223"/>
      <c r="CT20" s="223"/>
      <c r="CU20" s="220"/>
      <c r="CV20" s="228"/>
      <c r="CW20" s="228"/>
      <c r="CX20" s="229"/>
      <c r="CY20" s="228"/>
      <c r="CZ20" s="228"/>
      <c r="DA20" s="230"/>
      <c r="DB20" s="230"/>
      <c r="DC20" s="220"/>
      <c r="DD20" s="221"/>
      <c r="DE20" s="221"/>
      <c r="DF20" s="222"/>
      <c r="DG20" s="221"/>
      <c r="DH20" s="221"/>
      <c r="DI20" s="230"/>
      <c r="DJ20" s="230"/>
      <c r="DK20" s="220"/>
      <c r="DL20" s="221"/>
      <c r="DM20" s="221"/>
      <c r="DN20" s="222"/>
      <c r="DO20" s="221"/>
      <c r="DP20" s="221"/>
      <c r="DQ20" s="230"/>
      <c r="DR20" s="230"/>
      <c r="DS20" s="220"/>
      <c r="DT20" s="221"/>
      <c r="DU20" s="228"/>
      <c r="DV20" s="229"/>
      <c r="DW20" s="221"/>
      <c r="DX20" s="228"/>
      <c r="DY20" s="230"/>
      <c r="DZ20" s="230"/>
      <c r="EA20" s="228"/>
      <c r="EB20" s="228"/>
      <c r="EC20" s="228"/>
      <c r="ED20" s="229"/>
      <c r="EE20" s="228"/>
      <c r="EF20" s="228"/>
      <c r="EG20" s="230"/>
      <c r="EH20" s="230"/>
      <c r="EI20" s="228"/>
      <c r="EJ20" s="228"/>
      <c r="EK20" s="228"/>
      <c r="EL20" s="229"/>
      <c r="EM20" s="228"/>
      <c r="EN20" s="228"/>
      <c r="EO20" s="230"/>
      <c r="EP20" s="230"/>
      <c r="EQ20" s="228"/>
      <c r="ER20" s="228"/>
      <c r="ES20" s="228"/>
      <c r="ET20" s="229"/>
      <c r="EU20" s="228"/>
      <c r="EV20" s="228"/>
      <c r="EW20" s="230"/>
      <c r="EX20" s="230"/>
      <c r="EY20" s="228"/>
      <c r="EZ20" s="228"/>
      <c r="FA20" s="228"/>
      <c r="FB20" s="229"/>
      <c r="FC20" s="228"/>
      <c r="FD20" s="228"/>
      <c r="FE20" s="230"/>
      <c r="FF20" s="230"/>
    </row>
    <row r="21" spans="1:162" ht="11.25" hidden="1" customHeight="1" outlineLevel="1" x14ac:dyDescent="0.2">
      <c r="B21" s="227" t="s">
        <v>81</v>
      </c>
      <c r="C21" s="220"/>
      <c r="D21" s="221"/>
      <c r="E21" s="221"/>
      <c r="F21" s="222"/>
      <c r="G21" s="221"/>
      <c r="H21" s="221"/>
      <c r="I21" s="223"/>
      <c r="J21" s="223"/>
      <c r="K21" s="220"/>
      <c r="L21" s="221"/>
      <c r="M21" s="221"/>
      <c r="N21" s="222"/>
      <c r="O21" s="221"/>
      <c r="P21" s="221"/>
      <c r="Q21" s="223"/>
      <c r="R21" s="223"/>
      <c r="S21" s="220"/>
      <c r="T21" s="221"/>
      <c r="U21" s="221"/>
      <c r="V21" s="222"/>
      <c r="W21" s="221"/>
      <c r="X21" s="221"/>
      <c r="Y21" s="223"/>
      <c r="Z21" s="223"/>
      <c r="AA21" s="220"/>
      <c r="AB21" s="221"/>
      <c r="AC21" s="221"/>
      <c r="AD21" s="222"/>
      <c r="AE21" s="221"/>
      <c r="AF21" s="221"/>
      <c r="AG21" s="223"/>
      <c r="AH21" s="223"/>
      <c r="AI21" s="220"/>
      <c r="AJ21" s="221"/>
      <c r="AK21" s="221"/>
      <c r="AL21" s="222"/>
      <c r="AM21" s="221"/>
      <c r="AN21" s="221"/>
      <c r="AO21" s="223"/>
      <c r="AP21" s="223"/>
      <c r="AQ21" s="220"/>
      <c r="AR21" s="221"/>
      <c r="AS21" s="221"/>
      <c r="AT21" s="222"/>
      <c r="AU21" s="221"/>
      <c r="AV21" s="221"/>
      <c r="AW21" s="223"/>
      <c r="AX21" s="223"/>
      <c r="AY21" s="220"/>
      <c r="AZ21" s="221"/>
      <c r="BA21" s="221"/>
      <c r="BB21" s="222"/>
      <c r="BC21" s="221"/>
      <c r="BD21" s="221"/>
      <c r="BE21" s="223"/>
      <c r="BF21" s="223"/>
      <c r="BG21" s="220"/>
      <c r="BH21" s="221"/>
      <c r="BI21" s="221"/>
      <c r="BJ21" s="222"/>
      <c r="BK21" s="221"/>
      <c r="BL21" s="221"/>
      <c r="BM21" s="223"/>
      <c r="BN21" s="223"/>
      <c r="BO21" s="220"/>
      <c r="BP21" s="221"/>
      <c r="BQ21" s="221"/>
      <c r="BR21" s="222"/>
      <c r="BS21" s="221"/>
      <c r="BT21" s="221"/>
      <c r="BU21" s="223"/>
      <c r="BV21" s="223"/>
      <c r="BW21" s="220"/>
      <c r="BX21" s="221"/>
      <c r="BY21" s="221"/>
      <c r="BZ21" s="222"/>
      <c r="CA21" s="221"/>
      <c r="CB21" s="221"/>
      <c r="CC21" s="223"/>
      <c r="CD21" s="223"/>
      <c r="CE21" s="220"/>
      <c r="CF21" s="221"/>
      <c r="CG21" s="221"/>
      <c r="CH21" s="222"/>
      <c r="CI21" s="221"/>
      <c r="CJ21" s="221"/>
      <c r="CK21" s="223"/>
      <c r="CL21" s="223"/>
      <c r="CM21" s="220"/>
      <c r="CN21" s="221"/>
      <c r="CO21" s="221"/>
      <c r="CP21" s="222"/>
      <c r="CQ21" s="221"/>
      <c r="CR21" s="221"/>
      <c r="CS21" s="223"/>
      <c r="CT21" s="223"/>
      <c r="CU21" s="220"/>
      <c r="CV21" s="228"/>
      <c r="CW21" s="228"/>
      <c r="CX21" s="229"/>
      <c r="CY21" s="228"/>
      <c r="CZ21" s="228"/>
      <c r="DA21" s="230"/>
      <c r="DB21" s="230"/>
      <c r="DC21" s="220"/>
      <c r="DD21" s="221"/>
      <c r="DE21" s="221"/>
      <c r="DF21" s="222"/>
      <c r="DG21" s="221"/>
      <c r="DH21" s="221"/>
      <c r="DI21" s="230"/>
      <c r="DJ21" s="230"/>
      <c r="DK21" s="220"/>
      <c r="DL21" s="221"/>
      <c r="DM21" s="221"/>
      <c r="DN21" s="222"/>
      <c r="DO21" s="221"/>
      <c r="DP21" s="221"/>
      <c r="DQ21" s="230"/>
      <c r="DR21" s="230"/>
      <c r="DS21" s="220"/>
      <c r="DT21" s="221"/>
      <c r="DU21" s="228"/>
      <c r="DV21" s="229"/>
      <c r="DW21" s="221"/>
      <c r="DX21" s="228"/>
      <c r="DY21" s="230"/>
      <c r="DZ21" s="230"/>
      <c r="EA21" s="228"/>
      <c r="EB21" s="228"/>
      <c r="EC21" s="228"/>
      <c r="ED21" s="229"/>
      <c r="EE21" s="228"/>
      <c r="EF21" s="228"/>
      <c r="EG21" s="230"/>
      <c r="EH21" s="230"/>
      <c r="EI21" s="228"/>
      <c r="EJ21" s="228"/>
      <c r="EK21" s="228"/>
      <c r="EL21" s="229"/>
      <c r="EM21" s="228"/>
      <c r="EN21" s="228"/>
      <c r="EO21" s="230"/>
      <c r="EP21" s="230"/>
      <c r="EQ21" s="228"/>
      <c r="ER21" s="228"/>
      <c r="ES21" s="228"/>
      <c r="ET21" s="229"/>
      <c r="EU21" s="228"/>
      <c r="EV21" s="228"/>
      <c r="EW21" s="230"/>
      <c r="EX21" s="230"/>
      <c r="EY21" s="228"/>
      <c r="EZ21" s="228"/>
      <c r="FA21" s="228"/>
      <c r="FB21" s="229"/>
      <c r="FC21" s="228"/>
      <c r="FD21" s="228"/>
      <c r="FE21" s="230"/>
      <c r="FF21" s="230"/>
    </row>
    <row r="22" spans="1:162" ht="11.25" hidden="1" customHeight="1" outlineLevel="1" x14ac:dyDescent="0.2">
      <c r="B22" s="227" t="s">
        <v>263</v>
      </c>
      <c r="C22" s="220"/>
      <c r="D22" s="221"/>
      <c r="E22" s="221"/>
      <c r="F22" s="222"/>
      <c r="G22" s="221"/>
      <c r="H22" s="221"/>
      <c r="I22" s="223"/>
      <c r="J22" s="223"/>
      <c r="K22" s="220">
        <f t="shared" ref="K22:AN23" si="45">K8/C8-1</f>
        <v>-0.11986301369863017</v>
      </c>
      <c r="L22" s="221">
        <f t="shared" si="45"/>
        <v>0.1934306569343065</v>
      </c>
      <c r="M22" s="221">
        <f t="shared" si="45"/>
        <v>-7.7519379844961378E-3</v>
      </c>
      <c r="N22" s="222">
        <f t="shared" si="45"/>
        <v>2.1447721179624679E-2</v>
      </c>
      <c r="O22" s="221">
        <f t="shared" si="45"/>
        <v>3.180212014134276E-2</v>
      </c>
      <c r="P22" s="221">
        <f t="shared" si="45"/>
        <v>9.5087163232963068E-3</v>
      </c>
      <c r="Q22" s="223">
        <f t="shared" si="45"/>
        <v>1.9417475728155331E-2</v>
      </c>
      <c r="R22" s="223">
        <f t="shared" si="45"/>
        <v>2.0050125313283207E-2</v>
      </c>
      <c r="S22" s="220">
        <f t="shared" si="45"/>
        <v>8.171206225680927E-2</v>
      </c>
      <c r="T22" s="221">
        <f t="shared" si="45"/>
        <v>3.3639143730886945E-2</v>
      </c>
      <c r="U22" s="221">
        <f t="shared" si="45"/>
        <v>3.90625E-2</v>
      </c>
      <c r="V22" s="222">
        <f t="shared" si="45"/>
        <v>7.8740157480314821E-3</v>
      </c>
      <c r="W22" s="221">
        <f t="shared" si="45"/>
        <v>5.4794520547945202E-2</v>
      </c>
      <c r="X22" s="221">
        <f t="shared" si="45"/>
        <v>2.0408163265306145E-2</v>
      </c>
      <c r="Y22" s="223">
        <f t="shared" si="45"/>
        <v>5.0000000000000044E-2</v>
      </c>
      <c r="Z22" s="223">
        <f t="shared" si="45"/>
        <v>3.6855036855036882E-2</v>
      </c>
      <c r="AA22" s="220">
        <f t="shared" si="45"/>
        <v>-3.2374100719424481E-2</v>
      </c>
      <c r="AB22" s="221">
        <f t="shared" si="45"/>
        <v>-6.8047337278106523E-2</v>
      </c>
      <c r="AC22" s="221">
        <f t="shared" si="45"/>
        <v>-4.8872180451127845E-2</v>
      </c>
      <c r="AD22" s="222">
        <f t="shared" si="45"/>
        <v>4.4270833333333259E-2</v>
      </c>
      <c r="AE22" s="221">
        <f t="shared" si="45"/>
        <v>-5.1948051948051965E-2</v>
      </c>
      <c r="AF22" s="221">
        <f t="shared" si="45"/>
        <v>6.1538461538461764E-3</v>
      </c>
      <c r="AG22" s="223">
        <f t="shared" si="45"/>
        <v>-5.1020408163265252E-2</v>
      </c>
      <c r="AH22" s="223">
        <f t="shared" si="45"/>
        <v>-2.2116903633491281E-2</v>
      </c>
      <c r="AI22" s="220">
        <f t="shared" si="45"/>
        <v>5.5762081784386686E-2</v>
      </c>
      <c r="AJ22" s="221">
        <f t="shared" si="45"/>
        <v>7.9365079365079305E-2</v>
      </c>
      <c r="AK22" s="221">
        <f t="shared" si="45"/>
        <v>0.11067193675889331</v>
      </c>
      <c r="AL22" s="222">
        <f t="shared" si="45"/>
        <v>9.7256857855361645E-2</v>
      </c>
      <c r="AM22" s="221">
        <f t="shared" si="45"/>
        <v>6.8493150684931559E-2</v>
      </c>
      <c r="AN22" s="221">
        <f t="shared" si="45"/>
        <v>0.10244648318042815</v>
      </c>
      <c r="AO22" s="223">
        <f>+AO8/AG8-1</f>
        <v>8.1242532855436034E-2</v>
      </c>
      <c r="AP22" s="223">
        <f>AP8/AH8-1</f>
        <v>8.6429725363489585E-2</v>
      </c>
      <c r="AQ22" s="220"/>
      <c r="AR22" s="221"/>
      <c r="AS22" s="221"/>
      <c r="AT22" s="222"/>
      <c r="AU22" s="221"/>
      <c r="AV22" s="221"/>
      <c r="AW22" s="223"/>
      <c r="AX22" s="223"/>
      <c r="AY22" s="220">
        <f>AY8/AQ8-1</f>
        <v>8.3636363636363731E-2</v>
      </c>
      <c r="AZ22" s="221">
        <f t="shared" ref="AZ22:BF22" si="46">AZ8/AR8-1</f>
        <v>4.7477744807121747E-2</v>
      </c>
      <c r="BA22" s="221">
        <f t="shared" si="46"/>
        <v>0.10752688172043001</v>
      </c>
      <c r="BB22" s="222">
        <f>BB8/AT8-1</f>
        <v>2.3529411764706687E-3</v>
      </c>
      <c r="BC22" s="221">
        <f t="shared" si="46"/>
        <v>6.3725490196078427E-2</v>
      </c>
      <c r="BD22" s="221">
        <f t="shared" si="46"/>
        <v>4.4034090909090828E-2</v>
      </c>
      <c r="BE22" s="223">
        <f t="shared" si="46"/>
        <v>7.7441077441077422E-2</v>
      </c>
      <c r="BF22" s="223">
        <f t="shared" si="46"/>
        <v>5.3191489361702038E-2</v>
      </c>
      <c r="BG22" s="220"/>
      <c r="BH22" s="221"/>
      <c r="BI22" s="221"/>
      <c r="BJ22" s="222"/>
      <c r="BK22" s="221"/>
      <c r="BL22" s="221"/>
      <c r="BM22" s="223"/>
      <c r="BN22" s="223"/>
      <c r="BO22" s="220"/>
      <c r="BP22" s="221"/>
      <c r="BQ22" s="221"/>
      <c r="BR22" s="222"/>
      <c r="BS22" s="221"/>
      <c r="BT22" s="221"/>
      <c r="BU22" s="223"/>
      <c r="BV22" s="223"/>
      <c r="BW22" s="220"/>
      <c r="BX22" s="221"/>
      <c r="BY22" s="221"/>
      <c r="BZ22" s="222"/>
      <c r="CA22" s="221"/>
      <c r="CB22" s="221"/>
      <c r="CC22" s="223"/>
      <c r="CD22" s="223"/>
      <c r="CE22" s="220"/>
      <c r="CF22" s="221"/>
      <c r="CG22" s="221"/>
      <c r="CH22" s="222"/>
      <c r="CI22" s="221"/>
      <c r="CJ22" s="221"/>
      <c r="CK22" s="223"/>
      <c r="CL22" s="223"/>
      <c r="CM22" s="220"/>
      <c r="CN22" s="221"/>
      <c r="CO22" s="221"/>
      <c r="CP22" s="222"/>
      <c r="CQ22" s="221"/>
      <c r="CR22" s="221"/>
      <c r="CS22" s="223"/>
      <c r="CT22" s="223"/>
      <c r="CU22" s="220"/>
      <c r="CV22" s="228"/>
      <c r="CW22" s="228"/>
      <c r="CX22" s="229"/>
      <c r="CY22" s="228"/>
      <c r="CZ22" s="228"/>
      <c r="DA22" s="230"/>
      <c r="DB22" s="230"/>
      <c r="DC22" s="220"/>
      <c r="DD22" s="221"/>
      <c r="DE22" s="221"/>
      <c r="DF22" s="222"/>
      <c r="DG22" s="221"/>
      <c r="DH22" s="221"/>
      <c r="DI22" s="230"/>
      <c r="DJ22" s="230"/>
      <c r="DK22" s="220"/>
      <c r="DL22" s="221"/>
      <c r="DM22" s="221"/>
      <c r="DN22" s="222"/>
      <c r="DO22" s="221"/>
      <c r="DP22" s="221"/>
      <c r="DQ22" s="230"/>
      <c r="DR22" s="230"/>
      <c r="DS22" s="220"/>
      <c r="DT22" s="221"/>
      <c r="DU22" s="228"/>
      <c r="DV22" s="229"/>
      <c r="DW22" s="221"/>
      <c r="DX22" s="228"/>
      <c r="DY22" s="230"/>
      <c r="DZ22" s="230"/>
      <c r="EA22" s="228"/>
      <c r="EB22" s="228"/>
      <c r="EC22" s="228"/>
      <c r="ED22" s="229"/>
      <c r="EE22" s="228"/>
      <c r="EF22" s="228"/>
      <c r="EG22" s="230"/>
      <c r="EH22" s="230"/>
      <c r="EI22" s="228"/>
      <c r="EJ22" s="228"/>
      <c r="EK22" s="228"/>
      <c r="EL22" s="229"/>
      <c r="EM22" s="228"/>
      <c r="EN22" s="228"/>
      <c r="EO22" s="230"/>
      <c r="EP22" s="230"/>
      <c r="EQ22" s="228"/>
      <c r="ER22" s="228"/>
      <c r="ES22" s="228"/>
      <c r="ET22" s="229"/>
      <c r="EU22" s="228"/>
      <c r="EV22" s="228"/>
      <c r="EW22" s="230"/>
      <c r="EX22" s="230"/>
      <c r="EY22" s="228"/>
      <c r="EZ22" s="228"/>
      <c r="FA22" s="228"/>
      <c r="FB22" s="229"/>
      <c r="FC22" s="228"/>
      <c r="FD22" s="228"/>
      <c r="FE22" s="230"/>
      <c r="FF22" s="230"/>
    </row>
    <row r="23" spans="1:162" ht="11.25" hidden="1" customHeight="1" outlineLevel="1" x14ac:dyDescent="0.2">
      <c r="A23" s="231"/>
      <c r="B23" s="197" t="s">
        <v>82</v>
      </c>
      <c r="C23" s="232"/>
      <c r="D23" s="233"/>
      <c r="E23" s="233"/>
      <c r="F23" s="234"/>
      <c r="G23" s="233"/>
      <c r="H23" s="233"/>
      <c r="I23" s="235"/>
      <c r="J23" s="235"/>
      <c r="K23" s="232">
        <f t="shared" si="45"/>
        <v>1.4705882352941124E-2</v>
      </c>
      <c r="L23" s="233">
        <f t="shared" si="45"/>
        <v>-1.822916666666663E-2</v>
      </c>
      <c r="M23" s="233">
        <f t="shared" si="45"/>
        <v>5.4441260744985565E-2</v>
      </c>
      <c r="N23" s="234">
        <f t="shared" si="45"/>
        <v>7.5794621026894937E-2</v>
      </c>
      <c r="O23" s="233">
        <f t="shared" si="45"/>
        <v>-2.7624309392265678E-3</v>
      </c>
      <c r="P23" s="233">
        <f t="shared" si="45"/>
        <v>6.5963060686015762E-2</v>
      </c>
      <c r="Q23" s="235">
        <f t="shared" si="45"/>
        <v>1.5843429636533068E-2</v>
      </c>
      <c r="R23" s="235">
        <f t="shared" si="45"/>
        <v>3.238866396761142E-2</v>
      </c>
      <c r="S23" s="232">
        <f t="shared" si="45"/>
        <v>0.19999999999999996</v>
      </c>
      <c r="T23" s="233">
        <f t="shared" si="45"/>
        <v>0.24933687002652527</v>
      </c>
      <c r="U23" s="233">
        <f t="shared" si="45"/>
        <v>0.28804347826086962</v>
      </c>
      <c r="V23" s="234">
        <f t="shared" si="45"/>
        <v>0.17954545454545445</v>
      </c>
      <c r="W23" s="233">
        <f t="shared" si="45"/>
        <v>0.22576177285318555</v>
      </c>
      <c r="X23" s="233">
        <f t="shared" si="45"/>
        <v>0.22896039603960405</v>
      </c>
      <c r="Y23" s="235">
        <f t="shared" si="45"/>
        <v>0.24678899082568817</v>
      </c>
      <c r="Z23" s="235">
        <f t="shared" si="45"/>
        <v>0.22745098039215694</v>
      </c>
      <c r="AA23" s="232">
        <f t="shared" si="45"/>
        <v>8.4541062801932298E-2</v>
      </c>
      <c r="AB23" s="233">
        <f t="shared" si="45"/>
        <v>6.1571125265392768E-2</v>
      </c>
      <c r="AC23" s="233">
        <f t="shared" si="45"/>
        <v>-8.4388185654008518E-3</v>
      </c>
      <c r="AD23" s="234"/>
      <c r="AE23" s="233">
        <f>AE9/W9-1</f>
        <v>7.2316384180791005E-2</v>
      </c>
      <c r="AF23" s="233"/>
      <c r="AG23" s="235">
        <f>AG9/Y9-1</f>
        <v>4.4150110375275942E-2</v>
      </c>
      <c r="AH23" s="235"/>
      <c r="AI23" s="232"/>
      <c r="AJ23" s="233"/>
      <c r="AK23" s="233"/>
      <c r="AL23" s="234"/>
      <c r="AM23" s="233"/>
      <c r="AN23" s="233"/>
      <c r="AO23" s="235"/>
      <c r="AP23" s="235"/>
      <c r="AQ23" s="232"/>
      <c r="AR23" s="233"/>
      <c r="AS23" s="233"/>
      <c r="AT23" s="234"/>
      <c r="AU23" s="233"/>
      <c r="AV23" s="233"/>
      <c r="AW23" s="235"/>
      <c r="AX23" s="235"/>
      <c r="AY23" s="232"/>
      <c r="AZ23" s="233"/>
      <c r="BA23" s="233"/>
      <c r="BB23" s="234"/>
      <c r="BC23" s="233"/>
      <c r="BD23" s="233"/>
      <c r="BE23" s="235"/>
      <c r="BF23" s="235"/>
      <c r="BG23" s="232"/>
      <c r="BH23" s="233"/>
      <c r="BI23" s="233"/>
      <c r="BJ23" s="234"/>
      <c r="BK23" s="233"/>
      <c r="BL23" s="233"/>
      <c r="BM23" s="235"/>
      <c r="BN23" s="235"/>
      <c r="BO23" s="232"/>
      <c r="BP23" s="233"/>
      <c r="BQ23" s="233"/>
      <c r="BR23" s="234"/>
      <c r="BS23" s="233"/>
      <c r="BT23" s="233"/>
      <c r="BU23" s="235"/>
      <c r="BV23" s="235"/>
      <c r="BW23" s="232"/>
      <c r="BX23" s="233"/>
      <c r="BY23" s="233"/>
      <c r="BZ23" s="234"/>
      <c r="CA23" s="233"/>
      <c r="CB23" s="233"/>
      <c r="CC23" s="235"/>
      <c r="CD23" s="235"/>
      <c r="CE23" s="232"/>
      <c r="CF23" s="233"/>
      <c r="CG23" s="233"/>
      <c r="CH23" s="234"/>
      <c r="CI23" s="233"/>
      <c r="CJ23" s="233"/>
      <c r="CK23" s="235"/>
      <c r="CL23" s="235"/>
      <c r="CM23" s="232"/>
      <c r="CN23" s="233"/>
      <c r="CO23" s="233"/>
      <c r="CP23" s="234"/>
      <c r="CQ23" s="233"/>
      <c r="CR23" s="233"/>
      <c r="CS23" s="235"/>
      <c r="CT23" s="235"/>
      <c r="CU23" s="232"/>
      <c r="CV23" s="233"/>
      <c r="CW23" s="233"/>
      <c r="CX23" s="234"/>
      <c r="CY23" s="233"/>
      <c r="CZ23" s="233"/>
      <c r="DA23" s="235"/>
      <c r="DB23" s="235"/>
      <c r="DC23" s="232"/>
      <c r="DD23" s="233"/>
      <c r="DE23" s="233"/>
      <c r="DF23" s="234"/>
      <c r="DG23" s="233"/>
      <c r="DH23" s="233"/>
      <c r="DI23" s="235"/>
      <c r="DJ23" s="235"/>
      <c r="DK23" s="232"/>
      <c r="DL23" s="233"/>
      <c r="DM23" s="233"/>
      <c r="DN23" s="234"/>
      <c r="DO23" s="233"/>
      <c r="DP23" s="233"/>
      <c r="DQ23" s="235"/>
      <c r="DR23" s="235"/>
      <c r="DS23" s="232"/>
      <c r="DT23" s="233"/>
      <c r="DU23" s="233"/>
      <c r="DV23" s="234"/>
      <c r="DW23" s="233"/>
      <c r="DX23" s="233"/>
      <c r="DY23" s="235"/>
      <c r="DZ23" s="235"/>
      <c r="EA23" s="233"/>
      <c r="EB23" s="233"/>
      <c r="EC23" s="233"/>
      <c r="ED23" s="234"/>
      <c r="EE23" s="233"/>
      <c r="EF23" s="233"/>
      <c r="EG23" s="235"/>
      <c r="EH23" s="235"/>
      <c r="EI23" s="233"/>
      <c r="EJ23" s="233"/>
      <c r="EK23" s="233"/>
      <c r="EL23" s="234"/>
      <c r="EM23" s="233"/>
      <c r="EN23" s="233"/>
      <c r="EO23" s="235"/>
      <c r="EP23" s="235"/>
      <c r="EQ23" s="233"/>
      <c r="ER23" s="233"/>
      <c r="ES23" s="233"/>
      <c r="ET23" s="234"/>
      <c r="EU23" s="233"/>
      <c r="EV23" s="233"/>
      <c r="EW23" s="235"/>
      <c r="EX23" s="235"/>
      <c r="EY23" s="233"/>
      <c r="EZ23" s="233"/>
      <c r="FA23" s="233"/>
      <c r="FB23" s="234"/>
      <c r="FC23" s="233"/>
      <c r="FD23" s="233"/>
      <c r="FE23" s="235"/>
      <c r="FF23" s="235"/>
    </row>
    <row r="24" spans="1:162" s="237" customFormat="1" ht="11.25" customHeight="1" collapsed="1" x14ac:dyDescent="0.2">
      <c r="A24" s="236" t="s">
        <v>271</v>
      </c>
      <c r="C24" s="238"/>
      <c r="D24" s="239"/>
      <c r="E24" s="239"/>
      <c r="F24" s="240"/>
      <c r="G24" s="239"/>
      <c r="H24" s="239"/>
      <c r="I24" s="241"/>
      <c r="J24" s="241"/>
      <c r="K24" s="238">
        <f t="shared" ref="K24:AC24" si="47">K11/C11-1</f>
        <v>3.3003300330032959E-2</v>
      </c>
      <c r="L24" s="239">
        <f t="shared" si="47"/>
        <v>5.3441522104085148E-2</v>
      </c>
      <c r="M24" s="239">
        <f t="shared" si="47"/>
        <v>6.7836953287711887E-2</v>
      </c>
      <c r="N24" s="240">
        <f t="shared" si="47"/>
        <v>0.11306471306471311</v>
      </c>
      <c r="O24" s="239">
        <f t="shared" si="47"/>
        <v>4.3578977848559353E-2</v>
      </c>
      <c r="P24" s="239">
        <f t="shared" si="47"/>
        <v>9.2677038626609365E-2</v>
      </c>
      <c r="Q24" s="241">
        <f t="shared" si="47"/>
        <v>5.1519283209972677E-2</v>
      </c>
      <c r="R24" s="241">
        <f t="shared" si="47"/>
        <v>6.906635104086889E-2</v>
      </c>
      <c r="S24" s="238">
        <f t="shared" si="47"/>
        <v>0.14289863491141452</v>
      </c>
      <c r="T24" s="239">
        <f t="shared" si="47"/>
        <v>0.18671978751660023</v>
      </c>
      <c r="U24" s="239">
        <f t="shared" si="47"/>
        <v>0.1538032878239064</v>
      </c>
      <c r="V24" s="240">
        <f t="shared" si="47"/>
        <v>6.8451075032909259E-2</v>
      </c>
      <c r="W24" s="239">
        <f t="shared" si="47"/>
        <v>0.16578801331853499</v>
      </c>
      <c r="X24" s="239">
        <f t="shared" si="47"/>
        <v>0.10605130722965517</v>
      </c>
      <c r="Y24" s="241">
        <f t="shared" si="47"/>
        <v>0.16180420487172364</v>
      </c>
      <c r="Z24" s="241">
        <f t="shared" si="47"/>
        <v>0.13409312927385209</v>
      </c>
      <c r="AA24" s="238">
        <f t="shared" si="47"/>
        <v>7.7509529860228632E-2</v>
      </c>
      <c r="AB24" s="239">
        <f t="shared" si="47"/>
        <v>5.1029543419874646E-2</v>
      </c>
      <c r="AC24" s="239">
        <f t="shared" si="47"/>
        <v>-3.7189084762134783E-2</v>
      </c>
      <c r="AD24" s="240"/>
      <c r="AE24" s="239">
        <f>AE11/W11-1</f>
        <v>6.3429727478281572E-2</v>
      </c>
      <c r="AF24" s="239">
        <f>AF11/X11-1</f>
        <v>-0.13505715236932636</v>
      </c>
      <c r="AG24" s="241">
        <f>AG11/Y11-1</f>
        <v>3.0213647959183687E-2</v>
      </c>
      <c r="AH24" s="241">
        <f t="shared" ref="AH24:AN24" si="48">AH11/(Z11-Z9)-1</f>
        <v>1.5769824922760023E-2</v>
      </c>
      <c r="AI24" s="238">
        <f t="shared" si="48"/>
        <v>5.0382484832498076E-2</v>
      </c>
      <c r="AJ24" s="239">
        <f t="shared" si="48"/>
        <v>-3.3365109628217371E-2</v>
      </c>
      <c r="AK24" s="239">
        <f t="shared" si="48"/>
        <v>8.4731305089565057E-2</v>
      </c>
      <c r="AL24" s="240">
        <f t="shared" si="48"/>
        <v>9.1419219078793468E-2</v>
      </c>
      <c r="AM24" s="239">
        <f t="shared" si="48"/>
        <v>6.3853762363841327E-3</v>
      </c>
      <c r="AN24" s="239">
        <f t="shared" si="48"/>
        <v>8.8401334359763828E-2</v>
      </c>
      <c r="AO24" s="241">
        <f>+AO11/(AG11-AG9)-1</f>
        <v>3.0337273991654978E-2</v>
      </c>
      <c r="AP24" s="241">
        <f>AP11/AH11-1</f>
        <v>4.6891831949813056E-2</v>
      </c>
      <c r="AQ24" s="238"/>
      <c r="AR24" s="239"/>
      <c r="AS24" s="239"/>
      <c r="AT24" s="240"/>
      <c r="AU24" s="239"/>
      <c r="AV24" s="239"/>
      <c r="AW24" s="241"/>
      <c r="AX24" s="241"/>
      <c r="AY24" s="238">
        <f>AY11/AQ11-1</f>
        <v>0.12048832271762211</v>
      </c>
      <c r="AZ24" s="239">
        <f>AZ11/AR11-1</f>
        <v>0.35417734495130704</v>
      </c>
      <c r="BA24" s="239">
        <f t="shared" ref="BA24:BF24" si="49">BA11/AS11-1</f>
        <v>0.45365588475129104</v>
      </c>
      <c r="BB24" s="240">
        <f>BB11/AT11-1</f>
        <v>0.34578627280625551</v>
      </c>
      <c r="BC24" s="239">
        <f t="shared" si="49"/>
        <v>0.2393741851368969</v>
      </c>
      <c r="BD24" s="239">
        <f t="shared" si="49"/>
        <v>0.39369793553060495</v>
      </c>
      <c r="BE24" s="241">
        <f t="shared" si="49"/>
        <v>0.3088377830645872</v>
      </c>
      <c r="BF24" s="241">
        <f t="shared" si="49"/>
        <v>0.31950103428822163</v>
      </c>
      <c r="BG24" s="238"/>
      <c r="BH24" s="239"/>
      <c r="BI24" s="239"/>
      <c r="BJ24" s="240"/>
      <c r="BK24" s="239"/>
      <c r="BL24" s="239"/>
      <c r="BM24" s="241"/>
      <c r="BN24" s="241"/>
      <c r="BO24" s="238">
        <f>BO11/BG11-1</f>
        <v>0.36925627664613936</v>
      </c>
      <c r="BP24" s="239">
        <f>BP11/BH11-1</f>
        <v>0.19625283875851629</v>
      </c>
      <c r="BQ24" s="239">
        <f t="shared" ref="BQ24:BV24" si="50">BQ11/BI11-1</f>
        <v>0.13967838444278224</v>
      </c>
      <c r="BR24" s="240">
        <f t="shared" si="50"/>
        <v>3.9864428663654028E-2</v>
      </c>
      <c r="BS24" s="239">
        <f t="shared" si="50"/>
        <v>0.27309067957079747</v>
      </c>
      <c r="BT24" s="239">
        <f t="shared" si="50"/>
        <v>8.6105336105336105E-2</v>
      </c>
      <c r="BU24" s="241">
        <f t="shared" si="50"/>
        <v>0.22505722364346314</v>
      </c>
      <c r="BV24" s="241">
        <f t="shared" si="50"/>
        <v>0.17054631828978617</v>
      </c>
      <c r="BW24" s="238">
        <f>BW11/BO11-1</f>
        <v>-6.8846220377097422E-2</v>
      </c>
      <c r="BX24" s="239">
        <f>BX11/BP11-1</f>
        <v>-0.46464167062173711</v>
      </c>
      <c r="BY24" s="239">
        <f t="shared" ref="BY24:EJ24" si="51">BY11/BQ11-1</f>
        <v>-0.44511894995898282</v>
      </c>
      <c r="BZ24" s="240">
        <f t="shared" si="51"/>
        <v>-0.32500388018004034</v>
      </c>
      <c r="CA24" s="239">
        <f t="shared" si="51"/>
        <v>-0.2755742852421087</v>
      </c>
      <c r="CB24" s="239">
        <f t="shared" si="51"/>
        <v>-0.38339448077843352</v>
      </c>
      <c r="CC24" s="241">
        <f t="shared" si="51"/>
        <v>-0.33236247733142821</v>
      </c>
      <c r="CD24" s="241">
        <f t="shared" si="51"/>
        <v>-0.33043831168831173</v>
      </c>
      <c r="CE24" s="238">
        <f>CE11/BW11-1</f>
        <v>-0.37915660412409435</v>
      </c>
      <c r="CF24" s="239">
        <f t="shared" si="51"/>
        <v>4.4326241134751809E-2</v>
      </c>
      <c r="CG24" s="239">
        <f t="shared" si="51"/>
        <v>0.10408042578355992</v>
      </c>
      <c r="CH24" s="240">
        <f t="shared" si="51"/>
        <v>6.8521499195217217E-2</v>
      </c>
      <c r="CI24" s="239">
        <f t="shared" si="51"/>
        <v>-0.21569522071404124</v>
      </c>
      <c r="CJ24" s="239">
        <f t="shared" si="51"/>
        <v>8.4077092226102712E-2</v>
      </c>
      <c r="CK24" s="241">
        <f t="shared" si="51"/>
        <v>-0.12667709276483663</v>
      </c>
      <c r="CL24" s="241">
        <f t="shared" si="51"/>
        <v>-7.5221238938053103E-2</v>
      </c>
      <c r="CM24" s="238">
        <f t="shared" si="51"/>
        <v>0.21813285457809695</v>
      </c>
      <c r="CN24" s="239">
        <f t="shared" si="51"/>
        <v>0.27023203169213361</v>
      </c>
      <c r="CO24" s="239">
        <f t="shared" si="51"/>
        <v>0.2986073915372256</v>
      </c>
      <c r="CP24" s="240">
        <f t="shared" si="51"/>
        <v>0.21067355282978273</v>
      </c>
      <c r="CQ24" s="239">
        <f t="shared" si="51"/>
        <v>0.24490983129726596</v>
      </c>
      <c r="CR24" s="239">
        <f t="shared" si="51"/>
        <v>0.24985085312015265</v>
      </c>
      <c r="CS24" s="241">
        <f t="shared" si="51"/>
        <v>0.26380772855796408</v>
      </c>
      <c r="CT24" s="241">
        <f t="shared" si="51"/>
        <v>0.24762404142360883</v>
      </c>
      <c r="CU24" s="238">
        <f t="shared" si="51"/>
        <v>0.29353967084254484</v>
      </c>
      <c r="CV24" s="239">
        <f t="shared" si="51"/>
        <v>0.26509244820672762</v>
      </c>
      <c r="CW24" s="239">
        <f t="shared" si="51"/>
        <v>0.2012786141472469</v>
      </c>
      <c r="CX24" s="240">
        <f t="shared" si="51"/>
        <v>0.14273018130110193</v>
      </c>
      <c r="CY24" s="239">
        <f t="shared" si="51"/>
        <v>0.2786214953271029</v>
      </c>
      <c r="CZ24" s="239">
        <f t="shared" si="51"/>
        <v>0.16983293556085921</v>
      </c>
      <c r="DA24" s="241">
        <f t="shared" si="51"/>
        <v>0.25065254679692739</v>
      </c>
      <c r="DB24" s="241">
        <f t="shared" si="51"/>
        <v>0.21875492513790395</v>
      </c>
      <c r="DC24" s="238">
        <f t="shared" si="51"/>
        <v>0.18116217242688948</v>
      </c>
      <c r="DD24" s="239">
        <f t="shared" si="51"/>
        <v>0.20214826553970777</v>
      </c>
      <c r="DE24" s="239">
        <f t="shared" si="51"/>
        <v>0.13974248927038624</v>
      </c>
      <c r="DF24" s="240">
        <f t="shared" si="51"/>
        <v>0.18696531342354961</v>
      </c>
      <c r="DG24" s="239">
        <f t="shared" si="51"/>
        <v>0.19205116491548657</v>
      </c>
      <c r="DH24" s="239">
        <f t="shared" si="51"/>
        <v>0.16451770850334579</v>
      </c>
      <c r="DI24" s="241">
        <f t="shared" si="51"/>
        <v>0.17388193202146685</v>
      </c>
      <c r="DJ24" s="241">
        <f t="shared" si="51"/>
        <v>0.17750765119186163</v>
      </c>
      <c r="DK24" s="238">
        <f t="shared" si="51"/>
        <v>0.16672025723472661</v>
      </c>
      <c r="DL24" s="239">
        <f t="shared" si="51"/>
        <v>0.10033689761242126</v>
      </c>
      <c r="DM24" s="239">
        <f t="shared" si="51"/>
        <v>0.18270823919264956</v>
      </c>
      <c r="DN24" s="240">
        <f t="shared" si="51"/>
        <v>0.14113484471235771</v>
      </c>
      <c r="DO24" s="239">
        <f t="shared" si="51"/>
        <v>0.13198436422166004</v>
      </c>
      <c r="DP24" s="239">
        <f t="shared" si="51"/>
        <v>0.16047652417659419</v>
      </c>
      <c r="DQ24" s="241">
        <f t="shared" si="51"/>
        <v>0.1490907243726507</v>
      </c>
      <c r="DR24" s="241">
        <f t="shared" si="51"/>
        <v>0.14686825053995678</v>
      </c>
      <c r="DS24" s="238">
        <f t="shared" si="51"/>
        <v>0.18836984980019289</v>
      </c>
      <c r="DT24" s="239">
        <f t="shared" si="51"/>
        <v>0.19102768903088396</v>
      </c>
      <c r="DU24" s="243">
        <f t="shared" si="51"/>
        <v>0.12155257116726936</v>
      </c>
      <c r="DV24" s="242">
        <f t="shared" si="51"/>
        <v>0.2213196091648717</v>
      </c>
      <c r="DW24" s="239">
        <f t="shared" si="51"/>
        <v>0.18972171440178753</v>
      </c>
      <c r="DX24" s="243">
        <f t="shared" si="51"/>
        <v>0.17401461023025999</v>
      </c>
      <c r="DY24" s="244">
        <f t="shared" si="51"/>
        <v>0.1662107959876904</v>
      </c>
      <c r="DZ24" s="244">
        <f t="shared" si="51"/>
        <v>0.18152847434151287</v>
      </c>
      <c r="EA24" s="243">
        <f t="shared" si="51"/>
        <v>3.6291773853982523E-2</v>
      </c>
      <c r="EB24" s="243">
        <f t="shared" si="51"/>
        <v>9.372224193864942E-2</v>
      </c>
      <c r="EC24" s="243">
        <f t="shared" si="51"/>
        <v>0.1168375164902784</v>
      </c>
      <c r="ED24" s="242">
        <f t="shared" si="51"/>
        <v>0.12487903264376832</v>
      </c>
      <c r="EE24" s="243">
        <f t="shared" si="51"/>
        <v>6.5534867471506608E-2</v>
      </c>
      <c r="EF24" s="243">
        <f t="shared" si="51"/>
        <v>0.12123649514924506</v>
      </c>
      <c r="EG24" s="244">
        <f t="shared" si="51"/>
        <v>8.2522385260341835E-2</v>
      </c>
      <c r="EH24" s="244">
        <f t="shared" si="51"/>
        <v>9.4692049683589907E-2</v>
      </c>
      <c r="EI24" s="243">
        <f t="shared" si="51"/>
        <v>9.7589979185568776E-2</v>
      </c>
      <c r="EJ24" s="243">
        <f t="shared" si="51"/>
        <v>9.6912791244438745E-2</v>
      </c>
      <c r="EK24" s="243">
        <f t="shared" ref="EK24:FF24" si="52">EK11/EC11-1</f>
        <v>9.7156545029613683E-2</v>
      </c>
      <c r="EL24" s="242">
        <f t="shared" si="52"/>
        <v>8.8706696627386838E-2</v>
      </c>
      <c r="EM24" s="243">
        <f t="shared" si="52"/>
        <v>9.7236039261951568E-2</v>
      </c>
      <c r="EN24" s="243">
        <f t="shared" si="52"/>
        <v>9.2519178423121629E-2</v>
      </c>
      <c r="EO24" s="244">
        <f t="shared" si="52"/>
        <v>9.7208661383111128E-2</v>
      </c>
      <c r="EP24" s="244">
        <f t="shared" si="52"/>
        <v>9.4698566240022375E-2</v>
      </c>
      <c r="EQ24" s="243">
        <f t="shared" si="52"/>
        <v>7.1915333473852927E-2</v>
      </c>
      <c r="ER24" s="243">
        <f t="shared" si="52"/>
        <v>7.0340593800652718E-2</v>
      </c>
      <c r="ES24" s="243">
        <f t="shared" si="52"/>
        <v>7.0481820027584519E-2</v>
      </c>
      <c r="ET24" s="242">
        <f t="shared" si="52"/>
        <v>6.8928455907171449E-2</v>
      </c>
      <c r="EU24" s="243">
        <f t="shared" si="52"/>
        <v>7.1092520476989662E-2</v>
      </c>
      <c r="EV24" s="243">
        <f t="shared" si="52"/>
        <v>6.9632292203971602E-2</v>
      </c>
      <c r="EW24" s="244">
        <f t="shared" si="52"/>
        <v>7.088220473141682E-2</v>
      </c>
      <c r="EX24" s="244">
        <f t="shared" si="52"/>
        <v>7.0308542896473813E-2</v>
      </c>
      <c r="EY24" s="243">
        <f t="shared" si="52"/>
        <v>2.9394010371774693E-2</v>
      </c>
      <c r="EZ24" s="243">
        <f t="shared" si="52"/>
        <v>2.9905026697657044E-2</v>
      </c>
      <c r="FA24" s="243">
        <f t="shared" si="52"/>
        <v>2.9923348808155836E-2</v>
      </c>
      <c r="FB24" s="242">
        <f t="shared" si="52"/>
        <v>2.7286955357240572E-2</v>
      </c>
      <c r="FC24" s="243">
        <f t="shared" si="52"/>
        <v>2.9660832693837458E-2</v>
      </c>
      <c r="FD24" s="243">
        <f t="shared" si="52"/>
        <v>2.8482465883689301E-2</v>
      </c>
      <c r="FE24" s="244">
        <f t="shared" si="52"/>
        <v>2.9751205363126587E-2</v>
      </c>
      <c r="FF24" s="244">
        <f t="shared" si="52"/>
        <v>2.9028582594998742E-2</v>
      </c>
    </row>
    <row r="25" spans="1:162" ht="11.25" customHeight="1" x14ac:dyDescent="0.2">
      <c r="B25" s="245"/>
      <c r="C25" s="38"/>
      <c r="F25" s="179"/>
      <c r="I25" s="180"/>
      <c r="J25" s="180"/>
      <c r="K25" s="38"/>
      <c r="N25" s="179"/>
      <c r="Q25" s="180"/>
      <c r="R25" s="180"/>
      <c r="S25" s="38"/>
      <c r="V25" s="179"/>
      <c r="Y25" s="180"/>
      <c r="Z25" s="180"/>
      <c r="AA25" s="38"/>
      <c r="AD25" s="179"/>
      <c r="AG25" s="180" t="s">
        <v>272</v>
      </c>
      <c r="AH25" s="180"/>
      <c r="AI25" s="38"/>
      <c r="AL25" s="179"/>
      <c r="AO25" s="180"/>
      <c r="AP25" s="180"/>
      <c r="AQ25" s="38"/>
      <c r="AT25" s="179"/>
      <c r="AW25" s="180"/>
      <c r="AX25" s="180"/>
      <c r="AY25" s="38"/>
      <c r="BB25" s="179"/>
      <c r="BE25" s="180"/>
      <c r="BF25" s="180"/>
      <c r="BG25" s="38"/>
      <c r="BJ25" s="179"/>
      <c r="BM25" s="180"/>
      <c r="BN25" s="180"/>
      <c r="BO25" s="38"/>
      <c r="BR25" s="179"/>
      <c r="BU25" s="180"/>
      <c r="BV25" s="180"/>
      <c r="BW25" s="38"/>
      <c r="BZ25" s="179"/>
      <c r="CC25" s="180"/>
      <c r="CD25" s="180"/>
      <c r="CE25" s="38"/>
      <c r="CH25" s="179"/>
      <c r="CK25" s="180"/>
      <c r="CL25" s="180"/>
      <c r="CM25" s="38"/>
      <c r="CP25" s="179"/>
      <c r="CS25" s="180"/>
      <c r="CT25" s="180"/>
      <c r="CX25" s="179"/>
      <c r="DA25" s="180"/>
      <c r="DB25" s="180"/>
      <c r="DF25" s="179"/>
      <c r="DI25" s="180"/>
      <c r="DJ25" s="180"/>
      <c r="DN25" s="179"/>
      <c r="DQ25" s="180"/>
      <c r="DR25" s="180"/>
      <c r="DV25" s="179"/>
      <c r="DY25" s="180"/>
      <c r="DZ25" s="180"/>
      <c r="ED25" s="179"/>
      <c r="EG25" s="180"/>
      <c r="EH25" s="180"/>
      <c r="EL25" s="179"/>
      <c r="EO25" s="180"/>
      <c r="EP25" s="180"/>
      <c r="ET25" s="179"/>
      <c r="EW25" s="180"/>
      <c r="EX25" s="180"/>
      <c r="FB25" s="179"/>
      <c r="FE25" s="180"/>
      <c r="FF25" s="180"/>
    </row>
    <row r="26" spans="1:162" ht="11.25" customHeight="1" x14ac:dyDescent="0.2">
      <c r="A26" s="219" t="s">
        <v>273</v>
      </c>
      <c r="C26" s="38"/>
      <c r="F26" s="179"/>
      <c r="I26" s="180"/>
      <c r="J26" s="180"/>
      <c r="K26" s="38"/>
      <c r="N26" s="179"/>
      <c r="Q26" s="180"/>
      <c r="R26" s="180"/>
      <c r="S26" s="38"/>
      <c r="V26" s="179"/>
      <c r="Y26" s="180"/>
      <c r="Z26" s="180"/>
      <c r="AA26" s="38"/>
      <c r="AD26" s="179"/>
      <c r="AG26" s="180"/>
      <c r="AH26" s="180"/>
      <c r="AI26" s="38"/>
      <c r="AL26" s="179"/>
      <c r="AO26" s="180"/>
      <c r="AP26" s="180"/>
      <c r="AQ26" s="38"/>
      <c r="AT26" s="179"/>
      <c r="AW26" s="180"/>
      <c r="AX26" s="180"/>
      <c r="AY26" s="38"/>
      <c r="BB26" s="179"/>
      <c r="BE26" s="180"/>
      <c r="BF26" s="180"/>
      <c r="BG26" s="38"/>
      <c r="BJ26" s="179"/>
      <c r="BM26" s="180"/>
      <c r="BN26" s="180"/>
      <c r="BO26" s="38"/>
      <c r="BR26" s="179"/>
      <c r="BU26" s="180"/>
      <c r="BV26" s="180"/>
      <c r="BW26" s="38"/>
      <c r="BZ26" s="179"/>
      <c r="CC26" s="180"/>
      <c r="CD26" s="180"/>
      <c r="CE26" s="38"/>
      <c r="CH26" s="179"/>
      <c r="CK26" s="180"/>
      <c r="CL26" s="180"/>
      <c r="CM26" s="38"/>
      <c r="CP26" s="179"/>
      <c r="CS26" s="180"/>
      <c r="CT26" s="180"/>
      <c r="CX26" s="179"/>
      <c r="DA26" s="180"/>
      <c r="DB26" s="180"/>
      <c r="DF26" s="179"/>
      <c r="DI26" s="180"/>
      <c r="DJ26" s="180"/>
      <c r="DN26" s="179"/>
      <c r="DQ26" s="180"/>
      <c r="DR26" s="180"/>
      <c r="DV26" s="179"/>
      <c r="DY26" s="180"/>
      <c r="DZ26" s="180"/>
      <c r="ED26" s="179"/>
      <c r="EG26" s="180"/>
      <c r="EH26" s="180"/>
      <c r="EL26" s="179"/>
      <c r="EO26" s="180"/>
      <c r="EP26" s="180"/>
      <c r="ET26" s="179"/>
      <c r="EW26" s="180"/>
      <c r="EX26" s="180"/>
      <c r="FB26" s="179"/>
      <c r="FE26" s="180"/>
      <c r="FF26" s="180"/>
    </row>
    <row r="27" spans="1:162" ht="11.25" customHeight="1" x14ac:dyDescent="0.2">
      <c r="A27" s="197"/>
      <c r="B27" s="197" t="s">
        <v>68</v>
      </c>
      <c r="C27" s="246"/>
      <c r="D27" s="247"/>
      <c r="E27" s="247"/>
      <c r="F27" s="248"/>
      <c r="G27" s="249"/>
      <c r="H27" s="249"/>
      <c r="I27" s="250"/>
      <c r="J27" s="251"/>
      <c r="K27" s="246">
        <v>2.1000000000000001E-2</v>
      </c>
      <c r="L27" s="247"/>
      <c r="M27" s="247">
        <v>8.8999999999999996E-2</v>
      </c>
      <c r="N27" s="248"/>
      <c r="O27" s="249">
        <v>2.3E-2</v>
      </c>
      <c r="P27" s="249"/>
      <c r="Q27" s="250">
        <v>4.3999999999999997E-2</v>
      </c>
      <c r="R27" s="251">
        <v>6.2E-2</v>
      </c>
      <c r="S27" s="246">
        <v>3.6999999999999998E-2</v>
      </c>
      <c r="T27" s="247">
        <f>((2*(1+W27))-(1+S27))-1</f>
        <v>0.14100000000000001</v>
      </c>
      <c r="U27" s="247">
        <v>5.7000000000000002E-2</v>
      </c>
      <c r="V27" s="248">
        <f t="shared" ref="V27:V36" si="53">((4*(1+Z27))-(1+U27)-(1+T27)-(1+S27))-1</f>
        <v>5.0000000000003375E-3</v>
      </c>
      <c r="W27" s="249">
        <v>8.8999999999999996E-2</v>
      </c>
      <c r="X27" s="249">
        <f>((1+Z27)*2)-(1+W27)-1</f>
        <v>3.1000000000000139E-2</v>
      </c>
      <c r="Y27" s="250">
        <v>7.8E-2</v>
      </c>
      <c r="Z27" s="251">
        <v>0.06</v>
      </c>
      <c r="AA27" s="246">
        <v>0.1</v>
      </c>
      <c r="AB27" s="247">
        <f t="shared" ref="AB27:AB36" si="54">((2*(1+AE27))-(1+AA27))-1</f>
        <v>6.4000000000000057E-2</v>
      </c>
      <c r="AC27" s="247">
        <v>-2.3E-2</v>
      </c>
      <c r="AD27" s="248">
        <f t="shared" ref="AD27:AD36" si="55">((4*(1+AH27))-(1+AC27)-(1+AB27)-(1+AA27))-1</f>
        <v>5.4999999999999716E-2</v>
      </c>
      <c r="AE27" s="249">
        <v>8.2000000000000003E-2</v>
      </c>
      <c r="AF27" s="249">
        <f>+(AH27*Z3-AE27*W3)/X3</f>
        <v>1.836933581626319E-2</v>
      </c>
      <c r="AG27" s="250">
        <v>4.7E-2</v>
      </c>
      <c r="AH27" s="251">
        <v>4.9000000000000002E-2</v>
      </c>
      <c r="AI27" s="246">
        <v>5.1999999999999998E-2</v>
      </c>
      <c r="AJ27" s="247">
        <f>+(AM27*AE3-AI27*AA3)/AB3</f>
        <v>-2.9710093896713616E-2</v>
      </c>
      <c r="AK27" s="247">
        <v>0.14399999999999999</v>
      </c>
      <c r="AL27" s="248">
        <f>+(AP27*(AH3-312)-(AO27*(AG3-312)))/AD3</f>
        <v>0.14425988700564971</v>
      </c>
      <c r="AM27" s="249">
        <v>8.9999999999999993E-3</v>
      </c>
      <c r="AN27" s="249">
        <f>+(AP27*AH3-AM27*AE3)/AF3</f>
        <v>0.14570180855756507</v>
      </c>
      <c r="AO27" s="250">
        <v>4.9000000000000002E-2</v>
      </c>
      <c r="AP27" s="251">
        <v>7.4999999999999997E-2</v>
      </c>
      <c r="AQ27" s="246"/>
      <c r="AR27" s="247"/>
      <c r="AS27" s="247"/>
      <c r="AT27" s="248"/>
      <c r="AU27" s="249"/>
      <c r="AV27" s="249"/>
      <c r="AW27" s="250"/>
      <c r="AX27" s="251"/>
      <c r="AY27" s="246">
        <v>0.121</v>
      </c>
      <c r="AZ27" s="247">
        <f>((BC27*AU3)-(AQ3*AY27))/AR3</f>
        <v>0.13684919210053864</v>
      </c>
      <c r="BA27" s="247">
        <v>0.121</v>
      </c>
      <c r="BB27" s="248">
        <f>+(BF27*AX3-BE27*AW3)/AT3</f>
        <v>0.15923917000364041</v>
      </c>
      <c r="BC27" s="249">
        <v>0.129</v>
      </c>
      <c r="BD27" s="249">
        <f>+(BF27*AX3-BC27*AU3)/AV3</f>
        <v>0.14225085980173985</v>
      </c>
      <c r="BE27" s="250">
        <f>+(AY27*AQ3+AZ27*AR3+BA27*AS3)/AW3</f>
        <v>0.12634220877458396</v>
      </c>
      <c r="BF27" s="251">
        <f>Divisional!Q26</f>
        <v>0.13600000000000001</v>
      </c>
      <c r="BG27" s="246"/>
      <c r="BH27" s="247"/>
      <c r="BI27" s="247"/>
      <c r="BJ27" s="248"/>
      <c r="BK27" s="249"/>
      <c r="BL27" s="249"/>
      <c r="BM27" s="250"/>
      <c r="BN27" s="251"/>
      <c r="BO27" s="246">
        <v>0.14799999999999999</v>
      </c>
      <c r="BP27" s="247">
        <f>((BS27*BK3)-(BG3*BO27))/BH3</f>
        <v>0.22917860016090108</v>
      </c>
      <c r="BQ27" s="247">
        <v>0.14899999999999999</v>
      </c>
      <c r="BR27" s="248">
        <f>((BV27*BF3)-(AY3*BO27)-(AZ3*BP27)-(BA3*BQ27))/BB3</f>
        <v>-4.4759713769193292E-2</v>
      </c>
      <c r="BS27" s="249">
        <v>0.19</v>
      </c>
      <c r="BT27" s="249">
        <f>((BI3*BQ27)+(BJ3*BR27))/BL3</f>
        <v>3.9938851792539275E-2</v>
      </c>
      <c r="BU27" s="250">
        <v>0.17599999999999999</v>
      </c>
      <c r="BV27" s="251">
        <f>Divisional!S26</f>
        <v>0.108</v>
      </c>
      <c r="BW27" s="246">
        <v>-0.11799999999999999</v>
      </c>
      <c r="BX27" s="247">
        <f>((CA27*BS3)-(BO3*BW27))/BP3</f>
        <v>-0.51762440114979236</v>
      </c>
      <c r="BY27" s="247">
        <v>-0.45900000000000002</v>
      </c>
      <c r="BZ27" s="248">
        <f>((CD27*BV3)-(BO3*BW27)-(BP3*BX27)-(BQ3*BY27))/BR3</f>
        <v>-0.330037072243346</v>
      </c>
      <c r="CA27" s="249">
        <v>-0.33</v>
      </c>
      <c r="CB27" s="249">
        <f>((BQ3*BY27)+(BR3*BZ27))/BT3</f>
        <v>-0.39274458733517825</v>
      </c>
      <c r="CC27" s="250">
        <f>((BO3*BW27)+(BP3*BX27)+(BQ3*BY27))/BU3</f>
        <v>-0.37334829564630445</v>
      </c>
      <c r="CD27" s="251">
        <f>Divisional!T26</f>
        <v>-0.36199999999999999</v>
      </c>
      <c r="CE27" s="246">
        <v>-0.34200000000000003</v>
      </c>
      <c r="CF27" s="247">
        <f>((CI27*CA3)-(BW3*CE27))/BX3</f>
        <v>0.14102903225806454</v>
      </c>
      <c r="CG27" s="247">
        <v>0.17399999999999999</v>
      </c>
      <c r="CH27" s="248">
        <f>((CL27*CD3)-(BW3*CE27)-(BX3*CF27)-(BY3*CG27))/BZ3</f>
        <v>0.1360330578512397</v>
      </c>
      <c r="CI27" s="249">
        <v>-0.157</v>
      </c>
      <c r="CJ27" s="249">
        <f>((BY3*CG27)+(BZ3*CH27))/CB3</f>
        <v>0.15240210176991151</v>
      </c>
      <c r="CK27" s="250">
        <f>((BW3*CE27)+(BX3*CF27)+(BY3*CG27))/CC3</f>
        <v>-6.4950588655012492E-2</v>
      </c>
      <c r="CL27" s="251">
        <f>Divisional!U26</f>
        <v>-1.0999999999999999E-2</v>
      </c>
      <c r="CM27" s="246">
        <v>0.188</v>
      </c>
      <c r="CN27" s="247">
        <f>((CQ27*CI3)-(CE3*CM27))/CF3</f>
        <v>0.21494668246445497</v>
      </c>
      <c r="CO27" s="247">
        <v>0.25900000000000001</v>
      </c>
      <c r="CP27" s="248">
        <f>+(CT27*CL3-CS27*CK3)/CH3</f>
        <v>9.9129941126997481E-2</v>
      </c>
      <c r="CQ27" s="249">
        <v>0.20200000000000001</v>
      </c>
      <c r="CR27" s="249">
        <f>+(CT27*CL3-CQ27*CI3)/CJ3</f>
        <v>0.1682670644391408</v>
      </c>
      <c r="CS27" s="250">
        <f>((CE3*CM27)+(CF3*CN27)+(CG3*CO27))/CK3</f>
        <v>0.22240782454060462</v>
      </c>
      <c r="CT27" s="251">
        <f>Divisional!V26</f>
        <v>0.183</v>
      </c>
      <c r="CU27" s="246">
        <v>0.34899999999999998</v>
      </c>
      <c r="CV27" s="247">
        <v>0.33400000000000002</v>
      </c>
      <c r="CW27" s="247">
        <v>0.28399999999999997</v>
      </c>
      <c r="CX27" s="255">
        <f>Propulsion!AB11</f>
        <v>0.14399999999999999</v>
      </c>
      <c r="CY27" s="249">
        <v>0.34100000000000003</v>
      </c>
      <c r="CZ27" s="247">
        <f>Propulsion!AD11</f>
        <v>0.20902176360225136</v>
      </c>
      <c r="DA27" s="251">
        <f>Propulsion!AE11</f>
        <v>0.32</v>
      </c>
      <c r="DB27" s="251">
        <f>Divisional!W26</f>
        <v>0.26700000000000002</v>
      </c>
      <c r="DC27" s="246">
        <f>Propulsion!AG11</f>
        <v>0.154</v>
      </c>
      <c r="DD27" s="247">
        <f>Propulsion!AH11</f>
        <v>0.12717651029362118</v>
      </c>
      <c r="DE27" s="247">
        <f>Propulsion!AI11</f>
        <v>9.1999999999999998E-2</v>
      </c>
      <c r="DF27" s="255">
        <f>Propulsion!AJ11</f>
        <v>0.22700000000000001</v>
      </c>
      <c r="DG27" s="247">
        <f>Propulsion!AK11</f>
        <v>0.14000000000000001</v>
      </c>
      <c r="DH27" s="247">
        <f>Propulsion!AL11</f>
        <v>0.15915792869817733</v>
      </c>
      <c r="DI27" s="251">
        <f>Propulsion!AM11</f>
        <v>0.123</v>
      </c>
      <c r="DJ27" s="251">
        <f>Divisional!X26</f>
        <v>0.15</v>
      </c>
      <c r="DK27" s="246">
        <f>Propulsion!AO11</f>
        <v>0.16400000000000001</v>
      </c>
      <c r="DL27" s="247">
        <f>Propulsion!AP11</f>
        <v>0.21299999999999999</v>
      </c>
      <c r="DM27" s="247">
        <f>Propulsion!AQ11</f>
        <v>0.25600000000000001</v>
      </c>
      <c r="DN27" s="255">
        <f>Propulsion!AR11</f>
        <v>0.11700000000000001</v>
      </c>
      <c r="DO27" s="247">
        <f>Propulsion!AS11</f>
        <v>0.16900000000000001</v>
      </c>
      <c r="DP27" s="247">
        <f>Propulsion!AT11</f>
        <v>0.1822893895146715</v>
      </c>
      <c r="DQ27" s="251">
        <f>Propulsion!AU11</f>
        <v>0.19900000000000001</v>
      </c>
      <c r="DR27" s="251">
        <f>Divisional!Y26</f>
        <v>0.17599999999999999</v>
      </c>
      <c r="DS27" s="246">
        <f>Propulsion!AW11</f>
        <v>0.33100000000000002</v>
      </c>
      <c r="DT27" s="247">
        <f>Propulsion!AX11</f>
        <v>0.219</v>
      </c>
      <c r="DU27" s="253">
        <f>Propulsion!AY11</f>
        <v>9.8300112771809944E-2</v>
      </c>
      <c r="DV27" s="252">
        <f>Propulsion!AZ11</f>
        <v>0.30461643153142776</v>
      </c>
      <c r="DW27" s="247">
        <f>Propulsion!BA11</f>
        <v>0.27700000000000002</v>
      </c>
      <c r="DX27" s="253">
        <f>Propulsion!BB11</f>
        <v>0.20195330946130413</v>
      </c>
      <c r="DY27" s="254">
        <f>Propulsion!BC11</f>
        <v>0.21277827218656412</v>
      </c>
      <c r="DZ27" s="254">
        <f>Divisional!Z26</f>
        <v>0.23829175218433524</v>
      </c>
      <c r="EA27" s="253">
        <f>Propulsion!BE11</f>
        <v>-6.0683344278451568E-3</v>
      </c>
      <c r="EB27" s="253">
        <f>Propulsion!BF11</f>
        <v>0.11405469010995847</v>
      </c>
      <c r="EC27" s="253">
        <f>Propulsion!BG11</f>
        <v>0.14830312088860764</v>
      </c>
      <c r="ED27" s="252">
        <f>Propulsion!BH11</f>
        <v>0.17499667827101717</v>
      </c>
      <c r="EE27" s="253">
        <f>Propulsion!BI11</f>
        <v>5.4477439325900837E-2</v>
      </c>
      <c r="EF27" s="253">
        <f>Propulsion!BJ11</f>
        <v>0.16311105909553497</v>
      </c>
      <c r="EG27" s="254">
        <f>Propulsion!BK11</f>
        <v>8.4802666674952412E-2</v>
      </c>
      <c r="EH27" s="254">
        <f>Divisional!AA26</f>
        <v>0.11085617363530563</v>
      </c>
      <c r="EI27" s="253">
        <f>Propulsion!BM11</f>
        <v>0.10841758536607293</v>
      </c>
      <c r="EJ27" s="253">
        <f>Propulsion!BN11</f>
        <v>0.11264539133366736</v>
      </c>
      <c r="EK27" s="253">
        <f>Propulsion!BO11</f>
        <v>0.10679682468660867</v>
      </c>
      <c r="EL27" s="252">
        <f>Propulsion!BP11</f>
        <v>9.5750969954901746E-2</v>
      </c>
      <c r="EM27" s="253">
        <f>Propulsion!BQ11</f>
        <v>0.1106577718153901</v>
      </c>
      <c r="EN27" s="253">
        <f>Propulsion!BR11</f>
        <v>0.10063862324432284</v>
      </c>
      <c r="EO27" s="254">
        <f>Propulsion!BS11</f>
        <v>0.10932037534514195</v>
      </c>
      <c r="EP27" s="254">
        <f>Divisional!AB26</f>
        <v>0.10519755337242261</v>
      </c>
      <c r="EQ27" s="253">
        <f>Propulsion!BU11</f>
        <v>6.5961649587491511E-2</v>
      </c>
      <c r="ER27" s="253">
        <f>Propulsion!BV11</f>
        <v>8.3304028751299233E-2</v>
      </c>
      <c r="ES27" s="253">
        <f>Propulsion!BW11</f>
        <v>6.3239828539941367E-2</v>
      </c>
      <c r="ET27" s="252">
        <f>Propulsion!BX11</f>
        <v>7.9897723341619639E-2</v>
      </c>
      <c r="EU27" s="253">
        <f>Propulsion!BY11</f>
        <v>7.5143142976443283E-2</v>
      </c>
      <c r="EV27" s="253">
        <f>Propulsion!BZ11</f>
        <v>7.2462786783079353E-2</v>
      </c>
      <c r="EW27" s="254">
        <f>Propulsion!CA11</f>
        <v>7.1021341290503318E-2</v>
      </c>
      <c r="EX27" s="254">
        <f>Divisional!AC26</f>
        <v>7.3688502509027712E-2</v>
      </c>
      <c r="EY27" s="253">
        <f>Propulsion!CC11</f>
        <v>1.4604000085855384E-2</v>
      </c>
      <c r="EZ27" s="253">
        <f>Propulsion!CD11</f>
        <v>9.00639795879766E-2</v>
      </c>
      <c r="FA27" s="253">
        <f>Propulsion!CE11</f>
        <v>1.6010633246544614E-2</v>
      </c>
      <c r="FB27" s="252">
        <f>Propulsion!CF11</f>
        <v>8.4172188630973005E-2</v>
      </c>
      <c r="FC27" s="253">
        <f>Propulsion!CG11</f>
        <v>5.4506517901671693E-2</v>
      </c>
      <c r="FD27" s="253">
        <f>Propulsion!CH11</f>
        <v>5.3699664786058636E-2</v>
      </c>
      <c r="FE27" s="254">
        <f>Propulsion!CI11</f>
        <v>4.1186945602773882E-2</v>
      </c>
      <c r="FF27" s="254">
        <f>Divisional!AD26</f>
        <v>5.4069205625508626E-2</v>
      </c>
    </row>
    <row r="28" spans="1:162" ht="11.25" customHeight="1" x14ac:dyDescent="0.2">
      <c r="A28" s="197"/>
      <c r="B28" s="197" t="s">
        <v>79</v>
      </c>
      <c r="C28" s="246"/>
      <c r="D28" s="247"/>
      <c r="E28" s="247"/>
      <c r="F28" s="248"/>
      <c r="G28" s="249"/>
      <c r="H28" s="249"/>
      <c r="I28" s="250"/>
      <c r="J28" s="251"/>
      <c r="K28" s="246"/>
      <c r="L28" s="247"/>
      <c r="M28" s="247"/>
      <c r="N28" s="248"/>
      <c r="O28" s="249"/>
      <c r="P28" s="249"/>
      <c r="Q28" s="250"/>
      <c r="R28" s="251"/>
      <c r="S28" s="246"/>
      <c r="T28" s="247"/>
      <c r="U28" s="247"/>
      <c r="V28" s="248"/>
      <c r="W28" s="249"/>
      <c r="X28" s="249"/>
      <c r="Y28" s="250"/>
      <c r="Z28" s="251"/>
      <c r="AA28" s="246"/>
      <c r="AB28" s="247"/>
      <c r="AC28" s="247"/>
      <c r="AD28" s="248"/>
      <c r="AE28" s="249"/>
      <c r="AF28" s="249"/>
      <c r="AG28" s="250"/>
      <c r="AH28" s="251"/>
      <c r="AI28" s="246"/>
      <c r="AJ28" s="247"/>
      <c r="AK28" s="247"/>
      <c r="AL28" s="248"/>
      <c r="AM28" s="249"/>
      <c r="AN28" s="249"/>
      <c r="AO28" s="250"/>
      <c r="AP28" s="251"/>
      <c r="AQ28" s="246"/>
      <c r="AR28" s="247"/>
      <c r="AS28" s="247"/>
      <c r="AT28" s="248"/>
      <c r="AU28" s="249"/>
      <c r="AV28" s="249"/>
      <c r="AW28" s="250"/>
      <c r="AX28" s="251"/>
      <c r="AY28" s="246"/>
      <c r="AZ28" s="247"/>
      <c r="BA28" s="247"/>
      <c r="BB28" s="248"/>
      <c r="BC28" s="249"/>
      <c r="BD28" s="249"/>
      <c r="BE28" s="250"/>
      <c r="BF28" s="251"/>
      <c r="BG28" s="246"/>
      <c r="BH28" s="247"/>
      <c r="BI28" s="247"/>
      <c r="BJ28" s="248"/>
      <c r="BK28" s="249"/>
      <c r="BL28" s="249"/>
      <c r="BM28" s="250"/>
      <c r="BN28" s="251"/>
      <c r="BO28" s="246">
        <f>(534-(BO27*BG3)-(BG5*BO29))/BG4</f>
        <v>9.551492992078002E-2</v>
      </c>
      <c r="BP28" s="247">
        <f>((BS28*BK4)-(BG4*BO28))/BH4</f>
        <v>7.8457004830917845E-2</v>
      </c>
      <c r="BQ28" s="247">
        <v>6.5000000000000002E-2</v>
      </c>
      <c r="BR28" s="248">
        <f>((BV28*BN4)-(BG4*BO28)-(BH4*BP28)-(BI4*BQ28))/BJ4</f>
        <v>6.2038549793483257E-2</v>
      </c>
      <c r="BS28" s="249">
        <v>8.5999999999999993E-2</v>
      </c>
      <c r="BT28" s="249">
        <f>((BI4*BQ28)+(BJ4*BR28))/BL4</f>
        <v>6.3474828645710232E-2</v>
      </c>
      <c r="BU28" s="250">
        <v>7.9000000000000001E-2</v>
      </c>
      <c r="BV28" s="251">
        <f>Divisional!S27</f>
        <v>7.3999999999999996E-2</v>
      </c>
      <c r="BW28" s="246">
        <v>-2.9000000000000001E-2</v>
      </c>
      <c r="BX28" s="247">
        <f>((CA28*BS4)-(BO4*BW28))/BP4</f>
        <v>-0.39293027210884357</v>
      </c>
      <c r="BY28" s="247">
        <v>-0.33600000000000002</v>
      </c>
      <c r="BZ28" s="248">
        <f>((CD28*BV4)-(BO4*BW28)-(BP4*BX28)-(BQ4*BY28))/BR4</f>
        <v>-0.23029979209979201</v>
      </c>
      <c r="CA28" s="249">
        <v>-0.217</v>
      </c>
      <c r="CB28" s="249">
        <f>((BQ4*BY28)+(BR4*BZ28))/BT4</f>
        <v>-0.28194748033170314</v>
      </c>
      <c r="CC28" s="250">
        <f>((BO4*BW28)+(BP4*BX28)+(BQ4*BY28))/BU4</f>
        <v>-0.25691563275434243</v>
      </c>
      <c r="CD28" s="251">
        <f>Divisional!T27</f>
        <v>-0.25</v>
      </c>
      <c r="CE28" s="246">
        <v>-0.29399999999999998</v>
      </c>
      <c r="CF28" s="247">
        <f>((CI28*CA4)-(BW4*CE28))/BX4</f>
        <v>9.4621640248104669E-2</v>
      </c>
      <c r="CG28" s="247">
        <v>5.6000000000000001E-2</v>
      </c>
      <c r="CH28" s="248">
        <f>((CL28*CD4)-(BW4*CE28)-(BX4*CF28)-(BY4*CG28))/BZ4</f>
        <v>-5.7931995540690881E-3</v>
      </c>
      <c r="CI28" s="249">
        <v>-0.13900000000000001</v>
      </c>
      <c r="CJ28" s="249">
        <f>((BY4*CG28)+(BZ4*CH28))/CB4</f>
        <v>2.1942549923195102E-2</v>
      </c>
      <c r="CK28" s="250">
        <f>((BW4*CE28)+(BX4*CF28)+(BY4*CG28))/CC4</f>
        <v>-8.3127279858795866E-2</v>
      </c>
      <c r="CL28" s="251">
        <f>Divisional!U27</f>
        <v>-6.3E-2</v>
      </c>
      <c r="CM28" s="246">
        <v>0.123</v>
      </c>
      <c r="CN28" s="247">
        <f>((CQ28*CI4)-(CE4*CM28))/CF4</f>
        <v>0.10723342175066315</v>
      </c>
      <c r="CO28" s="247">
        <v>7.2999999999999995E-2</v>
      </c>
      <c r="CP28" s="248">
        <f>+(CT28*CL4-CS28*CK4)/CH4</f>
        <v>0.11915016501650159</v>
      </c>
      <c r="CQ28" s="249">
        <v>0.115</v>
      </c>
      <c r="CR28" s="249">
        <f>+(CT28*CL4-CQ28*CI4)/CJ4</f>
        <v>9.8022666269012793E-2</v>
      </c>
      <c r="CS28" s="250">
        <f>((CE4*CM28)+(CF4*CN28)+(CG4*CO28))/CK4</f>
        <v>0.10069558464610606</v>
      </c>
      <c r="CT28" s="251">
        <f>Divisional!V27</f>
        <v>0.106</v>
      </c>
      <c r="CU28" s="246">
        <v>0.10299999999999999</v>
      </c>
      <c r="CV28" s="247">
        <v>0.184</v>
      </c>
      <c r="CW28" s="247">
        <v>0.21199999999999999</v>
      </c>
      <c r="CX28" s="255">
        <f>'Equipment &amp; Defense'!Z17</f>
        <v>0.187</v>
      </c>
      <c r="CY28" s="249">
        <v>0.14399999999999999</v>
      </c>
      <c r="CZ28" s="247">
        <f>'Equipment &amp; Defense'!AB17</f>
        <v>0.19823554231819304</v>
      </c>
      <c r="DA28" s="251">
        <f>'Equipment &amp; Defense'!AC17</f>
        <v>0.1677688999322588</v>
      </c>
      <c r="DB28" s="251">
        <f>Divisional!W27</f>
        <v>0.17299999999999999</v>
      </c>
      <c r="DC28" s="246">
        <f>'Equipment &amp; Defense'!AE17</f>
        <v>0.22700000000000001</v>
      </c>
      <c r="DD28" s="247">
        <f>'Equipment &amp; Defense'!AF17</f>
        <v>0.23446860356138707</v>
      </c>
      <c r="DE28" s="247">
        <f>'Equipment &amp; Defense'!AG17</f>
        <v>0.16300000000000001</v>
      </c>
      <c r="DF28" s="255">
        <f>'Equipment &amp; Defense'!AH17</f>
        <v>0.104</v>
      </c>
      <c r="DG28" s="247">
        <f>'Equipment &amp; Defense'!AI17</f>
        <v>0.23100000000000001</v>
      </c>
      <c r="DH28" s="247">
        <f>'Equipment &amp; Defense'!AJ17</f>
        <v>0.13078268215417105</v>
      </c>
      <c r="DI28" s="251">
        <f>'Equipment &amp; Defense'!AK17</f>
        <v>0.20764003849855628</v>
      </c>
      <c r="DJ28" s="251">
        <f>Divisional!X27</f>
        <v>0.17699999999999999</v>
      </c>
      <c r="DK28" s="246">
        <f>'Equipment &amp; Defense'!AM17</f>
        <v>0.108</v>
      </c>
      <c r="DL28" s="247">
        <f>'Equipment &amp; Defense'!AN17</f>
        <v>8.2000000000000003E-2</v>
      </c>
      <c r="DM28" s="247">
        <f>'Equipment &amp; Defense'!AO17</f>
        <v>0.11700000000000001</v>
      </c>
      <c r="DN28" s="255">
        <f>'Equipment &amp; Defense'!AP17</f>
        <v>0.17299999999999999</v>
      </c>
      <c r="DO28" s="247">
        <f>'Equipment &amp; Defense'!AQ17</f>
        <v>0.08</v>
      </c>
      <c r="DP28" s="247">
        <f>'Equipment &amp; Defense'!AR17</f>
        <v>0.14760609397944199</v>
      </c>
      <c r="DQ28" s="251">
        <f>'Equipment &amp; Defense'!AS17</f>
        <v>9.2261270624918804E-2</v>
      </c>
      <c r="DR28" s="251">
        <f>Divisional!Y27</f>
        <v>0.114</v>
      </c>
      <c r="DS28" s="246">
        <f>'Equipment &amp; Defense'!AU17</f>
        <v>0.13500000000000001</v>
      </c>
      <c r="DT28" s="247">
        <f>'Equipment &amp; Defense'!AV17</f>
        <v>0.14499999999999999</v>
      </c>
      <c r="DU28" s="253">
        <f>'Equipment &amp; Defense'!AW17</f>
        <v>0.11512982689747005</v>
      </c>
      <c r="DV28" s="252">
        <f>'Equipment &amp; Defense'!AX17</f>
        <v>7.8271889400921682E-2</v>
      </c>
      <c r="DW28" s="247">
        <f>'Equipment &amp; Defense'!AY17</f>
        <v>0.14000000000000001</v>
      </c>
      <c r="DX28" s="253">
        <f>'Equipment &amp; Defense'!AZ17</f>
        <v>9.4814731809353056E-2</v>
      </c>
      <c r="DY28" s="254">
        <f>'Equipment &amp; Defense'!BA17</f>
        <v>0.13106118657842794</v>
      </c>
      <c r="DZ28" s="254">
        <f>Divisional!Z27</f>
        <v>0.11523126320923427</v>
      </c>
      <c r="EA28" s="253">
        <f>'Equipment &amp; Defense'!BC17</f>
        <v>9.0028215028215022E-2</v>
      </c>
      <c r="EB28" s="253">
        <f>'Equipment &amp; Defense'!BD17</f>
        <v>9.0102413019079702E-2</v>
      </c>
      <c r="EC28" s="253">
        <f>'Equipment &amp; Defense'!BE17</f>
        <v>9.0255081427504602E-2</v>
      </c>
      <c r="ED28" s="252">
        <f>'Equipment &amp; Defense'!BF17</f>
        <v>9.0926205628344817E-2</v>
      </c>
      <c r="EE28" s="253">
        <f>'Equipment &amp; Defense'!BG17</f>
        <v>9.0066368489395476E-2</v>
      </c>
      <c r="EF28" s="253">
        <f>'Equipment &amp; Defense'!BH17</f>
        <v>9.0615547915598102E-2</v>
      </c>
      <c r="EG28" s="254">
        <f>'Equipment &amp; Defense'!BI17</f>
        <v>9.0130661060548178E-2</v>
      </c>
      <c r="EH28" s="254">
        <f>Divisional!AA27</f>
        <v>9.0356051000044568E-2</v>
      </c>
      <c r="EI28" s="253">
        <f>'Equipment &amp; Defense'!BK17</f>
        <v>9.0166633373671215E-2</v>
      </c>
      <c r="EJ28" s="253">
        <f>'Equipment &amp; Defense'!BL17</f>
        <v>9.0240470280944382E-2</v>
      </c>
      <c r="EK28" s="253">
        <f>'Equipment &amp; Defense'!BM17</f>
        <v>9.0392363901470527E-2</v>
      </c>
      <c r="EL28" s="252">
        <f>'Equipment &amp; Defense'!BN17</f>
        <v>9.1059574515741426E-2</v>
      </c>
      <c r="EM28" s="253">
        <f>'Equipment &amp; Defense'!BO17</f>
        <v>9.0204602425527955E-2</v>
      </c>
      <c r="EN28" s="253">
        <f>'Equipment &amp; Defense'!BP17</f>
        <v>9.0750831143482452E-2</v>
      </c>
      <c r="EO28" s="254">
        <f>'Equipment &amp; Defense'!BQ17</f>
        <v>9.0268578193946361E-2</v>
      </c>
      <c r="EP28" s="254">
        <f>Divisional!AB27</f>
        <v>9.0492797528689439E-2</v>
      </c>
      <c r="EQ28" s="253">
        <f>'Equipment &amp; Defense'!BS17</f>
        <v>9.0303893754410461E-2</v>
      </c>
      <c r="ER28" s="253">
        <f>'Equipment &amp; Defense'!BT17</f>
        <v>9.0377353914944211E-2</v>
      </c>
      <c r="ES28" s="253">
        <f>'Equipment &amp; Defense'!BU17</f>
        <v>9.0528441122191675E-2</v>
      </c>
      <c r="ET28" s="252">
        <f>'Equipment &amp; Defense'!BV17</f>
        <v>9.1191609566395354E-2</v>
      </c>
      <c r="EU28" s="253">
        <f>'Equipment &amp; Defense'!BW17</f>
        <v>9.0341670319265488E-2</v>
      </c>
      <c r="EV28" s="253">
        <f>'Equipment &amp; Defense'!BX17</f>
        <v>9.0884837845659761E-2</v>
      </c>
      <c r="EW28" s="254">
        <f>'Equipment &amp; Defense'!BY17</f>
        <v>9.0405315786109761E-2</v>
      </c>
      <c r="EX28" s="254">
        <f>Divisional!AC27</f>
        <v>9.0628318347749245E-2</v>
      </c>
      <c r="EY28" s="253">
        <f>'Equipment &amp; Defense'!CA17</f>
        <v>9.0441521136609859E-2</v>
      </c>
      <c r="EZ28" s="253">
        <f>'Equipment &amp; Defense'!CB17</f>
        <v>9.0514584866828535E-2</v>
      </c>
      <c r="FA28" s="253">
        <f>'Equipment &amp; Defense'!CC17</f>
        <v>9.0664825437047375E-2</v>
      </c>
      <c r="FB28" s="252">
        <f>'Equipment &amp; Defense'!CD17</f>
        <v>9.1323780116045139E-2</v>
      </c>
      <c r="FC28" s="253">
        <f>'Equipment &amp; Defense'!CE17</f>
        <v>9.0479095082375532E-2</v>
      </c>
      <c r="FD28" s="253">
        <f>'Equipment &amp; Defense'!CF17</f>
        <v>9.1019058324841945E-2</v>
      </c>
      <c r="FE28" s="254">
        <f>'Equipment &amp; Defense'!CG17</f>
        <v>9.0542393224930226E-2</v>
      </c>
      <c r="FF28" s="254">
        <f>Divisional!AD27</f>
        <v>9.0764119876743293E-2</v>
      </c>
    </row>
    <row r="29" spans="1:162" ht="11.25" customHeight="1" x14ac:dyDescent="0.2">
      <c r="A29" s="197"/>
      <c r="B29" s="197" t="s">
        <v>70</v>
      </c>
      <c r="C29" s="246"/>
      <c r="D29" s="247"/>
      <c r="E29" s="247"/>
      <c r="F29" s="248"/>
      <c r="G29" s="249"/>
      <c r="H29" s="249"/>
      <c r="I29" s="250"/>
      <c r="J29" s="251"/>
      <c r="K29" s="246"/>
      <c r="L29" s="247"/>
      <c r="M29" s="247"/>
      <c r="N29" s="248"/>
      <c r="O29" s="249"/>
      <c r="P29" s="249"/>
      <c r="Q29" s="250"/>
      <c r="R29" s="251"/>
      <c r="S29" s="246"/>
      <c r="T29" s="247"/>
      <c r="U29" s="247"/>
      <c r="V29" s="248"/>
      <c r="W29" s="249"/>
      <c r="X29" s="249"/>
      <c r="Y29" s="250"/>
      <c r="Z29" s="251"/>
      <c r="AA29" s="246"/>
      <c r="AB29" s="247"/>
      <c r="AC29" s="247"/>
      <c r="AD29" s="248"/>
      <c r="AE29" s="249"/>
      <c r="AF29" s="249"/>
      <c r="AG29" s="250"/>
      <c r="AH29" s="251"/>
      <c r="AI29" s="246"/>
      <c r="AJ29" s="247"/>
      <c r="AK29" s="247"/>
      <c r="AL29" s="248"/>
      <c r="AM29" s="249"/>
      <c r="AN29" s="249"/>
      <c r="AO29" s="250"/>
      <c r="AP29" s="251"/>
      <c r="AQ29" s="246"/>
      <c r="AR29" s="247"/>
      <c r="AS29" s="247"/>
      <c r="AT29" s="248"/>
      <c r="AU29" s="249"/>
      <c r="AV29" s="249"/>
      <c r="AW29" s="250"/>
      <c r="AX29" s="251"/>
      <c r="AY29" s="246"/>
      <c r="AZ29" s="247"/>
      <c r="BA29" s="247"/>
      <c r="BB29" s="248"/>
      <c r="BC29" s="249"/>
      <c r="BD29" s="249"/>
      <c r="BE29" s="250"/>
      <c r="BF29" s="251"/>
      <c r="BG29" s="246"/>
      <c r="BH29" s="247"/>
      <c r="BI29" s="247"/>
      <c r="BJ29" s="248"/>
      <c r="BK29" s="249"/>
      <c r="BL29" s="249"/>
      <c r="BM29" s="250"/>
      <c r="BN29" s="251"/>
      <c r="BO29" s="246">
        <v>0.13300000000000001</v>
      </c>
      <c r="BP29" s="247">
        <f>((BS29*BK5)-(BG5*BO29))/BH5</f>
        <v>0.11404972375690606</v>
      </c>
      <c r="BQ29" s="247">
        <v>1.4E-2</v>
      </c>
      <c r="BR29" s="248">
        <f>((BV29*BN5)-(BG5*BO29)-(BH5*BP29)-(BI5*BQ29))/BJ5</f>
        <v>0.12281102362204724</v>
      </c>
      <c r="BS29" s="249">
        <v>0.11899999999999999</v>
      </c>
      <c r="BT29" s="249">
        <f>((BI5*BQ29)+(BJ5*BR29))/BL5</f>
        <v>6.8156760287393856E-2</v>
      </c>
      <c r="BU29" s="250">
        <v>7.2999999999999995E-2</v>
      </c>
      <c r="BV29" s="251">
        <f>Divisional!S28</f>
        <v>8.7999999999999995E-2</v>
      </c>
      <c r="BW29" s="246">
        <v>-0.15</v>
      </c>
      <c r="BX29" s="247">
        <f>((CA29*BS5)-(BO5*BW29))/BP5</f>
        <v>-0.54525179856115114</v>
      </c>
      <c r="BY29" s="247">
        <v>-0.51800000000000002</v>
      </c>
      <c r="BZ29" s="248">
        <f>((CD29*BV5)-(BO5*BW29)-(BP5*BX29)-(BQ5*BY29))/BR5</f>
        <v>-0.3984634703196348</v>
      </c>
      <c r="CA29" s="249">
        <v>-0.35099999999999998</v>
      </c>
      <c r="CB29" s="249">
        <f>((BQ5*BY29)+(BR5*BZ29))/BT5</f>
        <v>-0.4557073170731708</v>
      </c>
      <c r="CC29" s="250">
        <f>((BO5*BW29)+(BP5*BX29)+(BQ5*BY29))/BU5</f>
        <v>-0.40598364008179966</v>
      </c>
      <c r="CD29" s="251">
        <f>Divisional!T28</f>
        <v>-0.40400000000000003</v>
      </c>
      <c r="CE29" s="246">
        <v>-0.51900000000000002</v>
      </c>
      <c r="CF29" s="247">
        <f>((CI29*CA5)-(BW5*CE29))/BX5</f>
        <v>-4.5391534391534281E-2</v>
      </c>
      <c r="CG29" s="247">
        <v>0.112</v>
      </c>
      <c r="CH29" s="248">
        <f>((CL29*CD5)-(BW5*CE29)-(BX5*CF29)-(BY5*CG29))/BZ5</f>
        <v>-9.1517241379310374E-2</v>
      </c>
      <c r="CI29" s="249">
        <v>-0.35199999999999998</v>
      </c>
      <c r="CJ29" s="249">
        <f>((BY5*CG29)+(BZ5*CH29))/CB5</f>
        <v>-6.0400000000000167E-3</v>
      </c>
      <c r="CK29" s="250">
        <f>((BW5*CE29)+(BX5*CF29)+(BY5*CG29))/CC5</f>
        <v>-0.23608117564730582</v>
      </c>
      <c r="CL29" s="251">
        <f>Divisional!U28</f>
        <v>-0.19900000000000001</v>
      </c>
      <c r="CM29" s="246">
        <v>0.29399999999999998</v>
      </c>
      <c r="CN29" s="247">
        <f>((CQ29*CI5)-(CE5*CM29))/CF5</f>
        <v>0.29787987987987985</v>
      </c>
      <c r="CO29" s="247">
        <v>0.221</v>
      </c>
      <c r="CP29" s="248">
        <f>+(CT29*CL5-CS29*CK5)/CH5</f>
        <v>0.21154054054054061</v>
      </c>
      <c r="CQ29" s="249">
        <v>0.29599999999999999</v>
      </c>
      <c r="CR29" s="249">
        <f>+(CT29*CL5-CQ29*CI5)/CJ5</f>
        <v>0.21593365500603143</v>
      </c>
      <c r="CS29" s="250">
        <f>((CE5*CM29)+(CF5*CN29)+(CG5*CO29))/CK5</f>
        <v>0.2679932104752667</v>
      </c>
      <c r="CT29" s="251">
        <f>Divisional!V28</f>
        <v>0.251</v>
      </c>
      <c r="CU29" s="246">
        <v>0.377</v>
      </c>
      <c r="CV29" s="247">
        <v>0.30399999999999999</v>
      </c>
      <c r="CW29" s="247">
        <v>0.308</v>
      </c>
      <c r="CX29" s="255">
        <f>Interiors!K16</f>
        <v>0.33100000000000002</v>
      </c>
      <c r="CY29" s="249">
        <v>0.33800000000000002</v>
      </c>
      <c r="CZ29" s="247">
        <f>Interiors!M16</f>
        <v>0.32014801444043323</v>
      </c>
      <c r="DA29" s="251">
        <f>Interiors!N16</f>
        <v>0.32674999999999998</v>
      </c>
      <c r="DB29" s="251">
        <f>Divisional!W28</f>
        <v>0.32800000000000001</v>
      </c>
      <c r="DC29" s="246">
        <f>Interiors!P16</f>
        <v>0.23799999999999999</v>
      </c>
      <c r="DD29" s="247">
        <f>Interiors!Q16</f>
        <v>0.29399999999999998</v>
      </c>
      <c r="DE29" s="247">
        <f>Interiors!R16</f>
        <v>0.28399999999999997</v>
      </c>
      <c r="DF29" s="255">
        <f>Interiors!S16</f>
        <v>0.2</v>
      </c>
      <c r="DG29" s="247">
        <f>Interiors!T16</f>
        <v>0.26600000000000001</v>
      </c>
      <c r="DH29" s="247">
        <f>Interiors!U16</f>
        <v>0.23850837138508368</v>
      </c>
      <c r="DI29" s="251">
        <f>Interiors!V16</f>
        <v>0.27220757918552035</v>
      </c>
      <c r="DJ29" s="251">
        <f>Divisional!X28</f>
        <v>0.252</v>
      </c>
      <c r="DK29" s="246">
        <f>Interiors!X16</f>
        <v>0.13800000000000001</v>
      </c>
      <c r="DL29" s="247">
        <f>Interiors!Y16</f>
        <v>0.215</v>
      </c>
      <c r="DM29" s="247">
        <f>Interiors!Z16</f>
        <v>9.8000000000000004E-2</v>
      </c>
      <c r="DN29" s="255">
        <f>Interiors!AA16</f>
        <v>0.16200000000000001</v>
      </c>
      <c r="DO29" s="247">
        <f>Interiors!AB16</f>
        <v>0.155</v>
      </c>
      <c r="DP29" s="247">
        <f>Interiors!AC16</f>
        <v>0.131859778597786</v>
      </c>
      <c r="DQ29" s="251">
        <f>Interiors!AD16</f>
        <v>0.13513932172318974</v>
      </c>
      <c r="DR29" s="251">
        <f>Divisional!Y28</f>
        <v>0.14199999999999999</v>
      </c>
      <c r="DS29" s="246">
        <f>Interiors!AF16</f>
        <v>9.1999999999999998E-2</v>
      </c>
      <c r="DT29" s="247">
        <f>Interiors!AG16</f>
        <v>4.1256038647343007E-2</v>
      </c>
      <c r="DU29" s="253">
        <f>Interiors!AH16</f>
        <v>0.15000000000000002</v>
      </c>
      <c r="DV29" s="252">
        <f>Interiors!AI16</f>
        <v>0.22843071965628359</v>
      </c>
      <c r="DW29" s="247">
        <f>Interiors!AJ16</f>
        <v>6.6000000000000003E-2</v>
      </c>
      <c r="DX29" s="253">
        <f>Interiors!AK16</f>
        <v>0.19213444893248705</v>
      </c>
      <c r="DY29" s="254">
        <f>Interiors!AL16</f>
        <v>8.5176178660049631E-2</v>
      </c>
      <c r="DZ29" s="254">
        <f>Divisional!Z28</f>
        <v>0.125</v>
      </c>
      <c r="EA29" s="253">
        <f>Interiors!AN16</f>
        <v>0.1</v>
      </c>
      <c r="EB29" s="253">
        <f>Interiors!AO16</f>
        <v>0.1</v>
      </c>
      <c r="EC29" s="253">
        <f>Interiors!AP16</f>
        <v>0.1</v>
      </c>
      <c r="ED29" s="252">
        <f>Interiors!AQ16</f>
        <v>0.10000000000000005</v>
      </c>
      <c r="EE29" s="253">
        <f>Interiors!AR16</f>
        <v>0.1</v>
      </c>
      <c r="EF29" s="253">
        <f>Interiors!AS16</f>
        <v>0.10000000000000002</v>
      </c>
      <c r="EG29" s="254">
        <f>Interiors!AT16</f>
        <v>0.1</v>
      </c>
      <c r="EH29" s="254">
        <f>Divisional!AA28</f>
        <v>0.10000000000000002</v>
      </c>
      <c r="EI29" s="253">
        <f>Interiors!AV16</f>
        <v>9.0142857142857136E-2</v>
      </c>
      <c r="EJ29" s="253">
        <f>Interiors!AW16</f>
        <v>9.0099337748344388E-2</v>
      </c>
      <c r="EK29" s="253">
        <f>Interiors!AX16</f>
        <v>9.0679551122194516E-2</v>
      </c>
      <c r="EL29" s="252">
        <f>Interiors!AY16</f>
        <v>9.1907460266878266E-2</v>
      </c>
      <c r="EM29" s="253">
        <f>Interiors!AZ16</f>
        <v>9.012027491408936E-2</v>
      </c>
      <c r="EN29" s="253">
        <f>Interiors!BA16</f>
        <v>9.1351313613595109E-2</v>
      </c>
      <c r="EO29" s="254">
        <f>Interiors!BB16</f>
        <v>9.0315768300206337E-2</v>
      </c>
      <c r="EP29" s="254">
        <f>Divisional!AB28</f>
        <v>9.078829501343684E-2</v>
      </c>
      <c r="EQ29" s="253">
        <f>Interiors!BD16</f>
        <v>9.0280236714689932E-2</v>
      </c>
      <c r="ER29" s="253">
        <f>Interiors!BE16</f>
        <v>9.023693280239943E-2</v>
      </c>
      <c r="ES29" s="253">
        <f>Interiors!BF16</f>
        <v>9.0813988262703968E-2</v>
      </c>
      <c r="ET29" s="252">
        <f>Interiors!BG16</f>
        <v>9.2033185293671049E-2</v>
      </c>
      <c r="EU29" s="253">
        <f>Interiors!BH16</f>
        <v>9.0257766732734668E-2</v>
      </c>
      <c r="EV29" s="253">
        <f>Interiors!BI16</f>
        <v>9.1481325575959171E-2</v>
      </c>
      <c r="EW29" s="254">
        <f>Interiors!BJ16</f>
        <v>9.0452257451260606E-2</v>
      </c>
      <c r="EX29" s="254">
        <f>Divisional!AC28</f>
        <v>9.0922071758008358E-2</v>
      </c>
      <c r="EY29" s="253">
        <f>Interiors!BL16</f>
        <v>9.0417989643485921E-2</v>
      </c>
      <c r="EZ29" s="253">
        <f>Interiors!BM16</f>
        <v>9.0374912867367332E-2</v>
      </c>
      <c r="FA29" s="253">
        <f>Interiors!BN16</f>
        <v>9.0948657540806943E-2</v>
      </c>
      <c r="FB29" s="252">
        <f>Interiors!BO16</f>
        <v>9.2158843289190689E-2</v>
      </c>
      <c r="FC29" s="253">
        <f>Interiors!BP16</f>
        <v>9.0395637952227853E-2</v>
      </c>
      <c r="FD29" s="253">
        <f>Interiors!BQ16</f>
        <v>9.1611401131463766E-2</v>
      </c>
      <c r="FE29" s="254">
        <f>Interiors!BR16</f>
        <v>9.0589073933558376E-2</v>
      </c>
      <c r="FF29" s="254">
        <f>Divisional!AD28</f>
        <v>9.1056052671033491E-2</v>
      </c>
    </row>
    <row r="30" spans="1:162" ht="11.25" hidden="1" customHeight="1" outlineLevel="1" x14ac:dyDescent="0.2">
      <c r="A30" s="197"/>
      <c r="B30" s="227" t="s">
        <v>69</v>
      </c>
      <c r="C30" s="246"/>
      <c r="D30" s="247"/>
      <c r="E30" s="247"/>
      <c r="F30" s="255"/>
      <c r="G30" s="247"/>
      <c r="H30" s="247"/>
      <c r="I30" s="251"/>
      <c r="J30" s="251"/>
      <c r="K30" s="246">
        <v>0.105</v>
      </c>
      <c r="L30" s="247"/>
      <c r="M30" s="247">
        <v>4.7E-2</v>
      </c>
      <c r="N30" s="255"/>
      <c r="O30" s="247">
        <v>0.11600000000000001</v>
      </c>
      <c r="P30" s="247"/>
      <c r="Q30" s="251">
        <v>9.2999999999999999E-2</v>
      </c>
      <c r="R30" s="251">
        <v>7.2999999999999995E-2</v>
      </c>
      <c r="S30" s="246">
        <v>-5.0000000000000001E-3</v>
      </c>
      <c r="T30" s="247">
        <f t="shared" ref="T30:T36" si="56">((2*(1+W30))-(1+S30))-1</f>
        <v>-1.9000000000000017E-2</v>
      </c>
      <c r="U30" s="247">
        <v>-8.0000000000000002E-3</v>
      </c>
      <c r="V30" s="255">
        <f t="shared" si="53"/>
        <v>-3.9999999999998925E-3</v>
      </c>
      <c r="W30" s="247">
        <v>-1.2E-2</v>
      </c>
      <c r="X30" s="247">
        <f t="shared" ref="X30:X36" si="57">((1+Z30)*2)-(1+W30)-1</f>
        <v>-6.0000000000000053E-3</v>
      </c>
      <c r="Y30" s="251">
        <v>-0.01</v>
      </c>
      <c r="Z30" s="251">
        <v>-8.9999999999999993E-3</v>
      </c>
      <c r="AA30" s="246">
        <v>1.9E-2</v>
      </c>
      <c r="AB30" s="247">
        <f t="shared" si="54"/>
        <v>7.8999999999999959E-2</v>
      </c>
      <c r="AC30" s="247">
        <v>0.03</v>
      </c>
      <c r="AD30" s="255">
        <f t="shared" si="55"/>
        <v>1.1999999999999789E-2</v>
      </c>
      <c r="AE30" s="247">
        <v>4.9000000000000002E-2</v>
      </c>
      <c r="AF30" s="247">
        <f>+(AH30*Z6-AE30*W6)/X6</f>
        <v>2.1636615262949792E-2</v>
      </c>
      <c r="AG30" s="251">
        <v>4.2999999999999997E-2</v>
      </c>
      <c r="AH30" s="251">
        <v>3.5000000000000003E-2</v>
      </c>
      <c r="AI30" s="246">
        <v>6.2E-2</v>
      </c>
      <c r="AJ30" s="247">
        <f>+(AM30*AE6-AI30*AA6)/AB6</f>
        <v>2.3572184429327292E-2</v>
      </c>
      <c r="AK30" s="247">
        <v>5.2999999999999999E-2</v>
      </c>
      <c r="AL30" s="255">
        <f>+(AP30*AH6-AO30*AG6)/AD6</f>
        <v>0.11607526881720431</v>
      </c>
      <c r="AM30" s="247">
        <v>4.2000000000000003E-2</v>
      </c>
      <c r="AN30" s="247">
        <f>+(AP30*AH6-AM30*AE6)/AF6</f>
        <v>8.7461006530925853E-2</v>
      </c>
      <c r="AO30" s="251">
        <v>4.5999999999999999E-2</v>
      </c>
      <c r="AP30" s="251">
        <v>6.5000000000000002E-2</v>
      </c>
      <c r="AQ30" s="246"/>
      <c r="AR30" s="247"/>
      <c r="AS30" s="247"/>
      <c r="AT30" s="255"/>
      <c r="AU30" s="247"/>
      <c r="AV30" s="247"/>
      <c r="AW30" s="251"/>
      <c r="AX30" s="251"/>
      <c r="AY30" s="246">
        <v>6.6000000000000003E-2</v>
      </c>
      <c r="AZ30" s="247">
        <f>((BC30*AU6)-(AQ6*AY30))/AR6</f>
        <v>4.6210210210210212E-2</v>
      </c>
      <c r="BA30" s="247">
        <v>0.109</v>
      </c>
      <c r="BB30" s="255">
        <f>+(BF30*AX6-BE30*AW6)/AT6</f>
        <v>1.2981767180925667E-2</v>
      </c>
      <c r="BC30" s="247">
        <v>5.6000000000000001E-2</v>
      </c>
      <c r="BD30" s="247">
        <f>+(BF30*AX6-BC30*AU6)/AV6</f>
        <v>5.5999999999999994E-2</v>
      </c>
      <c r="BE30" s="251">
        <v>7.1999999999999995E-2</v>
      </c>
      <c r="BF30" s="251">
        <f>Divisional!Q29</f>
        <v>5.6000000000000001E-2</v>
      </c>
      <c r="BG30" s="246"/>
      <c r="BH30" s="247"/>
      <c r="BI30" s="247"/>
      <c r="BJ30" s="255"/>
      <c r="BK30" s="247"/>
      <c r="BL30" s="247"/>
      <c r="BM30" s="251"/>
      <c r="BN30" s="251"/>
      <c r="BO30" s="246"/>
      <c r="BP30" s="247"/>
      <c r="BQ30" s="247"/>
      <c r="BR30" s="255"/>
      <c r="BS30" s="247"/>
      <c r="BT30" s="247"/>
      <c r="BU30" s="251"/>
      <c r="BV30" s="251"/>
      <c r="BW30" s="246"/>
      <c r="BX30" s="247"/>
      <c r="BY30" s="247"/>
      <c r="BZ30" s="255"/>
      <c r="CA30" s="247"/>
      <c r="CB30" s="247"/>
      <c r="CC30" s="251"/>
      <c r="CD30" s="251"/>
      <c r="CE30" s="246"/>
      <c r="CF30" s="247"/>
      <c r="CG30" s="247"/>
      <c r="CH30" s="255"/>
      <c r="CI30" s="247"/>
      <c r="CJ30" s="247"/>
      <c r="CK30" s="251"/>
      <c r="CL30" s="251"/>
      <c r="CM30" s="246"/>
      <c r="CN30" s="247"/>
      <c r="CO30" s="247"/>
      <c r="CP30" s="255"/>
      <c r="CQ30" s="247"/>
      <c r="CR30" s="247"/>
      <c r="CS30" s="251"/>
      <c r="CT30" s="251"/>
      <c r="CU30" s="256"/>
      <c r="CV30" s="247"/>
      <c r="CW30" s="256"/>
      <c r="CX30" s="255"/>
      <c r="CY30" s="247"/>
      <c r="CZ30" s="247"/>
      <c r="DA30" s="258"/>
      <c r="DB30" s="258"/>
      <c r="DC30" s="256"/>
      <c r="DD30" s="247"/>
      <c r="DE30" s="256"/>
      <c r="DF30" s="255"/>
      <c r="DG30" s="256"/>
      <c r="DH30" s="247"/>
      <c r="DI30" s="258"/>
      <c r="DJ30" s="258"/>
      <c r="DK30" s="256"/>
      <c r="DL30" s="247"/>
      <c r="DM30" s="256"/>
      <c r="DN30" s="255"/>
      <c r="DO30" s="256"/>
      <c r="DP30" s="247"/>
      <c r="DQ30" s="258"/>
      <c r="DR30" s="258"/>
      <c r="DS30" s="256"/>
      <c r="DT30" s="247"/>
      <c r="DU30" s="256"/>
      <c r="DV30" s="257"/>
      <c r="DW30" s="256"/>
      <c r="DX30" s="256"/>
      <c r="DY30" s="258"/>
      <c r="DZ30" s="258"/>
      <c r="EA30" s="256"/>
      <c r="EB30" s="256"/>
      <c r="EC30" s="256"/>
      <c r="ED30" s="257"/>
      <c r="EE30" s="256"/>
      <c r="EF30" s="256"/>
      <c r="EG30" s="258"/>
      <c r="EH30" s="258"/>
      <c r="EI30" s="256"/>
      <c r="EJ30" s="256"/>
      <c r="EK30" s="256"/>
      <c r="EL30" s="257"/>
      <c r="EM30" s="256"/>
      <c r="EN30" s="256"/>
      <c r="EO30" s="258"/>
      <c r="EP30" s="258"/>
      <c r="EQ30" s="256"/>
      <c r="ER30" s="256"/>
      <c r="ES30" s="256"/>
      <c r="ET30" s="257"/>
      <c r="EU30" s="256"/>
      <c r="EV30" s="256"/>
      <c r="EW30" s="258"/>
      <c r="EX30" s="258"/>
      <c r="EY30" s="256"/>
      <c r="EZ30" s="256"/>
      <c r="FA30" s="256"/>
      <c r="FB30" s="257"/>
      <c r="FC30" s="256"/>
      <c r="FD30" s="256"/>
      <c r="FE30" s="258"/>
      <c r="FF30" s="258"/>
    </row>
    <row r="31" spans="1:162" ht="11.25" hidden="1" customHeight="1" outlineLevel="1" x14ac:dyDescent="0.2">
      <c r="A31" s="197"/>
      <c r="B31" s="227" t="s">
        <v>81</v>
      </c>
      <c r="C31" s="246"/>
      <c r="D31" s="247"/>
      <c r="E31" s="247"/>
      <c r="F31" s="255"/>
      <c r="G31" s="247"/>
      <c r="H31" s="247"/>
      <c r="I31" s="251"/>
      <c r="J31" s="251"/>
      <c r="K31" s="246"/>
      <c r="L31" s="247"/>
      <c r="M31" s="247"/>
      <c r="N31" s="255"/>
      <c r="O31" s="247"/>
      <c r="P31" s="247"/>
      <c r="Q31" s="251"/>
      <c r="R31" s="251"/>
      <c r="S31" s="246"/>
      <c r="T31" s="247"/>
      <c r="U31" s="247"/>
      <c r="V31" s="255"/>
      <c r="W31" s="247"/>
      <c r="X31" s="247"/>
      <c r="Y31" s="251"/>
      <c r="Z31" s="251"/>
      <c r="AA31" s="246"/>
      <c r="AB31" s="247"/>
      <c r="AC31" s="247"/>
      <c r="AD31" s="255"/>
      <c r="AE31" s="247"/>
      <c r="AF31" s="247"/>
      <c r="AG31" s="251"/>
      <c r="AH31" s="251"/>
      <c r="AI31" s="246"/>
      <c r="AJ31" s="247"/>
      <c r="AK31" s="247"/>
      <c r="AL31" s="255"/>
      <c r="AM31" s="247"/>
      <c r="AN31" s="247"/>
      <c r="AO31" s="251"/>
      <c r="AP31" s="251"/>
      <c r="AQ31" s="246"/>
      <c r="AR31" s="247"/>
      <c r="AS31" s="247"/>
      <c r="AT31" s="255"/>
      <c r="AU31" s="247"/>
      <c r="AV31" s="247"/>
      <c r="AW31" s="251"/>
      <c r="AX31" s="251"/>
      <c r="AY31" s="246"/>
      <c r="AZ31" s="247"/>
      <c r="BA31" s="247"/>
      <c r="BB31" s="255"/>
      <c r="BC31" s="247"/>
      <c r="BD31" s="247"/>
      <c r="BE31" s="251"/>
      <c r="BF31" s="251"/>
      <c r="BG31" s="246"/>
      <c r="BH31" s="247"/>
      <c r="BI31" s="247"/>
      <c r="BJ31" s="255"/>
      <c r="BK31" s="247"/>
      <c r="BL31" s="247"/>
      <c r="BM31" s="251"/>
      <c r="BN31" s="251"/>
      <c r="BO31" s="246"/>
      <c r="BP31" s="247"/>
      <c r="BQ31" s="247"/>
      <c r="BR31" s="255"/>
      <c r="BS31" s="247"/>
      <c r="BT31" s="247"/>
      <c r="BU31" s="251"/>
      <c r="BV31" s="251"/>
      <c r="BW31" s="246"/>
      <c r="BX31" s="247"/>
      <c r="BY31" s="247"/>
      <c r="BZ31" s="255"/>
      <c r="CA31" s="247"/>
      <c r="CB31" s="247"/>
      <c r="CC31" s="251"/>
      <c r="CD31" s="251"/>
      <c r="CE31" s="246"/>
      <c r="CF31" s="247"/>
      <c r="CG31" s="247"/>
      <c r="CH31" s="255"/>
      <c r="CI31" s="247"/>
      <c r="CJ31" s="247"/>
      <c r="CK31" s="251"/>
      <c r="CL31" s="251"/>
      <c r="CM31" s="246"/>
      <c r="CN31" s="247"/>
      <c r="CO31" s="247"/>
      <c r="CP31" s="255"/>
      <c r="CQ31" s="247"/>
      <c r="CR31" s="247"/>
      <c r="CS31" s="251"/>
      <c r="CT31" s="251"/>
      <c r="CU31" s="256"/>
      <c r="CV31" s="247"/>
      <c r="CW31" s="256"/>
      <c r="CX31" s="255"/>
      <c r="CY31" s="247"/>
      <c r="CZ31" s="247"/>
      <c r="DA31" s="258"/>
      <c r="DB31" s="258"/>
      <c r="DC31" s="256"/>
      <c r="DD31" s="247"/>
      <c r="DE31" s="256"/>
      <c r="DF31" s="255"/>
      <c r="DG31" s="256"/>
      <c r="DH31" s="247"/>
      <c r="DI31" s="258"/>
      <c r="DJ31" s="258"/>
      <c r="DK31" s="256"/>
      <c r="DL31" s="247"/>
      <c r="DM31" s="256"/>
      <c r="DN31" s="255"/>
      <c r="DO31" s="256"/>
      <c r="DP31" s="247"/>
      <c r="DQ31" s="258"/>
      <c r="DR31" s="258"/>
      <c r="DS31" s="256"/>
      <c r="DT31" s="247"/>
      <c r="DU31" s="256"/>
      <c r="DV31" s="257"/>
      <c r="DW31" s="256"/>
      <c r="DX31" s="256"/>
      <c r="DY31" s="258"/>
      <c r="DZ31" s="258"/>
      <c r="EA31" s="256"/>
      <c r="EB31" s="256"/>
      <c r="EC31" s="256"/>
      <c r="ED31" s="257"/>
      <c r="EE31" s="256"/>
      <c r="EF31" s="256"/>
      <c r="EG31" s="258"/>
      <c r="EH31" s="258"/>
      <c r="EI31" s="256"/>
      <c r="EJ31" s="256"/>
      <c r="EK31" s="256"/>
      <c r="EL31" s="257"/>
      <c r="EM31" s="256"/>
      <c r="EN31" s="256"/>
      <c r="EO31" s="258"/>
      <c r="EP31" s="258"/>
      <c r="EQ31" s="256"/>
      <c r="ER31" s="256"/>
      <c r="ES31" s="256"/>
      <c r="ET31" s="257"/>
      <c r="EU31" s="256"/>
      <c r="EV31" s="256"/>
      <c r="EW31" s="258"/>
      <c r="EX31" s="258"/>
      <c r="EY31" s="256"/>
      <c r="EZ31" s="256"/>
      <c r="FA31" s="256"/>
      <c r="FB31" s="257"/>
      <c r="FC31" s="256"/>
      <c r="FD31" s="256"/>
      <c r="FE31" s="258"/>
      <c r="FF31" s="258"/>
    </row>
    <row r="32" spans="1:162" ht="11.25" hidden="1" customHeight="1" outlineLevel="1" x14ac:dyDescent="0.2">
      <c r="A32" s="197"/>
      <c r="B32" s="227" t="s">
        <v>263</v>
      </c>
      <c r="C32" s="246"/>
      <c r="D32" s="247"/>
      <c r="E32" s="247"/>
      <c r="F32" s="255"/>
      <c r="G32" s="247"/>
      <c r="H32" s="247"/>
      <c r="I32" s="251"/>
      <c r="J32" s="251"/>
      <c r="K32" s="246">
        <v>-0.113</v>
      </c>
      <c r="L32" s="247"/>
      <c r="M32" s="247">
        <v>-4.2999999999999997E-2</v>
      </c>
      <c r="N32" s="255"/>
      <c r="O32" s="247">
        <v>3.4000000000000002E-2</v>
      </c>
      <c r="P32" s="247"/>
      <c r="Q32" s="251">
        <v>0.01</v>
      </c>
      <c r="R32" s="251">
        <v>-1E-3</v>
      </c>
      <c r="S32" s="246">
        <v>-1.2E-2</v>
      </c>
      <c r="T32" s="247">
        <f t="shared" si="56"/>
        <v>-2.200000000000002E-2</v>
      </c>
      <c r="U32" s="247">
        <v>-1.2E-2</v>
      </c>
      <c r="V32" s="255">
        <f t="shared" si="53"/>
        <v>-1.8000000000000016E-2</v>
      </c>
      <c r="W32" s="247">
        <v>-1.7000000000000001E-2</v>
      </c>
      <c r="X32" s="247">
        <f t="shared" si="57"/>
        <v>-1.5000000000000013E-2</v>
      </c>
      <c r="Y32" s="251">
        <v>-1.4999999999999999E-2</v>
      </c>
      <c r="Z32" s="251">
        <v>-1.6E-2</v>
      </c>
      <c r="AA32" s="246">
        <v>-3.5999999999999997E-2</v>
      </c>
      <c r="AB32" s="247">
        <f t="shared" si="54"/>
        <v>-6.800000000000006E-2</v>
      </c>
      <c r="AC32" s="247">
        <v>-4.4999999999999998E-2</v>
      </c>
      <c r="AD32" s="255">
        <f t="shared" si="55"/>
        <v>6.0999999999999943E-2</v>
      </c>
      <c r="AE32" s="247">
        <v>-5.1999999999999998E-2</v>
      </c>
      <c r="AF32" s="247">
        <f>+(AH32*Z8-AE32*W8)/X8</f>
        <v>6.4307692307692304E-3</v>
      </c>
      <c r="AG32" s="251">
        <v>-0.05</v>
      </c>
      <c r="AH32" s="251">
        <v>-2.1999999999999999E-2</v>
      </c>
      <c r="AI32" s="246">
        <v>4.4999999999999998E-2</v>
      </c>
      <c r="AJ32" s="247">
        <f>+(AM32*AE8-AI32*AA8)/AB8</f>
        <v>6.9101587301587303E-2</v>
      </c>
      <c r="AK32" s="247">
        <v>0.126</v>
      </c>
      <c r="AL32" s="255">
        <f>+(AP32*AH8-AO32*AG8)/AD8</f>
        <v>0.10987281795511218</v>
      </c>
      <c r="AM32" s="247">
        <v>5.8000000000000003E-2</v>
      </c>
      <c r="AN32" s="247">
        <f>+(AP32*AH8-AM32*AE8)/AF8</f>
        <v>0.11668195718654432</v>
      </c>
      <c r="AO32" s="251">
        <v>7.9000000000000001E-2</v>
      </c>
      <c r="AP32" s="251">
        <v>8.8999999999999996E-2</v>
      </c>
      <c r="AQ32" s="246"/>
      <c r="AR32" s="247"/>
      <c r="AS32" s="247"/>
      <c r="AT32" s="255"/>
      <c r="AU32" s="247"/>
      <c r="AV32" s="247"/>
      <c r="AW32" s="251"/>
      <c r="AX32" s="251"/>
      <c r="AY32" s="246">
        <v>0.12</v>
      </c>
      <c r="AZ32" s="247">
        <f>((BC32*AU8)-(AQ8*AY32))/AR8</f>
        <v>6.9151335311572706E-2</v>
      </c>
      <c r="BA32" s="247">
        <v>0.1</v>
      </c>
      <c r="BB32" s="255">
        <f>+(BF32*AX8-BE32*AW8)/AT8</f>
        <v>4.2023529411764739E-3</v>
      </c>
      <c r="BC32" s="247">
        <v>9.1999999999999998E-2</v>
      </c>
      <c r="BD32" s="247">
        <f>+(BF32*AX8-BC32*AU8)/AV8</f>
        <v>4.1528409090909095E-2</v>
      </c>
      <c r="BE32" s="251">
        <v>9.4E-2</v>
      </c>
      <c r="BF32" s="251">
        <f>Divisional!Q30</f>
        <v>6.5000000000000002E-2</v>
      </c>
      <c r="BG32" s="246"/>
      <c r="BH32" s="247"/>
      <c r="BI32" s="247"/>
      <c r="BJ32" s="255"/>
      <c r="BK32" s="247"/>
      <c r="BL32" s="247"/>
      <c r="BM32" s="251"/>
      <c r="BN32" s="251"/>
      <c r="BO32" s="246"/>
      <c r="BP32" s="247"/>
      <c r="BQ32" s="247"/>
      <c r="BR32" s="255"/>
      <c r="BS32" s="247"/>
      <c r="BT32" s="247"/>
      <c r="BU32" s="251"/>
      <c r="BV32" s="251"/>
      <c r="BW32" s="246"/>
      <c r="BX32" s="247"/>
      <c r="BY32" s="247"/>
      <c r="BZ32" s="255"/>
      <c r="CA32" s="247"/>
      <c r="CB32" s="247"/>
      <c r="CC32" s="251"/>
      <c r="CD32" s="251"/>
      <c r="CE32" s="246"/>
      <c r="CF32" s="247"/>
      <c r="CG32" s="247"/>
      <c r="CH32" s="255"/>
      <c r="CI32" s="247"/>
      <c r="CJ32" s="247"/>
      <c r="CK32" s="251"/>
      <c r="CL32" s="251"/>
      <c r="CM32" s="246"/>
      <c r="CN32" s="247"/>
      <c r="CO32" s="247"/>
      <c r="CP32" s="255"/>
      <c r="CQ32" s="247"/>
      <c r="CR32" s="247"/>
      <c r="CS32" s="251"/>
      <c r="CT32" s="251"/>
      <c r="CU32" s="256"/>
      <c r="CV32" s="247"/>
      <c r="CW32" s="256"/>
      <c r="CX32" s="255"/>
      <c r="CY32" s="247"/>
      <c r="CZ32" s="247"/>
      <c r="DA32" s="258"/>
      <c r="DB32" s="258"/>
      <c r="DC32" s="256"/>
      <c r="DD32" s="247"/>
      <c r="DE32" s="256"/>
      <c r="DF32" s="255"/>
      <c r="DG32" s="256"/>
      <c r="DH32" s="247"/>
      <c r="DI32" s="258"/>
      <c r="DJ32" s="258"/>
      <c r="DK32" s="256"/>
      <c r="DL32" s="247"/>
      <c r="DM32" s="256"/>
      <c r="DN32" s="255"/>
      <c r="DO32" s="256"/>
      <c r="DP32" s="247"/>
      <c r="DQ32" s="258"/>
      <c r="DR32" s="258"/>
      <c r="DS32" s="256"/>
      <c r="DT32" s="247"/>
      <c r="DU32" s="256"/>
      <c r="DV32" s="257"/>
      <c r="DW32" s="256"/>
      <c r="DX32" s="256"/>
      <c r="DY32" s="258"/>
      <c r="DZ32" s="258"/>
      <c r="EA32" s="256"/>
      <c r="EB32" s="256"/>
      <c r="EC32" s="256"/>
      <c r="ED32" s="257"/>
      <c r="EE32" s="256"/>
      <c r="EF32" s="256"/>
      <c r="EG32" s="258"/>
      <c r="EH32" s="258"/>
      <c r="EI32" s="256"/>
      <c r="EJ32" s="256"/>
      <c r="EK32" s="256"/>
      <c r="EL32" s="257"/>
      <c r="EM32" s="256"/>
      <c r="EN32" s="256"/>
      <c r="EO32" s="258"/>
      <c r="EP32" s="258"/>
      <c r="EQ32" s="256"/>
      <c r="ER32" s="256"/>
      <c r="ES32" s="256"/>
      <c r="ET32" s="257"/>
      <c r="EU32" s="256"/>
      <c r="EV32" s="256"/>
      <c r="EW32" s="258"/>
      <c r="EX32" s="258"/>
      <c r="EY32" s="256"/>
      <c r="EZ32" s="256"/>
      <c r="FA32" s="256"/>
      <c r="FB32" s="257"/>
      <c r="FC32" s="256"/>
      <c r="FD32" s="256"/>
      <c r="FE32" s="258"/>
      <c r="FF32" s="258"/>
    </row>
    <row r="33" spans="1:163" ht="11.25" hidden="1" customHeight="1" outlineLevel="1" x14ac:dyDescent="0.2">
      <c r="A33" s="197"/>
      <c r="B33" s="227" t="s">
        <v>82</v>
      </c>
      <c r="C33" s="38"/>
      <c r="F33" s="179"/>
      <c r="I33" s="180"/>
      <c r="J33" s="180"/>
      <c r="K33" s="38">
        <v>5.2999999999999999E-2</v>
      </c>
      <c r="M33" s="4">
        <v>6.3E-2</v>
      </c>
      <c r="N33" s="179"/>
      <c r="O33" s="4">
        <v>0.05</v>
      </c>
      <c r="Q33" s="180">
        <v>5.3999999999999999E-2</v>
      </c>
      <c r="R33" s="180">
        <v>4.4999999999999998E-2</v>
      </c>
      <c r="S33" s="38">
        <v>6.0999999999999999E-2</v>
      </c>
      <c r="T33" s="4">
        <f t="shared" si="56"/>
        <v>9.6999999999999975E-2</v>
      </c>
      <c r="U33" s="4">
        <v>0.17699999999999999</v>
      </c>
      <c r="V33" s="179">
        <f t="shared" si="53"/>
        <v>0.10500000000000043</v>
      </c>
      <c r="W33" s="4">
        <v>7.9000000000000001E-2</v>
      </c>
      <c r="X33" s="4">
        <f t="shared" si="57"/>
        <v>0.14100000000000024</v>
      </c>
      <c r="Y33" s="180">
        <v>0.112</v>
      </c>
      <c r="Z33" s="180">
        <v>0.11</v>
      </c>
      <c r="AA33" s="38">
        <v>0.109</v>
      </c>
      <c r="AB33" s="4">
        <f t="shared" si="54"/>
        <v>9.9000000000000199E-2</v>
      </c>
      <c r="AC33" s="4">
        <v>-2E-3</v>
      </c>
      <c r="AD33" s="179">
        <f t="shared" si="55"/>
        <v>-0.20600000000000041</v>
      </c>
      <c r="AE33" s="4">
        <v>0.104</v>
      </c>
      <c r="AG33" s="180"/>
      <c r="AH33" s="180"/>
      <c r="AI33" s="38"/>
      <c r="AL33" s="179"/>
      <c r="AO33" s="180"/>
      <c r="AP33" s="180"/>
      <c r="AQ33" s="38"/>
      <c r="AT33" s="179"/>
      <c r="AW33" s="180"/>
      <c r="AX33" s="180"/>
      <c r="AY33" s="38"/>
      <c r="BB33" s="179"/>
      <c r="BE33" s="180"/>
      <c r="BF33" s="180"/>
      <c r="BG33" s="38"/>
      <c r="BJ33" s="179"/>
      <c r="BM33" s="180"/>
      <c r="BN33" s="180"/>
      <c r="BO33" s="38"/>
      <c r="BR33" s="179"/>
      <c r="BU33" s="180"/>
      <c r="BV33" s="180"/>
      <c r="BW33" s="38"/>
      <c r="BZ33" s="179"/>
      <c r="CC33" s="180"/>
      <c r="CD33" s="180"/>
      <c r="CE33" s="38"/>
      <c r="CH33" s="179"/>
      <c r="CK33" s="180"/>
      <c r="CL33" s="180"/>
      <c r="CM33" s="38"/>
      <c r="CP33" s="179"/>
      <c r="CS33" s="180"/>
      <c r="CT33" s="180"/>
      <c r="CU33" s="187"/>
      <c r="CW33" s="187"/>
      <c r="CX33" s="179"/>
      <c r="DA33" s="189"/>
      <c r="DB33" s="189"/>
      <c r="DC33" s="187"/>
      <c r="DE33" s="187"/>
      <c r="DF33" s="179"/>
      <c r="DG33" s="187"/>
      <c r="DI33" s="189"/>
      <c r="DJ33" s="189"/>
      <c r="DK33" s="187"/>
      <c r="DM33" s="187"/>
      <c r="DN33" s="179"/>
      <c r="DO33" s="187"/>
      <c r="DQ33" s="189"/>
      <c r="DR33" s="189"/>
      <c r="DS33" s="187"/>
      <c r="DU33" s="187"/>
      <c r="DV33" s="188"/>
      <c r="DW33" s="187"/>
      <c r="DX33" s="187"/>
      <c r="DY33" s="189"/>
      <c r="DZ33" s="189"/>
      <c r="EA33" s="187"/>
      <c r="EB33" s="187"/>
      <c r="EC33" s="187"/>
      <c r="ED33" s="188"/>
      <c r="EE33" s="187"/>
      <c r="EF33" s="187"/>
      <c r="EG33" s="189"/>
      <c r="EH33" s="189"/>
      <c r="EI33" s="187"/>
      <c r="EJ33" s="187"/>
      <c r="EK33" s="187"/>
      <c r="EL33" s="188"/>
      <c r="EM33" s="187"/>
      <c r="EN33" s="187"/>
      <c r="EO33" s="189"/>
      <c r="EP33" s="189"/>
      <c r="EQ33" s="187"/>
      <c r="ER33" s="187"/>
      <c r="ES33" s="187"/>
      <c r="ET33" s="188"/>
      <c r="EU33" s="187"/>
      <c r="EV33" s="187"/>
      <c r="EW33" s="189"/>
      <c r="EX33" s="189"/>
      <c r="EY33" s="187"/>
      <c r="EZ33" s="187"/>
      <c r="FA33" s="187"/>
      <c r="FB33" s="188"/>
      <c r="FC33" s="187"/>
      <c r="FD33" s="187"/>
      <c r="FE33" s="189"/>
      <c r="FF33" s="189"/>
    </row>
    <row r="34" spans="1:163" ht="11.25" customHeight="1" collapsed="1" x14ac:dyDescent="0.2">
      <c r="A34" s="202" t="s">
        <v>273</v>
      </c>
      <c r="B34" s="197"/>
      <c r="C34" s="259"/>
      <c r="D34" s="260"/>
      <c r="E34" s="261"/>
      <c r="F34" s="262"/>
      <c r="G34" s="260"/>
      <c r="H34" s="260"/>
      <c r="I34" s="263"/>
      <c r="J34" s="263"/>
      <c r="K34" s="259">
        <v>3.5000000000000003E-2</v>
      </c>
      <c r="L34" s="260"/>
      <c r="M34" s="261">
        <v>6.3E-2</v>
      </c>
      <c r="N34" s="262"/>
      <c r="O34" s="260">
        <v>5.2999999999999999E-2</v>
      </c>
      <c r="P34" s="260"/>
      <c r="Q34" s="263">
        <v>5.6000000000000001E-2</v>
      </c>
      <c r="R34" s="263">
        <v>5.8000000000000003E-2</v>
      </c>
      <c r="S34" s="259">
        <v>2.4E-2</v>
      </c>
      <c r="T34" s="260">
        <f t="shared" si="56"/>
        <v>7.6000000000000068E-2</v>
      </c>
      <c r="U34" s="261">
        <v>4.5999999999999999E-2</v>
      </c>
      <c r="V34" s="262">
        <f t="shared" si="53"/>
        <v>9.9999999999993427E-3</v>
      </c>
      <c r="W34" s="260">
        <v>0.05</v>
      </c>
      <c r="X34" s="260">
        <f t="shared" si="57"/>
        <v>2.7999999999999803E-2</v>
      </c>
      <c r="Y34" s="263">
        <v>4.9000000000000002E-2</v>
      </c>
      <c r="Z34" s="263">
        <v>3.9E-2</v>
      </c>
      <c r="AA34" s="259">
        <v>6.7000000000000004E-2</v>
      </c>
      <c r="AB34" s="260">
        <f t="shared" si="54"/>
        <v>6.2999999999999945E-2</v>
      </c>
      <c r="AC34" s="261">
        <v>-7.0000000000000001E-3</v>
      </c>
      <c r="AD34" s="262">
        <f t="shared" si="55"/>
        <v>-5.8999999999999941E-2</v>
      </c>
      <c r="AE34" s="260">
        <v>6.5000000000000002E-2</v>
      </c>
      <c r="AF34" s="260">
        <f>+(AH34*Z13-AE34*W13)/X13</f>
        <v>-2.9431431005110729E-2</v>
      </c>
      <c r="AG34" s="263">
        <v>4.1000000000000002E-2</v>
      </c>
      <c r="AH34" s="263">
        <v>1.6E-2</v>
      </c>
      <c r="AI34" s="259">
        <v>5.5E-2</v>
      </c>
      <c r="AJ34" s="260">
        <f>+(AM34*AE13-AI34*AA13)/AB13</f>
        <v>-3.504716690535798E-3</v>
      </c>
      <c r="AK34" s="261">
        <v>0.113</v>
      </c>
      <c r="AL34" s="262">
        <f>+(AP34*AH11-AK34*(AC11-AC9)-AJ34*(AB11-AB9)-AI34*(AA11-AA9))/AD11</f>
        <v>0.13480799420937292</v>
      </c>
      <c r="AM34" s="260">
        <f>AM24-AM36-AM35</f>
        <v>2.4385376236384131E-2</v>
      </c>
      <c r="AN34" s="260">
        <f>+(AP34*AH13-AM34*AE13)/AF13</f>
        <v>0.1215730605347682</v>
      </c>
      <c r="AO34" s="263">
        <v>5.0999999999999997E-2</v>
      </c>
      <c r="AP34" s="263">
        <v>7.3999999999999996E-2</v>
      </c>
      <c r="AQ34" s="259"/>
      <c r="AR34" s="260"/>
      <c r="AS34" s="261"/>
      <c r="AT34" s="262"/>
      <c r="AU34" s="260"/>
      <c r="AV34" s="260"/>
      <c r="AW34" s="263"/>
      <c r="AX34" s="263"/>
      <c r="AY34" s="259">
        <f t="shared" ref="AY34:BF34" si="58">((AQ3*AY27)+(AQ6*AY30)+(AQ8*AY32)+(AY10-AQ10))/AQ11</f>
        <v>0.10259288747346072</v>
      </c>
      <c r="AZ34" s="260">
        <f t="shared" si="58"/>
        <v>9.9629933367503865E-2</v>
      </c>
      <c r="BA34" s="261">
        <f t="shared" si="58"/>
        <v>0.1144870888828486</v>
      </c>
      <c r="BB34" s="262">
        <f t="shared" si="58"/>
        <v>9.9202432667245918E-2</v>
      </c>
      <c r="BC34" s="260">
        <f t="shared" si="58"/>
        <v>0.10108552803129074</v>
      </c>
      <c r="BD34" s="260">
        <f t="shared" si="58"/>
        <v>0.10567741156585779</v>
      </c>
      <c r="BE34" s="263">
        <f t="shared" si="58"/>
        <v>0.1052008106441096</v>
      </c>
      <c r="BF34" s="263">
        <f t="shared" si="58"/>
        <v>0.1034696922208989</v>
      </c>
      <c r="BG34" s="259"/>
      <c r="BH34" s="260"/>
      <c r="BI34" s="261"/>
      <c r="BJ34" s="262"/>
      <c r="BK34" s="260"/>
      <c r="BL34" s="260"/>
      <c r="BM34" s="263"/>
      <c r="BN34" s="263"/>
      <c r="BO34" s="259">
        <f>534/BG11</f>
        <v>0.12648034107058267</v>
      </c>
      <c r="BP34" s="260">
        <f>812/BH11</f>
        <v>0.15367146101438303</v>
      </c>
      <c r="BQ34" s="261">
        <f>523/BI11</f>
        <v>9.7793567688855651E-2</v>
      </c>
      <c r="BR34" s="262">
        <f>((BJ3*BR27)+(BJ4*BR28)+(BJ5*BR29)+(BR10-BJ10))/BJ11</f>
        <v>1.360473373952902E-2</v>
      </c>
      <c r="BS34" s="260">
        <f>((BK3*BS27)+(BK4*BS28)+(BK5*BS29)+(BS10-BK10))/BK11</f>
        <v>0.14156490637492108</v>
      </c>
      <c r="BT34" s="260">
        <f>((BL3*BT27)+(BL4*BT28)+(BL5*BT29)+(BT10-BL10))/BL11</f>
        <v>5.2539581622498416E-2</v>
      </c>
      <c r="BU34" s="263">
        <f>1869/BM11</f>
        <v>0.12582469368520263</v>
      </c>
      <c r="BV34" s="263">
        <f>((BN3*BV27)+(BN4*BV28)+(BN5*BV29)+(BV10-BN10))/BN11</f>
        <v>9.2693966745843223E-2</v>
      </c>
      <c r="BW34" s="259">
        <v>-8.7999999999999995E-2</v>
      </c>
      <c r="BX34" s="260">
        <f>((BP3*BX27)+(BP4*BX28)+(BP5*BX29)+(BX10-BP10))/BP11</f>
        <v>-0.47438601487106469</v>
      </c>
      <c r="BY34" s="261">
        <v>-0.42</v>
      </c>
      <c r="BZ34" s="262">
        <v>-0.30099999999999999</v>
      </c>
      <c r="CA34" s="260">
        <f>((BS3*CA27)+(BS4*CA28)+(BS5*CA29)+(CA10-BS10))/BS11</f>
        <v>-0.289894314989258</v>
      </c>
      <c r="CB34" s="260">
        <f>((CD34*BV11)-(CA34*BS11))/BT11</f>
        <v>-0.35952089647471686</v>
      </c>
      <c r="CC34" s="263">
        <v>-0.33400000000000002</v>
      </c>
      <c r="CD34" s="263">
        <f>Divisional!T32</f>
        <v>-0.32532362012987015</v>
      </c>
      <c r="CE34" s="259">
        <f>-1860/BW11</f>
        <v>-0.34553223109790082</v>
      </c>
      <c r="CF34" s="260">
        <f>((BX3*CF27)+(BX4*CF28)+(BX5*CF29)+(CF10-BX10))/BX11</f>
        <v>0.10009840425531913</v>
      </c>
      <c r="CG34" s="261">
        <f>391/BY11</f>
        <v>0.115612063867534</v>
      </c>
      <c r="CH34" s="262">
        <f>((BZ3*CH27)+(BZ4*CH28)+(BZ5*CH29)+(CH10-BZ10))/BZ11</f>
        <v>5.2037020004598783E-2</v>
      </c>
      <c r="CI34" s="260">
        <f>-1521/CA11</f>
        <v>-0.17349150222425003</v>
      </c>
      <c r="CJ34" s="260">
        <f>((CB3*CJ27)+(CB4*CJ28)+(CB5*CJ29)+(CJ10-CB10))/CB11</f>
        <v>7.9727719570560088E-2</v>
      </c>
      <c r="CK34" s="263">
        <f>((CC3*CK27)+(CC4*CK28)+(CC5*CK29)+(CK10-CC10))/CC11</f>
        <v>-9.295736274590502E-2</v>
      </c>
      <c r="CL34" s="263">
        <f>SUMPRODUCT(CD3:CD9,CL27:CL33)/CD11</f>
        <v>-5.4614498727118439E-2</v>
      </c>
      <c r="CM34" s="259">
        <f>+(CM27*CE3+CM28*CE4+CM29*CE5)/SUM(CE3:CE5)</f>
        <v>0.16943139604553625</v>
      </c>
      <c r="CN34" s="260">
        <f>((CF3*CN27)+(CF4*CN28)+(CF5*CN29)+(CN10-CF10))/CF11</f>
        <v>0.17621165817770232</v>
      </c>
      <c r="CO34" s="261">
        <f>+(CO27*CG3+CO28*CG4+CO29*CG5)/SUM(CG3:CG5)</f>
        <v>0.17857663451232583</v>
      </c>
      <c r="CP34" s="262">
        <f>((CH3*CP27)+(CH4*CP28)+(CH5*CP29)+(CP10-CH10))/CH11</f>
        <v>0.11690768237572627</v>
      </c>
      <c r="CQ34" s="260">
        <f>+(565+623)/CI11</f>
        <v>0.17277486910994763</v>
      </c>
      <c r="CR34" s="260">
        <f>((CJ3*CR27)+(CJ4*CR28)+(CJ5*CR29)+(CR10-CJ10))/CJ11</f>
        <v>0.14457916716382291</v>
      </c>
      <c r="CS34" s="263">
        <f>((CK3*CS27)+(CK4*CS28)+(CK5*CS29)+(CS10-CK10))/CK11</f>
        <v>0.17499924599434497</v>
      </c>
      <c r="CT34" s="263">
        <f>SUMPRODUCT(CL3:CL9,CT27:CT33)/CL11</f>
        <v>0.15743671757226188</v>
      </c>
      <c r="CU34" s="259">
        <f>+(CU27*CM3+CU28*CM4+CU29*CM5)/SUM(CM3:CM5)</f>
        <v>0.24802040816326526</v>
      </c>
      <c r="CV34" s="260">
        <f>+(CV27*CN3+CV28*CN4+CV29*CN5)/SUM(CN3:CN5)</f>
        <v>0.27105016722408026</v>
      </c>
      <c r="CW34" s="260">
        <f>+(CW27*CO3+CW28*CO4+CW29*CO5)/SUM(CO3:CO5)</f>
        <v>0.25953931888544896</v>
      </c>
      <c r="CX34" s="262">
        <f t="shared" ref="CX34:FF34" si="59">SUMPRODUCT(CP3:CP9,CX27:CX33)/CP11</f>
        <v>0.18025897618201209</v>
      </c>
      <c r="CY34" s="260">
        <v>0.25900000000000001</v>
      </c>
      <c r="CZ34" s="260">
        <f t="shared" si="59"/>
        <v>0.21646787589498803</v>
      </c>
      <c r="DA34" s="263">
        <f t="shared" si="59"/>
        <v>0.25994877776412934</v>
      </c>
      <c r="DB34" s="1475">
        <f t="shared" si="59"/>
        <v>0.23590443919096402</v>
      </c>
      <c r="DC34" s="259">
        <f>+(DC27*CU3+DC28*CU4+DC29*CU5)/SUM(CU3:CU5)</f>
        <v>0.1905832066869301</v>
      </c>
      <c r="DD34" s="260">
        <f t="shared" si="59"/>
        <v>0.18443493572812106</v>
      </c>
      <c r="DE34" s="260">
        <f>+(DE27*CW3+DE28*CW4+DE29*CW5)/SUM(CW3:CW5)</f>
        <v>0.13797629680522158</v>
      </c>
      <c r="DF34" s="262">
        <f t="shared" si="59"/>
        <v>0.17415398973401772</v>
      </c>
      <c r="DG34" s="260">
        <f t="shared" si="59"/>
        <v>0.1874132480584742</v>
      </c>
      <c r="DH34" s="260">
        <f t="shared" si="59"/>
        <v>0.15662444915945822</v>
      </c>
      <c r="DI34" s="263">
        <f t="shared" si="59"/>
        <v>0.17013542039355992</v>
      </c>
      <c r="DJ34" s="1475">
        <f t="shared" si="59"/>
        <v>0.17110215957584377</v>
      </c>
      <c r="DK34" s="259">
        <f t="shared" si="59"/>
        <v>0.13909131832797428</v>
      </c>
      <c r="DL34" s="260">
        <f t="shared" si="59"/>
        <v>0.16084502709828624</v>
      </c>
      <c r="DM34" s="260">
        <f>+(DM27*DE3+DM28*DE4+DM29*DE5)/SUM(DE3:DE5)</f>
        <v>0.18472216362814525</v>
      </c>
      <c r="DN34" s="262">
        <f t="shared" si="59"/>
        <v>0.14343166033285284</v>
      </c>
      <c r="DO34" s="260">
        <f t="shared" si="59"/>
        <v>0.13215405840423086</v>
      </c>
      <c r="DP34" s="260">
        <f t="shared" si="59"/>
        <v>0.16323791170287336</v>
      </c>
      <c r="DQ34" s="263">
        <f t="shared" si="59"/>
        <v>0.15011729147617595</v>
      </c>
      <c r="DR34" s="1475">
        <f t="shared" si="59"/>
        <v>0.14805644836548668</v>
      </c>
      <c r="DS34" s="259">
        <f t="shared" si="59"/>
        <v>0.22979261402783518</v>
      </c>
      <c r="DT34" s="260">
        <f t="shared" si="59"/>
        <v>0.17154060170394037</v>
      </c>
      <c r="DU34" s="265">
        <f t="shared" si="59"/>
        <v>0.10999435252791638</v>
      </c>
      <c r="DV34" s="264">
        <f t="shared" si="59"/>
        <v>0.20040915134850942</v>
      </c>
      <c r="DW34" s="260">
        <f t="shared" si="59"/>
        <v>0.20182632541133455</v>
      </c>
      <c r="DX34" s="265">
        <f t="shared" si="59"/>
        <v>0.15753855954058085</v>
      </c>
      <c r="DY34" s="267">
        <f t="shared" si="59"/>
        <v>0.16797764392738365</v>
      </c>
      <c r="DZ34" s="266">
        <f t="shared" si="59"/>
        <v>0.1777827307997116</v>
      </c>
      <c r="EA34" s="265">
        <f t="shared" si="59"/>
        <v>4.0062841104411974E-2</v>
      </c>
      <c r="EB34" s="265">
        <f t="shared" si="59"/>
        <v>0.10330188850437778</v>
      </c>
      <c r="EC34" s="265">
        <f t="shared" si="59"/>
        <v>0.12038148124541448</v>
      </c>
      <c r="ED34" s="264">
        <f t="shared" si="59"/>
        <v>0.13546137624761087</v>
      </c>
      <c r="EE34" s="265">
        <f t="shared" si="59"/>
        <v>7.2263612664795279E-2</v>
      </c>
      <c r="EF34" s="265">
        <f t="shared" si="59"/>
        <v>0.12863068886098683</v>
      </c>
      <c r="EG34" s="267">
        <f t="shared" si="59"/>
        <v>8.8187116954342684E-2</v>
      </c>
      <c r="EH34" s="266">
        <f t="shared" si="59"/>
        <v>0.10176968089640287</v>
      </c>
      <c r="EI34" s="265">
        <f t="shared" si="59"/>
        <v>9.9378982798247001E-2</v>
      </c>
      <c r="EJ34" s="265">
        <f t="shared" si="59"/>
        <v>0.101880833782467</v>
      </c>
      <c r="EK34" s="265">
        <f t="shared" si="59"/>
        <v>9.8901026251205254E-2</v>
      </c>
      <c r="EL34" s="264">
        <f t="shared" si="59"/>
        <v>9.363362457457601E-2</v>
      </c>
      <c r="EM34" s="265">
        <f t="shared" si="59"/>
        <v>0.10068660346375848</v>
      </c>
      <c r="EN34" s="265">
        <f t="shared" si="59"/>
        <v>9.6010220230147797E-2</v>
      </c>
      <c r="EO34" s="267">
        <f t="shared" si="59"/>
        <v>0.10007164920672573</v>
      </c>
      <c r="EP34" s="266">
        <f t="shared" si="59"/>
        <v>9.8170905693367408E-2</v>
      </c>
      <c r="EQ34" s="265">
        <f t="shared" si="59"/>
        <v>7.7833961199458596E-2</v>
      </c>
      <c r="ER34" s="265">
        <f t="shared" si="59"/>
        <v>8.6626614773664734E-2</v>
      </c>
      <c r="ES34" s="265">
        <f t="shared" si="59"/>
        <v>7.6256929505230817E-2</v>
      </c>
      <c r="ET34" s="264">
        <f t="shared" si="59"/>
        <v>8.5174714331334347E-2</v>
      </c>
      <c r="EU34" s="265">
        <f t="shared" si="59"/>
        <v>8.2428187001283459E-2</v>
      </c>
      <c r="EV34" s="265">
        <f t="shared" si="59"/>
        <v>8.1134025760519757E-2</v>
      </c>
      <c r="EW34" s="267">
        <f t="shared" si="59"/>
        <v>8.0302901810045832E-2</v>
      </c>
      <c r="EX34" s="266">
        <f t="shared" si="59"/>
        <v>8.1733368651934341E-2</v>
      </c>
      <c r="EY34" s="265">
        <f t="shared" si="59"/>
        <v>5.1861611777447379E-2</v>
      </c>
      <c r="EZ34" s="265">
        <f t="shared" si="59"/>
        <v>9.0247858364073105E-2</v>
      </c>
      <c r="FA34" s="265">
        <f t="shared" si="59"/>
        <v>5.1881205610552511E-2</v>
      </c>
      <c r="FB34" s="264">
        <f t="shared" si="59"/>
        <v>8.7566972441618457E-2</v>
      </c>
      <c r="FC34" s="265">
        <f t="shared" si="59"/>
        <v>7.1904625925430468E-2</v>
      </c>
      <c r="FD34" s="265">
        <f t="shared" si="59"/>
        <v>7.1384748245861038E-2</v>
      </c>
      <c r="FE34" s="267">
        <f t="shared" si="59"/>
        <v>6.5011449303286825E-2</v>
      </c>
      <c r="FF34" s="266">
        <f t="shared" si="59"/>
        <v>7.1625686709338443E-2</v>
      </c>
    </row>
    <row r="35" spans="1:163" ht="11.25" customHeight="1" x14ac:dyDescent="0.2">
      <c r="A35" s="197" t="s">
        <v>274</v>
      </c>
      <c r="B35" s="197"/>
      <c r="C35" s="268"/>
      <c r="D35" s="269"/>
      <c r="E35" s="269"/>
      <c r="F35" s="270"/>
      <c r="G35" s="249"/>
      <c r="H35" s="249"/>
      <c r="I35" s="250"/>
      <c r="J35" s="250"/>
      <c r="K35" s="268">
        <v>1.4E-2</v>
      </c>
      <c r="L35" s="269"/>
      <c r="M35" s="269">
        <v>3.0000000000000001E-3</v>
      </c>
      <c r="N35" s="270"/>
      <c r="O35" s="249">
        <v>8.0000000000000002E-3</v>
      </c>
      <c r="P35" s="249"/>
      <c r="Q35" s="250"/>
      <c r="R35" s="250">
        <v>7.0000000000000001E-3</v>
      </c>
      <c r="S35" s="268">
        <v>0.01</v>
      </c>
      <c r="T35" s="269">
        <f t="shared" si="56"/>
        <v>6.0000000000000053E-3</v>
      </c>
      <c r="U35" s="269">
        <v>5.0000000000000001E-3</v>
      </c>
      <c r="V35" s="270">
        <f t="shared" si="53"/>
        <v>-5.0000000000001155E-3</v>
      </c>
      <c r="W35" s="249">
        <v>8.0000000000000002E-3</v>
      </c>
      <c r="X35" s="249">
        <f t="shared" si="57"/>
        <v>0</v>
      </c>
      <c r="Y35" s="250">
        <f>(((1+S35)+(1+T35)+(1+U35))/3)-1</f>
        <v>6.9999999999998952E-3</v>
      </c>
      <c r="Z35" s="250">
        <v>4.0000000000000001E-3</v>
      </c>
      <c r="AA35" s="268">
        <v>1E-3</v>
      </c>
      <c r="AB35" s="269">
        <f t="shared" si="54"/>
        <v>-9.9999999999988987E-4</v>
      </c>
      <c r="AC35" s="269">
        <v>-2.5999999999999999E-2</v>
      </c>
      <c r="AD35" s="270">
        <f t="shared" si="55"/>
        <v>-7.8000000000000291E-2</v>
      </c>
      <c r="AE35" s="249">
        <v>0</v>
      </c>
      <c r="AF35" s="249">
        <f>-X9/X11</f>
        <v>-0.11019864609921208</v>
      </c>
      <c r="AG35" s="250">
        <v>-8.0000000000000002E-3</v>
      </c>
      <c r="AH35" s="250">
        <v>-2.5999999999999999E-2</v>
      </c>
      <c r="AI35" s="268">
        <v>-2.8000000000000001E-2</v>
      </c>
      <c r="AJ35" s="269">
        <f>+(AM35*AE11-AI35*AA11)/AB11</f>
        <v>-4.7028960817717201E-2</v>
      </c>
      <c r="AK35" s="269">
        <v>1E-3</v>
      </c>
      <c r="AL35" s="270">
        <f>AL24-AL34-AL36</f>
        <v>-5.2273507419567058E-2</v>
      </c>
      <c r="AM35" s="249">
        <v>-3.7999999999999999E-2</v>
      </c>
      <c r="AN35" s="249">
        <f>-AF9/AF11</f>
        <v>0</v>
      </c>
      <c r="AO35" s="250">
        <v>-2.5999999999999999E-2</v>
      </c>
      <c r="AP35" s="250">
        <v>-1.9E-2</v>
      </c>
      <c r="AQ35" s="268"/>
      <c r="AR35" s="269"/>
      <c r="AS35" s="269"/>
      <c r="AT35" s="270"/>
      <c r="AU35" s="249"/>
      <c r="AV35" s="249"/>
      <c r="AW35" s="250"/>
      <c r="AX35" s="250"/>
      <c r="AY35" s="268">
        <v>9.6000000000000002E-2</v>
      </c>
      <c r="AZ35" s="269">
        <f t="shared" ref="AZ35:BF35" si="60">+AZ24-AZ34-AZ36</f>
        <v>0.29298923628908252</v>
      </c>
      <c r="BA35" s="269">
        <f>+BA24-BA34-BA36</f>
        <v>0.32516879586844244</v>
      </c>
      <c r="BB35" s="270">
        <f>+BB24-BB34-BB36</f>
        <v>0.23882521944935398</v>
      </c>
      <c r="BC35" s="249">
        <v>0.19600000000000001</v>
      </c>
      <c r="BD35" s="249">
        <f t="shared" si="60"/>
        <v>0.28535167607802753</v>
      </c>
      <c r="BE35" s="250">
        <f t="shared" si="60"/>
        <v>0.2386369724204776</v>
      </c>
      <c r="BF35" s="250">
        <f t="shared" si="60"/>
        <v>0.23721857957750889</v>
      </c>
      <c r="BG35" s="268"/>
      <c r="BH35" s="269"/>
      <c r="BI35" s="269"/>
      <c r="BJ35" s="270"/>
      <c r="BK35" s="249"/>
      <c r="BL35" s="249"/>
      <c r="BM35" s="250"/>
      <c r="BN35" s="250"/>
      <c r="BO35" s="268">
        <f>802/BG11</f>
        <v>0.18995736617716721</v>
      </c>
      <c r="BP35" s="269">
        <f>38/BH11</f>
        <v>7.1915215745647241E-3</v>
      </c>
      <c r="BQ35" s="269">
        <f>44/BI11</f>
        <v>8.2273747195213166E-3</v>
      </c>
      <c r="BR35" s="270">
        <f>(929-884)/BJ11</f>
        <v>7.2627501613944483E-3</v>
      </c>
      <c r="BS35" s="249">
        <f>840/BK11</f>
        <v>8.8365243004418267E-2</v>
      </c>
      <c r="BT35" s="249">
        <f>((BA11*BQ35)+(BB11*BR35))/BD11</f>
        <v>7.7096327096327095E-3</v>
      </c>
      <c r="BU35" s="250">
        <f>884/BM11</f>
        <v>5.9512589201561869E-2</v>
      </c>
      <c r="BV35" s="250">
        <f>Divisional!S34</f>
        <v>4.4133016627078386E-2</v>
      </c>
      <c r="BW35" s="268">
        <v>-2E-3</v>
      </c>
      <c r="BX35" s="269">
        <f>(-20-BW35*BO11)/BP11</f>
        <v>-1.3349153614934347E-3</v>
      </c>
      <c r="BY35" s="269">
        <f>-10/BQ11</f>
        <v>-1.6406890894175555E-3</v>
      </c>
      <c r="BZ35" s="270">
        <f>BZ37-BZ36-BZ34</f>
        <v>-1.0332143411454497E-3</v>
      </c>
      <c r="CA35" s="249">
        <v>-2E-3</v>
      </c>
      <c r="CB35" s="249">
        <f>((BQ11*BY35)+(BR11*BZ35))/BT11</f>
        <v>-1.3285212952624129E-3</v>
      </c>
      <c r="CC35" s="250">
        <f>CC37-CC36-CC34</f>
        <v>-1.275045337143399E-3</v>
      </c>
      <c r="CD35" s="250">
        <f>CD37-CD36-CD34</f>
        <v>-1.2591720779220883E-3</v>
      </c>
      <c r="CE35" s="268">
        <f>-1/BW11</f>
        <v>-1.8577001671930151E-4</v>
      </c>
      <c r="CF35" s="269">
        <f>-3/BX11</f>
        <v>-8.8652482269503544E-4</v>
      </c>
      <c r="CG35" s="269">
        <f>-9/BY11</f>
        <v>-2.6611472501478417E-3</v>
      </c>
      <c r="CH35" s="270">
        <f>-14/BZ11</f>
        <v>-3.2191308346746377E-3</v>
      </c>
      <c r="CI35" s="249">
        <f>-4/CA11</f>
        <v>-4.5625641610585148E-4</v>
      </c>
      <c r="CJ35" s="249">
        <f>((BY11*CG35)+(BZ11*CH35))/CB11</f>
        <v>-2.9750355710774804E-3</v>
      </c>
      <c r="CK35" s="250">
        <f>-13/CC11</f>
        <v>-1.0700469174417648E-3</v>
      </c>
      <c r="CL35" s="250">
        <f>Divisional!U34</f>
        <v>-1.6365620075160625E-3</v>
      </c>
      <c r="CM35" s="268">
        <f>-20/CE11</f>
        <v>-5.9844404548174742E-3</v>
      </c>
      <c r="CN35" s="269">
        <v>-5.0000000000000001E-3</v>
      </c>
      <c r="CO35" s="269">
        <f>CO37-CO34-CO36</f>
        <v>1.0307570248997699E-3</v>
      </c>
      <c r="CP35" s="270">
        <f>CP37-CP34-CP36</f>
        <v>1.0976718598213669E-2</v>
      </c>
      <c r="CQ35" s="249">
        <f>-37/CI11</f>
        <v>-5.3810354857475274E-3</v>
      </c>
      <c r="CR35" s="249">
        <f>+AVERAGE(CO35:CP35)</f>
        <v>6.0037378115567197E-3</v>
      </c>
      <c r="CS35" s="250">
        <f>+AVERAGE(CM35:CO35)</f>
        <v>-3.3178944766392346E-3</v>
      </c>
      <c r="CT35" s="250">
        <f>Divisional!V34</f>
        <v>-1E-3</v>
      </c>
      <c r="CU35" s="271">
        <f>15/CM11</f>
        <v>3.6845983787767134E-3</v>
      </c>
      <c r="CV35" s="269">
        <v>3.0000000000000001E-3</v>
      </c>
      <c r="CW35" s="272">
        <f>-39/CO11</f>
        <v>-8.0428954423592495E-3</v>
      </c>
      <c r="CX35" s="248">
        <v>0</v>
      </c>
      <c r="CY35" s="249">
        <v>3.0000000000000001E-3</v>
      </c>
      <c r="CZ35" s="272">
        <f>(DB35*CT11-CY35*CQ11)/CR11</f>
        <v>-4.2687350835322203E-3</v>
      </c>
      <c r="DA35" s="275">
        <f>(CU35*CM11+CV35*CN11+CW35*CO11)/CS11</f>
        <v>-7.8551718994705061E-4</v>
      </c>
      <c r="DB35" s="275">
        <f>Divisional!W34</f>
        <v>-1E-3</v>
      </c>
      <c r="DC35" s="271">
        <v>0</v>
      </c>
      <c r="DD35" s="272">
        <f>(DG35*CY11-DC35*CU11)/CV11</f>
        <v>7.7091037154428596E-3</v>
      </c>
      <c r="DE35" s="272">
        <v>0.01</v>
      </c>
      <c r="DF35" s="248">
        <v>5.0000000000000001E-3</v>
      </c>
      <c r="DG35" s="272">
        <v>4.0000000000000001E-3</v>
      </c>
      <c r="DH35" s="272">
        <f>(DJ35*DB11-DG35*CY11)/CZ11</f>
        <v>7.7863554757630175E-3</v>
      </c>
      <c r="DI35" s="275">
        <f>(DC35*CU11+DD35*CV11+DE35*CW11)/DA11</f>
        <v>6.0840787119856889E-3</v>
      </c>
      <c r="DJ35" s="275">
        <f>Divisional!X34</f>
        <v>6.0000000000000001E-3</v>
      </c>
      <c r="DK35" s="271">
        <v>5.0000000000000001E-3</v>
      </c>
      <c r="DL35" s="272">
        <f>(DO35*DG11-DK35*DC11)/DD11</f>
        <v>1.2644353303061372E-2</v>
      </c>
      <c r="DM35" s="272">
        <v>4.4999999999999998E-2</v>
      </c>
      <c r="DN35" s="248">
        <v>5.6000000000000001E-2</v>
      </c>
      <c r="DO35" s="272">
        <v>8.9999999999999993E-3</v>
      </c>
      <c r="DP35" s="272">
        <f>(DR35*DJ11-DO35*DG11)/DH11</f>
        <v>4.9200210231254378E-2</v>
      </c>
      <c r="DQ35" s="275">
        <f>(DK35*DC11+DL35*DD11+DM35*DE11)/DI11</f>
        <v>2.1140810728436453E-2</v>
      </c>
      <c r="DR35" s="275">
        <f>Divisional!Y34</f>
        <v>0.03</v>
      </c>
      <c r="DS35" s="271">
        <v>4.2999999999999997E-2</v>
      </c>
      <c r="DT35" s="272">
        <f>(DW35*DO11-DS35*DK11)/DL11</f>
        <v>3.3169728434504789E-2</v>
      </c>
      <c r="DU35" s="277">
        <v>0</v>
      </c>
      <c r="DV35" s="273">
        <f>(DX35*DP11-DU35*DM11)/DN11</f>
        <v>4.6828203950390456E-3</v>
      </c>
      <c r="DW35" s="272">
        <v>3.7999999999999999E-2</v>
      </c>
      <c r="DX35" s="274">
        <f>(DZ35*DR11-DW35*DO11)/DP11</f>
        <v>2.4624396135265714E-3</v>
      </c>
      <c r="DY35" s="276">
        <f>(DS35*DK11+DT35*DL11+DU35*DM11)/DQ11</f>
        <v>2.4809778524379999E-2</v>
      </c>
      <c r="DZ35" s="276">
        <f>Divisional!Z34</f>
        <v>1.9215423409620479E-2</v>
      </c>
      <c r="EA35" s="277">
        <v>0</v>
      </c>
      <c r="EB35" s="274">
        <f>(EE35*DW11-EA35*DS11)/DT11</f>
        <v>0</v>
      </c>
      <c r="EC35" s="277">
        <v>0</v>
      </c>
      <c r="ED35" s="273">
        <f>(EF35*DX11-EC35*DU11)/DV11</f>
        <v>0</v>
      </c>
      <c r="EE35" s="277">
        <v>0</v>
      </c>
      <c r="EF35" s="274">
        <f>(EH35*DZ11-EE35*DW11)/DX11</f>
        <v>0</v>
      </c>
      <c r="EG35" s="276">
        <f>(EA35*DS11+EB35*DT11+EC35*DU11)/DY11</f>
        <v>0</v>
      </c>
      <c r="EH35" s="276">
        <f>Divisional!AA34</f>
        <v>0</v>
      </c>
      <c r="EI35" s="277">
        <v>0</v>
      </c>
      <c r="EJ35" s="274">
        <f>(EM35*EE11-EI35*EA11)/EB11</f>
        <v>0</v>
      </c>
      <c r="EK35" s="277">
        <v>0</v>
      </c>
      <c r="EL35" s="273">
        <f>(EN35*EF11-EK35*EC11)/ED11</f>
        <v>0</v>
      </c>
      <c r="EM35" s="277">
        <v>0</v>
      </c>
      <c r="EN35" s="274">
        <f>(EP35*EH11-EM35*EE11)/EF11</f>
        <v>0</v>
      </c>
      <c r="EO35" s="276">
        <f>(EI35*EA11+EJ35*EB11+EK35*EC11)/EG11</f>
        <v>0</v>
      </c>
      <c r="EP35" s="276">
        <f>Divisional!AB34</f>
        <v>0</v>
      </c>
      <c r="EQ35" s="277">
        <v>0</v>
      </c>
      <c r="ER35" s="274">
        <f>(EU35*EM11-EQ35*EI11)/EJ11</f>
        <v>0</v>
      </c>
      <c r="ES35" s="277">
        <v>0</v>
      </c>
      <c r="ET35" s="273">
        <f>(EV35*EN11-ES35*EK11)/EL11</f>
        <v>0</v>
      </c>
      <c r="EU35" s="277">
        <v>0</v>
      </c>
      <c r="EV35" s="274">
        <f>(EX35*EP11-EU35*EM11)/EN11</f>
        <v>0</v>
      </c>
      <c r="EW35" s="276">
        <f>(EQ35*EI11+ER35*EJ11+ES35*EK11)/EO11</f>
        <v>0</v>
      </c>
      <c r="EX35" s="276">
        <f>Divisional!AC34</f>
        <v>0</v>
      </c>
      <c r="EY35" s="277">
        <v>0</v>
      </c>
      <c r="EZ35" s="274">
        <f>(FC35*EU11-EY35*EQ11)/ER11</f>
        <v>0</v>
      </c>
      <c r="FA35" s="277">
        <v>0</v>
      </c>
      <c r="FB35" s="273">
        <f>(FD35*EV11-FA35*ES11)/ET11</f>
        <v>0</v>
      </c>
      <c r="FC35" s="277">
        <v>0</v>
      </c>
      <c r="FD35" s="274">
        <f>(FF35*EX11-FC35*EU11)/EV11</f>
        <v>0</v>
      </c>
      <c r="FE35" s="276">
        <f>(EY35*EQ11+EZ35*ER11+FA35*ES11)/EW11</f>
        <v>0</v>
      </c>
      <c r="FF35" s="276">
        <f>Divisional!AD34</f>
        <v>0</v>
      </c>
    </row>
    <row r="36" spans="1:163" ht="11.25" customHeight="1" x14ac:dyDescent="0.2">
      <c r="A36" s="197" t="s">
        <v>275</v>
      </c>
      <c r="B36" s="197"/>
      <c r="C36" s="268"/>
      <c r="D36" s="269"/>
      <c r="E36" s="272"/>
      <c r="F36" s="270"/>
      <c r="G36" s="269"/>
      <c r="H36" s="278"/>
      <c r="I36" s="250"/>
      <c r="J36" s="250"/>
      <c r="K36" s="268">
        <v>-1.6E-2</v>
      </c>
      <c r="L36" s="269"/>
      <c r="M36" s="272">
        <v>2E-3</v>
      </c>
      <c r="N36" s="270"/>
      <c r="O36" s="269">
        <v>-1.7000000000000001E-2</v>
      </c>
      <c r="P36" s="278"/>
      <c r="Q36" s="250"/>
      <c r="R36" s="250">
        <v>4.0000000000000001E-3</v>
      </c>
      <c r="S36" s="268">
        <v>0.109</v>
      </c>
      <c r="T36" s="269">
        <f t="shared" si="56"/>
        <v>0.10700000000000021</v>
      </c>
      <c r="U36" s="272">
        <v>0.10299999999999999</v>
      </c>
      <c r="V36" s="270">
        <f t="shared" si="53"/>
        <v>4.4999999999999929E-2</v>
      </c>
      <c r="W36" s="269">
        <v>0.108</v>
      </c>
      <c r="X36" s="278">
        <f t="shared" si="57"/>
        <v>7.3999999999999844E-2</v>
      </c>
      <c r="Y36" s="250">
        <f>(((1+S36)+(1+T36)+(1+U36))/3)-1</f>
        <v>0.10633333333333339</v>
      </c>
      <c r="Z36" s="250">
        <v>9.0999999999999998E-2</v>
      </c>
      <c r="AA36" s="268">
        <v>0.01</v>
      </c>
      <c r="AB36" s="269">
        <f t="shared" si="54"/>
        <v>-1.4000000000000012E-2</v>
      </c>
      <c r="AC36" s="272">
        <v>-4.0000000000000001E-3</v>
      </c>
      <c r="AD36" s="270">
        <f t="shared" si="55"/>
        <v>1.9999999999999352E-2</v>
      </c>
      <c r="AE36" s="269">
        <v>-2E-3</v>
      </c>
      <c r="AF36" s="278">
        <f>+AF12/X13</f>
        <v>4.0672913117546845E-2</v>
      </c>
      <c r="AG36" s="250">
        <v>-3.0000000000000001E-3</v>
      </c>
      <c r="AH36" s="250">
        <v>3.0000000000000001E-3</v>
      </c>
      <c r="AI36" s="268">
        <v>2.3E-2</v>
      </c>
      <c r="AJ36" s="269">
        <f>+AJ12/AB13</f>
        <v>2.9940119760479042E-2</v>
      </c>
      <c r="AK36" s="272">
        <v>-2.9000000000000001E-2</v>
      </c>
      <c r="AL36" s="270">
        <f>+AL12/AD11</f>
        <v>8.8847322889876075E-3</v>
      </c>
      <c r="AM36" s="269">
        <v>0.02</v>
      </c>
      <c r="AN36" s="278">
        <f>+AN12/AF13</f>
        <v>9.1731898238747549E-3</v>
      </c>
      <c r="AO36" s="250">
        <v>5.0000000000000001E-3</v>
      </c>
      <c r="AP36" s="250">
        <v>-8.0000000000000002E-3</v>
      </c>
      <c r="AQ36" s="268"/>
      <c r="AR36" s="269"/>
      <c r="AS36" s="272"/>
      <c r="AT36" s="270"/>
      <c r="AU36" s="269"/>
      <c r="AV36" s="278"/>
      <c r="AW36" s="250"/>
      <c r="AX36" s="250"/>
      <c r="AY36" s="268">
        <v>-7.8E-2</v>
      </c>
      <c r="AZ36" s="269">
        <f>-150/AR11</f>
        <v>-3.8441824705279341E-2</v>
      </c>
      <c r="BA36" s="272">
        <v>1.4E-2</v>
      </c>
      <c r="BB36" s="270">
        <f>+BB129</f>
        <v>7.7586206896556043E-3</v>
      </c>
      <c r="BC36" s="269">
        <v>-5.8000000000000003E-2</v>
      </c>
      <c r="BD36" s="278">
        <f>+BD129</f>
        <v>2.6688478867196164E-3</v>
      </c>
      <c r="BE36" s="250">
        <v>-3.5000000000000003E-2</v>
      </c>
      <c r="BF36" s="250">
        <f>Divisional!Q33</f>
        <v>-2.1187237510186172E-2</v>
      </c>
      <c r="BG36" s="268"/>
      <c r="BH36" s="269"/>
      <c r="BI36" s="272"/>
      <c r="BJ36" s="270"/>
      <c r="BK36" s="269"/>
      <c r="BL36" s="278"/>
      <c r="BM36" s="250"/>
      <c r="BN36" s="250"/>
      <c r="BO36" s="268">
        <f>BO37-BO35-BO34</f>
        <v>5.281856939838947E-2</v>
      </c>
      <c r="BP36" s="269">
        <f>BP37-BP35-BP34</f>
        <v>3.5389856169568523E-2</v>
      </c>
      <c r="BQ36" s="272">
        <f>180/BI11</f>
        <v>3.3657442034405384E-2</v>
      </c>
      <c r="BR36" s="270">
        <f>BR37-BR35-BR34</f>
        <v>1.8996944762730554E-2</v>
      </c>
      <c r="BS36" s="269">
        <f>410/BK11</f>
        <v>4.3130654323585108E-2</v>
      </c>
      <c r="BT36" s="278">
        <f>BT37-BT35-BT34</f>
        <v>2.5856121773204982E-2</v>
      </c>
      <c r="BU36" s="250">
        <f>590/BM11</f>
        <v>3.9719940756698532E-2</v>
      </c>
      <c r="BV36" s="250">
        <f>Divisional!S33</f>
        <v>3.3444180522565321E-2</v>
      </c>
      <c r="BW36" s="268">
        <v>2.1000000000000001E-2</v>
      </c>
      <c r="BX36" s="269">
        <f>(-194-BW36*BO11)/BP11</f>
        <v>-4.9897326372409428E-2</v>
      </c>
      <c r="BY36" s="272">
        <f>-141/BQ11</f>
        <v>-2.3133716160787531E-2</v>
      </c>
      <c r="BZ36" s="270">
        <f>(-95-53)/BR11</f>
        <v>-2.2970665838894923E-2</v>
      </c>
      <c r="CA36" s="269">
        <v>1.6E-2</v>
      </c>
      <c r="CB36" s="278">
        <f>CB37-CB35-CB34</f>
        <v>-2.2545063008454269E-2</v>
      </c>
      <c r="CC36" s="250">
        <f>53/BU11</f>
        <v>2.9125680057152277E-3</v>
      </c>
      <c r="CD36" s="250">
        <f>-95/BV11</f>
        <v>-3.8555194805194805E-3</v>
      </c>
      <c r="CE36" s="268">
        <f>-180/BW11</f>
        <v>-3.3438603009474273E-2</v>
      </c>
      <c r="CF36" s="269">
        <f>-186/BX11</f>
        <v>-5.4964539007092202E-2</v>
      </c>
      <c r="CG36" s="272">
        <f>-30/BY11</f>
        <v>-8.8704908338261383E-3</v>
      </c>
      <c r="CH36" s="270">
        <f>CH37-CH35-CH34</f>
        <v>1.970361002529307E-2</v>
      </c>
      <c r="CI36" s="269">
        <f>-366/CA11</f>
        <v>-4.1747462073685411E-2</v>
      </c>
      <c r="CJ36" s="278">
        <f>CJ37-CJ35-CJ34</f>
        <v>7.3244082266201022E-3</v>
      </c>
      <c r="CK36" s="250">
        <f>CK37-CK35-CK34</f>
        <v>-3.2649683101489857E-2</v>
      </c>
      <c r="CL36" s="250">
        <f>Divisional!U33</f>
        <v>-1.915383682870651E-2</v>
      </c>
      <c r="CM36" s="268">
        <f>184/CE11</f>
        <v>5.5056852184320763E-2</v>
      </c>
      <c r="CN36" s="269">
        <v>9.9000000000000005E-2</v>
      </c>
      <c r="CO36" s="272">
        <v>0.11899999999999999</v>
      </c>
      <c r="CP36" s="270">
        <f>+CP129</f>
        <v>8.2789151855842791E-2</v>
      </c>
      <c r="CQ36" s="269">
        <f>533/CI11</f>
        <v>7.7515997673065731E-2</v>
      </c>
      <c r="CR36" s="278">
        <f>CR37-CR35-CR34</f>
        <v>9.9267948144773022E-2</v>
      </c>
      <c r="CS36" s="250">
        <f>CS37-CS35-CS34</f>
        <v>9.2126377040258334E-2</v>
      </c>
      <c r="CT36" s="250">
        <f>Divisional!V33</f>
        <v>9.1187323851346952E-2</v>
      </c>
      <c r="CU36" s="271">
        <f>175/CM11</f>
        <v>4.2986981085728321E-2</v>
      </c>
      <c r="CV36" s="269">
        <v>-8.9999999999999993E-3</v>
      </c>
      <c r="CW36" s="272">
        <f>-241/CO11</f>
        <v>-4.9700969272014846E-2</v>
      </c>
      <c r="CX36" s="248">
        <f t="shared" ref="CX36:DA36" si="61">CX37-CX35-CX34</f>
        <v>-3.7528794880910155E-2</v>
      </c>
      <c r="CY36" s="269">
        <v>1.7000000000000001E-2</v>
      </c>
      <c r="CZ36" s="272">
        <f t="shared" si="61"/>
        <v>-4.2366205250596589E-2</v>
      </c>
      <c r="DA36" s="275">
        <f t="shared" si="61"/>
        <v>-8.5107137772548747E-3</v>
      </c>
      <c r="DB36" s="275">
        <f>Divisional!W33</f>
        <v>-1.614951405306006E-2</v>
      </c>
      <c r="DC36" s="271">
        <f t="shared" ref="DC36:DI36" si="62">DC37-DC35-DC34</f>
        <v>-9.4210342600406227E-3</v>
      </c>
      <c r="DD36" s="272">
        <f t="shared" si="62"/>
        <v>1.0004226096143848E-2</v>
      </c>
      <c r="DE36" s="272">
        <f t="shared" ref="DE36:DF36" si="63">DE37-DE35-DE34</f>
        <v>-8.2338075348353523E-3</v>
      </c>
      <c r="DF36" s="248">
        <f t="shared" si="63"/>
        <v>7.8113236895318849E-3</v>
      </c>
      <c r="DG36" s="272">
        <f t="shared" ref="DG36" si="64">DG37-DG35-DG34</f>
        <v>6.3791685701236611E-4</v>
      </c>
      <c r="DH36" s="272">
        <f t="shared" si="62"/>
        <v>1.0690386812456376E-4</v>
      </c>
      <c r="DI36" s="275">
        <f t="shared" si="62"/>
        <v>-2.3375670840787566E-3</v>
      </c>
      <c r="DJ36" s="275">
        <f>Divisional!X33</f>
        <v>1E-3</v>
      </c>
      <c r="DK36" s="271">
        <f t="shared" ref="DK36:DN36" si="65">DK37-DK35-DK34</f>
        <v>2.2628938906752327E-2</v>
      </c>
      <c r="DL36" s="272">
        <f t="shared" si="65"/>
        <v>-7.315248278892636E-2</v>
      </c>
      <c r="DM36" s="272">
        <f t="shared" si="65"/>
        <v>-4.701392443549568E-2</v>
      </c>
      <c r="DN36" s="248">
        <f t="shared" si="65"/>
        <v>-5.8296815620495129E-2</v>
      </c>
      <c r="DO36" s="272">
        <f t="shared" ref="DO36:DQ36" si="66">DO37-DO35-DO34</f>
        <v>-9.1696941825708117E-3</v>
      </c>
      <c r="DP36" s="272">
        <f t="shared" si="66"/>
        <v>-5.1961597757533534E-2</v>
      </c>
      <c r="DQ36" s="275">
        <f t="shared" si="66"/>
        <v>-2.216737783196171E-2</v>
      </c>
      <c r="DR36" s="275">
        <f>Divisional!Y33</f>
        <v>-3.2000000000000001E-2</v>
      </c>
      <c r="DS36" s="271">
        <f t="shared" ref="DS36:DY36" si="67">DS37-DS35-DS34</f>
        <v>-8.4422764227642277E-2</v>
      </c>
      <c r="DT36" s="272">
        <f t="shared" si="67"/>
        <v>-1.3682641107561178E-2</v>
      </c>
      <c r="DU36" s="274">
        <f t="shared" si="67"/>
        <v>1.1558218639352982E-2</v>
      </c>
      <c r="DV36" s="273">
        <f t="shared" si="67"/>
        <v>1.6227637421323243E-2</v>
      </c>
      <c r="DW36" s="272">
        <f t="shared" si="67"/>
        <v>-5.0104611009547023E-2</v>
      </c>
      <c r="DX36" s="274">
        <f t="shared" si="67"/>
        <v>1.4013611076152566E-2</v>
      </c>
      <c r="DY36" s="276">
        <f t="shared" si="67"/>
        <v>-2.6576626464073244E-2</v>
      </c>
      <c r="DZ36" s="276">
        <f>Divisional!Z33</f>
        <v>-1.5309435122851323E-2</v>
      </c>
      <c r="EA36" s="274">
        <f t="shared" ref="EA36:EG36" si="68">EA37-EA35-EA34</f>
        <v>-3.771067250429451E-3</v>
      </c>
      <c r="EB36" s="274">
        <f t="shared" si="68"/>
        <v>-9.5796465657283641E-3</v>
      </c>
      <c r="EC36" s="274">
        <f t="shared" si="68"/>
        <v>-3.5439647551360753E-3</v>
      </c>
      <c r="ED36" s="273">
        <f t="shared" si="68"/>
        <v>-1.0582343603842553E-2</v>
      </c>
      <c r="EE36" s="274">
        <f t="shared" si="68"/>
        <v>-6.728745193288671E-3</v>
      </c>
      <c r="EF36" s="274">
        <f t="shared" si="68"/>
        <v>-7.39419371174177E-3</v>
      </c>
      <c r="EG36" s="276">
        <f t="shared" si="68"/>
        <v>-5.6647316940008491E-3</v>
      </c>
      <c r="EH36" s="276">
        <f>Divisional!AA33</f>
        <v>-7.3817762399076559E-3</v>
      </c>
      <c r="EI36" s="274">
        <f t="shared" ref="EI36:EO36" si="69">EI37-EI35-EI34</f>
        <v>-1.7890036126782249E-3</v>
      </c>
      <c r="EJ36" s="274">
        <f t="shared" si="69"/>
        <v>-4.9680425380282528E-3</v>
      </c>
      <c r="EK36" s="274">
        <f t="shared" si="69"/>
        <v>-1.7444812215915706E-3</v>
      </c>
      <c r="EL36" s="273">
        <f t="shared" si="69"/>
        <v>-4.9269279471891719E-3</v>
      </c>
      <c r="EM36" s="274">
        <f t="shared" si="69"/>
        <v>-3.4505642018069077E-3</v>
      </c>
      <c r="EN36" s="274">
        <f t="shared" si="69"/>
        <v>-3.4910418070261684E-3</v>
      </c>
      <c r="EO36" s="276">
        <f t="shared" si="69"/>
        <v>-2.8629878236146045E-3</v>
      </c>
      <c r="EP36" s="276">
        <f>Divisional!AB33</f>
        <v>-3.6253776435045681E-3</v>
      </c>
      <c r="EQ36" s="274">
        <f t="shared" ref="EQ36:EW36" si="70">EQ37-EQ35-EQ34</f>
        <v>-5.9186277256056685E-3</v>
      </c>
      <c r="ER36" s="274">
        <f t="shared" si="70"/>
        <v>-1.6286020973012016E-2</v>
      </c>
      <c r="ES36" s="274">
        <f t="shared" si="70"/>
        <v>-5.775109477646298E-3</v>
      </c>
      <c r="ET36" s="273">
        <f t="shared" si="70"/>
        <v>-1.6246258424162899E-2</v>
      </c>
      <c r="EU36" s="274">
        <f t="shared" si="70"/>
        <v>-1.1335666524293797E-2</v>
      </c>
      <c r="EV36" s="274">
        <f t="shared" si="70"/>
        <v>-1.1501733556548155E-2</v>
      </c>
      <c r="EW36" s="276">
        <f t="shared" si="70"/>
        <v>-9.4206970786290117E-3</v>
      </c>
      <c r="EX36" s="276">
        <f>Divisional!AC33</f>
        <v>-1.2115981998770398E-2</v>
      </c>
      <c r="EY36" s="274">
        <f t="shared" ref="EY36:FE36" si="71">EY37-EY35-EY34</f>
        <v>-2.2467601405672687E-2</v>
      </c>
      <c r="EZ36" s="274">
        <f t="shared" si="71"/>
        <v>-6.0342831666416061E-2</v>
      </c>
      <c r="FA36" s="274">
        <f t="shared" si="71"/>
        <v>-2.1957856802396675E-2</v>
      </c>
      <c r="FB36" s="273">
        <f t="shared" si="71"/>
        <v>-6.0280017084377885E-2</v>
      </c>
      <c r="FC36" s="274">
        <f t="shared" si="71"/>
        <v>-4.224379323159301E-2</v>
      </c>
      <c r="FD36" s="274">
        <f t="shared" si="71"/>
        <v>-4.2902282362171737E-2</v>
      </c>
      <c r="FE36" s="276">
        <f t="shared" si="71"/>
        <v>-3.5260243940160238E-2</v>
      </c>
      <c r="FF36" s="276">
        <f>Divisional!AD33</f>
        <v>-4.5725870634805044E-2</v>
      </c>
    </row>
    <row r="37" spans="1:163" ht="11.25" customHeight="1" x14ac:dyDescent="0.2">
      <c r="A37" s="202" t="s">
        <v>95</v>
      </c>
      <c r="B37" s="197"/>
      <c r="C37" s="259"/>
      <c r="D37" s="260"/>
      <c r="E37" s="260"/>
      <c r="F37" s="262"/>
      <c r="G37" s="260"/>
      <c r="H37" s="260"/>
      <c r="I37" s="263"/>
      <c r="J37" s="263"/>
      <c r="K37" s="259"/>
      <c r="L37" s="260"/>
      <c r="M37" s="260"/>
      <c r="N37" s="262"/>
      <c r="O37" s="260"/>
      <c r="P37" s="260"/>
      <c r="Q37" s="263"/>
      <c r="R37" s="263">
        <f>R24</f>
        <v>6.906635104086889E-2</v>
      </c>
      <c r="S37" s="259"/>
      <c r="T37" s="260"/>
      <c r="U37" s="260"/>
      <c r="V37" s="262"/>
      <c r="W37" s="260"/>
      <c r="X37" s="260"/>
      <c r="Y37" s="263"/>
      <c r="Z37" s="263">
        <f>Z24</f>
        <v>0.13409312927385209</v>
      </c>
      <c r="AA37" s="259"/>
      <c r="AB37" s="260"/>
      <c r="AC37" s="260"/>
      <c r="AD37" s="262"/>
      <c r="AE37" s="260"/>
      <c r="AF37" s="260"/>
      <c r="AG37" s="263"/>
      <c r="AH37" s="263">
        <f>AH24</f>
        <v>1.5769824922760023E-2</v>
      </c>
      <c r="AI37" s="259"/>
      <c r="AJ37" s="260"/>
      <c r="AK37" s="260"/>
      <c r="AL37" s="262"/>
      <c r="AM37" s="260"/>
      <c r="AN37" s="260"/>
      <c r="AO37" s="263"/>
      <c r="AP37" s="263">
        <f>AP24</f>
        <v>4.6891831949813056E-2</v>
      </c>
      <c r="AQ37" s="259"/>
      <c r="AR37" s="260"/>
      <c r="AS37" s="260"/>
      <c r="AT37" s="262"/>
      <c r="AU37" s="260"/>
      <c r="AV37" s="260"/>
      <c r="AW37" s="263"/>
      <c r="AX37" s="263"/>
      <c r="AY37" s="259">
        <f t="shared" ref="AY37:BF37" si="72">AY24</f>
        <v>0.12048832271762211</v>
      </c>
      <c r="AZ37" s="260">
        <f t="shared" si="72"/>
        <v>0.35417734495130704</v>
      </c>
      <c r="BA37" s="260">
        <f t="shared" si="72"/>
        <v>0.45365588475129104</v>
      </c>
      <c r="BB37" s="262">
        <f t="shared" si="72"/>
        <v>0.34578627280625551</v>
      </c>
      <c r="BC37" s="260">
        <f t="shared" si="72"/>
        <v>0.2393741851368969</v>
      </c>
      <c r="BD37" s="260">
        <f t="shared" si="72"/>
        <v>0.39369793553060495</v>
      </c>
      <c r="BE37" s="263">
        <f t="shared" si="72"/>
        <v>0.3088377830645872</v>
      </c>
      <c r="BF37" s="263">
        <f t="shared" si="72"/>
        <v>0.31950103428822163</v>
      </c>
      <c r="BG37" s="259"/>
      <c r="BH37" s="260"/>
      <c r="BI37" s="260"/>
      <c r="BJ37" s="262"/>
      <c r="BK37" s="260"/>
      <c r="BL37" s="260"/>
      <c r="BM37" s="263"/>
      <c r="BN37" s="263"/>
      <c r="BO37" s="259">
        <f t="shared" ref="BO37:CD37" si="73">BO24</f>
        <v>0.36925627664613936</v>
      </c>
      <c r="BP37" s="260">
        <f t="shared" si="73"/>
        <v>0.19625283875851629</v>
      </c>
      <c r="BQ37" s="260">
        <f t="shared" si="73"/>
        <v>0.13967838444278224</v>
      </c>
      <c r="BR37" s="262">
        <f t="shared" si="73"/>
        <v>3.9864428663654028E-2</v>
      </c>
      <c r="BS37" s="260">
        <f t="shared" si="73"/>
        <v>0.27309067957079747</v>
      </c>
      <c r="BT37" s="260">
        <f t="shared" si="73"/>
        <v>8.6105336105336105E-2</v>
      </c>
      <c r="BU37" s="263">
        <f t="shared" si="73"/>
        <v>0.22505722364346314</v>
      </c>
      <c r="BV37" s="263">
        <f t="shared" si="73"/>
        <v>0.17054631828978617</v>
      </c>
      <c r="BW37" s="259">
        <f t="shared" si="73"/>
        <v>-6.8846220377097422E-2</v>
      </c>
      <c r="BX37" s="260">
        <f t="shared" si="73"/>
        <v>-0.46464167062173711</v>
      </c>
      <c r="BY37" s="260">
        <f t="shared" si="73"/>
        <v>-0.44511894995898282</v>
      </c>
      <c r="BZ37" s="262">
        <f t="shared" si="73"/>
        <v>-0.32500388018004034</v>
      </c>
      <c r="CA37" s="260">
        <f t="shared" si="73"/>
        <v>-0.2755742852421087</v>
      </c>
      <c r="CB37" s="260">
        <f t="shared" si="73"/>
        <v>-0.38339448077843352</v>
      </c>
      <c r="CC37" s="263">
        <f t="shared" si="73"/>
        <v>-0.33236247733142821</v>
      </c>
      <c r="CD37" s="263">
        <f t="shared" si="73"/>
        <v>-0.33043831168831173</v>
      </c>
      <c r="CE37" s="259">
        <f>CE36+CE35+CE34</f>
        <v>-0.37915660412409441</v>
      </c>
      <c r="CF37" s="260">
        <f t="shared" ref="CF37:CK37" si="74">CF24</f>
        <v>4.4326241134751809E-2</v>
      </c>
      <c r="CG37" s="260">
        <f t="shared" si="74"/>
        <v>0.10408042578355992</v>
      </c>
      <c r="CH37" s="262">
        <f t="shared" si="74"/>
        <v>6.8521499195217217E-2</v>
      </c>
      <c r="CI37" s="260">
        <f>CI36+CI35+CI34</f>
        <v>-0.21569522071404129</v>
      </c>
      <c r="CJ37" s="260">
        <f t="shared" si="74"/>
        <v>8.4077092226102712E-2</v>
      </c>
      <c r="CK37" s="263">
        <f t="shared" si="74"/>
        <v>-0.12667709276483663</v>
      </c>
      <c r="CL37" s="263">
        <f>CL24</f>
        <v>-7.5221238938053103E-2</v>
      </c>
      <c r="CM37" s="259">
        <f>+CM11/CE11-1</f>
        <v>0.21813285457809695</v>
      </c>
      <c r="CN37" s="260">
        <f>CN36+CN35+CN34</f>
        <v>0.27021165817770232</v>
      </c>
      <c r="CO37" s="260">
        <f>+CO11/CG11-1</f>
        <v>0.2986073915372256</v>
      </c>
      <c r="CP37" s="262">
        <f>CP24</f>
        <v>0.21067355282978273</v>
      </c>
      <c r="CQ37" s="260">
        <f>CQ36+CQ35+CQ34</f>
        <v>0.24490983129726585</v>
      </c>
      <c r="CR37" s="260">
        <f>CR24</f>
        <v>0.24985085312015265</v>
      </c>
      <c r="CS37" s="263">
        <f>CS24</f>
        <v>0.26380772855796408</v>
      </c>
      <c r="CT37" s="263">
        <f>CT24</f>
        <v>0.24762404142360883</v>
      </c>
      <c r="CU37" s="259">
        <f>+CU11/CM11-1</f>
        <v>0.29353967084254484</v>
      </c>
      <c r="CV37" s="260">
        <f>CV36+CV35+CV34</f>
        <v>0.26505016722408026</v>
      </c>
      <c r="CW37" s="260">
        <f>+CW11/CO11-1</f>
        <v>0.2012786141472469</v>
      </c>
      <c r="CX37" s="262">
        <f t="shared" ref="CX37:DI37" si="75">CX24</f>
        <v>0.14273018130110193</v>
      </c>
      <c r="CY37" s="260">
        <f>CY36+CY35+CY34</f>
        <v>0.27900000000000003</v>
      </c>
      <c r="CZ37" s="260">
        <f t="shared" si="75"/>
        <v>0.16983293556085921</v>
      </c>
      <c r="DA37" s="263">
        <f t="shared" si="75"/>
        <v>0.25065254679692739</v>
      </c>
      <c r="DB37" s="263">
        <f t="shared" si="75"/>
        <v>0.21875492513790395</v>
      </c>
      <c r="DC37" s="259">
        <f t="shared" si="75"/>
        <v>0.18116217242688948</v>
      </c>
      <c r="DD37" s="260">
        <f t="shared" si="75"/>
        <v>0.20214826553970777</v>
      </c>
      <c r="DE37" s="260">
        <f t="shared" ref="DE37" si="76">DE24</f>
        <v>0.13974248927038624</v>
      </c>
      <c r="DF37" s="262">
        <f t="shared" si="75"/>
        <v>0.18696531342354961</v>
      </c>
      <c r="DG37" s="260">
        <f t="shared" ref="DG37" si="77">DG24</f>
        <v>0.19205116491548657</v>
      </c>
      <c r="DH37" s="260">
        <f t="shared" si="75"/>
        <v>0.16451770850334579</v>
      </c>
      <c r="DI37" s="263">
        <f t="shared" si="75"/>
        <v>0.17388193202146685</v>
      </c>
      <c r="DJ37" s="263">
        <f>DJ24</f>
        <v>0.17750765119186163</v>
      </c>
      <c r="DK37" s="259">
        <f t="shared" ref="DK37:DN37" si="78">DK24</f>
        <v>0.16672025723472661</v>
      </c>
      <c r="DL37" s="260">
        <f t="shared" si="78"/>
        <v>0.10033689761242126</v>
      </c>
      <c r="DM37" s="260">
        <f t="shared" si="78"/>
        <v>0.18270823919264956</v>
      </c>
      <c r="DN37" s="262">
        <f t="shared" si="78"/>
        <v>0.14113484471235771</v>
      </c>
      <c r="DO37" s="260">
        <f t="shared" ref="DO37:DQ37" si="79">DO24</f>
        <v>0.13198436422166004</v>
      </c>
      <c r="DP37" s="260">
        <f t="shared" si="79"/>
        <v>0.16047652417659419</v>
      </c>
      <c r="DQ37" s="263">
        <f t="shared" si="79"/>
        <v>0.1490907243726507</v>
      </c>
      <c r="DR37" s="263">
        <f>DR24</f>
        <v>0.14686825053995678</v>
      </c>
      <c r="DS37" s="259">
        <f t="shared" ref="DS37:FF37" si="80">DS24</f>
        <v>0.18836984980019289</v>
      </c>
      <c r="DT37" s="260">
        <f t="shared" si="80"/>
        <v>0.19102768903088396</v>
      </c>
      <c r="DU37" s="265">
        <f t="shared" si="80"/>
        <v>0.12155257116726936</v>
      </c>
      <c r="DV37" s="264">
        <f t="shared" si="80"/>
        <v>0.2213196091648717</v>
      </c>
      <c r="DW37" s="260">
        <f t="shared" si="80"/>
        <v>0.18972171440178753</v>
      </c>
      <c r="DX37" s="265">
        <f t="shared" si="80"/>
        <v>0.17401461023025999</v>
      </c>
      <c r="DY37" s="267">
        <f t="shared" si="80"/>
        <v>0.1662107959876904</v>
      </c>
      <c r="DZ37" s="267">
        <f t="shared" si="80"/>
        <v>0.18152847434151287</v>
      </c>
      <c r="EA37" s="265">
        <f t="shared" si="80"/>
        <v>3.6291773853982523E-2</v>
      </c>
      <c r="EB37" s="265">
        <f t="shared" si="80"/>
        <v>9.372224193864942E-2</v>
      </c>
      <c r="EC37" s="265">
        <f t="shared" si="80"/>
        <v>0.1168375164902784</v>
      </c>
      <c r="ED37" s="264">
        <f t="shared" si="80"/>
        <v>0.12487903264376832</v>
      </c>
      <c r="EE37" s="265">
        <f t="shared" si="80"/>
        <v>6.5534867471506608E-2</v>
      </c>
      <c r="EF37" s="265">
        <f t="shared" si="80"/>
        <v>0.12123649514924506</v>
      </c>
      <c r="EG37" s="267">
        <f t="shared" si="80"/>
        <v>8.2522385260341835E-2</v>
      </c>
      <c r="EH37" s="267">
        <f t="shared" si="80"/>
        <v>9.4692049683589907E-2</v>
      </c>
      <c r="EI37" s="265">
        <f t="shared" si="80"/>
        <v>9.7589979185568776E-2</v>
      </c>
      <c r="EJ37" s="265">
        <f t="shared" si="80"/>
        <v>9.6912791244438745E-2</v>
      </c>
      <c r="EK37" s="265">
        <f t="shared" si="80"/>
        <v>9.7156545029613683E-2</v>
      </c>
      <c r="EL37" s="264">
        <f t="shared" si="80"/>
        <v>8.8706696627386838E-2</v>
      </c>
      <c r="EM37" s="265">
        <f t="shared" si="80"/>
        <v>9.7236039261951568E-2</v>
      </c>
      <c r="EN37" s="265">
        <f t="shared" si="80"/>
        <v>9.2519178423121629E-2</v>
      </c>
      <c r="EO37" s="267">
        <f t="shared" si="80"/>
        <v>9.7208661383111128E-2</v>
      </c>
      <c r="EP37" s="267">
        <f t="shared" si="80"/>
        <v>9.4698566240022375E-2</v>
      </c>
      <c r="EQ37" s="265">
        <f t="shared" si="80"/>
        <v>7.1915333473852927E-2</v>
      </c>
      <c r="ER37" s="265">
        <f t="shared" si="80"/>
        <v>7.0340593800652718E-2</v>
      </c>
      <c r="ES37" s="265">
        <f t="shared" si="80"/>
        <v>7.0481820027584519E-2</v>
      </c>
      <c r="ET37" s="264">
        <f t="shared" si="80"/>
        <v>6.8928455907171449E-2</v>
      </c>
      <c r="EU37" s="265">
        <f t="shared" si="80"/>
        <v>7.1092520476989662E-2</v>
      </c>
      <c r="EV37" s="265">
        <f t="shared" si="80"/>
        <v>6.9632292203971602E-2</v>
      </c>
      <c r="EW37" s="267">
        <f t="shared" si="80"/>
        <v>7.088220473141682E-2</v>
      </c>
      <c r="EX37" s="267">
        <f t="shared" si="80"/>
        <v>7.0308542896473813E-2</v>
      </c>
      <c r="EY37" s="265">
        <f t="shared" si="80"/>
        <v>2.9394010371774693E-2</v>
      </c>
      <c r="EZ37" s="265">
        <f t="shared" si="80"/>
        <v>2.9905026697657044E-2</v>
      </c>
      <c r="FA37" s="265">
        <f t="shared" si="80"/>
        <v>2.9923348808155836E-2</v>
      </c>
      <c r="FB37" s="264">
        <f t="shared" si="80"/>
        <v>2.7286955357240572E-2</v>
      </c>
      <c r="FC37" s="265">
        <f t="shared" si="80"/>
        <v>2.9660832693837458E-2</v>
      </c>
      <c r="FD37" s="265">
        <f t="shared" si="80"/>
        <v>2.8482465883689301E-2</v>
      </c>
      <c r="FE37" s="267">
        <f t="shared" si="80"/>
        <v>2.9751205363126587E-2</v>
      </c>
      <c r="FF37" s="267">
        <f t="shared" si="80"/>
        <v>2.9028582594998742E-2</v>
      </c>
    </row>
    <row r="38" spans="1:163" ht="11.25" customHeight="1" x14ac:dyDescent="0.2">
      <c r="C38" s="38"/>
      <c r="F38" s="179"/>
      <c r="I38" s="180"/>
      <c r="J38" s="180"/>
      <c r="K38" s="38"/>
      <c r="N38" s="179"/>
      <c r="Q38" s="180"/>
      <c r="R38" s="180"/>
      <c r="S38" s="38"/>
      <c r="V38" s="179"/>
      <c r="Y38" s="180"/>
      <c r="Z38" s="180"/>
      <c r="AA38" s="38"/>
      <c r="AD38" s="179"/>
      <c r="AG38" s="180"/>
      <c r="AH38" s="180"/>
      <c r="AI38" s="38"/>
      <c r="AL38" s="179"/>
      <c r="AO38" s="180"/>
      <c r="AP38" s="180"/>
      <c r="AQ38" s="38"/>
      <c r="AT38" s="179"/>
      <c r="AW38" s="180"/>
      <c r="AX38" s="180"/>
      <c r="AY38" s="38"/>
      <c r="BB38" s="179"/>
      <c r="BE38" s="180"/>
      <c r="BF38" s="180"/>
      <c r="BG38" s="38"/>
      <c r="BJ38" s="179"/>
      <c r="BM38" s="180"/>
      <c r="BN38" s="180"/>
      <c r="BO38" s="38"/>
      <c r="BR38" s="179"/>
      <c r="BU38" s="180"/>
      <c r="BV38" s="180"/>
      <c r="BW38" s="38"/>
      <c r="BZ38" s="179"/>
      <c r="CC38" s="180"/>
      <c r="CD38" s="180"/>
      <c r="CE38" s="38"/>
      <c r="CH38" s="179"/>
      <c r="CK38" s="180"/>
      <c r="CL38" s="180"/>
      <c r="CM38" s="38"/>
      <c r="CP38" s="179"/>
      <c r="CS38" s="180"/>
      <c r="CT38" s="180"/>
      <c r="CX38" s="179"/>
      <c r="DA38" s="180"/>
      <c r="DB38" s="180"/>
      <c r="DF38" s="179"/>
      <c r="DI38" s="180"/>
      <c r="DJ38" s="180"/>
      <c r="DN38" s="179"/>
      <c r="DQ38" s="180"/>
      <c r="DR38" s="180"/>
      <c r="DV38" s="179"/>
      <c r="DY38" s="180"/>
      <c r="DZ38" s="180"/>
      <c r="ED38" s="179"/>
      <c r="EG38" s="180"/>
      <c r="EH38" s="180"/>
      <c r="EL38" s="179"/>
      <c r="EO38" s="180"/>
      <c r="EP38" s="180"/>
      <c r="ET38" s="179"/>
      <c r="EW38" s="180"/>
      <c r="EX38" s="180"/>
      <c r="FB38" s="179"/>
      <c r="FE38" s="180"/>
      <c r="FF38" s="180"/>
    </row>
    <row r="39" spans="1:163" ht="11.25" customHeight="1" x14ac:dyDescent="0.25">
      <c r="A39" s="4" t="s">
        <v>276</v>
      </c>
      <c r="C39" s="198"/>
      <c r="D39" s="279"/>
      <c r="E39" s="199"/>
      <c r="F39" s="200"/>
      <c r="G39" s="199">
        <v>-6087</v>
      </c>
      <c r="H39" s="199">
        <f>J39-G39</f>
        <v>-6548</v>
      </c>
      <c r="I39" s="201"/>
      <c r="J39" s="201">
        <v>-12635</v>
      </c>
      <c r="K39" s="198"/>
      <c r="L39" s="279"/>
      <c r="M39" s="199"/>
      <c r="N39" s="200"/>
      <c r="O39" s="199">
        <f>-6245-25</f>
        <v>-6270</v>
      </c>
      <c r="P39" s="199">
        <f>R39-O39</f>
        <v>-7041</v>
      </c>
      <c r="Q39" s="201"/>
      <c r="R39" s="201">
        <v>-13311</v>
      </c>
      <c r="S39" s="198"/>
      <c r="T39" s="279"/>
      <c r="U39" s="199"/>
      <c r="V39" s="200"/>
      <c r="W39" s="199">
        <v>-7248</v>
      </c>
      <c r="X39" s="199">
        <f>Z39-W39</f>
        <v>-7780</v>
      </c>
      <c r="Y39" s="201"/>
      <c r="Z39" s="201">
        <f>IS!M10+IS!M12+IS!M16+IS!M17+IS!M18</f>
        <v>-15028</v>
      </c>
      <c r="AA39" s="198"/>
      <c r="AB39" s="279"/>
      <c r="AC39" s="199"/>
      <c r="AD39" s="200"/>
      <c r="AE39" s="199">
        <v>-7646</v>
      </c>
      <c r="AF39" s="199">
        <f t="shared" ref="AF39:AF44" si="81">+AH39-AE39</f>
        <v>-5830</v>
      </c>
      <c r="AG39" s="201"/>
      <c r="AH39" s="201">
        <f>IS!N10+IS!N12+IS!N16+IS!N17+IS!N18</f>
        <v>-13476</v>
      </c>
      <c r="AI39" s="198"/>
      <c r="AJ39" s="279"/>
      <c r="AK39" s="199"/>
      <c r="AL39" s="200"/>
      <c r="AM39" s="199">
        <v>-6912</v>
      </c>
      <c r="AN39" s="199">
        <f>+AP39-AM39</f>
        <v>-7316</v>
      </c>
      <c r="AO39" s="201"/>
      <c r="AP39" s="201">
        <f>IS!O10+IS!O12+IS!O16+IS!O17+IS!O18</f>
        <v>-14228</v>
      </c>
      <c r="AQ39" s="198"/>
      <c r="AR39" s="279"/>
      <c r="AS39" s="199"/>
      <c r="AT39" s="200"/>
      <c r="AU39" s="199"/>
      <c r="AV39" s="199"/>
      <c r="AW39" s="201"/>
      <c r="AX39" s="201"/>
      <c r="AY39" s="198"/>
      <c r="AZ39" s="279"/>
      <c r="BA39" s="199"/>
      <c r="BB39" s="200"/>
      <c r="BC39" s="199">
        <v>-8202</v>
      </c>
      <c r="BD39" s="199">
        <f>+BF39-BC39</f>
        <v>-10052</v>
      </c>
      <c r="BE39" s="201"/>
      <c r="BF39" s="201">
        <f>IS!P10+IS!P12+IS!P16+IS!P17+IS!P18</f>
        <v>-18254</v>
      </c>
      <c r="BG39" s="198"/>
      <c r="BH39" s="279"/>
      <c r="BI39" s="199"/>
      <c r="BJ39" s="200"/>
      <c r="BK39" s="199">
        <f t="shared" ref="BK39:BL50" si="82">BC39</f>
        <v>-8202</v>
      </c>
      <c r="BL39" s="199">
        <f t="shared" si="82"/>
        <v>-10052</v>
      </c>
      <c r="BM39" s="201"/>
      <c r="BN39" s="201">
        <f t="shared" ref="BN39:BN50" si="83">BF39</f>
        <v>-18254</v>
      </c>
      <c r="BO39" s="198"/>
      <c r="BP39" s="279"/>
      <c r="BQ39" s="199"/>
      <c r="BR39" s="200"/>
      <c r="BS39" s="199">
        <v>-10303</v>
      </c>
      <c r="BT39" s="199">
        <f>BV39-BS39</f>
        <v>-10722</v>
      </c>
      <c r="BU39" s="201"/>
      <c r="BV39" s="201">
        <f>IS!Q10+IS!Q12+IS!Q16+IS!Q17+IS!Q18</f>
        <v>-21025</v>
      </c>
      <c r="BW39" s="198"/>
      <c r="BX39" s="279"/>
      <c r="BY39" s="199"/>
      <c r="BZ39" s="200"/>
      <c r="CA39" s="199">
        <v>-7868</v>
      </c>
      <c r="CB39" s="199">
        <f>CD39-CA39</f>
        <v>-7028</v>
      </c>
      <c r="CC39" s="201"/>
      <c r="CD39" s="201">
        <f>IS!R10+IS!R12+IS!R16+IS!R17+IS!R18</f>
        <v>-14896</v>
      </c>
      <c r="CE39" s="198"/>
      <c r="CF39" s="279"/>
      <c r="CG39" s="199"/>
      <c r="CH39" s="200"/>
      <c r="CI39" s="199">
        <v>-6268</v>
      </c>
      <c r="CJ39" s="199">
        <f>CL39-CI39</f>
        <v>-7253</v>
      </c>
      <c r="CK39" s="201"/>
      <c r="CL39" s="201">
        <f>IS!S10+IS!S12+IS!S16+IS!S17+IS!S18</f>
        <v>-13521</v>
      </c>
      <c r="CM39" s="198"/>
      <c r="CN39" s="279"/>
      <c r="CO39" s="199"/>
      <c r="CP39" s="200"/>
      <c r="CQ39" s="199">
        <v>-7541</v>
      </c>
      <c r="CR39" s="199">
        <f>CT39-CQ39</f>
        <v>-9183</v>
      </c>
      <c r="CS39" s="201"/>
      <c r="CT39" s="201">
        <f>IS!T10+IS!T12+IS!T16+IS!T17+IS!T18</f>
        <v>-16724</v>
      </c>
      <c r="CU39" s="199"/>
      <c r="CV39" s="199"/>
      <c r="CW39" s="199"/>
      <c r="CX39" s="200"/>
      <c r="CY39" s="199">
        <v>-9609</v>
      </c>
      <c r="CZ39" s="199">
        <f t="shared" ref="CZ39:CZ44" si="84">DB39-CY39</f>
        <v>-10546</v>
      </c>
      <c r="DA39" s="201"/>
      <c r="DB39" s="180">
        <f>IS!U10+IS!U12+IS!U16+IS!U17+IS!U18</f>
        <v>-20155</v>
      </c>
      <c r="DC39" s="199"/>
      <c r="DD39" s="199"/>
      <c r="DE39" s="199"/>
      <c r="DF39" s="200"/>
      <c r="DG39" s="199">
        <v>-11135</v>
      </c>
      <c r="DH39" s="199">
        <f t="shared" ref="DH39:DH44" si="85">DJ39-DG39</f>
        <v>-12222</v>
      </c>
      <c r="DI39" s="201"/>
      <c r="DJ39" s="180">
        <f>IS!V10+IS!V12+IS!V16+IS!V17+IS!V18</f>
        <v>-23357</v>
      </c>
      <c r="DK39" s="199"/>
      <c r="DL39" s="199"/>
      <c r="DM39" s="199"/>
      <c r="DN39" s="200"/>
      <c r="DO39" s="199">
        <v>-12335</v>
      </c>
      <c r="DP39" s="199">
        <f t="shared" ref="DP39:DP44" si="86">DR39-DO39</f>
        <v>-14019</v>
      </c>
      <c r="DQ39" s="201"/>
      <c r="DR39" s="180">
        <f>IS!W10+IS!W12+IS!W16+IS!W17+IS!W18</f>
        <v>-26354</v>
      </c>
      <c r="DS39" s="199"/>
      <c r="DT39" s="199"/>
      <c r="DU39" s="199"/>
      <c r="DV39" s="200"/>
      <c r="DW39" s="199">
        <v>-14454</v>
      </c>
      <c r="DX39" s="280">
        <f>DZ39-DW39</f>
        <v>-16011.228393543406</v>
      </c>
      <c r="DY39" s="201"/>
      <c r="DZ39" s="182">
        <f>IS!X10+IS!X12+IS!X16+IS!X17+IS!X18</f>
        <v>-30465.228393543406</v>
      </c>
      <c r="EA39" s="199"/>
      <c r="EB39" s="199"/>
      <c r="EC39" s="199"/>
      <c r="ED39" s="200"/>
      <c r="EE39" s="280">
        <f>EH39/2</f>
        <v>-16527.562085054316</v>
      </c>
      <c r="EF39" s="280">
        <f>EH39-EE39</f>
        <v>-16527.562085054316</v>
      </c>
      <c r="EG39" s="201"/>
      <c r="EH39" s="182">
        <f>IS!Y10+IS!Y12+IS!Y16+IS!Y17+IS!Y18</f>
        <v>-33055.124170108633</v>
      </c>
      <c r="EI39" s="199"/>
      <c r="EJ39" s="199"/>
      <c r="EK39" s="199"/>
      <c r="EL39" s="200"/>
      <c r="EM39" s="280">
        <f>EP39/2</f>
        <v>-18082.957171357564</v>
      </c>
      <c r="EN39" s="280">
        <f>EP39-EM39</f>
        <v>-18082.957171357564</v>
      </c>
      <c r="EO39" s="201"/>
      <c r="EP39" s="182">
        <f>IS!Z10+IS!Z12+IS!Z16+IS!Z17+IS!Z18</f>
        <v>-36165.914342715128</v>
      </c>
      <c r="EQ39" s="199"/>
      <c r="ER39" s="199"/>
      <c r="ES39" s="199"/>
      <c r="ET39" s="200"/>
      <c r="EU39" s="280">
        <f>EX39/2</f>
        <v>-19360.37143214055</v>
      </c>
      <c r="EV39" s="280">
        <f>EX39-EU39</f>
        <v>-19360.37143214055</v>
      </c>
      <c r="EW39" s="201"/>
      <c r="EX39" s="182">
        <f>IS!AA10+IS!AA12+IS!AA16+IS!AA17+IS!AA18</f>
        <v>-38720.742864281099</v>
      </c>
      <c r="EY39" s="199"/>
      <c r="EZ39" s="199"/>
      <c r="FA39" s="199"/>
      <c r="FB39" s="200"/>
      <c r="FC39" s="280">
        <f>FF39/2</f>
        <v>-19864.258095336045</v>
      </c>
      <c r="FD39" s="280">
        <f>FF39-FC39</f>
        <v>-19864.258095336045</v>
      </c>
      <c r="FE39" s="201"/>
      <c r="FF39" s="182">
        <f>IS!AB10+IS!AB12+IS!AB16+IS!AB17+IS!AB18</f>
        <v>-39728.51619067209</v>
      </c>
      <c r="FG39" s="14"/>
    </row>
    <row r="40" spans="1:163" ht="11.25" hidden="1" customHeight="1" outlineLevel="1" x14ac:dyDescent="0.2">
      <c r="B40" s="197" t="s">
        <v>267</v>
      </c>
      <c r="C40" s="38"/>
      <c r="F40" s="179"/>
      <c r="G40" s="199"/>
      <c r="I40" s="180"/>
      <c r="J40" s="180"/>
      <c r="K40" s="38"/>
      <c r="N40" s="179"/>
      <c r="O40" s="199">
        <v>7</v>
      </c>
      <c r="P40" s="4">
        <f>R40-O40</f>
        <v>-12</v>
      </c>
      <c r="Q40" s="180"/>
      <c r="R40" s="180">
        <v>-5</v>
      </c>
      <c r="S40" s="38"/>
      <c r="V40" s="179"/>
      <c r="W40" s="199">
        <v>-14</v>
      </c>
      <c r="X40" s="4">
        <f>Z40-W40</f>
        <v>6</v>
      </c>
      <c r="Y40" s="180"/>
      <c r="Z40" s="180">
        <v>-8</v>
      </c>
      <c r="AA40" s="38"/>
      <c r="AD40" s="179"/>
      <c r="AE40" s="199">
        <v>3</v>
      </c>
      <c r="AF40" s="4">
        <f t="shared" si="81"/>
        <v>18</v>
      </c>
      <c r="AG40" s="180"/>
      <c r="AH40" s="180">
        <v>21</v>
      </c>
      <c r="AI40" s="38"/>
      <c r="AL40" s="179"/>
      <c r="AM40" s="199">
        <v>12</v>
      </c>
      <c r="AO40" s="180"/>
      <c r="AP40" s="180"/>
      <c r="AQ40" s="38"/>
      <c r="AT40" s="179"/>
      <c r="AU40" s="199"/>
      <c r="AW40" s="180"/>
      <c r="AX40" s="180"/>
      <c r="AY40" s="38"/>
      <c r="BB40" s="179"/>
      <c r="BC40" s="199"/>
      <c r="BE40" s="180"/>
      <c r="BF40" s="180"/>
      <c r="BG40" s="38"/>
      <c r="BJ40" s="179"/>
      <c r="BK40" s="199">
        <f>BC40</f>
        <v>0</v>
      </c>
      <c r="BL40" s="4">
        <f t="shared" si="82"/>
        <v>0</v>
      </c>
      <c r="BM40" s="180"/>
      <c r="BN40" s="180">
        <f t="shared" si="83"/>
        <v>0</v>
      </c>
      <c r="BO40" s="38"/>
      <c r="BR40" s="179"/>
      <c r="BS40" s="199"/>
      <c r="BU40" s="180"/>
      <c r="BV40" s="180"/>
      <c r="BW40" s="38"/>
      <c r="BZ40" s="179"/>
      <c r="CA40" s="199">
        <f>CA12*-88%</f>
        <v>-118.8</v>
      </c>
      <c r="CC40" s="180"/>
      <c r="CD40" s="180"/>
      <c r="CE40" s="38"/>
      <c r="CH40" s="179"/>
      <c r="CI40" s="199">
        <f>CI12*-88%</f>
        <v>94.16</v>
      </c>
      <c r="CK40" s="180"/>
      <c r="CL40" s="180"/>
      <c r="CM40" s="38"/>
      <c r="CP40" s="179"/>
      <c r="CQ40" s="199">
        <v>3</v>
      </c>
      <c r="CR40" s="199">
        <f t="shared" ref="CR40:CR43" si="87">CT40-CQ40</f>
        <v>7</v>
      </c>
      <c r="CS40" s="180"/>
      <c r="CT40" s="180">
        <v>10</v>
      </c>
      <c r="CX40" s="179"/>
      <c r="CY40" s="199">
        <v>14</v>
      </c>
      <c r="CZ40" s="199">
        <f t="shared" si="84"/>
        <v>-17</v>
      </c>
      <c r="DA40" s="180"/>
      <c r="DB40" s="180">
        <v>-3</v>
      </c>
      <c r="DF40" s="179"/>
      <c r="DG40" s="199">
        <v>-4</v>
      </c>
      <c r="DH40" s="199">
        <f t="shared" si="85"/>
        <v>-1</v>
      </c>
      <c r="DI40" s="180"/>
      <c r="DJ40" s="180">
        <v>-5</v>
      </c>
      <c r="DN40" s="179"/>
      <c r="DO40" s="199">
        <v>-4</v>
      </c>
      <c r="DP40" s="199">
        <f t="shared" si="86"/>
        <v>-15</v>
      </c>
      <c r="DQ40" s="180"/>
      <c r="DR40" s="180">
        <v>-19</v>
      </c>
      <c r="DV40" s="179"/>
      <c r="DW40" s="199">
        <v>24</v>
      </c>
      <c r="DY40" s="180"/>
      <c r="DZ40" s="180"/>
      <c r="ED40" s="179"/>
      <c r="EG40" s="180"/>
      <c r="EH40" s="180"/>
      <c r="EL40" s="179"/>
      <c r="EO40" s="180"/>
      <c r="EP40" s="180"/>
      <c r="ET40" s="179"/>
      <c r="EW40" s="180"/>
      <c r="EX40" s="180"/>
      <c r="FB40" s="179"/>
      <c r="FE40" s="180"/>
      <c r="FF40" s="180"/>
    </row>
    <row r="41" spans="1:163" ht="11.25" hidden="1" customHeight="1" outlineLevel="1" x14ac:dyDescent="0.2">
      <c r="B41" s="197" t="s">
        <v>277</v>
      </c>
      <c r="C41" s="38"/>
      <c r="D41" s="281"/>
      <c r="F41" s="179"/>
      <c r="G41" s="199"/>
      <c r="I41" s="180"/>
      <c r="J41" s="180"/>
      <c r="K41" s="38"/>
      <c r="L41" s="281"/>
      <c r="N41" s="179"/>
      <c r="O41" s="199">
        <v>-15</v>
      </c>
      <c r="P41" s="4">
        <f>R41-O41</f>
        <v>48</v>
      </c>
      <c r="Q41" s="180"/>
      <c r="R41" s="180">
        <v>33</v>
      </c>
      <c r="S41" s="38"/>
      <c r="T41" s="281"/>
      <c r="V41" s="179"/>
      <c r="W41" s="199">
        <v>12</v>
      </c>
      <c r="X41" s="4">
        <f>Z41-W41</f>
        <v>-7</v>
      </c>
      <c r="Y41" s="180"/>
      <c r="Z41" s="180">
        <v>5</v>
      </c>
      <c r="AA41" s="38"/>
      <c r="AB41" s="281"/>
      <c r="AD41" s="179"/>
      <c r="AE41" s="199">
        <v>-11</v>
      </c>
      <c r="AF41" s="4">
        <f t="shared" si="81"/>
        <v>1</v>
      </c>
      <c r="AG41" s="180"/>
      <c r="AH41" s="180">
        <v>-10</v>
      </c>
      <c r="AI41" s="38"/>
      <c r="AJ41" s="281"/>
      <c r="AL41" s="179"/>
      <c r="AM41" s="199">
        <v>-6</v>
      </c>
      <c r="AO41" s="180"/>
      <c r="AP41" s="180"/>
      <c r="AQ41" s="38"/>
      <c r="AR41" s="281"/>
      <c r="AT41" s="179"/>
      <c r="AU41" s="199"/>
      <c r="AW41" s="180"/>
      <c r="AX41" s="180"/>
      <c r="AY41" s="38"/>
      <c r="AZ41" s="281"/>
      <c r="BB41" s="179"/>
      <c r="BC41" s="199"/>
      <c r="BE41" s="180"/>
      <c r="BF41" s="180"/>
      <c r="BG41" s="38"/>
      <c r="BH41" s="281"/>
      <c r="BJ41" s="179"/>
      <c r="BK41" s="199">
        <f t="shared" si="82"/>
        <v>0</v>
      </c>
      <c r="BL41" s="4">
        <f t="shared" si="82"/>
        <v>0</v>
      </c>
      <c r="BM41" s="180"/>
      <c r="BN41" s="180">
        <f t="shared" si="83"/>
        <v>0</v>
      </c>
      <c r="BO41" s="38"/>
      <c r="BP41" s="281"/>
      <c r="BR41" s="179"/>
      <c r="BS41" s="199"/>
      <c r="BU41" s="180"/>
      <c r="BV41" s="180"/>
      <c r="BW41" s="38"/>
      <c r="BX41" s="281"/>
      <c r="BZ41" s="179"/>
      <c r="CA41" s="199">
        <f>CA13*-88%</f>
        <v>-7833.76</v>
      </c>
      <c r="CC41" s="180"/>
      <c r="CD41" s="180"/>
      <c r="CE41" s="38"/>
      <c r="CF41" s="281"/>
      <c r="CH41" s="179"/>
      <c r="CI41" s="199">
        <f>CI13*-88%</f>
        <v>-5956.72</v>
      </c>
      <c r="CK41" s="180"/>
      <c r="CL41" s="180"/>
      <c r="CM41" s="38"/>
      <c r="CN41" s="281"/>
      <c r="CP41" s="179"/>
      <c r="CQ41" s="199">
        <v>3</v>
      </c>
      <c r="CR41" s="199">
        <f t="shared" si="87"/>
        <v>0</v>
      </c>
      <c r="CS41" s="180"/>
      <c r="CT41" s="180">
        <v>3</v>
      </c>
      <c r="CX41" s="179"/>
      <c r="CY41" s="199">
        <v>-5</v>
      </c>
      <c r="CZ41" s="199">
        <f t="shared" si="84"/>
        <v>-2</v>
      </c>
      <c r="DA41" s="180"/>
      <c r="DB41" s="180">
        <v>-7</v>
      </c>
      <c r="DF41" s="179"/>
      <c r="DG41" s="199">
        <v>1</v>
      </c>
      <c r="DH41" s="199">
        <f t="shared" si="85"/>
        <v>9</v>
      </c>
      <c r="DI41" s="180"/>
      <c r="DJ41" s="180">
        <v>10</v>
      </c>
      <c r="DN41" s="179"/>
      <c r="DO41" s="199">
        <v>-18</v>
      </c>
      <c r="DP41" s="199">
        <f t="shared" si="86"/>
        <v>3</v>
      </c>
      <c r="DQ41" s="180"/>
      <c r="DR41" s="180">
        <v>-15</v>
      </c>
      <c r="DV41" s="179"/>
      <c r="DW41" s="199">
        <v>-1</v>
      </c>
      <c r="DY41" s="180"/>
      <c r="DZ41" s="180"/>
      <c r="ED41" s="179"/>
      <c r="EG41" s="180"/>
      <c r="EH41" s="180"/>
      <c r="EL41" s="179"/>
      <c r="EO41" s="180"/>
      <c r="EP41" s="180"/>
      <c r="ET41" s="179"/>
      <c r="EW41" s="180"/>
      <c r="EX41" s="180"/>
      <c r="FB41" s="179"/>
      <c r="FE41" s="180"/>
      <c r="FF41" s="180"/>
    </row>
    <row r="42" spans="1:163" ht="11.25" hidden="1" customHeight="1" outlineLevel="1" x14ac:dyDescent="0.2">
      <c r="B42" s="197" t="s">
        <v>278</v>
      </c>
      <c r="C42" s="38"/>
      <c r="F42" s="179"/>
      <c r="G42" s="199"/>
      <c r="I42" s="180"/>
      <c r="J42" s="180"/>
      <c r="K42" s="38"/>
      <c r="N42" s="179"/>
      <c r="O42" s="199">
        <v>-74</v>
      </c>
      <c r="P42" s="4">
        <f>R42-O42</f>
        <v>-73</v>
      </c>
      <c r="Q42" s="180"/>
      <c r="R42" s="180">
        <v>-147</v>
      </c>
      <c r="S42" s="38"/>
      <c r="V42" s="179"/>
      <c r="W42" s="199">
        <v>-55</v>
      </c>
      <c r="X42" s="4">
        <f>Z42-W42</f>
        <v>-34</v>
      </c>
      <c r="Y42" s="180"/>
      <c r="Z42" s="180">
        <v>-89</v>
      </c>
      <c r="AA42" s="38"/>
      <c r="AD42" s="179"/>
      <c r="AE42" s="199">
        <v>-36</v>
      </c>
      <c r="AF42" s="4">
        <f t="shared" si="81"/>
        <v>-34</v>
      </c>
      <c r="AG42" s="180"/>
      <c r="AH42" s="180">
        <v>-70</v>
      </c>
      <c r="AI42" s="38"/>
      <c r="AL42" s="179"/>
      <c r="AM42" s="199">
        <v>-33</v>
      </c>
      <c r="AO42" s="180"/>
      <c r="AP42" s="180"/>
      <c r="AQ42" s="38"/>
      <c r="AT42" s="179"/>
      <c r="AU42" s="199"/>
      <c r="AW42" s="180"/>
      <c r="AX42" s="180"/>
      <c r="AY42" s="38"/>
      <c r="BB42" s="179"/>
      <c r="BC42" s="199"/>
      <c r="BE42" s="180"/>
      <c r="BF42" s="180"/>
      <c r="BG42" s="38"/>
      <c r="BJ42" s="179"/>
      <c r="BK42" s="199">
        <f t="shared" si="82"/>
        <v>0</v>
      </c>
      <c r="BL42" s="4">
        <f t="shared" si="82"/>
        <v>0</v>
      </c>
      <c r="BM42" s="180"/>
      <c r="BN42" s="180">
        <f t="shared" si="83"/>
        <v>0</v>
      </c>
      <c r="BO42" s="38"/>
      <c r="BR42" s="179"/>
      <c r="BS42" s="199"/>
      <c r="BU42" s="180"/>
      <c r="BV42" s="180"/>
      <c r="BW42" s="38"/>
      <c r="BZ42" s="179"/>
      <c r="CA42" s="199">
        <f>CA15*-88%</f>
        <v>0</v>
      </c>
      <c r="CC42" s="180"/>
      <c r="CD42" s="180"/>
      <c r="CE42" s="38"/>
      <c r="CH42" s="179"/>
      <c r="CI42" s="199">
        <f>CI15*-88%</f>
        <v>0</v>
      </c>
      <c r="CK42" s="180"/>
      <c r="CL42" s="180"/>
      <c r="CM42" s="38"/>
      <c r="CP42" s="179"/>
      <c r="CQ42" s="199">
        <v>19</v>
      </c>
      <c r="CR42" s="199">
        <f t="shared" si="87"/>
        <v>19</v>
      </c>
      <c r="CS42" s="180"/>
      <c r="CT42" s="180">
        <v>38</v>
      </c>
      <c r="CX42" s="179"/>
      <c r="CY42" s="199">
        <v>19</v>
      </c>
      <c r="CZ42" s="199">
        <f t="shared" si="84"/>
        <v>19</v>
      </c>
      <c r="DA42" s="180"/>
      <c r="DB42" s="180">
        <v>38</v>
      </c>
      <c r="DF42" s="179"/>
      <c r="DG42" s="199">
        <v>21</v>
      </c>
      <c r="DH42" s="199">
        <f t="shared" si="85"/>
        <v>20</v>
      </c>
      <c r="DI42" s="180"/>
      <c r="DJ42" s="180">
        <v>41</v>
      </c>
      <c r="DN42" s="179"/>
      <c r="DO42" s="199">
        <v>12</v>
      </c>
      <c r="DP42" s="199">
        <f t="shared" si="86"/>
        <v>4</v>
      </c>
      <c r="DQ42" s="180"/>
      <c r="DR42" s="180">
        <v>16</v>
      </c>
      <c r="DV42" s="179"/>
      <c r="DW42" s="199">
        <v>3</v>
      </c>
      <c r="DY42" s="180"/>
      <c r="DZ42" s="180"/>
      <c r="ED42" s="179"/>
      <c r="EG42" s="180"/>
      <c r="EH42" s="180"/>
      <c r="EL42" s="179"/>
      <c r="EO42" s="180"/>
      <c r="EP42" s="180"/>
      <c r="ET42" s="179"/>
      <c r="EW42" s="180"/>
      <c r="EX42" s="180"/>
      <c r="FB42" s="179"/>
      <c r="FE42" s="180"/>
      <c r="FF42" s="180"/>
    </row>
    <row r="43" spans="1:163" ht="11.25" hidden="1" customHeight="1" outlineLevel="1" x14ac:dyDescent="0.2">
      <c r="B43" s="197" t="s">
        <v>279</v>
      </c>
      <c r="C43" s="38"/>
      <c r="F43" s="179"/>
      <c r="G43" s="199"/>
      <c r="I43" s="180"/>
      <c r="J43" s="180"/>
      <c r="K43" s="38"/>
      <c r="N43" s="179"/>
      <c r="O43" s="199">
        <v>-81</v>
      </c>
      <c r="P43" s="4">
        <f>R43-O43</f>
        <v>-78</v>
      </c>
      <c r="Q43" s="180"/>
      <c r="R43" s="180">
        <v>-159</v>
      </c>
      <c r="S43" s="38"/>
      <c r="V43" s="179"/>
      <c r="W43" s="199">
        <v>-76</v>
      </c>
      <c r="X43" s="4">
        <f>Z43-W43</f>
        <v>-76</v>
      </c>
      <c r="Y43" s="180"/>
      <c r="Z43" s="180">
        <v>-152</v>
      </c>
      <c r="AA43" s="38"/>
      <c r="AD43" s="179"/>
      <c r="AE43" s="199">
        <v>-71</v>
      </c>
      <c r="AF43" s="4">
        <f t="shared" si="81"/>
        <v>27</v>
      </c>
      <c r="AG43" s="180"/>
      <c r="AH43" s="180">
        <v>-44</v>
      </c>
      <c r="AI43" s="38"/>
      <c r="AL43" s="179"/>
      <c r="AM43" s="199">
        <v>-20</v>
      </c>
      <c r="AO43" s="180"/>
      <c r="AP43" s="180"/>
      <c r="AQ43" s="38"/>
      <c r="AT43" s="179"/>
      <c r="AU43" s="199"/>
      <c r="AW43" s="180"/>
      <c r="AX43" s="180"/>
      <c r="AY43" s="38"/>
      <c r="BB43" s="179"/>
      <c r="BC43" s="199"/>
      <c r="BE43" s="180"/>
      <c r="BF43" s="180"/>
      <c r="BG43" s="38"/>
      <c r="BJ43" s="179"/>
      <c r="BK43" s="199">
        <f t="shared" si="82"/>
        <v>0</v>
      </c>
      <c r="BL43" s="4">
        <f t="shared" si="82"/>
        <v>0</v>
      </c>
      <c r="BM43" s="180"/>
      <c r="BN43" s="180">
        <f t="shared" si="83"/>
        <v>0</v>
      </c>
      <c r="BO43" s="38"/>
      <c r="BR43" s="179"/>
      <c r="BS43" s="199"/>
      <c r="BU43" s="180"/>
      <c r="BV43" s="180"/>
      <c r="BW43" s="38"/>
      <c r="BZ43" s="179"/>
      <c r="CA43" s="199">
        <f>CA16*-88%</f>
        <v>0</v>
      </c>
      <c r="CC43" s="180"/>
      <c r="CD43" s="180"/>
      <c r="CE43" s="38"/>
      <c r="CH43" s="179"/>
      <c r="CI43" s="199">
        <f>CI16*-88%</f>
        <v>0</v>
      </c>
      <c r="CK43" s="180"/>
      <c r="CL43" s="180"/>
      <c r="CM43" s="38"/>
      <c r="CP43" s="179"/>
      <c r="CQ43" s="199">
        <v>157</v>
      </c>
      <c r="CR43" s="199">
        <f t="shared" si="87"/>
        <v>171</v>
      </c>
      <c r="CS43" s="180"/>
      <c r="CT43" s="180">
        <v>328</v>
      </c>
      <c r="CX43" s="179"/>
      <c r="CY43" s="199">
        <v>135</v>
      </c>
      <c r="CZ43" s="199">
        <f t="shared" si="84"/>
        <v>123</v>
      </c>
      <c r="DA43" s="180"/>
      <c r="DB43" s="180">
        <v>258</v>
      </c>
      <c r="DF43" s="179"/>
      <c r="DG43" s="199">
        <v>134</v>
      </c>
      <c r="DH43" s="199">
        <f t="shared" si="85"/>
        <v>129</v>
      </c>
      <c r="DI43" s="180"/>
      <c r="DJ43" s="180">
        <v>263</v>
      </c>
      <c r="DN43" s="179"/>
      <c r="DO43" s="199">
        <v>137</v>
      </c>
      <c r="DP43" s="199">
        <f t="shared" si="86"/>
        <v>130</v>
      </c>
      <c r="DQ43" s="180"/>
      <c r="DR43" s="180">
        <v>267</v>
      </c>
      <c r="DV43" s="179"/>
      <c r="DW43" s="199">
        <v>238</v>
      </c>
      <c r="DY43" s="180"/>
      <c r="DZ43" s="180"/>
      <c r="ED43" s="179"/>
      <c r="EG43" s="180"/>
      <c r="EH43" s="180"/>
      <c r="EL43" s="179"/>
      <c r="EO43" s="180"/>
      <c r="EP43" s="180"/>
      <c r="ET43" s="179"/>
      <c r="EW43" s="180"/>
      <c r="EX43" s="180"/>
      <c r="FB43" s="179"/>
      <c r="FE43" s="180"/>
      <c r="FF43" s="180"/>
    </row>
    <row r="44" spans="1:163" ht="11.25" customHeight="1" collapsed="1" x14ac:dyDescent="0.2">
      <c r="A44" s="4" t="s">
        <v>280</v>
      </c>
      <c r="B44" s="197"/>
      <c r="C44" s="38"/>
      <c r="F44" s="179"/>
      <c r="G44" s="199">
        <f>114+251+386-4188-2282-134-360-10+10</f>
        <v>-6213</v>
      </c>
      <c r="H44" s="199">
        <f>J44-G44</f>
        <v>-6710</v>
      </c>
      <c r="I44" s="180"/>
      <c r="J44" s="180">
        <f>258-46+907-8452-4442-271-759-86-32</f>
        <v>-12923</v>
      </c>
      <c r="K44" s="38"/>
      <c r="N44" s="179"/>
      <c r="O44" s="199">
        <f>O39+O40+O41+O42+O43</f>
        <v>-6433</v>
      </c>
      <c r="P44" s="199">
        <f>P39+P40+P41+P42+P43</f>
        <v>-7156</v>
      </c>
      <c r="Q44" s="180"/>
      <c r="R44" s="180">
        <f>R39+R40+R41+R42+R43</f>
        <v>-13589</v>
      </c>
      <c r="S44" s="38"/>
      <c r="V44" s="179"/>
      <c r="W44" s="199">
        <f>W39+W40+W41+W42+W43</f>
        <v>-7381</v>
      </c>
      <c r="X44" s="199">
        <f>X39+X40+X41+X42+X43</f>
        <v>-7891</v>
      </c>
      <c r="Y44" s="180"/>
      <c r="Z44" s="180">
        <f>Z39+Z40+Z41+Z42+Z43</f>
        <v>-15272</v>
      </c>
      <c r="AA44" s="38"/>
      <c r="AD44" s="179"/>
      <c r="AE44" s="199">
        <f>AE39+AE40+AE41+AE42+AE43</f>
        <v>-7761</v>
      </c>
      <c r="AF44" s="199">
        <f t="shared" si="81"/>
        <v>-5818</v>
      </c>
      <c r="AG44" s="180"/>
      <c r="AH44" s="180">
        <f>AH39+AH40+AH41+AH42+AH43</f>
        <v>-13579</v>
      </c>
      <c r="AI44" s="38"/>
      <c r="AL44" s="179"/>
      <c r="AM44" s="199">
        <f>AM39+AM40+AM41+AM42+AM43</f>
        <v>-6959</v>
      </c>
      <c r="AN44" s="199">
        <f>+AP44-AM44</f>
        <v>-7364</v>
      </c>
      <c r="AO44" s="180"/>
      <c r="AP44" s="180">
        <f>IS!O65+IS!O67+IS!O68+IS!O71</f>
        <v>-14323</v>
      </c>
      <c r="AQ44" s="38"/>
      <c r="AT44" s="179"/>
      <c r="AU44" s="199"/>
      <c r="AV44" s="199"/>
      <c r="AW44" s="180"/>
      <c r="AX44" s="180"/>
      <c r="AY44" s="38"/>
      <c r="BB44" s="179"/>
      <c r="BC44" s="199">
        <v>-8544</v>
      </c>
      <c r="BD44" s="199">
        <f>+BF44-BC44</f>
        <v>-10390</v>
      </c>
      <c r="BE44" s="180"/>
      <c r="BF44" s="180">
        <f>IS!P65+IS!P67+IS!P68+IS!P71</f>
        <v>-18934</v>
      </c>
      <c r="BG44" s="38"/>
      <c r="BJ44" s="179"/>
      <c r="BK44" s="199">
        <f t="shared" si="82"/>
        <v>-8544</v>
      </c>
      <c r="BL44" s="199">
        <f t="shared" si="82"/>
        <v>-10390</v>
      </c>
      <c r="BM44" s="180"/>
      <c r="BN44" s="180">
        <f t="shared" si="83"/>
        <v>-18934</v>
      </c>
      <c r="BO44" s="38"/>
      <c r="BR44" s="179"/>
      <c r="BS44" s="199">
        <v>-10502</v>
      </c>
      <c r="BT44" s="199">
        <f>BV44-BS44</f>
        <v>-10936</v>
      </c>
      <c r="BU44" s="180"/>
      <c r="BV44" s="180">
        <f>IS!Q65+IS!Q67+IS!Q68+IS!Q71</f>
        <v>-21438</v>
      </c>
      <c r="BW44" s="38"/>
      <c r="BZ44" s="179"/>
      <c r="CA44" s="199">
        <v>-8072</v>
      </c>
      <c r="CB44" s="199">
        <f>CD44-CA44</f>
        <v>-7214</v>
      </c>
      <c r="CC44" s="180"/>
      <c r="CD44" s="180">
        <f>IS!R65+IS!R67+IS!R68+IS!R71</f>
        <v>-15286</v>
      </c>
      <c r="CE44" s="38"/>
      <c r="CH44" s="179"/>
      <c r="CI44" s="199">
        <v>-6454</v>
      </c>
      <c r="CJ44" s="199">
        <f>CL44-CI44</f>
        <v>-7450</v>
      </c>
      <c r="CK44" s="180"/>
      <c r="CL44" s="180">
        <f>IS!S65+IS!S67+IS!S68+IS!S71</f>
        <v>-13904</v>
      </c>
      <c r="CM44" s="38"/>
      <c r="CP44" s="179"/>
      <c r="CQ44" s="199">
        <f>CQ39-CQ40-CQ41-CQ42-CQ43</f>
        <v>-7723</v>
      </c>
      <c r="CR44" s="199">
        <f>CT44-CQ44</f>
        <v>-9380</v>
      </c>
      <c r="CS44" s="180"/>
      <c r="CT44" s="201">
        <f>CT39-CT40-CT41-CT42-CT43</f>
        <v>-17103</v>
      </c>
      <c r="CX44" s="179"/>
      <c r="CY44" s="199">
        <f>CY39-CY40-CY41-CY42-CY43</f>
        <v>-9772</v>
      </c>
      <c r="CZ44" s="199">
        <f t="shared" si="84"/>
        <v>-10669</v>
      </c>
      <c r="DA44" s="180"/>
      <c r="DB44" s="201">
        <f>DB39-DB40-DB41-DB42-DB43</f>
        <v>-20441</v>
      </c>
      <c r="DF44" s="179"/>
      <c r="DG44" s="199">
        <f>DG39-DG40-DG41-DG42-DG43</f>
        <v>-11287</v>
      </c>
      <c r="DH44" s="199">
        <f t="shared" si="85"/>
        <v>-12379</v>
      </c>
      <c r="DI44" s="180"/>
      <c r="DJ44" s="201">
        <f>DJ39-DJ40-DJ41-DJ42-DJ43</f>
        <v>-23666</v>
      </c>
      <c r="DN44" s="179"/>
      <c r="DO44" s="199">
        <f>DO39-DO40-DO41-DO42-DO43</f>
        <v>-12462</v>
      </c>
      <c r="DP44" s="199">
        <f t="shared" si="86"/>
        <v>-14141</v>
      </c>
      <c r="DQ44" s="180"/>
      <c r="DR44" s="180">
        <f>DR39-DR40-DR41-DR42-DR43</f>
        <v>-26603</v>
      </c>
      <c r="DV44" s="179"/>
      <c r="DW44" s="199">
        <f>DW39-DW40-DW41-DW42-DW43</f>
        <v>-14718</v>
      </c>
      <c r="DX44" s="280">
        <f>DZ44-DW44</f>
        <v>-15721.228393543406</v>
      </c>
      <c r="DY44" s="180"/>
      <c r="DZ44" s="182">
        <f>IS!X65+IS!X67+IS!X68+IS!X71</f>
        <v>-30439.228393543406</v>
      </c>
      <c r="ED44" s="179"/>
      <c r="EE44" s="280">
        <f>EH44/2</f>
        <v>-16677.562085054316</v>
      </c>
      <c r="EF44" s="280">
        <f>EH44-EE44</f>
        <v>-16677.562085054316</v>
      </c>
      <c r="EG44" s="180"/>
      <c r="EH44" s="182">
        <f>IS!Y65+IS!Y67+IS!Y68+IS!Y71</f>
        <v>-33355.124170108633</v>
      </c>
      <c r="EL44" s="179"/>
      <c r="EM44" s="280">
        <f>EP44/2</f>
        <v>-18232.957171357564</v>
      </c>
      <c r="EN44" s="280">
        <f>EP44-EM44</f>
        <v>-18232.957171357564</v>
      </c>
      <c r="EO44" s="180"/>
      <c r="EP44" s="182">
        <f>IS!Z65+IS!Z67+IS!Z68+IS!Z71</f>
        <v>-36465.914342715128</v>
      </c>
      <c r="ET44" s="179"/>
      <c r="EU44" s="280">
        <f>EX44/2</f>
        <v>-19510.371432140553</v>
      </c>
      <c r="EV44" s="280">
        <f>EX44-EU44</f>
        <v>-19510.371432140553</v>
      </c>
      <c r="EW44" s="180"/>
      <c r="EX44" s="182">
        <f>IS!AA65+IS!AA67+IS!AA68+IS!AA71</f>
        <v>-39020.742864281106</v>
      </c>
      <c r="FB44" s="179"/>
      <c r="FC44" s="280">
        <f>FF44/2</f>
        <v>-20014.258095336045</v>
      </c>
      <c r="FD44" s="280">
        <f>FF44-FC44</f>
        <v>-20014.258095336045</v>
      </c>
      <c r="FE44" s="180"/>
      <c r="FF44" s="182">
        <f>IS!AB65+IS!AB67+IS!AB68+IS!AB71</f>
        <v>-40028.51619067209</v>
      </c>
    </row>
    <row r="45" spans="1:163" ht="11.25" customHeight="1" x14ac:dyDescent="0.2">
      <c r="B45" s="197"/>
      <c r="C45" s="38"/>
      <c r="F45" s="179"/>
      <c r="I45" s="180"/>
      <c r="J45" s="180"/>
      <c r="K45" s="38"/>
      <c r="N45" s="179"/>
      <c r="Q45" s="180"/>
      <c r="R45" s="180"/>
      <c r="S45" s="38"/>
      <c r="V45" s="179"/>
      <c r="Y45" s="180"/>
      <c r="Z45" s="180"/>
      <c r="AA45" s="38"/>
      <c r="AD45" s="179"/>
      <c r="AG45" s="180"/>
      <c r="AH45" s="180"/>
      <c r="AI45" s="38"/>
      <c r="AL45" s="179"/>
      <c r="AO45" s="180"/>
      <c r="AP45" s="180"/>
      <c r="AQ45" s="38"/>
      <c r="AT45" s="179"/>
      <c r="AW45" s="180"/>
      <c r="AX45" s="180"/>
      <c r="AY45" s="38"/>
      <c r="BB45" s="179"/>
      <c r="BE45" s="180"/>
      <c r="BF45" s="180"/>
      <c r="BG45" s="38"/>
      <c r="BJ45" s="179"/>
      <c r="BM45" s="180"/>
      <c r="BN45" s="180"/>
      <c r="BO45" s="38"/>
      <c r="BR45" s="179"/>
      <c r="BU45" s="180"/>
      <c r="BV45" s="180"/>
      <c r="BW45" s="38"/>
      <c r="BZ45" s="179"/>
      <c r="CA45" s="4" t="s">
        <v>272</v>
      </c>
      <c r="CC45" s="180"/>
      <c r="CD45" s="180"/>
      <c r="CE45" s="38"/>
      <c r="CH45" s="179"/>
      <c r="CI45" s="4" t="s">
        <v>272</v>
      </c>
      <c r="CK45" s="180"/>
      <c r="CL45" s="180"/>
      <c r="CM45" s="38"/>
      <c r="CP45" s="179"/>
      <c r="CQ45" s="4" t="s">
        <v>272</v>
      </c>
      <c r="CS45" s="180"/>
      <c r="CT45" s="180"/>
      <c r="CX45" s="179"/>
      <c r="CY45" s="4" t="s">
        <v>272</v>
      </c>
      <c r="DA45" s="180"/>
      <c r="DB45" s="180"/>
      <c r="DF45" s="179"/>
      <c r="DI45" s="180"/>
      <c r="DJ45" s="180"/>
      <c r="DN45" s="179"/>
      <c r="DQ45" s="180"/>
      <c r="DR45" s="180"/>
      <c r="DV45" s="179"/>
      <c r="DY45" s="180"/>
      <c r="DZ45" s="180"/>
      <c r="ED45" s="179"/>
      <c r="EG45" s="180"/>
      <c r="EH45" s="180"/>
      <c r="EL45" s="179"/>
      <c r="EO45" s="180"/>
      <c r="EP45" s="180"/>
      <c r="ET45" s="179"/>
      <c r="EW45" s="180"/>
      <c r="EX45" s="180"/>
      <c r="FB45" s="179"/>
      <c r="FE45" s="180"/>
      <c r="FF45" s="180"/>
    </row>
    <row r="46" spans="1:163" ht="11.25" customHeight="1" x14ac:dyDescent="0.25">
      <c r="A46" s="4" t="s">
        <v>281</v>
      </c>
      <c r="C46" s="38"/>
      <c r="F46" s="179"/>
      <c r="G46" s="4">
        <v>22</v>
      </c>
      <c r="H46" s="4">
        <f>J46-G46</f>
        <v>30</v>
      </c>
      <c r="I46" s="180"/>
      <c r="J46" s="180">
        <v>52</v>
      </c>
      <c r="K46" s="38"/>
      <c r="N46" s="179"/>
      <c r="O46" s="4">
        <v>18</v>
      </c>
      <c r="P46" s="4">
        <f>R46-O46</f>
        <v>27</v>
      </c>
      <c r="Q46" s="180"/>
      <c r="R46" s="180">
        <v>45</v>
      </c>
      <c r="S46" s="38"/>
      <c r="V46" s="179"/>
      <c r="W46" s="4">
        <v>16</v>
      </c>
      <c r="X46" s="4">
        <f>Z46-W46</f>
        <v>30</v>
      </c>
      <c r="Y46" s="180"/>
      <c r="Z46" s="180">
        <f>IS!M19</f>
        <v>46</v>
      </c>
      <c r="AA46" s="38"/>
      <c r="AD46" s="179"/>
      <c r="AE46" s="4">
        <v>19</v>
      </c>
      <c r="AF46" s="4">
        <f>+AH46-AE46</f>
        <v>80</v>
      </c>
      <c r="AG46" s="180"/>
      <c r="AH46" s="180">
        <f>IS!N19</f>
        <v>99</v>
      </c>
      <c r="AI46" s="38"/>
      <c r="AL46" s="179"/>
      <c r="AM46" s="4">
        <v>92</v>
      </c>
      <c r="AN46" s="4">
        <f>+AP46-AM46</f>
        <v>85</v>
      </c>
      <c r="AO46" s="180"/>
      <c r="AP46" s="180">
        <f>IS!O19</f>
        <v>177</v>
      </c>
      <c r="AQ46" s="38"/>
      <c r="AT46" s="179"/>
      <c r="AW46" s="180"/>
      <c r="AX46" s="180"/>
      <c r="AY46" s="38"/>
      <c r="BB46" s="179"/>
      <c r="BC46" s="4">
        <v>82</v>
      </c>
      <c r="BD46" s="4">
        <f>+BF46-BC46</f>
        <v>145</v>
      </c>
      <c r="BE46" s="180"/>
      <c r="BF46" s="180">
        <f>IS!P19</f>
        <v>227</v>
      </c>
      <c r="BG46" s="38"/>
      <c r="BJ46" s="179"/>
      <c r="BK46" s="4">
        <f t="shared" si="82"/>
        <v>82</v>
      </c>
      <c r="BL46" s="4">
        <f t="shared" si="82"/>
        <v>145</v>
      </c>
      <c r="BM46" s="180"/>
      <c r="BN46" s="180">
        <f t="shared" si="83"/>
        <v>227</v>
      </c>
      <c r="BO46" s="38"/>
      <c r="BR46" s="179"/>
      <c r="BS46" s="4">
        <v>84</v>
      </c>
      <c r="BT46" s="4">
        <f>BV46-BS46</f>
        <v>121</v>
      </c>
      <c r="BU46" s="180"/>
      <c r="BV46" s="180">
        <f>IS!Q19</f>
        <v>205</v>
      </c>
      <c r="BW46" s="38"/>
      <c r="BZ46" s="179"/>
      <c r="CA46" s="4">
        <v>48</v>
      </c>
      <c r="CB46" s="4">
        <f>CD46-CA46</f>
        <v>36</v>
      </c>
      <c r="CC46" s="180"/>
      <c r="CD46" s="180">
        <f>IS!R19</f>
        <v>84</v>
      </c>
      <c r="CE46" s="38"/>
      <c r="CH46" s="179"/>
      <c r="CI46" s="4">
        <v>51</v>
      </c>
      <c r="CJ46" s="4">
        <f>CL46-CI46</f>
        <v>18</v>
      </c>
      <c r="CK46" s="180"/>
      <c r="CL46" s="180">
        <f>IS!S19</f>
        <v>69</v>
      </c>
      <c r="CM46" s="38"/>
      <c r="CP46" s="179"/>
      <c r="CQ46" s="4">
        <v>28</v>
      </c>
      <c r="CR46" s="4">
        <f>CT46-CQ46</f>
        <v>69</v>
      </c>
      <c r="CS46" s="180"/>
      <c r="CT46" s="180">
        <f>IS!T19</f>
        <v>97</v>
      </c>
      <c r="CX46" s="179"/>
      <c r="CY46" s="4">
        <v>61</v>
      </c>
      <c r="CZ46" s="4">
        <f>DB46-CY46</f>
        <v>61</v>
      </c>
      <c r="DA46" s="180"/>
      <c r="DB46" s="180">
        <f>IS!U19</f>
        <v>122</v>
      </c>
      <c r="DF46" s="179"/>
      <c r="DG46" s="4">
        <v>62</v>
      </c>
      <c r="DH46" s="4">
        <f>DJ46-DG46</f>
        <v>97</v>
      </c>
      <c r="DI46" s="180"/>
      <c r="DJ46" s="180">
        <f>IS!V19</f>
        <v>159</v>
      </c>
      <c r="DN46" s="179"/>
      <c r="DO46" s="4">
        <v>76</v>
      </c>
      <c r="DP46" s="4">
        <f>DR46-DO46</f>
        <v>146</v>
      </c>
      <c r="DQ46" s="180"/>
      <c r="DR46" s="180">
        <f>IS!W19</f>
        <v>222</v>
      </c>
      <c r="DV46" s="179"/>
      <c r="DW46" s="4">
        <v>120</v>
      </c>
      <c r="DX46" s="280">
        <f>DZ46-DW46</f>
        <v>80</v>
      </c>
      <c r="DY46" s="180"/>
      <c r="DZ46" s="182">
        <f>IS!X19</f>
        <v>200</v>
      </c>
      <c r="ED46" s="179"/>
      <c r="EE46" s="280">
        <f>EH46/2</f>
        <v>100</v>
      </c>
      <c r="EF46" s="280">
        <f>EH46-EE46</f>
        <v>100</v>
      </c>
      <c r="EG46" s="180"/>
      <c r="EH46" s="182">
        <f>IS!Y19</f>
        <v>200</v>
      </c>
      <c r="EL46" s="179"/>
      <c r="EM46" s="280">
        <f>EP46/2</f>
        <v>100</v>
      </c>
      <c r="EN46" s="280">
        <f>EP46-EM46</f>
        <v>100</v>
      </c>
      <c r="EO46" s="180"/>
      <c r="EP46" s="182">
        <f>IS!Z19</f>
        <v>200</v>
      </c>
      <c r="ET46" s="179"/>
      <c r="EU46" s="280">
        <f>EX46/2</f>
        <v>100</v>
      </c>
      <c r="EV46" s="280">
        <f>EX46-EU46</f>
        <v>100</v>
      </c>
      <c r="EW46" s="180"/>
      <c r="EX46" s="182">
        <f>IS!AA19</f>
        <v>200</v>
      </c>
      <c r="FB46" s="179"/>
      <c r="FC46" s="280">
        <f>FF46/2</f>
        <v>100</v>
      </c>
      <c r="FD46" s="280">
        <f>FF46-FC46</f>
        <v>100</v>
      </c>
      <c r="FE46" s="180"/>
      <c r="FF46" s="182">
        <f>IS!AB19</f>
        <v>200</v>
      </c>
      <c r="FG46" s="14"/>
    </row>
    <row r="47" spans="1:163" ht="11.25" hidden="1" customHeight="1" outlineLevel="1" x14ac:dyDescent="0.25">
      <c r="B47" s="197" t="s">
        <v>279</v>
      </c>
      <c r="C47" s="38"/>
      <c r="F47" s="179"/>
      <c r="I47" s="180"/>
      <c r="J47" s="180"/>
      <c r="K47" s="38"/>
      <c r="N47" s="179"/>
      <c r="Q47" s="180"/>
      <c r="R47" s="180"/>
      <c r="S47" s="38"/>
      <c r="V47" s="179"/>
      <c r="X47" s="4">
        <v>-1</v>
      </c>
      <c r="Y47" s="180"/>
      <c r="Z47" s="180">
        <v>-1</v>
      </c>
      <c r="AA47" s="38"/>
      <c r="AD47" s="179"/>
      <c r="AF47" s="4">
        <f>+AH47-AE47</f>
        <v>-12</v>
      </c>
      <c r="AG47" s="180"/>
      <c r="AH47" s="180">
        <v>-12</v>
      </c>
      <c r="AI47" s="38"/>
      <c r="AL47" s="179"/>
      <c r="AM47" s="4">
        <v>-26</v>
      </c>
      <c r="AO47" s="180"/>
      <c r="AP47" s="180"/>
      <c r="AQ47" s="38"/>
      <c r="AT47" s="179"/>
      <c r="AW47" s="180"/>
      <c r="AX47" s="180"/>
      <c r="AY47" s="38"/>
      <c r="BB47" s="179"/>
      <c r="BE47" s="180"/>
      <c r="BF47" s="180"/>
      <c r="BG47" s="38"/>
      <c r="BJ47" s="179"/>
      <c r="BK47" s="4">
        <f t="shared" si="82"/>
        <v>0</v>
      </c>
      <c r="BL47" s="4">
        <f t="shared" si="82"/>
        <v>0</v>
      </c>
      <c r="BM47" s="180"/>
      <c r="BN47" s="180">
        <f t="shared" si="83"/>
        <v>0</v>
      </c>
      <c r="BO47" s="38"/>
      <c r="BR47" s="179"/>
      <c r="BS47" s="4">
        <f>BC47*1.02</f>
        <v>0</v>
      </c>
      <c r="BU47" s="180"/>
      <c r="BV47" s="180"/>
      <c r="BW47" s="38"/>
      <c r="BZ47" s="179"/>
      <c r="CC47" s="180"/>
      <c r="CD47" s="180"/>
      <c r="CE47" s="38"/>
      <c r="CH47" s="179"/>
      <c r="CI47" s="4">
        <v>40</v>
      </c>
      <c r="CK47" s="180"/>
      <c r="CL47" s="180"/>
      <c r="CM47" s="38"/>
      <c r="CP47" s="179"/>
      <c r="CQ47" s="4">
        <v>12</v>
      </c>
      <c r="CR47" s="4">
        <f>CT47-CQ47</f>
        <v>12</v>
      </c>
      <c r="CS47" s="180"/>
      <c r="CT47" s="180">
        <v>24</v>
      </c>
      <c r="CX47" s="179"/>
      <c r="CY47" s="4">
        <v>12</v>
      </c>
      <c r="CZ47" s="4">
        <f>DB47-CY47</f>
        <v>11</v>
      </c>
      <c r="DA47" s="180"/>
      <c r="DB47" s="180">
        <v>23</v>
      </c>
      <c r="DF47" s="179"/>
      <c r="DG47" s="4">
        <v>11</v>
      </c>
      <c r="DH47" s="4">
        <f>DJ47-DG47</f>
        <v>12</v>
      </c>
      <c r="DI47" s="180"/>
      <c r="DJ47" s="180">
        <v>23</v>
      </c>
      <c r="DN47" s="179"/>
      <c r="DO47" s="4">
        <v>11</v>
      </c>
      <c r="DP47" s="4">
        <f>DR47-DO47</f>
        <v>10</v>
      </c>
      <c r="DQ47" s="180"/>
      <c r="DR47" s="180">
        <v>21</v>
      </c>
      <c r="DV47" s="179"/>
      <c r="DW47" s="4">
        <v>11</v>
      </c>
      <c r="DY47" s="180"/>
      <c r="DZ47" s="180"/>
      <c r="ED47" s="179"/>
      <c r="EG47" s="180"/>
      <c r="EH47" s="180"/>
      <c r="EL47" s="179"/>
      <c r="EO47" s="180"/>
      <c r="EP47" s="180"/>
      <c r="ET47" s="179"/>
      <c r="EW47" s="180"/>
      <c r="EX47" s="180"/>
      <c r="FB47" s="179"/>
      <c r="FE47" s="180"/>
      <c r="FF47" s="180"/>
      <c r="FG47" s="14"/>
    </row>
    <row r="48" spans="1:163" ht="11.25" customHeight="1" collapsed="1" x14ac:dyDescent="0.25">
      <c r="A48" s="4" t="s">
        <v>282</v>
      </c>
      <c r="C48" s="38"/>
      <c r="F48" s="179"/>
      <c r="G48" s="4">
        <f>G46</f>
        <v>22</v>
      </c>
      <c r="H48" s="4">
        <f>H46</f>
        <v>30</v>
      </c>
      <c r="I48" s="180"/>
      <c r="J48" s="180">
        <f>J46</f>
        <v>52</v>
      </c>
      <c r="K48" s="38"/>
      <c r="N48" s="179"/>
      <c r="O48" s="4">
        <f>O46</f>
        <v>18</v>
      </c>
      <c r="P48" s="4">
        <f>P46</f>
        <v>27</v>
      </c>
      <c r="Q48" s="180"/>
      <c r="R48" s="180">
        <f>R46</f>
        <v>45</v>
      </c>
      <c r="S48" s="38"/>
      <c r="V48" s="179"/>
      <c r="W48" s="4">
        <f>W46</f>
        <v>16</v>
      </c>
      <c r="X48" s="4">
        <f>Z48-W48</f>
        <v>29</v>
      </c>
      <c r="Y48" s="180"/>
      <c r="Z48" s="180">
        <f>Z46+Z47</f>
        <v>45</v>
      </c>
      <c r="AA48" s="38"/>
      <c r="AD48" s="179"/>
      <c r="AE48" s="4">
        <v>19</v>
      </c>
      <c r="AF48" s="4">
        <f>+AH48-AE48</f>
        <v>68</v>
      </c>
      <c r="AG48" s="180"/>
      <c r="AH48" s="180">
        <f>AH46+AH47</f>
        <v>87</v>
      </c>
      <c r="AI48" s="38"/>
      <c r="AL48" s="179"/>
      <c r="AM48" s="4">
        <f>AM46+AM47</f>
        <v>66</v>
      </c>
      <c r="AN48" s="4">
        <f>+AP48-AM48</f>
        <v>88</v>
      </c>
      <c r="AO48" s="180"/>
      <c r="AP48" s="180">
        <f>IS!O72</f>
        <v>154</v>
      </c>
      <c r="AQ48" s="38"/>
      <c r="AT48" s="179"/>
      <c r="AW48" s="180"/>
      <c r="AX48" s="180"/>
      <c r="AY48" s="38"/>
      <c r="BB48" s="179"/>
      <c r="BC48" s="4">
        <v>63</v>
      </c>
      <c r="BD48" s="4">
        <f>+BF48-BC48</f>
        <v>126</v>
      </c>
      <c r="BE48" s="180"/>
      <c r="BF48" s="180">
        <f>IS!P72</f>
        <v>189</v>
      </c>
      <c r="BG48" s="38"/>
      <c r="BJ48" s="179"/>
      <c r="BK48" s="4">
        <f t="shared" si="82"/>
        <v>63</v>
      </c>
      <c r="BL48" s="4">
        <f t="shared" si="82"/>
        <v>126</v>
      </c>
      <c r="BM48" s="180"/>
      <c r="BN48" s="180">
        <f t="shared" si="83"/>
        <v>189</v>
      </c>
      <c r="BO48" s="38"/>
      <c r="BR48" s="179"/>
      <c r="BS48" s="4">
        <v>64</v>
      </c>
      <c r="BT48" s="4">
        <f>BV48-BS48</f>
        <v>100</v>
      </c>
      <c r="BU48" s="180"/>
      <c r="BV48" s="180">
        <f>IS!Q72</f>
        <v>164</v>
      </c>
      <c r="BW48" s="38"/>
      <c r="BZ48" s="179"/>
      <c r="CA48" s="4">
        <v>29</v>
      </c>
      <c r="CB48" s="4">
        <f>CD48-CA48</f>
        <v>19</v>
      </c>
      <c r="CC48" s="180"/>
      <c r="CD48" s="180">
        <f>IS!R72</f>
        <v>48</v>
      </c>
      <c r="CE48" s="38"/>
      <c r="CH48" s="179"/>
      <c r="CI48" s="4">
        <v>36</v>
      </c>
      <c r="CJ48" s="4">
        <f>CL48-CI48</f>
        <v>4</v>
      </c>
      <c r="CK48" s="180"/>
      <c r="CL48" s="180">
        <f>IS!S72</f>
        <v>40</v>
      </c>
      <c r="CM48" s="38"/>
      <c r="CP48" s="179"/>
      <c r="CQ48" s="4">
        <f>CQ46-CQ47</f>
        <v>16</v>
      </c>
      <c r="CR48" s="4">
        <f>CT48-CQ48</f>
        <v>57</v>
      </c>
      <c r="CS48" s="180"/>
      <c r="CT48" s="180">
        <f>CT46-CT47</f>
        <v>73</v>
      </c>
      <c r="CX48" s="179"/>
      <c r="CY48" s="4">
        <f>CY46-CY47</f>
        <v>49</v>
      </c>
      <c r="CZ48" s="4">
        <f>DB48-CY48</f>
        <v>50</v>
      </c>
      <c r="DA48" s="180"/>
      <c r="DB48" s="180">
        <f>DB46-DB47</f>
        <v>99</v>
      </c>
      <c r="DF48" s="179"/>
      <c r="DG48" s="4">
        <f>DG46-DG47</f>
        <v>51</v>
      </c>
      <c r="DH48" s="4">
        <f>DJ48-DG48</f>
        <v>85</v>
      </c>
      <c r="DI48" s="180"/>
      <c r="DJ48" s="180">
        <f>DJ46-DJ47</f>
        <v>136</v>
      </c>
      <c r="DN48" s="179"/>
      <c r="DO48" s="4">
        <f>DO46-DO47</f>
        <v>65</v>
      </c>
      <c r="DP48" s="4">
        <f>DR48-DO48</f>
        <v>136</v>
      </c>
      <c r="DQ48" s="180"/>
      <c r="DR48" s="180">
        <f>DR46-DR47</f>
        <v>201</v>
      </c>
      <c r="DV48" s="179"/>
      <c r="DW48" s="4">
        <f>DW46-DW47</f>
        <v>109</v>
      </c>
      <c r="DX48" s="280">
        <f>DZ48-DW48</f>
        <v>91</v>
      </c>
      <c r="DY48" s="180"/>
      <c r="DZ48" s="182">
        <f>IS!X72</f>
        <v>200</v>
      </c>
      <c r="ED48" s="179"/>
      <c r="EE48" s="280">
        <f>EH48/2</f>
        <v>100</v>
      </c>
      <c r="EF48" s="280">
        <f>EH48-EE48</f>
        <v>100</v>
      </c>
      <c r="EG48" s="180"/>
      <c r="EH48" s="182">
        <f>IS!Y72</f>
        <v>200</v>
      </c>
      <c r="EL48" s="179"/>
      <c r="EM48" s="280">
        <f>EP48/2</f>
        <v>100</v>
      </c>
      <c r="EN48" s="280">
        <f>EP48-EM48</f>
        <v>100</v>
      </c>
      <c r="EO48" s="180"/>
      <c r="EP48" s="182">
        <f>IS!Z72</f>
        <v>200</v>
      </c>
      <c r="ET48" s="179"/>
      <c r="EU48" s="280">
        <f>EX48/2</f>
        <v>100</v>
      </c>
      <c r="EV48" s="280">
        <f>EX48-EU48</f>
        <v>100</v>
      </c>
      <c r="EW48" s="180"/>
      <c r="EX48" s="182">
        <f>IS!AA72</f>
        <v>200</v>
      </c>
      <c r="FB48" s="179"/>
      <c r="FC48" s="280">
        <f>FF48/2</f>
        <v>100</v>
      </c>
      <c r="FD48" s="280">
        <f>FF48-FC48</f>
        <v>100</v>
      </c>
      <c r="FE48" s="180"/>
      <c r="FF48" s="182">
        <f>IS!AB72</f>
        <v>200</v>
      </c>
      <c r="FG48" s="14"/>
    </row>
    <row r="49" spans="1:163" ht="11.25" customHeight="1" x14ac:dyDescent="0.25">
      <c r="C49" s="38"/>
      <c r="F49" s="179"/>
      <c r="I49" s="180"/>
      <c r="J49" s="180"/>
      <c r="K49" s="38"/>
      <c r="N49" s="179"/>
      <c r="Q49" s="180"/>
      <c r="R49" s="180"/>
      <c r="S49" s="38"/>
      <c r="V49" s="179"/>
      <c r="Y49" s="180"/>
      <c r="Z49" s="180"/>
      <c r="AA49" s="38"/>
      <c r="AD49" s="179"/>
      <c r="AG49" s="180"/>
      <c r="AH49" s="180"/>
      <c r="AI49" s="38"/>
      <c r="AL49" s="179"/>
      <c r="AO49" s="180"/>
      <c r="AP49" s="180"/>
      <c r="AQ49" s="38"/>
      <c r="AT49" s="179"/>
      <c r="AW49" s="180"/>
      <c r="AX49" s="180"/>
      <c r="AY49" s="38"/>
      <c r="BB49" s="179"/>
      <c r="BE49" s="180"/>
      <c r="BF49" s="180"/>
      <c r="BG49" s="38"/>
      <c r="BJ49" s="179"/>
      <c r="BM49" s="180"/>
      <c r="BN49" s="180"/>
      <c r="BO49" s="38"/>
      <c r="BR49" s="179"/>
      <c r="BU49" s="180"/>
      <c r="BV49" s="180"/>
      <c r="BW49" s="38"/>
      <c r="BZ49" s="179"/>
      <c r="CC49" s="180"/>
      <c r="CD49" s="180"/>
      <c r="CE49" s="38"/>
      <c r="CH49" s="179"/>
      <c r="CK49" s="180"/>
      <c r="CL49" s="180"/>
      <c r="CM49" s="38"/>
      <c r="CP49" s="179"/>
      <c r="CS49" s="180"/>
      <c r="CT49" s="180"/>
      <c r="CX49" s="179"/>
      <c r="DA49" s="180"/>
      <c r="DB49" s="180"/>
      <c r="DF49" s="179"/>
      <c r="DG49" s="1342"/>
      <c r="DI49" s="180"/>
      <c r="DJ49" s="180"/>
      <c r="DN49" s="179"/>
      <c r="DO49" s="1342"/>
      <c r="DQ49" s="180"/>
      <c r="DR49" s="180"/>
      <c r="DV49" s="179"/>
      <c r="DW49" s="1342"/>
      <c r="DY49" s="180"/>
      <c r="DZ49" s="180"/>
      <c r="ED49" s="179"/>
      <c r="EG49" s="180"/>
      <c r="EH49" s="180"/>
      <c r="EL49" s="179"/>
      <c r="EO49" s="180"/>
      <c r="EP49" s="180"/>
      <c r="ET49" s="179"/>
      <c r="EW49" s="180"/>
      <c r="EX49" s="180"/>
      <c r="FB49" s="179"/>
      <c r="FE49" s="180"/>
      <c r="FF49" s="180"/>
      <c r="FG49" s="14"/>
    </row>
    <row r="50" spans="1:163" ht="11.25" customHeight="1" x14ac:dyDescent="0.2">
      <c r="A50" s="186" t="s">
        <v>283</v>
      </c>
      <c r="C50" s="282"/>
      <c r="D50" s="186"/>
      <c r="E50" s="186"/>
      <c r="F50" s="283"/>
      <c r="G50" s="186">
        <f>G11+G39+G46</f>
        <v>842</v>
      </c>
      <c r="H50" s="186">
        <f>H11+H39+H46</f>
        <v>938</v>
      </c>
      <c r="I50" s="284"/>
      <c r="J50" s="284">
        <f>J11+J39+J46</f>
        <v>1780</v>
      </c>
      <c r="K50" s="282"/>
      <c r="L50" s="186"/>
      <c r="M50" s="186"/>
      <c r="N50" s="283"/>
      <c r="O50" s="186">
        <f>O11+O39+O46</f>
        <v>956</v>
      </c>
      <c r="P50" s="186">
        <f>P11+P39+P46</f>
        <v>1133</v>
      </c>
      <c r="Q50" s="284"/>
      <c r="R50" s="284">
        <f>R11+R39+R46</f>
        <v>2089</v>
      </c>
      <c r="S50" s="282"/>
      <c r="T50" s="186"/>
      <c r="U50" s="186"/>
      <c r="V50" s="283"/>
      <c r="W50" s="186">
        <f>W11+W39+W46</f>
        <v>1171</v>
      </c>
      <c r="X50" s="186">
        <f>X11+X39+X46</f>
        <v>1261</v>
      </c>
      <c r="Y50" s="284"/>
      <c r="Z50" s="284">
        <f>Z11+Z39+Z46</f>
        <v>2432</v>
      </c>
      <c r="AA50" s="282"/>
      <c r="AB50" s="186"/>
      <c r="AC50" s="186"/>
      <c r="AD50" s="283"/>
      <c r="AE50" s="186">
        <f>AE11+AE39+AE46</f>
        <v>1309</v>
      </c>
      <c r="AF50" s="186">
        <f>+AH50-AE50</f>
        <v>1095</v>
      </c>
      <c r="AG50" s="284"/>
      <c r="AH50" s="284">
        <f>AH11+AH39+AH46</f>
        <v>2404</v>
      </c>
      <c r="AI50" s="282"/>
      <c r="AJ50" s="186"/>
      <c r="AK50" s="186"/>
      <c r="AL50" s="283"/>
      <c r="AM50" s="186">
        <f>AM11+AM39+AM46</f>
        <v>1218</v>
      </c>
      <c r="AN50" s="186">
        <f>+AP50-AM50</f>
        <v>1252</v>
      </c>
      <c r="AO50" s="284"/>
      <c r="AP50" s="284">
        <f>AP11+AP39+AP46</f>
        <v>2470</v>
      </c>
      <c r="AQ50" s="282"/>
      <c r="AR50" s="186"/>
      <c r="AS50" s="186"/>
      <c r="AT50" s="283"/>
      <c r="AU50" s="186">
        <f>AU51+AU54+AU56+AU58</f>
        <v>1045</v>
      </c>
      <c r="AV50" s="186">
        <f>AV51+AV54+AV56+AV58</f>
        <v>1147</v>
      </c>
      <c r="AW50" s="284"/>
      <c r="AX50" s="284">
        <f>AX51+AX54+AX56+AX58</f>
        <v>2192</v>
      </c>
      <c r="AY50" s="282"/>
      <c r="AZ50" s="186"/>
      <c r="BA50" s="186"/>
      <c r="BB50" s="283"/>
      <c r="BC50" s="186">
        <f>BC11+BC39+BC46</f>
        <v>1386</v>
      </c>
      <c r="BD50" s="186">
        <f>+BF50-BC50</f>
        <v>1637</v>
      </c>
      <c r="BE50" s="284"/>
      <c r="BF50" s="284">
        <f>BF11+BF39+BF46</f>
        <v>3023</v>
      </c>
      <c r="BG50" s="282"/>
      <c r="BH50" s="186"/>
      <c r="BI50" s="186"/>
      <c r="BJ50" s="283"/>
      <c r="BK50" s="186">
        <f t="shared" si="82"/>
        <v>1386</v>
      </c>
      <c r="BL50" s="186">
        <f t="shared" si="82"/>
        <v>1637</v>
      </c>
      <c r="BM50" s="284"/>
      <c r="BN50" s="284">
        <f t="shared" si="83"/>
        <v>3023</v>
      </c>
      <c r="BO50" s="282"/>
      <c r="BP50" s="186"/>
      <c r="BQ50" s="186"/>
      <c r="BR50" s="283"/>
      <c r="BS50" s="186">
        <f>BS11+BS39+BS46</f>
        <v>1883</v>
      </c>
      <c r="BT50" s="186">
        <f>BT11+BT39+BT46</f>
        <v>1937</v>
      </c>
      <c r="BU50" s="284"/>
      <c r="BV50" s="284">
        <f>BV11+BV39+BV46</f>
        <v>3820</v>
      </c>
      <c r="BW50" s="282"/>
      <c r="BX50" s="186"/>
      <c r="BY50" s="186"/>
      <c r="BZ50" s="283"/>
      <c r="CA50" s="186">
        <f>CA11+CA39+CA46</f>
        <v>947</v>
      </c>
      <c r="CB50" s="186">
        <f>CB11+CB39+CB46</f>
        <v>739</v>
      </c>
      <c r="CC50" s="284"/>
      <c r="CD50" s="284">
        <f>CD11+CD39+CD46</f>
        <v>1686</v>
      </c>
      <c r="CE50" s="282"/>
      <c r="CF50" s="186"/>
      <c r="CG50" s="186"/>
      <c r="CH50" s="283"/>
      <c r="CI50" s="186">
        <f>CI51+CI52+CI53+CI58</f>
        <v>659</v>
      </c>
      <c r="CJ50" s="186">
        <f>CJ11+CJ39+CJ46</f>
        <v>1146</v>
      </c>
      <c r="CK50" s="284"/>
      <c r="CL50" s="284">
        <f>CL11+CL39+CL46</f>
        <v>1805</v>
      </c>
      <c r="CM50" s="282"/>
      <c r="CN50" s="186"/>
      <c r="CO50" s="186"/>
      <c r="CP50" s="283"/>
      <c r="CQ50" s="186">
        <f>+SUM(CQ51:CQ58)</f>
        <v>1047</v>
      </c>
      <c r="CR50" s="186">
        <f>CR11+CR39+CR46</f>
        <v>1361</v>
      </c>
      <c r="CS50" s="284"/>
      <c r="CT50" s="284">
        <f>CT11+CT39+CT46</f>
        <v>2408</v>
      </c>
      <c r="CU50" s="186"/>
      <c r="CV50" s="186"/>
      <c r="CW50" s="186"/>
      <c r="CX50" s="283"/>
      <c r="CY50" s="186">
        <f>+SUM(CY51:CY58)</f>
        <v>1397</v>
      </c>
      <c r="CZ50" s="186">
        <f>+SUM(CZ51:CZ58)</f>
        <v>1769</v>
      </c>
      <c r="DA50" s="284"/>
      <c r="DB50" s="284">
        <f>DB11+DB39+DB46</f>
        <v>3166</v>
      </c>
      <c r="DC50" s="186"/>
      <c r="DD50" s="186"/>
      <c r="DE50" s="186"/>
      <c r="DF50" s="283"/>
      <c r="DG50" s="186">
        <f>+SUM(DG51:DG58)</f>
        <v>1974</v>
      </c>
      <c r="DH50" s="186">
        <f>+SUM(DH51:DH58)</f>
        <v>2145</v>
      </c>
      <c r="DI50" s="284"/>
      <c r="DJ50" s="284">
        <f>DJ11+DJ39+DJ46</f>
        <v>4119</v>
      </c>
      <c r="DK50" s="186"/>
      <c r="DL50" s="186"/>
      <c r="DM50" s="186"/>
      <c r="DN50" s="283"/>
      <c r="DO50" s="186">
        <f>+SUM(DO51:DO58)</f>
        <v>2510</v>
      </c>
      <c r="DP50" s="186">
        <f>+SUM(DP51:DP58)</f>
        <v>2687.0000000000005</v>
      </c>
      <c r="DQ50" s="284"/>
      <c r="DR50" s="284">
        <f>DR11+DR39+DR46</f>
        <v>5197</v>
      </c>
      <c r="DS50" s="186"/>
      <c r="DT50" s="186"/>
      <c r="DU50" s="186"/>
      <c r="DV50" s="283"/>
      <c r="DW50" s="186">
        <f>+SUM(DW51:DW58)</f>
        <v>3237</v>
      </c>
      <c r="DX50" s="285">
        <f>DX11+DX39+DX46</f>
        <v>3510.4535518696975</v>
      </c>
      <c r="DY50" s="284"/>
      <c r="DZ50" s="286">
        <f>DZ11+DZ39+DZ46</f>
        <v>6750.877179101848</v>
      </c>
      <c r="EA50" s="186"/>
      <c r="EB50" s="186"/>
      <c r="EC50" s="186"/>
      <c r="ED50" s="283"/>
      <c r="EE50" s="285">
        <f>EE11+EE39+EE46</f>
        <v>2294.9510712875272</v>
      </c>
      <c r="EF50" s="285">
        <f>EF11+EF39+EF46</f>
        <v>5371.161239227029</v>
      </c>
      <c r="EG50" s="284"/>
      <c r="EH50" s="286">
        <f>EH11+EH39+EH46</f>
        <v>7666.1123105145525</v>
      </c>
      <c r="EI50" s="186"/>
      <c r="EJ50" s="186"/>
      <c r="EK50" s="186"/>
      <c r="EL50" s="283"/>
      <c r="EM50" s="285">
        <f>EM11+EM39+EM46</f>
        <v>2560.0590093367391</v>
      </c>
      <c r="EN50" s="285">
        <f>EN11+EN39+EN46</f>
        <v>5832.5661255592313</v>
      </c>
      <c r="EO50" s="284"/>
      <c r="EP50" s="286">
        <f>EP11+EP39+EP46</f>
        <v>8392.6251348959631</v>
      </c>
      <c r="EQ50" s="186"/>
      <c r="ER50" s="186"/>
      <c r="ES50" s="186"/>
      <c r="ET50" s="283"/>
      <c r="EU50" s="285">
        <f>EU11+EU39+EU46</f>
        <v>2743.0995470388916</v>
      </c>
      <c r="EV50" s="285">
        <f>EV11+EV39+EV46</f>
        <v>6213.481341977651</v>
      </c>
      <c r="EW50" s="284"/>
      <c r="EX50" s="286">
        <f>EX11+EX39+EX46</f>
        <v>8956.5808890165354</v>
      </c>
      <c r="EY50" s="186"/>
      <c r="EZ50" s="186"/>
      <c r="FA50" s="186"/>
      <c r="FB50" s="283"/>
      <c r="FC50" s="285">
        <f>FC11+FC39+FC46</f>
        <v>2891.8541552405441</v>
      </c>
      <c r="FD50" s="285">
        <f>FD11+FD39+FD46</f>
        <v>6435.1528213470992</v>
      </c>
      <c r="FE50" s="284"/>
      <c r="FF50" s="286">
        <f>FF11+FF39+FF46</f>
        <v>9327.0069765876397</v>
      </c>
    </row>
    <row r="51" spans="1:163" ht="11.25" customHeight="1" x14ac:dyDescent="0.2">
      <c r="A51" s="186"/>
      <c r="B51" s="4" t="s">
        <v>68</v>
      </c>
      <c r="C51" s="38"/>
      <c r="F51" s="179"/>
      <c r="G51" s="4">
        <v>631</v>
      </c>
      <c r="H51" s="4">
        <f>J51-G51</f>
        <v>727</v>
      </c>
      <c r="I51" s="180"/>
      <c r="J51" s="180">
        <v>1358</v>
      </c>
      <c r="K51" s="38"/>
      <c r="N51" s="179"/>
      <c r="O51" s="4">
        <v>727</v>
      </c>
      <c r="P51" s="4">
        <f>R51-O51</f>
        <v>906</v>
      </c>
      <c r="Q51" s="180"/>
      <c r="R51" s="180">
        <v>1633</v>
      </c>
      <c r="S51" s="38"/>
      <c r="V51" s="179"/>
      <c r="W51" s="4">
        <v>944</v>
      </c>
      <c r="X51" s="4">
        <f>Z51-W51</f>
        <v>889</v>
      </c>
      <c r="Y51" s="180"/>
      <c r="Z51" s="180">
        <f>Divisional!M38</f>
        <v>1833</v>
      </c>
      <c r="AA51" s="38"/>
      <c r="AD51" s="179"/>
      <c r="AE51" s="4">
        <v>942</v>
      </c>
      <c r="AF51" s="4">
        <f>+AH51-AE51</f>
        <v>844</v>
      </c>
      <c r="AG51" s="180"/>
      <c r="AH51" s="180">
        <f>Divisional!N38</f>
        <v>1786</v>
      </c>
      <c r="AI51" s="38"/>
      <c r="AL51" s="179"/>
      <c r="AM51" s="4">
        <v>849</v>
      </c>
      <c r="AN51" s="4">
        <f>+AP51-AM51</f>
        <v>880</v>
      </c>
      <c r="AO51" s="180"/>
      <c r="AP51" s="180">
        <f>Divisional!O38</f>
        <v>1729</v>
      </c>
      <c r="AQ51" s="38"/>
      <c r="AT51" s="179"/>
      <c r="AU51" s="4">
        <v>721</v>
      </c>
      <c r="AV51" s="4">
        <f>AX51-AU51</f>
        <v>795</v>
      </c>
      <c r="AW51" s="180"/>
      <c r="AX51" s="180">
        <f>Divisional!P38</f>
        <v>1516</v>
      </c>
      <c r="AY51" s="38"/>
      <c r="BB51" s="179"/>
      <c r="BC51" s="4">
        <v>868</v>
      </c>
      <c r="BD51" s="4">
        <f>+BF51-BC51</f>
        <v>1061</v>
      </c>
      <c r="BE51" s="180"/>
      <c r="BF51" s="180">
        <f>Divisional!Q38</f>
        <v>1929</v>
      </c>
      <c r="BG51" s="38"/>
      <c r="BJ51" s="179"/>
      <c r="BK51" s="4">
        <v>915</v>
      </c>
      <c r="BL51" s="4">
        <f>BN51-BK51</f>
        <v>1115</v>
      </c>
      <c r="BM51" s="180"/>
      <c r="BN51" s="180">
        <f>Divisional!R38</f>
        <v>2030</v>
      </c>
      <c r="BO51" s="38"/>
      <c r="BR51" s="179"/>
      <c r="BS51" s="4">
        <v>1227</v>
      </c>
      <c r="BT51" s="4">
        <f>BV51-BS51</f>
        <v>1258</v>
      </c>
      <c r="BU51" s="180"/>
      <c r="BV51" s="180">
        <f>Divisional!S38</f>
        <v>2485</v>
      </c>
      <c r="BW51" s="38"/>
      <c r="BZ51" s="179"/>
      <c r="CA51" s="4">
        <v>699</v>
      </c>
      <c r="CB51" s="4">
        <f>CD51-CA51</f>
        <v>493</v>
      </c>
      <c r="CC51" s="180"/>
      <c r="CD51" s="180">
        <f>Divisional!T38</f>
        <v>1192</v>
      </c>
      <c r="CE51" s="38"/>
      <c r="CH51" s="179"/>
      <c r="CI51" s="4">
        <v>504</v>
      </c>
      <c r="CJ51" s="4">
        <f>CL51-CI51</f>
        <v>838</v>
      </c>
      <c r="CK51" s="180"/>
      <c r="CL51" s="180">
        <f>Divisional!U38</f>
        <v>1342</v>
      </c>
      <c r="CM51" s="38"/>
      <c r="CP51" s="179"/>
      <c r="CQ51" s="4">
        <v>723</v>
      </c>
      <c r="CR51" s="4">
        <f>CT51-CQ51</f>
        <v>987</v>
      </c>
      <c r="CS51" s="180"/>
      <c r="CT51" s="180">
        <f>Divisional!V38</f>
        <v>1710</v>
      </c>
      <c r="CX51" s="179"/>
      <c r="CY51" s="4">
        <v>1051</v>
      </c>
      <c r="CZ51" s="4">
        <f>Propulsion!AD22</f>
        <v>1339</v>
      </c>
      <c r="DA51" s="180"/>
      <c r="DB51" s="291">
        <f>Divisional!W38</f>
        <v>2390</v>
      </c>
      <c r="DF51" s="179"/>
      <c r="DG51" s="4">
        <f>Propulsion!AK22</f>
        <v>1285</v>
      </c>
      <c r="DH51" s="4">
        <f>Propulsion!AL22</f>
        <v>1534.0000000000002</v>
      </c>
      <c r="DI51" s="180"/>
      <c r="DJ51" s="291">
        <f>Divisional!X38</f>
        <v>2819</v>
      </c>
      <c r="DN51" s="179"/>
      <c r="DO51" s="4">
        <f>Propulsion!AS22</f>
        <v>1758</v>
      </c>
      <c r="DP51" s="4">
        <f>Propulsion!AT22</f>
        <v>1842.0000000000005</v>
      </c>
      <c r="DQ51" s="180"/>
      <c r="DR51" s="291">
        <f>Divisional!Y38</f>
        <v>3600</v>
      </c>
      <c r="DV51" s="179"/>
      <c r="DW51" s="4">
        <f>Propulsion!BA22</f>
        <v>2253</v>
      </c>
      <c r="DX51" s="11">
        <f>Propulsion!BB22</f>
        <v>2408.5973195821471</v>
      </c>
      <c r="DY51" s="180"/>
      <c r="DZ51" s="287">
        <f>Divisional!Z38</f>
        <v>4661.597319582148</v>
      </c>
      <c r="ED51" s="179"/>
      <c r="EE51" s="11">
        <f>Propulsion!BI22</f>
        <v>2324.738528083763</v>
      </c>
      <c r="EF51" s="11">
        <f>Propulsion!BJ22</f>
        <v>2879.4413894432291</v>
      </c>
      <c r="EG51" s="180"/>
      <c r="EH51" s="287">
        <f>Divisional!AA38</f>
        <v>5204.1799175269916</v>
      </c>
      <c r="EL51" s="179"/>
      <c r="EM51" s="11">
        <f>Propulsion!BQ22</f>
        <v>2600.5790816846898</v>
      </c>
      <c r="EN51" s="11">
        <f>Propulsion!BR22</f>
        <v>2987.7308978587062</v>
      </c>
      <c r="EO51" s="180"/>
      <c r="EP51" s="287">
        <f>Divisional!AB38</f>
        <v>5588.3099795433955</v>
      </c>
      <c r="ET51" s="179"/>
      <c r="EU51" s="11">
        <f>Propulsion!BY22</f>
        <v>2866.6254960395672</v>
      </c>
      <c r="EV51" s="11">
        <f>Propulsion!BZ22</f>
        <v>3020.6956728030646</v>
      </c>
      <c r="EW51" s="180"/>
      <c r="EX51" s="287">
        <f>Divisional!AC38</f>
        <v>5887.3211688426318</v>
      </c>
      <c r="FB51" s="179"/>
      <c r="FC51" s="11">
        <f>Propulsion!CG22</f>
        <v>2917.6261869212003</v>
      </c>
      <c r="FD51" s="11">
        <f>Propulsion!CH22</f>
        <v>3199.5398608528449</v>
      </c>
      <c r="FE51" s="180"/>
      <c r="FF51" s="287">
        <f>Divisional!AD38</f>
        <v>6117.1660477740452</v>
      </c>
    </row>
    <row r="52" spans="1:163" ht="11.25" customHeight="1" x14ac:dyDescent="0.2">
      <c r="A52" s="186"/>
      <c r="B52" s="4" t="s">
        <v>79</v>
      </c>
      <c r="C52" s="38"/>
      <c r="F52" s="179"/>
      <c r="I52" s="180"/>
      <c r="J52" s="180"/>
      <c r="K52" s="38"/>
      <c r="N52" s="179"/>
      <c r="Q52" s="180"/>
      <c r="R52" s="180"/>
      <c r="S52" s="38"/>
      <c r="V52" s="179"/>
      <c r="Y52" s="180"/>
      <c r="Z52" s="180"/>
      <c r="AA52" s="38"/>
      <c r="AD52" s="179"/>
      <c r="AG52" s="180"/>
      <c r="AH52" s="180"/>
      <c r="AI52" s="38"/>
      <c r="AL52" s="179"/>
      <c r="AO52" s="180"/>
      <c r="AP52" s="180"/>
      <c r="AQ52" s="38"/>
      <c r="AT52" s="179"/>
      <c r="AW52" s="180"/>
      <c r="AX52" s="180"/>
      <c r="AY52" s="38"/>
      <c r="BB52" s="179"/>
      <c r="BE52" s="180"/>
      <c r="BF52" s="180"/>
      <c r="BG52" s="38"/>
      <c r="BJ52" s="179"/>
      <c r="BK52" s="4">
        <v>442</v>
      </c>
      <c r="BL52" s="4">
        <f>BN52-BK52</f>
        <v>550</v>
      </c>
      <c r="BM52" s="180"/>
      <c r="BN52" s="180">
        <f>Divisional!R39</f>
        <v>992</v>
      </c>
      <c r="BO52" s="38"/>
      <c r="BR52" s="179"/>
      <c r="BS52" s="4">
        <v>588</v>
      </c>
      <c r="BT52" s="4">
        <f>BV52-BS52</f>
        <v>621</v>
      </c>
      <c r="BU52" s="180"/>
      <c r="BV52" s="180">
        <f>Divisional!S39</f>
        <v>1209</v>
      </c>
      <c r="BW52" s="38"/>
      <c r="BZ52" s="179"/>
      <c r="CA52" s="4">
        <v>343</v>
      </c>
      <c r="CB52" s="4">
        <f>CD52-CA52</f>
        <v>344</v>
      </c>
      <c r="CC52" s="180"/>
      <c r="CD52" s="180">
        <f>Divisional!T39</f>
        <v>687</v>
      </c>
      <c r="CE52" s="38"/>
      <c r="CH52" s="179"/>
      <c r="CI52" s="4">
        <v>270</v>
      </c>
      <c r="CJ52" s="4">
        <f>CL52-CI52</f>
        <v>380</v>
      </c>
      <c r="CK52" s="180"/>
      <c r="CL52" s="180">
        <f>Divisional!U39</f>
        <v>650</v>
      </c>
      <c r="CM52" s="38"/>
      <c r="CP52" s="179"/>
      <c r="CQ52" s="4">
        <v>411</v>
      </c>
      <c r="CR52" s="4">
        <f>CT52-CQ52</f>
        <v>463</v>
      </c>
      <c r="CS52" s="180"/>
      <c r="CT52" s="180">
        <f>Divisional!V39</f>
        <v>874</v>
      </c>
      <c r="CX52" s="179"/>
      <c r="CY52" s="4">
        <v>466</v>
      </c>
      <c r="CZ52" s="4">
        <f>'Equipment &amp; Defense'!AB21</f>
        <v>526</v>
      </c>
      <c r="DA52" s="180"/>
      <c r="DB52" s="291">
        <f>Divisional!W39</f>
        <v>992</v>
      </c>
      <c r="DF52" s="179"/>
      <c r="DG52" s="4">
        <f>'Equipment &amp; Defense'!AI21</f>
        <v>657</v>
      </c>
      <c r="DH52" s="4">
        <f>'Equipment &amp; Defense'!AJ21</f>
        <v>641</v>
      </c>
      <c r="DI52" s="180"/>
      <c r="DJ52" s="291">
        <f>Divisional!X39</f>
        <v>1298</v>
      </c>
      <c r="DN52" s="179"/>
      <c r="DO52" s="4">
        <f>'Equipment &amp; Defense'!AQ21</f>
        <v>703</v>
      </c>
      <c r="DP52" s="4">
        <f>'Equipment &amp; Defense'!AR21</f>
        <v>862</v>
      </c>
      <c r="DQ52" s="180"/>
      <c r="DR52" s="291">
        <f>Divisional!Y39</f>
        <v>1565</v>
      </c>
      <c r="DV52" s="179"/>
      <c r="DW52" s="4">
        <f>'Equipment &amp; Defense'!AY21</f>
        <v>907</v>
      </c>
      <c r="DX52" s="11">
        <f>'Equipment &amp; Defense'!AZ21</f>
        <v>1073.2121744310227</v>
      </c>
      <c r="DY52" s="180"/>
      <c r="DZ52" s="287">
        <f>Divisional!Z39</f>
        <v>1980.2121744310227</v>
      </c>
      <c r="ED52" s="179"/>
      <c r="EE52" s="11">
        <f>'Equipment &amp; Defense'!BG21</f>
        <v>1088.0926017877739</v>
      </c>
      <c r="EF52" s="11">
        <f>'Equipment &amp; Defense'!BH21</f>
        <v>1215.2794893527177</v>
      </c>
      <c r="EG52" s="180"/>
      <c r="EH52" s="287">
        <f>Divisional!AA39</f>
        <v>2303.3720911404916</v>
      </c>
      <c r="EL52" s="179"/>
      <c r="EM52" s="11">
        <f>'Equipment &amp; Defense'!BO21</f>
        <v>1223.0677404223595</v>
      </c>
      <c r="EN52" s="11">
        <f>'Equipment &amp; Defense'!BP21</f>
        <v>1366.7185510259949</v>
      </c>
      <c r="EO52" s="180"/>
      <c r="EP52" s="287">
        <f>Divisional!AB39</f>
        <v>2589.7862914483544</v>
      </c>
      <c r="ET52" s="179"/>
      <c r="EU52" s="11">
        <f>'Equipment &amp; Defense'!BW21</f>
        <v>1318.7430562794914</v>
      </c>
      <c r="EV52" s="11">
        <f>'Equipment &amp; Defense'!BX21</f>
        <v>1474.3734075550308</v>
      </c>
      <c r="EW52" s="180"/>
      <c r="EX52" s="287">
        <f>Divisional!AC39</f>
        <v>2793.1164638345222</v>
      </c>
      <c r="FB52" s="179"/>
      <c r="FC52" s="11">
        <f>'Equipment &amp; Defense'!CE21</f>
        <v>1377.7610602658424</v>
      </c>
      <c r="FD52" s="11">
        <f>'Equipment &amp; Defense'!CF21</f>
        <v>1541.1524790286198</v>
      </c>
      <c r="FE52" s="180"/>
      <c r="FF52" s="287">
        <f>Divisional!AD39</f>
        <v>2918.9135392944622</v>
      </c>
    </row>
    <row r="53" spans="1:163" ht="11.25" customHeight="1" x14ac:dyDescent="0.2">
      <c r="A53" s="186"/>
      <c r="B53" s="4" t="s">
        <v>70</v>
      </c>
      <c r="C53" s="38"/>
      <c r="F53" s="179"/>
      <c r="I53" s="180"/>
      <c r="J53" s="180"/>
      <c r="K53" s="38"/>
      <c r="N53" s="179"/>
      <c r="Q53" s="180"/>
      <c r="R53" s="180"/>
      <c r="S53" s="38"/>
      <c r="V53" s="179"/>
      <c r="Y53" s="180"/>
      <c r="Z53" s="180"/>
      <c r="AA53" s="38"/>
      <c r="AD53" s="179"/>
      <c r="AG53" s="180"/>
      <c r="AH53" s="180"/>
      <c r="AI53" s="38"/>
      <c r="AL53" s="179"/>
      <c r="AO53" s="180"/>
      <c r="AP53" s="180"/>
      <c r="AQ53" s="38"/>
      <c r="AT53" s="179"/>
      <c r="AW53" s="180"/>
      <c r="AX53" s="180"/>
      <c r="AY53" s="38"/>
      <c r="BB53" s="179"/>
      <c r="BE53" s="180"/>
      <c r="BF53" s="180"/>
      <c r="BG53" s="38"/>
      <c r="BJ53" s="179"/>
      <c r="BK53" s="4">
        <v>32</v>
      </c>
      <c r="BL53" s="4">
        <f>BN53-BK53</f>
        <v>49</v>
      </c>
      <c r="BM53" s="180"/>
      <c r="BN53" s="180">
        <f>Divisional!R40</f>
        <v>81</v>
      </c>
      <c r="BO53" s="38"/>
      <c r="BR53" s="179"/>
      <c r="BS53" s="4">
        <v>85</v>
      </c>
      <c r="BT53" s="4">
        <f>BV53-BS53</f>
        <v>103</v>
      </c>
      <c r="BU53" s="180"/>
      <c r="BV53" s="180">
        <f>Divisional!S40</f>
        <v>188</v>
      </c>
      <c r="BW53" s="38"/>
      <c r="BZ53" s="179"/>
      <c r="CA53" s="4">
        <v>-101</v>
      </c>
      <c r="CB53" s="4">
        <f>CD53-CA53</f>
        <v>-73</v>
      </c>
      <c r="CC53" s="180"/>
      <c r="CD53" s="180">
        <f>Divisional!T40</f>
        <v>-174</v>
      </c>
      <c r="CE53" s="38"/>
      <c r="CH53" s="179"/>
      <c r="CI53" s="4">
        <v>-110</v>
      </c>
      <c r="CJ53" s="4">
        <f>CL53-CI53</f>
        <v>-57</v>
      </c>
      <c r="CK53" s="180"/>
      <c r="CL53" s="180">
        <f>Divisional!U40</f>
        <v>-167</v>
      </c>
      <c r="CM53" s="38"/>
      <c r="CP53" s="179"/>
      <c r="CQ53" s="4">
        <v>-82</v>
      </c>
      <c r="CR53" s="4">
        <f>CT53-CQ53</f>
        <v>-58</v>
      </c>
      <c r="CS53" s="180"/>
      <c r="CT53" s="180">
        <f>Divisional!V40</f>
        <v>-140</v>
      </c>
      <c r="CX53" s="179"/>
      <c r="CY53" s="4">
        <v>-100</v>
      </c>
      <c r="CZ53" s="4">
        <f>Interiors!M20</f>
        <v>-16</v>
      </c>
      <c r="DA53" s="180"/>
      <c r="DB53" s="291">
        <f>Divisional!W40</f>
        <v>-116</v>
      </c>
      <c r="DF53" s="179"/>
      <c r="DG53" s="4">
        <f>Interiors!T20</f>
        <v>10</v>
      </c>
      <c r="DH53" s="4">
        <f>Interiors!U20</f>
        <v>17</v>
      </c>
      <c r="DI53" s="180"/>
      <c r="DJ53" s="291">
        <f>Divisional!X40</f>
        <v>27</v>
      </c>
      <c r="DN53" s="179"/>
      <c r="DO53" s="4">
        <f>Interiors!AB20</f>
        <v>27</v>
      </c>
      <c r="DP53" s="4">
        <f>Interiors!AC20</f>
        <v>81</v>
      </c>
      <c r="DQ53" s="180"/>
      <c r="DR53" s="291">
        <f>Divisional!Y40</f>
        <v>108</v>
      </c>
      <c r="DV53" s="179"/>
      <c r="DW53" s="4">
        <f>Interiors!AJ20</f>
        <v>54</v>
      </c>
      <c r="DX53" s="11">
        <f>Interiors!AK20</f>
        <v>105.06768508867856</v>
      </c>
      <c r="DY53" s="180"/>
      <c r="DZ53" s="287">
        <f>Divisional!Z40</f>
        <v>159.06768508867856</v>
      </c>
      <c r="ED53" s="179"/>
      <c r="EE53" s="11">
        <f>Interiors!AR20</f>
        <v>95.385570934256052</v>
      </c>
      <c r="EF53" s="11">
        <f>Interiors!AS20</f>
        <v>113.17473091280998</v>
      </c>
      <c r="EG53" s="180"/>
      <c r="EH53" s="287">
        <f>Divisional!AA40</f>
        <v>208.56030184706603</v>
      </c>
      <c r="EL53" s="179"/>
      <c r="EM53" s="11">
        <f>Interiors!AZ20</f>
        <v>120.90859210886241</v>
      </c>
      <c r="EN53" s="11">
        <f>Interiors!BA20</f>
        <v>143.62027179534925</v>
      </c>
      <c r="EO53" s="180"/>
      <c r="EP53" s="287">
        <f>Divisional!AB40</f>
        <v>264.52886390421168</v>
      </c>
      <c r="ET53" s="179"/>
      <c r="EU53" s="11">
        <f>Interiors!BH20</f>
        <v>148.97897746962266</v>
      </c>
      <c r="EV53" s="11">
        <f>Interiors!BI20</f>
        <v>177.16427886975586</v>
      </c>
      <c r="EW53" s="180"/>
      <c r="EX53" s="287">
        <f>Divisional!AC40</f>
        <v>326.14325633937852</v>
      </c>
      <c r="FB53" s="179"/>
      <c r="FC53" s="11">
        <f>Interiors!BP20</f>
        <v>155.63383372837822</v>
      </c>
      <c r="FD53" s="11">
        <f>Interiors!BQ20</f>
        <v>185.29355579075261</v>
      </c>
      <c r="FE53" s="180"/>
      <c r="FF53" s="287">
        <f>Divisional!AD40</f>
        <v>340.92738951913083</v>
      </c>
    </row>
    <row r="54" spans="1:163" ht="11.25" hidden="1" customHeight="1" outlineLevel="1" x14ac:dyDescent="0.2">
      <c r="A54" s="186"/>
      <c r="B54" s="187" t="s">
        <v>69</v>
      </c>
      <c r="C54" s="288"/>
      <c r="D54" s="289"/>
      <c r="E54" s="289"/>
      <c r="F54" s="290"/>
      <c r="G54" s="289">
        <v>174</v>
      </c>
      <c r="H54" s="289">
        <f>J54-G54</f>
        <v>202</v>
      </c>
      <c r="I54" s="291"/>
      <c r="J54" s="291">
        <v>376</v>
      </c>
      <c r="K54" s="288"/>
      <c r="L54" s="289"/>
      <c r="M54" s="289"/>
      <c r="N54" s="290"/>
      <c r="O54" s="289">
        <v>197</v>
      </c>
      <c r="P54" s="289">
        <f>R54-O54</f>
        <v>229</v>
      </c>
      <c r="Q54" s="291"/>
      <c r="R54" s="291">
        <v>426</v>
      </c>
      <c r="S54" s="288"/>
      <c r="T54" s="289"/>
      <c r="U54" s="289"/>
      <c r="V54" s="290"/>
      <c r="W54" s="289">
        <v>199</v>
      </c>
      <c r="X54" s="289">
        <f>Z54-W54</f>
        <v>267</v>
      </c>
      <c r="Y54" s="291"/>
      <c r="Z54" s="291">
        <f>Divisional!M41</f>
        <v>466</v>
      </c>
      <c r="AA54" s="288"/>
      <c r="AB54" s="289"/>
      <c r="AC54" s="289"/>
      <c r="AD54" s="290"/>
      <c r="AE54" s="289">
        <v>271</v>
      </c>
      <c r="AF54" s="289">
        <f>+AH54-AE54</f>
        <v>296</v>
      </c>
      <c r="AG54" s="291"/>
      <c r="AH54" s="291">
        <f>Divisional!N41</f>
        <v>567</v>
      </c>
      <c r="AI54" s="288"/>
      <c r="AJ54" s="289"/>
      <c r="AK54" s="289"/>
      <c r="AL54" s="290"/>
      <c r="AM54" s="289">
        <v>327</v>
      </c>
      <c r="AN54" s="289">
        <f>+AP54-AM54</f>
        <v>355</v>
      </c>
      <c r="AO54" s="291"/>
      <c r="AP54" s="291">
        <f>Divisional!O41</f>
        <v>682</v>
      </c>
      <c r="AQ54" s="288"/>
      <c r="AR54" s="289"/>
      <c r="AS54" s="289"/>
      <c r="AT54" s="290"/>
      <c r="AU54" s="289">
        <v>287</v>
      </c>
      <c r="AV54" s="289">
        <f>AX54-AU54</f>
        <v>332</v>
      </c>
      <c r="AW54" s="291"/>
      <c r="AX54" s="291">
        <f>Divisional!P41</f>
        <v>619</v>
      </c>
      <c r="AY54" s="288"/>
      <c r="AZ54" s="289"/>
      <c r="BA54" s="289"/>
      <c r="BB54" s="290"/>
      <c r="BC54" s="289">
        <v>347</v>
      </c>
      <c r="BD54" s="289">
        <f>+BF54-BC54</f>
        <v>423</v>
      </c>
      <c r="BE54" s="291"/>
      <c r="BF54" s="291">
        <f>Divisional!Q41</f>
        <v>770</v>
      </c>
      <c r="BG54" s="288"/>
      <c r="BH54" s="289"/>
      <c r="BI54" s="289"/>
      <c r="BJ54" s="290"/>
      <c r="BK54" s="289"/>
      <c r="BL54" s="289"/>
      <c r="BM54" s="291"/>
      <c r="BN54" s="291"/>
      <c r="BO54" s="288"/>
      <c r="BP54" s="289"/>
      <c r="BQ54" s="289"/>
      <c r="BR54" s="290"/>
      <c r="BS54" s="289"/>
      <c r="BT54" s="289"/>
      <c r="BU54" s="291"/>
      <c r="BV54" s="291"/>
      <c r="BW54" s="288"/>
      <c r="BX54" s="289"/>
      <c r="BY54" s="289"/>
      <c r="BZ54" s="290"/>
      <c r="CA54" s="289"/>
      <c r="CB54" s="289"/>
      <c r="CC54" s="291"/>
      <c r="CD54" s="291"/>
      <c r="CE54" s="288"/>
      <c r="CF54" s="289"/>
      <c r="CG54" s="289"/>
      <c r="CH54" s="290"/>
      <c r="CI54" s="289"/>
      <c r="CJ54" s="289"/>
      <c r="CK54" s="291"/>
      <c r="CL54" s="291"/>
      <c r="CM54" s="288"/>
      <c r="CN54" s="289"/>
      <c r="CO54" s="289"/>
      <c r="CP54" s="290"/>
      <c r="CQ54" s="289"/>
      <c r="CR54" s="289"/>
      <c r="CS54" s="291"/>
      <c r="CT54" s="291"/>
      <c r="CU54" s="289"/>
      <c r="CV54" s="289"/>
      <c r="CW54" s="289"/>
      <c r="CX54" s="290"/>
      <c r="CY54" s="289"/>
      <c r="CZ54" s="289"/>
      <c r="DA54" s="291"/>
      <c r="DB54" s="291"/>
      <c r="DC54" s="289"/>
      <c r="DD54" s="289"/>
      <c r="DE54" s="289"/>
      <c r="DF54" s="290"/>
      <c r="DG54" s="289"/>
      <c r="DH54" s="289"/>
      <c r="DI54" s="291"/>
      <c r="DJ54" s="291"/>
      <c r="DK54" s="289"/>
      <c r="DL54" s="289"/>
      <c r="DM54" s="289"/>
      <c r="DN54" s="290"/>
      <c r="DO54" s="289"/>
      <c r="DP54" s="289"/>
      <c r="DQ54" s="291"/>
      <c r="DR54" s="291"/>
      <c r="DS54" s="289"/>
      <c r="DT54" s="289"/>
      <c r="DU54" s="289"/>
      <c r="DV54" s="290"/>
      <c r="DW54" s="289"/>
      <c r="DX54" s="289"/>
      <c r="DY54" s="291"/>
      <c r="DZ54" s="291"/>
      <c r="EA54" s="289"/>
      <c r="EB54" s="289"/>
      <c r="EC54" s="289"/>
      <c r="ED54" s="290"/>
      <c r="EE54" s="289"/>
      <c r="EF54" s="289"/>
      <c r="EG54" s="291"/>
      <c r="EH54" s="291"/>
      <c r="EI54" s="289"/>
      <c r="EJ54" s="289"/>
      <c r="EK54" s="289"/>
      <c r="EL54" s="290"/>
      <c r="EM54" s="289"/>
      <c r="EN54" s="289"/>
      <c r="EO54" s="291"/>
      <c r="EP54" s="291"/>
      <c r="EQ54" s="289"/>
      <c r="ER54" s="289"/>
      <c r="ES54" s="289"/>
      <c r="ET54" s="290"/>
      <c r="EU54" s="289"/>
      <c r="EV54" s="289"/>
      <c r="EW54" s="291"/>
      <c r="EX54" s="291"/>
      <c r="EY54" s="289"/>
      <c r="EZ54" s="289"/>
      <c r="FA54" s="289"/>
      <c r="FB54" s="290"/>
      <c r="FC54" s="289"/>
      <c r="FD54" s="289"/>
      <c r="FE54" s="291"/>
      <c r="FF54" s="291"/>
    </row>
    <row r="55" spans="1:163" ht="11.25" hidden="1" customHeight="1" outlineLevel="1" x14ac:dyDescent="0.2">
      <c r="A55" s="186"/>
      <c r="B55" s="187" t="s">
        <v>81</v>
      </c>
      <c r="C55" s="288"/>
      <c r="D55" s="289"/>
      <c r="E55" s="289"/>
      <c r="F55" s="290"/>
      <c r="G55" s="289"/>
      <c r="H55" s="289"/>
      <c r="I55" s="291"/>
      <c r="J55" s="291"/>
      <c r="K55" s="288"/>
      <c r="L55" s="289"/>
      <c r="M55" s="289"/>
      <c r="N55" s="290"/>
      <c r="O55" s="289"/>
      <c r="P55" s="289"/>
      <c r="Q55" s="291"/>
      <c r="R55" s="291"/>
      <c r="S55" s="288"/>
      <c r="T55" s="289"/>
      <c r="U55" s="289"/>
      <c r="V55" s="290"/>
      <c r="W55" s="289"/>
      <c r="X55" s="289"/>
      <c r="Y55" s="291"/>
      <c r="Z55" s="291"/>
      <c r="AA55" s="288"/>
      <c r="AB55" s="289"/>
      <c r="AC55" s="289"/>
      <c r="AD55" s="290"/>
      <c r="AE55" s="289"/>
      <c r="AF55" s="289"/>
      <c r="AG55" s="291"/>
      <c r="AH55" s="291"/>
      <c r="AI55" s="288"/>
      <c r="AJ55" s="289"/>
      <c r="AK55" s="289"/>
      <c r="AL55" s="290"/>
      <c r="AM55" s="289"/>
      <c r="AN55" s="289"/>
      <c r="AO55" s="291"/>
      <c r="AP55" s="291"/>
      <c r="AQ55" s="288"/>
      <c r="AR55" s="289"/>
      <c r="AS55" s="289"/>
      <c r="AT55" s="290"/>
      <c r="AU55" s="289"/>
      <c r="AV55" s="289"/>
      <c r="AW55" s="291"/>
      <c r="AX55" s="291"/>
      <c r="AY55" s="288"/>
      <c r="AZ55" s="289"/>
      <c r="BA55" s="289"/>
      <c r="BB55" s="290"/>
      <c r="BC55" s="289">
        <v>129</v>
      </c>
      <c r="BD55" s="289">
        <f>BF55-BC55</f>
        <v>157</v>
      </c>
      <c r="BE55" s="291"/>
      <c r="BF55" s="291">
        <f>Divisional!Q43</f>
        <v>286</v>
      </c>
      <c r="BG55" s="288"/>
      <c r="BH55" s="289"/>
      <c r="BI55" s="289"/>
      <c r="BJ55" s="290"/>
      <c r="BK55" s="289"/>
      <c r="BL55" s="289"/>
      <c r="BM55" s="291"/>
      <c r="BN55" s="291"/>
      <c r="BO55" s="288"/>
      <c r="BP55" s="289"/>
      <c r="BQ55" s="289"/>
      <c r="BR55" s="290"/>
      <c r="BS55" s="289"/>
      <c r="BT55" s="289"/>
      <c r="BU55" s="291"/>
      <c r="BV55" s="291"/>
      <c r="BW55" s="288"/>
      <c r="BX55" s="289"/>
      <c r="BY55" s="289"/>
      <c r="BZ55" s="290"/>
      <c r="CA55" s="289"/>
      <c r="CB55" s="289"/>
      <c r="CC55" s="291"/>
      <c r="CD55" s="291"/>
      <c r="CE55" s="288"/>
      <c r="CF55" s="289"/>
      <c r="CG55" s="289"/>
      <c r="CH55" s="290"/>
      <c r="CI55" s="289"/>
      <c r="CJ55" s="289"/>
      <c r="CK55" s="291"/>
      <c r="CL55" s="291"/>
      <c r="CM55" s="288"/>
      <c r="CN55" s="289"/>
      <c r="CO55" s="289"/>
      <c r="CP55" s="290"/>
      <c r="CQ55" s="289"/>
      <c r="CR55" s="289"/>
      <c r="CS55" s="291"/>
      <c r="CT55" s="291"/>
      <c r="CU55" s="289"/>
      <c r="CV55" s="289"/>
      <c r="CW55" s="289"/>
      <c r="CX55" s="290"/>
      <c r="CY55" s="289"/>
      <c r="CZ55" s="289"/>
      <c r="DA55" s="291"/>
      <c r="DB55" s="291"/>
      <c r="DC55" s="289"/>
      <c r="DD55" s="289"/>
      <c r="DE55" s="289"/>
      <c r="DF55" s="290"/>
      <c r="DG55" s="289"/>
      <c r="DH55" s="289"/>
      <c r="DI55" s="291"/>
      <c r="DJ55" s="291"/>
      <c r="DK55" s="289"/>
      <c r="DL55" s="289"/>
      <c r="DM55" s="289"/>
      <c r="DN55" s="290"/>
      <c r="DO55" s="289"/>
      <c r="DP55" s="289"/>
      <c r="DQ55" s="291"/>
      <c r="DR55" s="291"/>
      <c r="DS55" s="289"/>
      <c r="DT55" s="289"/>
      <c r="DU55" s="289"/>
      <c r="DV55" s="290"/>
      <c r="DW55" s="289"/>
      <c r="DX55" s="289"/>
      <c r="DY55" s="291"/>
      <c r="DZ55" s="291"/>
      <c r="EA55" s="289"/>
      <c r="EB55" s="289"/>
      <c r="EC55" s="289"/>
      <c r="ED55" s="290"/>
      <c r="EE55" s="289"/>
      <c r="EF55" s="289"/>
      <c r="EG55" s="291"/>
      <c r="EH55" s="291"/>
      <c r="EI55" s="289"/>
      <c r="EJ55" s="289"/>
      <c r="EK55" s="289"/>
      <c r="EL55" s="290"/>
      <c r="EM55" s="289"/>
      <c r="EN55" s="289"/>
      <c r="EO55" s="291"/>
      <c r="EP55" s="291"/>
      <c r="EQ55" s="289"/>
      <c r="ER55" s="289"/>
      <c r="ES55" s="289"/>
      <c r="ET55" s="290"/>
      <c r="EU55" s="289"/>
      <c r="EV55" s="289"/>
      <c r="EW55" s="291"/>
      <c r="EX55" s="291"/>
      <c r="EY55" s="289"/>
      <c r="EZ55" s="289"/>
      <c r="FA55" s="289"/>
      <c r="FB55" s="290"/>
      <c r="FC55" s="289"/>
      <c r="FD55" s="289"/>
      <c r="FE55" s="291"/>
      <c r="FF55" s="291"/>
    </row>
    <row r="56" spans="1:163" ht="11.25" hidden="1" customHeight="1" outlineLevel="1" x14ac:dyDescent="0.2">
      <c r="A56" s="186"/>
      <c r="B56" s="187" t="s">
        <v>263</v>
      </c>
      <c r="C56" s="288"/>
      <c r="D56" s="289"/>
      <c r="E56" s="289"/>
      <c r="F56" s="290"/>
      <c r="G56" s="289">
        <v>45</v>
      </c>
      <c r="H56" s="289">
        <f>J56-G56</f>
        <v>39</v>
      </c>
      <c r="I56" s="291"/>
      <c r="J56" s="291">
        <v>84</v>
      </c>
      <c r="K56" s="288"/>
      <c r="L56" s="289"/>
      <c r="M56" s="289"/>
      <c r="N56" s="290"/>
      <c r="O56" s="289">
        <v>43</v>
      </c>
      <c r="P56" s="289">
        <f>R56-O56</f>
        <v>28</v>
      </c>
      <c r="Q56" s="291"/>
      <c r="R56" s="291">
        <v>71</v>
      </c>
      <c r="S56" s="288"/>
      <c r="T56" s="289"/>
      <c r="U56" s="289"/>
      <c r="V56" s="290"/>
      <c r="W56" s="289">
        <v>15</v>
      </c>
      <c r="X56" s="289">
        <f>Z56-W56</f>
        <v>49</v>
      </c>
      <c r="Y56" s="291"/>
      <c r="Z56" s="291">
        <f>Divisional!M42</f>
        <v>64</v>
      </c>
      <c r="AA56" s="288"/>
      <c r="AB56" s="289"/>
      <c r="AC56" s="289"/>
      <c r="AD56" s="290"/>
      <c r="AE56" s="289">
        <v>22</v>
      </c>
      <c r="AF56" s="289">
        <f>+AH56-AE56</f>
        <v>54</v>
      </c>
      <c r="AG56" s="291"/>
      <c r="AH56" s="291">
        <f>Divisional!N42</f>
        <v>76</v>
      </c>
      <c r="AI56" s="288"/>
      <c r="AJ56" s="289"/>
      <c r="AK56" s="289"/>
      <c r="AL56" s="290"/>
      <c r="AM56" s="289">
        <v>40</v>
      </c>
      <c r="AN56" s="289">
        <f>+AP56-AM56</f>
        <v>55</v>
      </c>
      <c r="AO56" s="291"/>
      <c r="AP56" s="291">
        <f>Divisional!O42</f>
        <v>95</v>
      </c>
      <c r="AQ56" s="288"/>
      <c r="AR56" s="289"/>
      <c r="AS56" s="289"/>
      <c r="AT56" s="290"/>
      <c r="AU56" s="289">
        <v>35</v>
      </c>
      <c r="AV56" s="289">
        <f>AX56-AU56</f>
        <v>58</v>
      </c>
      <c r="AW56" s="291"/>
      <c r="AX56" s="291">
        <f>Divisional!P42</f>
        <v>93</v>
      </c>
      <c r="AY56" s="288"/>
      <c r="AZ56" s="289"/>
      <c r="BA56" s="289"/>
      <c r="BB56" s="290"/>
      <c r="BC56" s="289">
        <v>45</v>
      </c>
      <c r="BD56" s="289">
        <f>+BF56-BC56</f>
        <v>73</v>
      </c>
      <c r="BE56" s="291"/>
      <c r="BF56" s="291">
        <f>Divisional!Q42</f>
        <v>118</v>
      </c>
      <c r="BG56" s="288"/>
      <c r="BH56" s="289"/>
      <c r="BI56" s="289"/>
      <c r="BJ56" s="290"/>
      <c r="BK56" s="289"/>
      <c r="BL56" s="289"/>
      <c r="BM56" s="291"/>
      <c r="BN56" s="291"/>
      <c r="BO56" s="288"/>
      <c r="BP56" s="289"/>
      <c r="BQ56" s="289"/>
      <c r="BR56" s="290"/>
      <c r="BS56" s="289"/>
      <c r="BT56" s="289"/>
      <c r="BU56" s="291"/>
      <c r="BV56" s="291"/>
      <c r="BW56" s="288"/>
      <c r="BX56" s="289"/>
      <c r="BY56" s="289"/>
      <c r="BZ56" s="290"/>
      <c r="CA56" s="289"/>
      <c r="CB56" s="289"/>
      <c r="CC56" s="291"/>
      <c r="CD56" s="291"/>
      <c r="CE56" s="288"/>
      <c r="CF56" s="289"/>
      <c r="CG56" s="289"/>
      <c r="CH56" s="290"/>
      <c r="CI56" s="289"/>
      <c r="CJ56" s="289"/>
      <c r="CK56" s="291"/>
      <c r="CL56" s="291"/>
      <c r="CM56" s="288"/>
      <c r="CN56" s="289"/>
      <c r="CO56" s="289"/>
      <c r="CP56" s="290"/>
      <c r="CQ56" s="289"/>
      <c r="CR56" s="289"/>
      <c r="CS56" s="291"/>
      <c r="CT56" s="291"/>
      <c r="CU56" s="289"/>
      <c r="CV56" s="289"/>
      <c r="CW56" s="289"/>
      <c r="CX56" s="290"/>
      <c r="CY56" s="289"/>
      <c r="CZ56" s="289"/>
      <c r="DA56" s="291"/>
      <c r="DB56" s="291"/>
      <c r="DC56" s="289"/>
      <c r="DD56" s="289"/>
      <c r="DE56" s="289"/>
      <c r="DF56" s="290"/>
      <c r="DG56" s="289"/>
      <c r="DH56" s="289"/>
      <c r="DI56" s="291"/>
      <c r="DJ56" s="291"/>
      <c r="DK56" s="289"/>
      <c r="DL56" s="289"/>
      <c r="DM56" s="289"/>
      <c r="DN56" s="290"/>
      <c r="DO56" s="289"/>
      <c r="DP56" s="289"/>
      <c r="DQ56" s="291"/>
      <c r="DR56" s="291"/>
      <c r="DS56" s="289"/>
      <c r="DT56" s="289"/>
      <c r="DU56" s="289"/>
      <c r="DV56" s="290"/>
      <c r="DW56" s="289"/>
      <c r="DX56" s="289"/>
      <c r="DY56" s="291"/>
      <c r="DZ56" s="291"/>
      <c r="EA56" s="289"/>
      <c r="EB56" s="289"/>
      <c r="EC56" s="289"/>
      <c r="ED56" s="290"/>
      <c r="EE56" s="289"/>
      <c r="EF56" s="289"/>
      <c r="EG56" s="291"/>
      <c r="EH56" s="291"/>
      <c r="EI56" s="289"/>
      <c r="EJ56" s="289"/>
      <c r="EK56" s="289"/>
      <c r="EL56" s="290"/>
      <c r="EM56" s="289"/>
      <c r="EN56" s="289"/>
      <c r="EO56" s="291"/>
      <c r="EP56" s="291"/>
      <c r="EQ56" s="289"/>
      <c r="ER56" s="289"/>
      <c r="ES56" s="289"/>
      <c r="ET56" s="290"/>
      <c r="EU56" s="289"/>
      <c r="EV56" s="289"/>
      <c r="EW56" s="291"/>
      <c r="EX56" s="291"/>
      <c r="EY56" s="289"/>
      <c r="EZ56" s="289"/>
      <c r="FA56" s="289"/>
      <c r="FB56" s="290"/>
      <c r="FC56" s="289"/>
      <c r="FD56" s="289"/>
      <c r="FE56" s="291"/>
      <c r="FF56" s="291"/>
    </row>
    <row r="57" spans="1:163" ht="11.25" hidden="1" customHeight="1" outlineLevel="1" x14ac:dyDescent="0.2">
      <c r="A57" s="186"/>
      <c r="B57" s="4" t="s">
        <v>82</v>
      </c>
      <c r="C57" s="288"/>
      <c r="D57" s="289"/>
      <c r="E57" s="289"/>
      <c r="F57" s="290"/>
      <c r="G57" s="289">
        <v>65</v>
      </c>
      <c r="H57" s="289">
        <f>J57-G57</f>
        <v>55</v>
      </c>
      <c r="I57" s="291"/>
      <c r="J57" s="291">
        <v>120</v>
      </c>
      <c r="K57" s="288"/>
      <c r="L57" s="289"/>
      <c r="M57" s="289"/>
      <c r="N57" s="290"/>
      <c r="O57" s="289">
        <v>64</v>
      </c>
      <c r="P57" s="289">
        <f>R57-O57</f>
        <v>70</v>
      </c>
      <c r="Q57" s="291"/>
      <c r="R57" s="291">
        <v>134</v>
      </c>
      <c r="S57" s="288"/>
      <c r="T57" s="289"/>
      <c r="U57" s="289"/>
      <c r="V57" s="290"/>
      <c r="W57" s="289">
        <v>66</v>
      </c>
      <c r="X57" s="289">
        <f>Z57-W57</f>
        <v>85</v>
      </c>
      <c r="Y57" s="291"/>
      <c r="Z57" s="291">
        <f>Divisional!M44</f>
        <v>151</v>
      </c>
      <c r="AA57" s="288"/>
      <c r="AB57" s="289"/>
      <c r="AC57" s="289"/>
      <c r="AD57" s="290"/>
      <c r="AE57" s="289">
        <v>79</v>
      </c>
      <c r="AF57" s="289"/>
      <c r="AG57" s="291"/>
      <c r="AH57" s="291"/>
      <c r="AI57" s="288"/>
      <c r="AJ57" s="289"/>
      <c r="AK57" s="289"/>
      <c r="AL57" s="290"/>
      <c r="AM57" s="289"/>
      <c r="AN57" s="289"/>
      <c r="AO57" s="291"/>
      <c r="AP57" s="291"/>
      <c r="AQ57" s="288"/>
      <c r="AR57" s="289"/>
      <c r="AS57" s="289"/>
      <c r="AT57" s="290"/>
      <c r="AU57" s="289"/>
      <c r="AV57" s="289"/>
      <c r="AW57" s="291"/>
      <c r="AX57" s="291"/>
      <c r="AY57" s="288"/>
      <c r="AZ57" s="289"/>
      <c r="BA57" s="289"/>
      <c r="BB57" s="290"/>
      <c r="BC57" s="289"/>
      <c r="BD57" s="289"/>
      <c r="BE57" s="291"/>
      <c r="BF57" s="291"/>
      <c r="BG57" s="288"/>
      <c r="BH57" s="289"/>
      <c r="BI57" s="289"/>
      <c r="BJ57" s="290"/>
      <c r="BK57" s="289"/>
      <c r="BL57" s="289"/>
      <c r="BM57" s="291"/>
      <c r="BN57" s="291"/>
      <c r="BO57" s="288"/>
      <c r="BP57" s="289"/>
      <c r="BQ57" s="289"/>
      <c r="BR57" s="290"/>
      <c r="BS57" s="289"/>
      <c r="BT57" s="289"/>
      <c r="BU57" s="291"/>
      <c r="BV57" s="291"/>
      <c r="BW57" s="288"/>
      <c r="BX57" s="289"/>
      <c r="BY57" s="289"/>
      <c r="BZ57" s="290"/>
      <c r="CA57" s="289"/>
      <c r="CB57" s="289"/>
      <c r="CC57" s="291"/>
      <c r="CD57" s="291"/>
      <c r="CE57" s="288"/>
      <c r="CF57" s="289"/>
      <c r="CG57" s="289"/>
      <c r="CH57" s="290"/>
      <c r="CI57" s="289"/>
      <c r="CJ57" s="289"/>
      <c r="CK57" s="291"/>
      <c r="CL57" s="291"/>
      <c r="CM57" s="288"/>
      <c r="CN57" s="289"/>
      <c r="CO57" s="289"/>
      <c r="CP57" s="290"/>
      <c r="CQ57" s="289"/>
      <c r="CR57" s="289"/>
      <c r="CS57" s="291"/>
      <c r="CT57" s="291"/>
      <c r="CU57" s="289"/>
      <c r="CV57" s="289"/>
      <c r="CW57" s="289"/>
      <c r="CX57" s="290"/>
      <c r="CY57" s="289"/>
      <c r="CZ57" s="289"/>
      <c r="DA57" s="291"/>
      <c r="DB57" s="291"/>
      <c r="DC57" s="289"/>
      <c r="DD57" s="289"/>
      <c r="DE57" s="289"/>
      <c r="DF57" s="290"/>
      <c r="DG57" s="289"/>
      <c r="DH57" s="289"/>
      <c r="DI57" s="291"/>
      <c r="DJ57" s="291"/>
      <c r="DK57" s="289"/>
      <c r="DL57" s="289"/>
      <c r="DM57" s="289"/>
      <c r="DN57" s="290"/>
      <c r="DO57" s="289"/>
      <c r="DP57" s="289"/>
      <c r="DQ57" s="291"/>
      <c r="DR57" s="291"/>
      <c r="DS57" s="289"/>
      <c r="DT57" s="289"/>
      <c r="DU57" s="289"/>
      <c r="DV57" s="290"/>
      <c r="DW57" s="289"/>
      <c r="DX57" s="289"/>
      <c r="DY57" s="291"/>
      <c r="DZ57" s="291"/>
      <c r="EA57" s="289"/>
      <c r="EB57" s="289"/>
      <c r="EC57" s="289"/>
      <c r="ED57" s="290"/>
      <c r="EE57" s="289"/>
      <c r="EF57" s="289"/>
      <c r="EG57" s="291"/>
      <c r="EH57" s="291"/>
      <c r="EI57" s="289"/>
      <c r="EJ57" s="289"/>
      <c r="EK57" s="289"/>
      <c r="EL57" s="290"/>
      <c r="EM57" s="289"/>
      <c r="EN57" s="289"/>
      <c r="EO57" s="291"/>
      <c r="EP57" s="291"/>
      <c r="EQ57" s="289"/>
      <c r="ER57" s="289"/>
      <c r="ES57" s="289"/>
      <c r="ET57" s="290"/>
      <c r="EU57" s="289"/>
      <c r="EV57" s="289"/>
      <c r="EW57" s="291"/>
      <c r="EX57" s="291"/>
      <c r="EY57" s="289"/>
      <c r="EZ57" s="289"/>
      <c r="FA57" s="289"/>
      <c r="FB57" s="290"/>
      <c r="FC57" s="289"/>
      <c r="FD57" s="289"/>
      <c r="FE57" s="291"/>
      <c r="FF57" s="291"/>
    </row>
    <row r="58" spans="1:163" ht="11.25" customHeight="1" collapsed="1" x14ac:dyDescent="0.2">
      <c r="A58" s="186"/>
      <c r="B58" s="4" t="s">
        <v>265</v>
      </c>
      <c r="C58" s="288"/>
      <c r="D58" s="289"/>
      <c r="E58" s="289"/>
      <c r="F58" s="179"/>
      <c r="G58" s="4">
        <v>-73</v>
      </c>
      <c r="H58" s="4">
        <f>J58-G58</f>
        <v>-85</v>
      </c>
      <c r="I58" s="180"/>
      <c r="J58" s="291">
        <v>-158</v>
      </c>
      <c r="K58" s="288"/>
      <c r="L58" s="289"/>
      <c r="M58" s="289"/>
      <c r="N58" s="179"/>
      <c r="O58" s="4">
        <v>-75</v>
      </c>
      <c r="P58" s="4">
        <f>R58-O58</f>
        <v>-100</v>
      </c>
      <c r="Q58" s="180"/>
      <c r="R58" s="291">
        <v>-175</v>
      </c>
      <c r="S58" s="288"/>
      <c r="T58" s="289"/>
      <c r="U58" s="289"/>
      <c r="V58" s="179"/>
      <c r="W58" s="4">
        <v>-53</v>
      </c>
      <c r="X58" s="4">
        <f>Z58-W58</f>
        <v>-29</v>
      </c>
      <c r="Y58" s="180"/>
      <c r="Z58" s="291">
        <f>Divisional!M47</f>
        <v>-82</v>
      </c>
      <c r="AA58" s="288"/>
      <c r="AB58" s="289"/>
      <c r="AC58" s="289"/>
      <c r="AD58" s="179"/>
      <c r="AE58" s="4">
        <v>-5</v>
      </c>
      <c r="AF58" s="4">
        <f>+AH58-AE58</f>
        <v>-20</v>
      </c>
      <c r="AG58" s="180"/>
      <c r="AH58" s="291">
        <f>Divisional!N47</f>
        <v>-25</v>
      </c>
      <c r="AI58" s="288"/>
      <c r="AJ58" s="289"/>
      <c r="AK58" s="289"/>
      <c r="AL58" s="179"/>
      <c r="AM58" s="4">
        <v>2</v>
      </c>
      <c r="AN58" s="4">
        <f>+AP58-AM58</f>
        <v>-38</v>
      </c>
      <c r="AO58" s="180"/>
      <c r="AP58" s="291">
        <f>Divisional!O47</f>
        <v>-36</v>
      </c>
      <c r="AQ58" s="288"/>
      <c r="AR58" s="289"/>
      <c r="AS58" s="289"/>
      <c r="AT58" s="179"/>
      <c r="AU58" s="4">
        <v>2</v>
      </c>
      <c r="AV58" s="4">
        <f>AX58-AU58</f>
        <v>-38</v>
      </c>
      <c r="AW58" s="180"/>
      <c r="AX58" s="291">
        <f>Divisional!P47</f>
        <v>-36</v>
      </c>
      <c r="AY58" s="288"/>
      <c r="AZ58" s="289"/>
      <c r="BA58" s="289"/>
      <c r="BB58" s="179"/>
      <c r="BC58" s="4">
        <v>-3</v>
      </c>
      <c r="BD58" s="4">
        <f>+BF58-BC58</f>
        <v>-77</v>
      </c>
      <c r="BE58" s="180"/>
      <c r="BF58" s="291">
        <f>Divisional!Q47</f>
        <v>-80</v>
      </c>
      <c r="BG58" s="288"/>
      <c r="BH58" s="289"/>
      <c r="BI58" s="289"/>
      <c r="BJ58" s="179"/>
      <c r="BK58" s="4">
        <v>-3</v>
      </c>
      <c r="BL58" s="4">
        <f>BN58-BK58</f>
        <v>-77</v>
      </c>
      <c r="BM58" s="180"/>
      <c r="BN58" s="291">
        <f>Divisional!R47</f>
        <v>-80</v>
      </c>
      <c r="BO58" s="288"/>
      <c r="BP58" s="289"/>
      <c r="BQ58" s="289"/>
      <c r="BR58" s="179"/>
      <c r="BS58" s="4">
        <v>-17</v>
      </c>
      <c r="BT58" s="4">
        <f>BV58-BS58</f>
        <v>-45</v>
      </c>
      <c r="BU58" s="180"/>
      <c r="BV58" s="291">
        <f>Divisional!S47</f>
        <v>-62</v>
      </c>
      <c r="BW58" s="288"/>
      <c r="BX58" s="289"/>
      <c r="BY58" s="289"/>
      <c r="BZ58" s="179"/>
      <c r="CA58" s="4">
        <v>6</v>
      </c>
      <c r="CB58" s="4">
        <f>CD58-CA58</f>
        <v>-25</v>
      </c>
      <c r="CC58" s="180"/>
      <c r="CD58" s="291">
        <f>Divisional!T47</f>
        <v>-19</v>
      </c>
      <c r="CE58" s="288"/>
      <c r="CF58" s="289"/>
      <c r="CG58" s="289"/>
      <c r="CH58" s="179"/>
      <c r="CI58" s="4">
        <v>-5</v>
      </c>
      <c r="CJ58" s="4">
        <f>CL58-CI58</f>
        <v>-15</v>
      </c>
      <c r="CK58" s="180">
        <f>CE58+CF58+CG58</f>
        <v>0</v>
      </c>
      <c r="CL58" s="291">
        <f>Divisional!U47</f>
        <v>-20</v>
      </c>
      <c r="CM58" s="288"/>
      <c r="CN58" s="289"/>
      <c r="CO58" s="289"/>
      <c r="CP58" s="179"/>
      <c r="CQ58" s="4">
        <v>-5</v>
      </c>
      <c r="CR58" s="4">
        <f>CT58-CQ58</f>
        <v>-31</v>
      </c>
      <c r="CS58" s="180"/>
      <c r="CT58" s="291">
        <f>Divisional!V47</f>
        <v>-36</v>
      </c>
      <c r="CU58" s="289"/>
      <c r="CV58" s="289"/>
      <c r="CW58" s="289"/>
      <c r="CX58" s="290"/>
      <c r="CY58" s="4">
        <v>-20</v>
      </c>
      <c r="CZ58" s="199">
        <f>DB58-CY58</f>
        <v>-80</v>
      </c>
      <c r="DA58" s="291"/>
      <c r="DB58" s="291">
        <f>Divisional!W47</f>
        <v>-100</v>
      </c>
      <c r="DC58" s="289"/>
      <c r="DD58" s="289"/>
      <c r="DE58" s="289"/>
      <c r="DF58" s="290"/>
      <c r="DG58" s="199">
        <v>22</v>
      </c>
      <c r="DH58" s="199">
        <f>DJ58-DG58</f>
        <v>-47</v>
      </c>
      <c r="DI58" s="291"/>
      <c r="DJ58" s="291">
        <f>Divisional!X47</f>
        <v>-25</v>
      </c>
      <c r="DK58" s="289"/>
      <c r="DL58" s="289"/>
      <c r="DM58" s="289"/>
      <c r="DN58" s="290"/>
      <c r="DO58" s="199">
        <v>22</v>
      </c>
      <c r="DP58" s="199">
        <f>DR58-DO58</f>
        <v>-98</v>
      </c>
      <c r="DQ58" s="291"/>
      <c r="DR58" s="291">
        <f>Divisional!Y47</f>
        <v>-76</v>
      </c>
      <c r="DS58" s="289"/>
      <c r="DT58" s="289"/>
      <c r="DU58" s="289"/>
      <c r="DV58" s="290"/>
      <c r="DW58" s="199">
        <v>23</v>
      </c>
      <c r="DX58" s="280">
        <f>DZ58-DW58</f>
        <v>-73</v>
      </c>
      <c r="DY58" s="291"/>
      <c r="DZ58" s="287">
        <f>Divisional!Z47</f>
        <v>-50</v>
      </c>
      <c r="EA58" s="289"/>
      <c r="EB58" s="289"/>
      <c r="EC58" s="289"/>
      <c r="ED58" s="290"/>
      <c r="EE58" s="280">
        <f>EH58/2</f>
        <v>-25</v>
      </c>
      <c r="EF58" s="280">
        <f>EH58-EE58</f>
        <v>-25</v>
      </c>
      <c r="EG58" s="291"/>
      <c r="EH58" s="287">
        <f>Divisional!AA47</f>
        <v>-50</v>
      </c>
      <c r="EI58" s="289"/>
      <c r="EJ58" s="289"/>
      <c r="EK58" s="289"/>
      <c r="EL58" s="290"/>
      <c r="EM58" s="280">
        <f>EP58/2</f>
        <v>-25</v>
      </c>
      <c r="EN58" s="280">
        <f>EP58-EM58</f>
        <v>-25</v>
      </c>
      <c r="EO58" s="291"/>
      <c r="EP58" s="287">
        <f>Divisional!AB47</f>
        <v>-50</v>
      </c>
      <c r="EQ58" s="289"/>
      <c r="ER58" s="289"/>
      <c r="ES58" s="289"/>
      <c r="ET58" s="290"/>
      <c r="EU58" s="280">
        <f>EX58/2</f>
        <v>-25</v>
      </c>
      <c r="EV58" s="280">
        <f>EX58-EU58</f>
        <v>-25</v>
      </c>
      <c r="EW58" s="291"/>
      <c r="EX58" s="287">
        <f>Divisional!AC47</f>
        <v>-50</v>
      </c>
      <c r="EY58" s="289"/>
      <c r="EZ58" s="289"/>
      <c r="FA58" s="289"/>
      <c r="FB58" s="290"/>
      <c r="FC58" s="280">
        <f>FF58/2</f>
        <v>-25</v>
      </c>
      <c r="FD58" s="280">
        <f>FF58-FC58</f>
        <v>-25</v>
      </c>
      <c r="FE58" s="291"/>
      <c r="FF58" s="287">
        <f>Divisional!AD47</f>
        <v>-50</v>
      </c>
    </row>
    <row r="59" spans="1:163" ht="11.25" customHeight="1" x14ac:dyDescent="0.2">
      <c r="A59" s="186"/>
      <c r="C59" s="288"/>
      <c r="D59" s="289"/>
      <c r="E59" s="289"/>
      <c r="F59" s="290"/>
      <c r="G59" s="289"/>
      <c r="H59" s="289"/>
      <c r="I59" s="291"/>
      <c r="J59" s="291"/>
      <c r="K59" s="288"/>
      <c r="L59" s="289"/>
      <c r="M59" s="289"/>
      <c r="N59" s="290"/>
      <c r="O59" s="289"/>
      <c r="P59" s="289"/>
      <c r="Q59" s="291"/>
      <c r="R59" s="291"/>
      <c r="S59" s="288"/>
      <c r="T59" s="289"/>
      <c r="U59" s="289"/>
      <c r="V59" s="290"/>
      <c r="W59" s="289"/>
      <c r="X59" s="289"/>
      <c r="Y59" s="291"/>
      <c r="Z59" s="291"/>
      <c r="AA59" s="288"/>
      <c r="AB59" s="289"/>
      <c r="AC59" s="289"/>
      <c r="AD59" s="290"/>
      <c r="AE59" s="289"/>
      <c r="AF59" s="289"/>
      <c r="AG59" s="291"/>
      <c r="AH59" s="291"/>
      <c r="AI59" s="288"/>
      <c r="AJ59" s="289"/>
      <c r="AK59" s="289"/>
      <c r="AL59" s="290"/>
      <c r="AM59" s="289"/>
      <c r="AN59" s="289"/>
      <c r="AO59" s="291"/>
      <c r="AP59" s="291"/>
      <c r="AQ59" s="288"/>
      <c r="AR59" s="289"/>
      <c r="AS59" s="289"/>
      <c r="AT59" s="290"/>
      <c r="AU59" s="289"/>
      <c r="AV59" s="289"/>
      <c r="AW59" s="291"/>
      <c r="AX59" s="291"/>
      <c r="AY59" s="288"/>
      <c r="AZ59" s="289"/>
      <c r="BA59" s="289"/>
      <c r="BB59" s="290"/>
      <c r="BC59" s="289"/>
      <c r="BD59" s="289"/>
      <c r="BE59" s="291"/>
      <c r="BF59" s="291"/>
      <c r="BG59" s="288"/>
      <c r="BH59" s="289"/>
      <c r="BI59" s="289"/>
      <c r="BJ59" s="290"/>
      <c r="BK59" s="289"/>
      <c r="BL59" s="289"/>
      <c r="BM59" s="291"/>
      <c r="BN59" s="291"/>
      <c r="BO59" s="288"/>
      <c r="BP59" s="289"/>
      <c r="BQ59" s="289"/>
      <c r="BR59" s="290"/>
      <c r="BS59" s="289"/>
      <c r="BT59" s="289"/>
      <c r="BU59" s="291"/>
      <c r="BV59" s="291"/>
      <c r="BW59" s="288"/>
      <c r="BX59" s="289"/>
      <c r="BY59" s="289"/>
      <c r="BZ59" s="290"/>
      <c r="CA59" s="289"/>
      <c r="CB59" s="289"/>
      <c r="CC59" s="291"/>
      <c r="CD59" s="291"/>
      <c r="CE59" s="288"/>
      <c r="CF59" s="289"/>
      <c r="CG59" s="289"/>
      <c r="CH59" s="290"/>
      <c r="CI59" s="289"/>
      <c r="CJ59" s="289"/>
      <c r="CK59" s="291"/>
      <c r="CL59" s="291"/>
      <c r="CM59" s="288"/>
      <c r="CN59" s="289"/>
      <c r="CO59" s="289"/>
      <c r="CP59" s="290"/>
      <c r="CQ59" s="289"/>
      <c r="CR59" s="289"/>
      <c r="CS59" s="291"/>
      <c r="CT59" s="291"/>
      <c r="CU59" s="289"/>
      <c r="CV59" s="289"/>
      <c r="CW59" s="289"/>
      <c r="CX59" s="290"/>
      <c r="CY59" s="289"/>
      <c r="CZ59" s="289"/>
      <c r="DA59" s="291"/>
      <c r="DB59" s="291"/>
      <c r="DC59" s="289"/>
      <c r="DD59" s="289"/>
      <c r="DE59" s="289"/>
      <c r="DF59" s="290"/>
      <c r="DG59" s="289"/>
      <c r="DH59" s="289"/>
      <c r="DI59" s="291"/>
      <c r="DJ59" s="291"/>
      <c r="DK59" s="289"/>
      <c r="DL59" s="289"/>
      <c r="DM59" s="289"/>
      <c r="DN59" s="290"/>
      <c r="DO59" s="289"/>
      <c r="DP59" s="289"/>
      <c r="DQ59" s="291"/>
      <c r="DR59" s="291"/>
      <c r="DS59" s="289"/>
      <c r="DT59" s="289"/>
      <c r="DU59" s="289"/>
      <c r="DV59" s="290"/>
      <c r="DW59" s="289"/>
      <c r="DX59" s="289"/>
      <c r="DY59" s="291"/>
      <c r="DZ59" s="291"/>
      <c r="EA59" s="289"/>
      <c r="EB59" s="289"/>
      <c r="EC59" s="289"/>
      <c r="ED59" s="290"/>
      <c r="EE59" s="289"/>
      <c r="EF59" s="289"/>
      <c r="EG59" s="291"/>
      <c r="EH59" s="291"/>
      <c r="EI59" s="289"/>
      <c r="EJ59" s="289"/>
      <c r="EK59" s="289"/>
      <c r="EL59" s="290"/>
      <c r="EM59" s="289"/>
      <c r="EN59" s="289"/>
      <c r="EO59" s="291"/>
      <c r="EP59" s="291"/>
      <c r="EQ59" s="289"/>
      <c r="ER59" s="289"/>
      <c r="ES59" s="289"/>
      <c r="ET59" s="290"/>
      <c r="EU59" s="289"/>
      <c r="EV59" s="289"/>
      <c r="EW59" s="291"/>
      <c r="EX59" s="291"/>
      <c r="EY59" s="289"/>
      <c r="EZ59" s="289"/>
      <c r="FA59" s="289"/>
      <c r="FB59" s="290"/>
      <c r="FC59" s="289"/>
      <c r="FD59" s="289"/>
      <c r="FE59" s="291"/>
      <c r="FF59" s="291"/>
    </row>
    <row r="60" spans="1:163" ht="11.25" customHeight="1" x14ac:dyDescent="0.2">
      <c r="A60" s="186"/>
      <c r="B60" s="197" t="s">
        <v>68</v>
      </c>
      <c r="C60" s="220"/>
      <c r="D60" s="221"/>
      <c r="E60" s="221"/>
      <c r="F60" s="222"/>
      <c r="G60" s="221">
        <f>G51/G3</f>
        <v>0.17188776900027242</v>
      </c>
      <c r="H60" s="221">
        <f>H51/H3</f>
        <v>0.1855538540071465</v>
      </c>
      <c r="I60" s="223"/>
      <c r="J60" s="223">
        <f>J51/J3</f>
        <v>0.17894320727368559</v>
      </c>
      <c r="K60" s="220"/>
      <c r="L60" s="221"/>
      <c r="M60" s="221"/>
      <c r="N60" s="222"/>
      <c r="O60" s="221">
        <f>O51/O3</f>
        <v>0.19319691735317565</v>
      </c>
      <c r="P60" s="221">
        <f>P51/P3</f>
        <v>0.20637813211845102</v>
      </c>
      <c r="Q60" s="223"/>
      <c r="R60" s="223">
        <f>R51/R3</f>
        <v>0.2002943701704894</v>
      </c>
      <c r="S60" s="220"/>
      <c r="T60" s="221"/>
      <c r="U60" s="221"/>
      <c r="V60" s="222"/>
      <c r="W60" s="221">
        <f>W51/W3</f>
        <v>0.21043245653143111</v>
      </c>
      <c r="X60" s="221">
        <f>X51/X3</f>
        <v>0.18394372025656941</v>
      </c>
      <c r="Y60" s="223"/>
      <c r="Z60" s="223">
        <f>Z51/Z3</f>
        <v>0.19669492434810601</v>
      </c>
      <c r="AA60" s="220"/>
      <c r="AB60" s="221"/>
      <c r="AC60" s="221"/>
      <c r="AD60" s="222"/>
      <c r="AE60" s="221">
        <f>AE51/AE3</f>
        <v>0.19394688079061148</v>
      </c>
      <c r="AF60" s="221">
        <f>AF51/AF3</f>
        <v>0.18614909572121746</v>
      </c>
      <c r="AG60" s="223"/>
      <c r="AH60" s="223">
        <f>AH51/AH3</f>
        <v>0.19018208923437332</v>
      </c>
      <c r="AI60" s="220"/>
      <c r="AJ60" s="221"/>
      <c r="AK60" s="221"/>
      <c r="AL60" s="222"/>
      <c r="AM60" s="221">
        <f>AM51/AM3</f>
        <v>0.1809848646344063</v>
      </c>
      <c r="AN60" s="221">
        <f>AN51/AN3</f>
        <v>0.17425742574257425</v>
      </c>
      <c r="AO60" s="223"/>
      <c r="AP60" s="223">
        <f>AP51/AP3</f>
        <v>0.17749717688122368</v>
      </c>
      <c r="AQ60" s="220"/>
      <c r="AR60" s="221"/>
      <c r="AS60" s="221"/>
      <c r="AT60" s="222"/>
      <c r="AU60" s="221">
        <f>AU51/AU3</f>
        <v>0.16334390575441776</v>
      </c>
      <c r="AV60" s="221">
        <f>AV51/AV3</f>
        <v>0.16083350192190976</v>
      </c>
      <c r="AW60" s="223"/>
      <c r="AX60" s="223">
        <f>AX51/AX3</f>
        <v>0.1620177407288661</v>
      </c>
      <c r="AY60" s="220"/>
      <c r="AZ60" s="221"/>
      <c r="BA60" s="221"/>
      <c r="BB60" s="222"/>
      <c r="BC60" s="221">
        <f>+BC51/BC3</f>
        <v>0.18296795952782463</v>
      </c>
      <c r="BD60" s="221">
        <f>+BD51/BD3</f>
        <v>0.18587946741415556</v>
      </c>
      <c r="BE60" s="223"/>
      <c r="BF60" s="223">
        <f>BF51/BF3</f>
        <v>0.18455797933409873</v>
      </c>
      <c r="BG60" s="220"/>
      <c r="BH60" s="221"/>
      <c r="BI60" s="221"/>
      <c r="BJ60" s="222"/>
      <c r="BK60" s="221">
        <f t="shared" ref="BK60:BL62" si="88">+BK51/BK3</f>
        <v>0.19042663891779396</v>
      </c>
      <c r="BL60" s="221">
        <f t="shared" si="88"/>
        <v>0.19310703152060962</v>
      </c>
      <c r="BM60" s="223"/>
      <c r="BN60" s="223">
        <f>BN51/BN3</f>
        <v>0.19188959258909161</v>
      </c>
      <c r="BO60" s="220"/>
      <c r="BP60" s="221"/>
      <c r="BQ60" s="221"/>
      <c r="BR60" s="222"/>
      <c r="BS60" s="221">
        <f t="shared" ref="BS60:BT62" si="89">+BS51/BS3</f>
        <v>0.20789562860047442</v>
      </c>
      <c r="BT60" s="221">
        <f t="shared" si="89"/>
        <v>0.20478593521080904</v>
      </c>
      <c r="BU60" s="223"/>
      <c r="BV60" s="223">
        <f>BV51/BV3</f>
        <v>0.20630967206309672</v>
      </c>
      <c r="BW60" s="220"/>
      <c r="BX60" s="221"/>
      <c r="BY60" s="221"/>
      <c r="BZ60" s="222"/>
      <c r="CA60" s="221">
        <f t="shared" ref="CA60:CB62" si="90">+CA51/CA3</f>
        <v>0.17272053372868792</v>
      </c>
      <c r="CB60" s="221">
        <f t="shared" si="90"/>
        <v>0.13633849557522124</v>
      </c>
      <c r="CC60" s="223"/>
      <c r="CD60" s="223">
        <f>CD51/CD3</f>
        <v>0.15555265561790421</v>
      </c>
      <c r="CE60" s="220"/>
      <c r="CF60" s="221"/>
      <c r="CG60" s="221"/>
      <c r="CH60" s="222"/>
      <c r="CI60" s="221">
        <f t="shared" ref="CI60:CJ62" si="91">+CI51/CI3</f>
        <v>0.15512465373961218</v>
      </c>
      <c r="CJ60" s="221">
        <f t="shared" si="91"/>
        <v>0.2</v>
      </c>
      <c r="CK60" s="223"/>
      <c r="CL60" s="223">
        <f>CL51/CL3</f>
        <v>0.1804005914773491</v>
      </c>
      <c r="CM60" s="220"/>
      <c r="CN60" s="221"/>
      <c r="CO60" s="221"/>
      <c r="CP60" s="222"/>
      <c r="CQ60" s="221">
        <f t="shared" ref="CQ60:CR62" si="92">+CQ51/CQ3</f>
        <v>0.17313218390804597</v>
      </c>
      <c r="CR60" s="221">
        <f t="shared" si="92"/>
        <v>0.18517823639774858</v>
      </c>
      <c r="CS60" s="223"/>
      <c r="CT60" s="223">
        <f>CT51/CT3</f>
        <v>0.17988638754470859</v>
      </c>
      <c r="CU60" s="221"/>
      <c r="CV60" s="221"/>
      <c r="CW60" s="221"/>
      <c r="CX60" s="222"/>
      <c r="CY60" s="221">
        <f t="shared" ref="CY60:CY62" si="93">+CY51/CY3</f>
        <v>0.18513299277787565</v>
      </c>
      <c r="CZ60" s="221">
        <f t="shared" ref="CZ60:CZ62" si="94">CZ51/CZ3</f>
        <v>0.21600258106146153</v>
      </c>
      <c r="DA60" s="223"/>
      <c r="DB60" s="223">
        <f>DB51/DB3</f>
        <v>0.20124621084540248</v>
      </c>
      <c r="DC60" s="221"/>
      <c r="DD60" s="221"/>
      <c r="DE60" s="221"/>
      <c r="DF60" s="222"/>
      <c r="DG60" s="221">
        <f t="shared" ref="DG60:DG62" si="95">+DG51/DG3</f>
        <v>0.19888562142083269</v>
      </c>
      <c r="DH60" s="221">
        <f t="shared" ref="DH60:DH62" si="96">DH51/DH3</f>
        <v>0.21332220831595053</v>
      </c>
      <c r="DI60" s="223"/>
      <c r="DJ60" s="223">
        <f>DJ51/DJ3</f>
        <v>0.20648989159097569</v>
      </c>
      <c r="DK60" s="221"/>
      <c r="DL60" s="221"/>
      <c r="DM60" s="221"/>
      <c r="DN60" s="222"/>
      <c r="DO60" s="221">
        <f t="shared" ref="DO60:DO62" si="97">+DO51/DO3</f>
        <v>0.23312558016178225</v>
      </c>
      <c r="DP60" s="221">
        <f t="shared" ref="DP60:DP62" si="98">DP51/DP3</f>
        <v>0.22665190107050573</v>
      </c>
      <c r="DQ60" s="223"/>
      <c r="DR60" s="1713">
        <f>DR51/DR3</f>
        <v>0.2297676793464386</v>
      </c>
      <c r="DS60" s="221"/>
      <c r="DT60" s="221"/>
      <c r="DU60" s="221"/>
      <c r="DV60" s="222"/>
      <c r="DW60" s="221">
        <f t="shared" ref="DW60:DW62" si="99">+DW51/DW3</f>
        <v>0.24547831771627807</v>
      </c>
      <c r="DX60" s="225">
        <f t="shared" ref="DX60:DX62" si="100">DX51/DX3</f>
        <v>0.24146121390604466</v>
      </c>
      <c r="DY60" s="223"/>
      <c r="DZ60" s="226">
        <f>DZ51/DZ3</f>
        <v>0.24334267868847131</v>
      </c>
      <c r="EA60" s="221"/>
      <c r="EB60" s="221"/>
      <c r="EC60" s="221"/>
      <c r="ED60" s="222"/>
      <c r="EE60" s="225">
        <f t="shared" ref="EE60:EF62" si="101">EE51/EE3</f>
        <v>0.24156473752154506</v>
      </c>
      <c r="EF60" s="225">
        <f t="shared" si="101"/>
        <v>0.24981619344804409</v>
      </c>
      <c r="EG60" s="223"/>
      <c r="EH60" s="226">
        <f>EH51/EH3</f>
        <v>0.24606160185204398</v>
      </c>
      <c r="EI60" s="221"/>
      <c r="EJ60" s="221"/>
      <c r="EK60" s="221"/>
      <c r="EL60" s="222"/>
      <c r="EM60" s="225">
        <f t="shared" ref="EM60:EN62" si="102">EM51/EM3</f>
        <v>0.24402622367421239</v>
      </c>
      <c r="EN60" s="225">
        <f t="shared" si="102"/>
        <v>0.23623378348878599</v>
      </c>
      <c r="EO60" s="223"/>
      <c r="EP60" s="226">
        <f>EP51/EP3</f>
        <v>0.23979723393706426</v>
      </c>
      <c r="EQ60" s="221"/>
      <c r="ER60" s="221"/>
      <c r="ES60" s="221"/>
      <c r="ET60" s="222"/>
      <c r="EU60" s="225">
        <f t="shared" ref="EU60:EV62" si="103">EU51/EU3</f>
        <v>0.25268604566772412</v>
      </c>
      <c r="EV60" s="225">
        <f t="shared" si="103"/>
        <v>0.22500286360298158</v>
      </c>
      <c r="EW60" s="223"/>
      <c r="EX60" s="226">
        <f>EX51/EX3</f>
        <v>0.23768183346860294</v>
      </c>
      <c r="EY60" s="221"/>
      <c r="EZ60" s="221"/>
      <c r="FA60" s="221"/>
      <c r="FB60" s="222"/>
      <c r="FC60" s="225">
        <f t="shared" ref="FC60:FD62" si="104">FC51/FC3</f>
        <v>0.25325262900661227</v>
      </c>
      <c r="FD60" s="225">
        <f t="shared" si="104"/>
        <v>0.23519298394811686</v>
      </c>
      <c r="FE60" s="223"/>
      <c r="FF60" s="226">
        <f>FF51/FF3</f>
        <v>0.2434740708884395</v>
      </c>
    </row>
    <row r="61" spans="1:163" ht="11.25" customHeight="1" x14ac:dyDescent="0.2">
      <c r="A61" s="186"/>
      <c r="B61" s="197" t="s">
        <v>79</v>
      </c>
      <c r="C61" s="220"/>
      <c r="D61" s="221"/>
      <c r="E61" s="221"/>
      <c r="F61" s="222"/>
      <c r="G61" s="221"/>
      <c r="H61" s="221"/>
      <c r="I61" s="223"/>
      <c r="J61" s="223"/>
      <c r="K61" s="220"/>
      <c r="L61" s="221"/>
      <c r="M61" s="221"/>
      <c r="N61" s="222"/>
      <c r="O61" s="221"/>
      <c r="P61" s="221"/>
      <c r="Q61" s="223"/>
      <c r="R61" s="223"/>
      <c r="S61" s="220"/>
      <c r="T61" s="221"/>
      <c r="U61" s="221"/>
      <c r="V61" s="222"/>
      <c r="W61" s="221"/>
      <c r="X61" s="221"/>
      <c r="Y61" s="223"/>
      <c r="Z61" s="223"/>
      <c r="AA61" s="220"/>
      <c r="AB61" s="221"/>
      <c r="AC61" s="221"/>
      <c r="AD61" s="222"/>
      <c r="AE61" s="221"/>
      <c r="AF61" s="221"/>
      <c r="AG61" s="223"/>
      <c r="AH61" s="223"/>
      <c r="AI61" s="220"/>
      <c r="AJ61" s="221"/>
      <c r="AK61" s="221"/>
      <c r="AL61" s="222"/>
      <c r="AM61" s="221"/>
      <c r="AN61" s="221"/>
      <c r="AO61" s="223"/>
      <c r="AP61" s="223"/>
      <c r="AQ61" s="220"/>
      <c r="AR61" s="221"/>
      <c r="AS61" s="221"/>
      <c r="AT61" s="222"/>
      <c r="AU61" s="221"/>
      <c r="AV61" s="221"/>
      <c r="AW61" s="223"/>
      <c r="AX61" s="223"/>
      <c r="AY61" s="220"/>
      <c r="AZ61" s="221"/>
      <c r="BA61" s="221"/>
      <c r="BB61" s="222"/>
      <c r="BC61" s="221"/>
      <c r="BD61" s="221"/>
      <c r="BE61" s="223"/>
      <c r="BF61" s="223"/>
      <c r="BG61" s="220"/>
      <c r="BH61" s="221"/>
      <c r="BI61" s="221"/>
      <c r="BJ61" s="222"/>
      <c r="BK61" s="221">
        <f t="shared" si="88"/>
        <v>0.11910536243600107</v>
      </c>
      <c r="BL61" s="221">
        <f t="shared" si="88"/>
        <v>0.12999290947766484</v>
      </c>
      <c r="BM61" s="223"/>
      <c r="BN61" s="223">
        <f>BN52/BN4</f>
        <v>0.12490556534877864</v>
      </c>
      <c r="BO61" s="220"/>
      <c r="BP61" s="221"/>
      <c r="BQ61" s="221"/>
      <c r="BR61" s="222"/>
      <c r="BS61" s="221">
        <f t="shared" si="89"/>
        <v>0.12914561827366572</v>
      </c>
      <c r="BT61" s="221">
        <f t="shared" si="89"/>
        <v>0.13204337656814799</v>
      </c>
      <c r="BU61" s="223"/>
      <c r="BV61" s="223">
        <f>BV52/BV4</f>
        <v>0.1306179775280899</v>
      </c>
      <c r="BW61" s="220"/>
      <c r="BX61" s="221"/>
      <c r="BY61" s="221"/>
      <c r="BZ61" s="222"/>
      <c r="CA61" s="221">
        <f t="shared" si="90"/>
        <v>9.4282572842220996E-2</v>
      </c>
      <c r="CB61" s="221">
        <f t="shared" si="90"/>
        <v>0.10568356374807988</v>
      </c>
      <c r="CC61" s="223"/>
      <c r="CD61" s="223">
        <f>CD52/CD4</f>
        <v>9.966632815900188E-2</v>
      </c>
      <c r="CE61" s="220"/>
      <c r="CF61" s="221"/>
      <c r="CG61" s="221"/>
      <c r="CH61" s="222"/>
      <c r="CI61" s="221">
        <f t="shared" si="91"/>
        <v>9.0847913862718704E-2</v>
      </c>
      <c r="CJ61" s="221">
        <f t="shared" si="91"/>
        <v>0.11333134506412168</v>
      </c>
      <c r="CK61" s="223"/>
      <c r="CL61" s="223">
        <f>CL52/CL4</f>
        <v>0.10276679841897234</v>
      </c>
      <c r="CM61" s="220"/>
      <c r="CN61" s="221"/>
      <c r="CO61" s="221"/>
      <c r="CP61" s="222"/>
      <c r="CQ61" s="221">
        <f t="shared" si="92"/>
        <v>0.11722760981175129</v>
      </c>
      <c r="CR61" s="221">
        <f t="shared" si="92"/>
        <v>0.1149168528170762</v>
      </c>
      <c r="CS61" s="223"/>
      <c r="CT61" s="223">
        <f>CT52/CT4</f>
        <v>0.11599203715992037</v>
      </c>
      <c r="CU61" s="221"/>
      <c r="CV61" s="221"/>
      <c r="CW61" s="221"/>
      <c r="CX61" s="222"/>
      <c r="CY61" s="221">
        <f t="shared" si="93"/>
        <v>0.11365853658536586</v>
      </c>
      <c r="CZ61" s="221">
        <f t="shared" si="94"/>
        <v>0.11108764519535375</v>
      </c>
      <c r="DA61" s="223"/>
      <c r="DB61" s="223">
        <f>DB52/DB4</f>
        <v>0.11228070175438597</v>
      </c>
      <c r="DC61" s="221"/>
      <c r="DD61" s="221"/>
      <c r="DE61" s="221"/>
      <c r="DF61" s="222"/>
      <c r="DG61" s="221">
        <f t="shared" si="95"/>
        <v>0.12707930367504836</v>
      </c>
      <c r="DH61" s="221">
        <f t="shared" si="96"/>
        <v>0.11765785609397944</v>
      </c>
      <c r="DI61" s="223"/>
      <c r="DJ61" s="223">
        <f>DJ52/DJ4</f>
        <v>0.12224524392540968</v>
      </c>
      <c r="DK61" s="221"/>
      <c r="DL61" s="221"/>
      <c r="DM61" s="221"/>
      <c r="DN61" s="222"/>
      <c r="DO61" s="221">
        <f t="shared" si="97"/>
        <v>0.12533428418612944</v>
      </c>
      <c r="DP61" s="221">
        <f t="shared" si="98"/>
        <v>0.12879127446585986</v>
      </c>
      <c r="DQ61" s="223"/>
      <c r="DR61" s="1713">
        <f>DR52/DR4</f>
        <v>0.12721508697772721</v>
      </c>
      <c r="DS61" s="221"/>
      <c r="DT61" s="221"/>
      <c r="DU61" s="221"/>
      <c r="DV61" s="222"/>
      <c r="DW61" s="221">
        <f t="shared" si="99"/>
        <v>0.13086134756889337</v>
      </c>
      <c r="DX61" s="225">
        <f t="shared" si="100"/>
        <v>0.13870739516864122</v>
      </c>
      <c r="DY61" s="223"/>
      <c r="DZ61" s="226">
        <f>DZ52/DZ4</f>
        <v>0.13500000000000001</v>
      </c>
      <c r="EA61" s="221"/>
      <c r="EB61" s="221"/>
      <c r="EC61" s="221"/>
      <c r="ED61" s="222"/>
      <c r="EE61" s="225">
        <f t="shared" si="101"/>
        <v>0.14499999999999999</v>
      </c>
      <c r="EF61" s="225">
        <f t="shared" si="101"/>
        <v>0.14500000000000002</v>
      </c>
      <c r="EG61" s="223"/>
      <c r="EH61" s="226">
        <f>EH52/EH4</f>
        <v>0.14499999999999999</v>
      </c>
      <c r="EI61" s="221"/>
      <c r="EJ61" s="221"/>
      <c r="EK61" s="221"/>
      <c r="EL61" s="222"/>
      <c r="EM61" s="225">
        <f t="shared" si="102"/>
        <v>0.15</v>
      </c>
      <c r="EN61" s="225">
        <f t="shared" si="102"/>
        <v>0.15000000000000002</v>
      </c>
      <c r="EO61" s="223"/>
      <c r="EP61" s="226">
        <f>EP52/EP4</f>
        <v>0.15</v>
      </c>
      <c r="EQ61" s="221"/>
      <c r="ER61" s="221"/>
      <c r="ES61" s="221"/>
      <c r="ET61" s="222"/>
      <c r="EU61" s="225">
        <f t="shared" si="103"/>
        <v>0.15</v>
      </c>
      <c r="EV61" s="225">
        <f t="shared" si="103"/>
        <v>0.14999999999999997</v>
      </c>
      <c r="EW61" s="223"/>
      <c r="EX61" s="226">
        <f>EX52/EX4</f>
        <v>0.15</v>
      </c>
      <c r="EY61" s="221"/>
      <c r="EZ61" s="221"/>
      <c r="FA61" s="221"/>
      <c r="FB61" s="222"/>
      <c r="FC61" s="225">
        <f t="shared" si="104"/>
        <v>0.15</v>
      </c>
      <c r="FD61" s="225">
        <f t="shared" si="104"/>
        <v>0.15</v>
      </c>
      <c r="FE61" s="223"/>
      <c r="FF61" s="226">
        <f>FF52/FF4</f>
        <v>0.15</v>
      </c>
    </row>
    <row r="62" spans="1:163" ht="11.25" customHeight="1" x14ac:dyDescent="0.2">
      <c r="A62" s="186"/>
      <c r="B62" s="197" t="s">
        <v>70</v>
      </c>
      <c r="C62" s="220"/>
      <c r="D62" s="221"/>
      <c r="E62" s="221"/>
      <c r="F62" s="222"/>
      <c r="G62" s="221"/>
      <c r="H62" s="221"/>
      <c r="I62" s="223"/>
      <c r="J62" s="223"/>
      <c r="K62" s="220"/>
      <c r="L62" s="221"/>
      <c r="M62" s="221"/>
      <c r="N62" s="222"/>
      <c r="O62" s="221"/>
      <c r="P62" s="221"/>
      <c r="Q62" s="223"/>
      <c r="R62" s="223"/>
      <c r="S62" s="220"/>
      <c r="T62" s="221"/>
      <c r="U62" s="221"/>
      <c r="V62" s="222"/>
      <c r="W62" s="221"/>
      <c r="X62" s="221"/>
      <c r="Y62" s="223"/>
      <c r="Z62" s="223"/>
      <c r="AA62" s="220"/>
      <c r="AB62" s="221"/>
      <c r="AC62" s="221"/>
      <c r="AD62" s="222"/>
      <c r="AE62" s="221"/>
      <c r="AF62" s="221"/>
      <c r="AG62" s="223"/>
      <c r="AH62" s="223"/>
      <c r="AI62" s="220"/>
      <c r="AJ62" s="221"/>
      <c r="AK62" s="221"/>
      <c r="AL62" s="222"/>
      <c r="AM62" s="221"/>
      <c r="AN62" s="221"/>
      <c r="AO62" s="223"/>
      <c r="AP62" s="223"/>
      <c r="AQ62" s="220"/>
      <c r="AR62" s="221"/>
      <c r="AS62" s="221"/>
      <c r="AT62" s="222"/>
      <c r="AU62" s="221"/>
      <c r="AV62" s="221"/>
      <c r="AW62" s="223"/>
      <c r="AX62" s="223"/>
      <c r="AY62" s="220"/>
      <c r="AZ62" s="221"/>
      <c r="BA62" s="221"/>
      <c r="BB62" s="222"/>
      <c r="BC62" s="221"/>
      <c r="BD62" s="221"/>
      <c r="BE62" s="223"/>
      <c r="BF62" s="223"/>
      <c r="BG62" s="220"/>
      <c r="BH62" s="221"/>
      <c r="BI62" s="221"/>
      <c r="BJ62" s="222"/>
      <c r="BK62" s="221">
        <f t="shared" si="88"/>
        <v>3.2653061224489799E-2</v>
      </c>
      <c r="BL62" s="221">
        <f t="shared" si="88"/>
        <v>3.2005225342913127E-2</v>
      </c>
      <c r="BM62" s="223"/>
      <c r="BN62" s="223">
        <f>BN53/BN5</f>
        <v>3.2258064516129031E-2</v>
      </c>
      <c r="BO62" s="220"/>
      <c r="BP62" s="221"/>
      <c r="BQ62" s="221"/>
      <c r="BR62" s="222"/>
      <c r="BS62" s="221">
        <f t="shared" si="89"/>
        <v>5.1829268292682924E-2</v>
      </c>
      <c r="BT62" s="221">
        <f t="shared" si="89"/>
        <v>6.1273051754907791E-2</v>
      </c>
      <c r="BU62" s="223"/>
      <c r="BV62" s="223">
        <f>BV53/BV5</f>
        <v>5.6609454983438723E-2</v>
      </c>
      <c r="BW62" s="220"/>
      <c r="BX62" s="221"/>
      <c r="BY62" s="221"/>
      <c r="BZ62" s="222"/>
      <c r="CA62" s="221">
        <f t="shared" si="90"/>
        <v>-9.4216417910447756E-2</v>
      </c>
      <c r="CB62" s="221">
        <f t="shared" si="90"/>
        <v>-8.5882352941176465E-2</v>
      </c>
      <c r="CC62" s="223"/>
      <c r="CD62" s="223">
        <f>CD53/CD5</f>
        <v>-9.053069719042664E-2</v>
      </c>
      <c r="CE62" s="220"/>
      <c r="CF62" s="221"/>
      <c r="CG62" s="221"/>
      <c r="CH62" s="222"/>
      <c r="CI62" s="221">
        <f t="shared" si="91"/>
        <v>-0.17027863777089783</v>
      </c>
      <c r="CJ62" s="221">
        <f t="shared" si="91"/>
        <v>-6.8757539203860074E-2</v>
      </c>
      <c r="CK62" s="223"/>
      <c r="CL62" s="223">
        <f>CL53/CL5</f>
        <v>-0.11322033898305085</v>
      </c>
      <c r="CM62" s="220"/>
      <c r="CN62" s="221"/>
      <c r="CO62" s="221"/>
      <c r="CP62" s="222"/>
      <c r="CQ62" s="221">
        <f t="shared" si="92"/>
        <v>-9.4252873563218389E-2</v>
      </c>
      <c r="CR62" s="221">
        <f t="shared" si="92"/>
        <v>-5.2346570397111915E-2</v>
      </c>
      <c r="CS62" s="223"/>
      <c r="CT62" s="223">
        <f>CT53/CT5</f>
        <v>-7.0778564206268962E-2</v>
      </c>
      <c r="CU62" s="221"/>
      <c r="CV62" s="221"/>
      <c r="CW62" s="221"/>
      <c r="CX62" s="222"/>
      <c r="CY62" s="221">
        <f t="shared" si="93"/>
        <v>-8.5984522785898534E-2</v>
      </c>
      <c r="CZ62" s="221">
        <f t="shared" si="94"/>
        <v>-1.2176560121765601E-2</v>
      </c>
      <c r="DA62" s="223"/>
      <c r="DB62" s="223">
        <f>DB53/DB5</f>
        <v>-4.6830843762616065E-2</v>
      </c>
      <c r="DC62" s="221"/>
      <c r="DD62" s="221"/>
      <c r="DE62" s="221"/>
      <c r="DF62" s="222"/>
      <c r="DG62" s="221">
        <f t="shared" si="95"/>
        <v>7.0871722182849041E-3</v>
      </c>
      <c r="DH62" s="221">
        <f t="shared" si="96"/>
        <v>1.0455104551045511E-2</v>
      </c>
      <c r="DI62" s="223"/>
      <c r="DJ62" s="223">
        <f>DJ53/DJ5</f>
        <v>8.8903523213697735E-3</v>
      </c>
      <c r="DK62" s="221"/>
      <c r="DL62" s="221"/>
      <c r="DM62" s="221"/>
      <c r="DN62" s="222"/>
      <c r="DO62" s="221">
        <f t="shared" si="97"/>
        <v>1.6707920792079209E-2</v>
      </c>
      <c r="DP62" s="221">
        <f t="shared" si="98"/>
        <v>4.6739757645701097E-2</v>
      </c>
      <c r="DQ62" s="223"/>
      <c r="DR62" s="1713">
        <f>DR53/DR5</f>
        <v>3.2248432367871005E-2</v>
      </c>
      <c r="DS62" s="221"/>
      <c r="DT62" s="221"/>
      <c r="DU62" s="221"/>
      <c r="DV62" s="222"/>
      <c r="DW62" s="221">
        <f t="shared" si="99"/>
        <v>3.711340206185567E-2</v>
      </c>
      <c r="DX62" s="225">
        <f t="shared" si="100"/>
        <v>6.086104196419146E-2</v>
      </c>
      <c r="DY62" s="223"/>
      <c r="DZ62" s="226">
        <f>DZ53/DZ5</f>
        <v>5.000000000000001E-2</v>
      </c>
      <c r="EA62" s="221"/>
      <c r="EB62" s="221"/>
      <c r="EC62" s="221"/>
      <c r="ED62" s="222"/>
      <c r="EE62" s="225">
        <f t="shared" si="101"/>
        <v>5.9999999999999991E-2</v>
      </c>
      <c r="EF62" s="225">
        <f t="shared" si="101"/>
        <v>0.06</v>
      </c>
      <c r="EG62" s="223"/>
      <c r="EH62" s="226">
        <f>EH53/EH5</f>
        <v>0.06</v>
      </c>
      <c r="EI62" s="221"/>
      <c r="EJ62" s="221"/>
      <c r="EK62" s="221"/>
      <c r="EL62" s="222"/>
      <c r="EM62" s="225">
        <f t="shared" si="102"/>
        <v>7.0000000000000007E-2</v>
      </c>
      <c r="EN62" s="225">
        <f t="shared" si="102"/>
        <v>6.9999999999999993E-2</v>
      </c>
      <c r="EO62" s="223"/>
      <c r="EP62" s="226">
        <f>EP53/EP5</f>
        <v>7.0000000000000007E-2</v>
      </c>
      <c r="EQ62" s="221"/>
      <c r="ER62" s="221"/>
      <c r="ES62" s="221"/>
      <c r="ET62" s="222"/>
      <c r="EU62" s="225">
        <f t="shared" si="103"/>
        <v>0.08</v>
      </c>
      <c r="EV62" s="225">
        <f t="shared" si="103"/>
        <v>0.08</v>
      </c>
      <c r="EW62" s="223"/>
      <c r="EX62" s="226">
        <f>EX53/EX5</f>
        <v>0.08</v>
      </c>
      <c r="EY62" s="221"/>
      <c r="EZ62" s="221"/>
      <c r="FA62" s="221"/>
      <c r="FB62" s="222"/>
      <c r="FC62" s="225">
        <f t="shared" si="104"/>
        <v>0.08</v>
      </c>
      <c r="FD62" s="225">
        <f t="shared" si="104"/>
        <v>8.0000000000000016E-2</v>
      </c>
      <c r="FE62" s="223"/>
      <c r="FF62" s="226">
        <f>FF53/FF5</f>
        <v>0.08</v>
      </c>
    </row>
    <row r="63" spans="1:163" ht="11.25" hidden="1" customHeight="1" outlineLevel="1" x14ac:dyDescent="0.2">
      <c r="A63" s="186"/>
      <c r="B63" s="227" t="s">
        <v>69</v>
      </c>
      <c r="C63" s="220"/>
      <c r="D63" s="221"/>
      <c r="E63" s="221"/>
      <c r="F63" s="222"/>
      <c r="G63" s="221">
        <f>G54/G6</f>
        <v>8.9460154241645246E-2</v>
      </c>
      <c r="H63" s="221">
        <f>H54/H6</f>
        <v>9.4128611369990678E-2</v>
      </c>
      <c r="I63" s="223"/>
      <c r="J63" s="223">
        <f>J54/J6</f>
        <v>9.1909068687362497E-2</v>
      </c>
      <c r="K63" s="220"/>
      <c r="L63" s="221"/>
      <c r="M63" s="221"/>
      <c r="N63" s="222"/>
      <c r="O63" s="221">
        <f>O54/O6</f>
        <v>9.218530650444548E-2</v>
      </c>
      <c r="P63" s="221">
        <f>P54/P6</f>
        <v>9.9177132957990466E-2</v>
      </c>
      <c r="Q63" s="223"/>
      <c r="R63" s="223">
        <f>R54/R6</f>
        <v>9.5816464237516871E-2</v>
      </c>
      <c r="S63" s="220"/>
      <c r="T63" s="221"/>
      <c r="U63" s="221"/>
      <c r="V63" s="222"/>
      <c r="W63" s="221">
        <f>W54/W6</f>
        <v>8.2435791217895613E-2</v>
      </c>
      <c r="X63" s="221">
        <f>X54/X6</f>
        <v>0.1055753262158956</v>
      </c>
      <c r="Y63" s="223"/>
      <c r="Z63" s="223">
        <f>Z54/Z6</f>
        <v>9.427473194416347E-2</v>
      </c>
      <c r="AA63" s="220"/>
      <c r="AB63" s="221"/>
      <c r="AC63" s="221"/>
      <c r="AD63" s="222"/>
      <c r="AE63" s="221">
        <f>AE54/AE6</f>
        <v>0.10660896931549961</v>
      </c>
      <c r="AF63" s="221">
        <f>AF54/AF6</f>
        <v>0.11371494429504418</v>
      </c>
      <c r="AG63" s="223"/>
      <c r="AH63" s="223">
        <f>AH54/AH6</f>
        <v>0.11020408163265306</v>
      </c>
      <c r="AI63" s="220"/>
      <c r="AJ63" s="221"/>
      <c r="AK63" s="221"/>
      <c r="AL63" s="222"/>
      <c r="AM63" s="221">
        <f>AM54/AM6</f>
        <v>0.12044198895027625</v>
      </c>
      <c r="AN63" s="221">
        <f>AN54/AN6</f>
        <v>0.13148148148148148</v>
      </c>
      <c r="AO63" s="223"/>
      <c r="AP63" s="223">
        <f>AP54/AP6</f>
        <v>0.12594644506001848</v>
      </c>
      <c r="AQ63" s="220"/>
      <c r="AR63" s="221"/>
      <c r="AS63" s="221"/>
      <c r="AT63" s="222"/>
      <c r="AU63" s="221">
        <f>AU54/AU6</f>
        <v>0.10887708649468893</v>
      </c>
      <c r="AV63" s="221">
        <f>AV54/AV6</f>
        <v>0.12652439024390244</v>
      </c>
      <c r="AW63" s="223"/>
      <c r="AX63" s="223">
        <f>AX54/AX6</f>
        <v>0.11768060836501901</v>
      </c>
      <c r="AY63" s="220"/>
      <c r="AZ63" s="221"/>
      <c r="BA63" s="221"/>
      <c r="BB63" s="222"/>
      <c r="BC63" s="221">
        <f t="shared" ref="BC63:BD65" si="105">+BC54/BC6</f>
        <v>0.13423597678916827</v>
      </c>
      <c r="BD63" s="221">
        <f t="shared" si="105"/>
        <v>0.15053380782918149</v>
      </c>
      <c r="BE63" s="223"/>
      <c r="BF63" s="223">
        <f>BF54/BF6</f>
        <v>0.14272474513438368</v>
      </c>
      <c r="BG63" s="220"/>
      <c r="BH63" s="221"/>
      <c r="BI63" s="221"/>
      <c r="BJ63" s="222"/>
      <c r="BK63" s="221"/>
      <c r="BL63" s="221"/>
      <c r="BM63" s="223"/>
      <c r="BN63" s="223"/>
      <c r="BO63" s="220"/>
      <c r="BP63" s="221"/>
      <c r="BQ63" s="221"/>
      <c r="BR63" s="222"/>
      <c r="BS63" s="221"/>
      <c r="BT63" s="221"/>
      <c r="BU63" s="223"/>
      <c r="BV63" s="223"/>
      <c r="BW63" s="220"/>
      <c r="BX63" s="221"/>
      <c r="BY63" s="221"/>
      <c r="BZ63" s="222"/>
      <c r="CA63" s="221"/>
      <c r="CB63" s="221"/>
      <c r="CC63" s="223"/>
      <c r="CD63" s="223"/>
      <c r="CE63" s="220"/>
      <c r="CF63" s="221"/>
      <c r="CG63" s="221"/>
      <c r="CH63" s="222"/>
      <c r="CI63" s="221"/>
      <c r="CJ63" s="221"/>
      <c r="CK63" s="223"/>
      <c r="CL63" s="223"/>
      <c r="CM63" s="220"/>
      <c r="CN63" s="221"/>
      <c r="CO63" s="221"/>
      <c r="CP63" s="222"/>
      <c r="CQ63" s="221"/>
      <c r="CR63" s="221"/>
      <c r="CS63" s="223"/>
      <c r="CT63" s="223"/>
      <c r="CU63" s="221"/>
      <c r="CV63" s="221"/>
      <c r="CW63" s="221"/>
      <c r="CX63" s="222"/>
      <c r="CY63" s="221"/>
      <c r="CZ63" s="221"/>
      <c r="DA63" s="223"/>
      <c r="DB63" s="223"/>
      <c r="DC63" s="221"/>
      <c r="DD63" s="221"/>
      <c r="DE63" s="221"/>
      <c r="DF63" s="222"/>
      <c r="DG63" s="221"/>
      <c r="DH63" s="221"/>
      <c r="DI63" s="223"/>
      <c r="DJ63" s="223"/>
      <c r="DK63" s="221"/>
      <c r="DL63" s="221"/>
      <c r="DM63" s="221"/>
      <c r="DN63" s="222"/>
      <c r="DO63" s="221"/>
      <c r="DP63" s="221"/>
      <c r="DQ63" s="223"/>
      <c r="DR63" s="1713"/>
      <c r="DS63" s="221"/>
      <c r="DT63" s="221"/>
      <c r="DU63" s="221"/>
      <c r="DV63" s="222"/>
      <c r="DW63" s="221"/>
      <c r="DX63" s="221"/>
      <c r="DY63" s="223"/>
      <c r="DZ63" s="223"/>
      <c r="EA63" s="221"/>
      <c r="EB63" s="221"/>
      <c r="EC63" s="221"/>
      <c r="ED63" s="222"/>
      <c r="EE63" s="221"/>
      <c r="EF63" s="221"/>
      <c r="EG63" s="223"/>
      <c r="EH63" s="223"/>
      <c r="EI63" s="221"/>
      <c r="EJ63" s="221"/>
      <c r="EK63" s="221"/>
      <c r="EL63" s="222"/>
      <c r="EM63" s="221"/>
      <c r="EN63" s="221"/>
      <c r="EO63" s="223"/>
      <c r="EP63" s="223"/>
      <c r="EQ63" s="221"/>
      <c r="ER63" s="221"/>
      <c r="ES63" s="221"/>
      <c r="ET63" s="222"/>
      <c r="EU63" s="221"/>
      <c r="EV63" s="221"/>
      <c r="EW63" s="223"/>
      <c r="EX63" s="223"/>
      <c r="EY63" s="221"/>
      <c r="EZ63" s="221"/>
      <c r="FA63" s="221"/>
      <c r="FB63" s="222"/>
      <c r="FC63" s="221"/>
      <c r="FD63" s="221"/>
      <c r="FE63" s="223"/>
      <c r="FF63" s="223"/>
    </row>
    <row r="64" spans="1:163" ht="11.25" hidden="1" customHeight="1" outlineLevel="1" x14ac:dyDescent="0.2">
      <c r="A64" s="186"/>
      <c r="B64" s="227" t="s">
        <v>81</v>
      </c>
      <c r="C64" s="220"/>
      <c r="D64" s="221"/>
      <c r="E64" s="221"/>
      <c r="F64" s="222"/>
      <c r="G64" s="221"/>
      <c r="H64" s="221"/>
      <c r="I64" s="223"/>
      <c r="J64" s="223"/>
      <c r="K64" s="220"/>
      <c r="L64" s="221"/>
      <c r="M64" s="221"/>
      <c r="N64" s="222"/>
      <c r="O64" s="221"/>
      <c r="P64" s="221"/>
      <c r="Q64" s="223"/>
      <c r="R64" s="223"/>
      <c r="S64" s="220"/>
      <c r="T64" s="221"/>
      <c r="U64" s="221"/>
      <c r="V64" s="222"/>
      <c r="W64" s="221"/>
      <c r="X64" s="221"/>
      <c r="Y64" s="223"/>
      <c r="Z64" s="223"/>
      <c r="AA64" s="220"/>
      <c r="AB64" s="221"/>
      <c r="AC64" s="221"/>
      <c r="AD64" s="222"/>
      <c r="AE64" s="221"/>
      <c r="AF64" s="221"/>
      <c r="AG64" s="223"/>
      <c r="AH64" s="223"/>
      <c r="AI64" s="220"/>
      <c r="AJ64" s="221"/>
      <c r="AK64" s="221"/>
      <c r="AL64" s="222"/>
      <c r="AM64" s="221"/>
      <c r="AN64" s="221"/>
      <c r="AO64" s="223"/>
      <c r="AP64" s="223"/>
      <c r="AQ64" s="220"/>
      <c r="AR64" s="221"/>
      <c r="AS64" s="221"/>
      <c r="AT64" s="222"/>
      <c r="AU64" s="221"/>
      <c r="AV64" s="221"/>
      <c r="AW64" s="223"/>
      <c r="AX64" s="223"/>
      <c r="AY64" s="220"/>
      <c r="AZ64" s="221"/>
      <c r="BA64" s="221"/>
      <c r="BB64" s="222"/>
      <c r="BC64" s="221">
        <f t="shared" si="105"/>
        <v>8.5092348284960428E-2</v>
      </c>
      <c r="BD64" s="221">
        <f t="shared" si="105"/>
        <v>6.876916338151555E-2</v>
      </c>
      <c r="BE64" s="223"/>
      <c r="BF64" s="223">
        <f>BF55/BF7</f>
        <v>7.5282969202421696E-2</v>
      </c>
      <c r="BG64" s="220"/>
      <c r="BH64" s="221"/>
      <c r="BI64" s="221"/>
      <c r="BJ64" s="222"/>
      <c r="BK64" s="221"/>
      <c r="BL64" s="221"/>
      <c r="BM64" s="223"/>
      <c r="BN64" s="223"/>
      <c r="BO64" s="220"/>
      <c r="BP64" s="221"/>
      <c r="BQ64" s="221"/>
      <c r="BR64" s="222"/>
      <c r="BS64" s="221"/>
      <c r="BT64" s="221"/>
      <c r="BU64" s="223"/>
      <c r="BV64" s="223"/>
      <c r="BW64" s="220"/>
      <c r="BX64" s="221"/>
      <c r="BY64" s="221"/>
      <c r="BZ64" s="222"/>
      <c r="CA64" s="221"/>
      <c r="CB64" s="221"/>
      <c r="CC64" s="223"/>
      <c r="CD64" s="223"/>
      <c r="CE64" s="220"/>
      <c r="CF64" s="221"/>
      <c r="CG64" s="221"/>
      <c r="CH64" s="222"/>
      <c r="CI64" s="221"/>
      <c r="CJ64" s="221"/>
      <c r="CK64" s="223"/>
      <c r="CL64" s="223"/>
      <c r="CM64" s="220"/>
      <c r="CN64" s="221"/>
      <c r="CO64" s="221"/>
      <c r="CP64" s="222"/>
      <c r="CQ64" s="221"/>
      <c r="CR64" s="221"/>
      <c r="CS64" s="223"/>
      <c r="CT64" s="223"/>
      <c r="CU64" s="221"/>
      <c r="CV64" s="221"/>
      <c r="CW64" s="221"/>
      <c r="CX64" s="222"/>
      <c r="CY64" s="221"/>
      <c r="CZ64" s="221"/>
      <c r="DA64" s="223"/>
      <c r="DB64" s="223"/>
      <c r="DC64" s="221"/>
      <c r="DD64" s="221"/>
      <c r="DE64" s="221"/>
      <c r="DF64" s="222"/>
      <c r="DG64" s="221"/>
      <c r="DH64" s="221"/>
      <c r="DI64" s="223"/>
      <c r="DJ64" s="223"/>
      <c r="DK64" s="221"/>
      <c r="DL64" s="221"/>
      <c r="DM64" s="221"/>
      <c r="DN64" s="222"/>
      <c r="DO64" s="221"/>
      <c r="DP64" s="221"/>
      <c r="DQ64" s="223"/>
      <c r="DR64" s="1713"/>
      <c r="DS64" s="221"/>
      <c r="DT64" s="221"/>
      <c r="DU64" s="221"/>
      <c r="DV64" s="222"/>
      <c r="DW64" s="221"/>
      <c r="DX64" s="221"/>
      <c r="DY64" s="223"/>
      <c r="DZ64" s="223"/>
      <c r="EA64" s="221"/>
      <c r="EB64" s="221"/>
      <c r="EC64" s="221"/>
      <c r="ED64" s="222"/>
      <c r="EE64" s="221"/>
      <c r="EF64" s="221"/>
      <c r="EG64" s="223"/>
      <c r="EH64" s="223"/>
      <c r="EI64" s="221"/>
      <c r="EJ64" s="221"/>
      <c r="EK64" s="221"/>
      <c r="EL64" s="222"/>
      <c r="EM64" s="221"/>
      <c r="EN64" s="221"/>
      <c r="EO64" s="223"/>
      <c r="EP64" s="223"/>
      <c r="EQ64" s="221"/>
      <c r="ER64" s="221"/>
      <c r="ES64" s="221"/>
      <c r="ET64" s="222"/>
      <c r="EU64" s="221"/>
      <c r="EV64" s="221"/>
      <c r="EW64" s="223"/>
      <c r="EX64" s="223"/>
      <c r="EY64" s="221"/>
      <c r="EZ64" s="221"/>
      <c r="FA64" s="221"/>
      <c r="FB64" s="222"/>
      <c r="FC64" s="221"/>
      <c r="FD64" s="221"/>
      <c r="FE64" s="223"/>
      <c r="FF64" s="223"/>
    </row>
    <row r="65" spans="1:162" ht="11.25" hidden="1" customHeight="1" outlineLevel="1" x14ac:dyDescent="0.2">
      <c r="A65" s="186"/>
      <c r="B65" s="227" t="s">
        <v>263</v>
      </c>
      <c r="C65" s="220"/>
      <c r="D65" s="221"/>
      <c r="E65" s="221"/>
      <c r="F65" s="222"/>
      <c r="G65" s="221">
        <f>G56/G8</f>
        <v>7.9505300353356886E-2</v>
      </c>
      <c r="H65" s="221">
        <f>H56/H8</f>
        <v>6.1806656101426306E-2</v>
      </c>
      <c r="I65" s="223"/>
      <c r="J65" s="223">
        <f>J56/J8</f>
        <v>7.0175438596491224E-2</v>
      </c>
      <c r="K65" s="220"/>
      <c r="L65" s="221"/>
      <c r="M65" s="221"/>
      <c r="N65" s="222"/>
      <c r="O65" s="221">
        <f>O56/O8</f>
        <v>7.3630136986301373E-2</v>
      </c>
      <c r="P65" s="221">
        <f>P56/P8</f>
        <v>4.3956043956043959E-2</v>
      </c>
      <c r="Q65" s="223"/>
      <c r="R65" s="223">
        <f>R56/R8</f>
        <v>5.8149058149058151E-2</v>
      </c>
      <c r="S65" s="220"/>
      <c r="T65" s="221"/>
      <c r="U65" s="221"/>
      <c r="V65" s="222"/>
      <c r="W65" s="221">
        <f>W56/W8</f>
        <v>2.4350649350649352E-2</v>
      </c>
      <c r="X65" s="221">
        <f>X56/X8</f>
        <v>7.5384615384615383E-2</v>
      </c>
      <c r="Y65" s="223"/>
      <c r="Z65" s="223">
        <f>Z56/Z8</f>
        <v>5.0552922590837282E-2</v>
      </c>
      <c r="AA65" s="220"/>
      <c r="AB65" s="221"/>
      <c r="AC65" s="221"/>
      <c r="AD65" s="222"/>
      <c r="AE65" s="221">
        <f>AE56/AE8</f>
        <v>3.7671232876712327E-2</v>
      </c>
      <c r="AF65" s="221">
        <f>AF56/AF8</f>
        <v>8.2568807339449546E-2</v>
      </c>
      <c r="AG65" s="223"/>
      <c r="AH65" s="223">
        <f>AH56/AH8</f>
        <v>6.1389337641357025E-2</v>
      </c>
      <c r="AI65" s="220"/>
      <c r="AJ65" s="221"/>
      <c r="AK65" s="221"/>
      <c r="AL65" s="222"/>
      <c r="AM65" s="221">
        <f>AM56/AM8</f>
        <v>6.4102564102564097E-2</v>
      </c>
      <c r="AN65" s="221">
        <f>AN56/AN8</f>
        <v>7.6282940360610257E-2</v>
      </c>
      <c r="AO65" s="223"/>
      <c r="AP65" s="223">
        <f>AP56/AP8</f>
        <v>7.0631970260223054E-2</v>
      </c>
      <c r="AQ65" s="220"/>
      <c r="AR65" s="221"/>
      <c r="AS65" s="221"/>
      <c r="AT65" s="222"/>
      <c r="AU65" s="221">
        <f>AU56/AU8</f>
        <v>5.7189542483660129E-2</v>
      </c>
      <c r="AV65" s="221">
        <f>AV56/AV8</f>
        <v>8.2386363636363633E-2</v>
      </c>
      <c r="AW65" s="223"/>
      <c r="AX65" s="223">
        <f>AX56/AX8</f>
        <v>7.0668693009118544E-2</v>
      </c>
      <c r="AY65" s="220"/>
      <c r="AZ65" s="221"/>
      <c r="BA65" s="221"/>
      <c r="BB65" s="222"/>
      <c r="BC65" s="221">
        <f t="shared" si="105"/>
        <v>6.9124423963133647E-2</v>
      </c>
      <c r="BD65" s="221">
        <f t="shared" si="105"/>
        <v>9.9319727891156465E-2</v>
      </c>
      <c r="BE65" s="223"/>
      <c r="BF65" s="223">
        <f>BF56/BF8</f>
        <v>8.5137085137085136E-2</v>
      </c>
      <c r="BG65" s="220"/>
      <c r="BH65" s="221"/>
      <c r="BI65" s="221"/>
      <c r="BJ65" s="222"/>
      <c r="BK65" s="221"/>
      <c r="BL65" s="221"/>
      <c r="BM65" s="223"/>
      <c r="BN65" s="223"/>
      <c r="BO65" s="220"/>
      <c r="BP65" s="221"/>
      <c r="BQ65" s="221"/>
      <c r="BR65" s="222"/>
      <c r="BS65" s="221"/>
      <c r="BT65" s="221"/>
      <c r="BU65" s="223"/>
      <c r="BV65" s="223"/>
      <c r="BW65" s="220"/>
      <c r="BX65" s="221"/>
      <c r="BY65" s="221"/>
      <c r="BZ65" s="222"/>
      <c r="CA65" s="221"/>
      <c r="CB65" s="221"/>
      <c r="CC65" s="223"/>
      <c r="CD65" s="223"/>
      <c r="CE65" s="220"/>
      <c r="CF65" s="221"/>
      <c r="CG65" s="221"/>
      <c r="CH65" s="222"/>
      <c r="CI65" s="221"/>
      <c r="CJ65" s="221"/>
      <c r="CK65" s="223"/>
      <c r="CL65" s="223"/>
      <c r="CM65" s="220"/>
      <c r="CN65" s="221"/>
      <c r="CO65" s="221"/>
      <c r="CP65" s="222"/>
      <c r="CQ65" s="221"/>
      <c r="CR65" s="221"/>
      <c r="CS65" s="223"/>
      <c r="CT65" s="223"/>
      <c r="CU65" s="221"/>
      <c r="CV65" s="221"/>
      <c r="CW65" s="221"/>
      <c r="CX65" s="222"/>
      <c r="CY65" s="221"/>
      <c r="CZ65" s="221"/>
      <c r="DA65" s="223"/>
      <c r="DB65" s="223"/>
      <c r="DC65" s="221"/>
      <c r="DD65" s="221"/>
      <c r="DE65" s="221"/>
      <c r="DF65" s="222"/>
      <c r="DG65" s="221"/>
      <c r="DH65" s="221"/>
      <c r="DI65" s="223"/>
      <c r="DJ65" s="223"/>
      <c r="DK65" s="221"/>
      <c r="DL65" s="221"/>
      <c r="DM65" s="221"/>
      <c r="DN65" s="222"/>
      <c r="DO65" s="221"/>
      <c r="DP65" s="221"/>
      <c r="DQ65" s="223"/>
      <c r="DR65" s="1713"/>
      <c r="DS65" s="221"/>
      <c r="DT65" s="221"/>
      <c r="DU65" s="221"/>
      <c r="DV65" s="222"/>
      <c r="DW65" s="221"/>
      <c r="DX65" s="221"/>
      <c r="DY65" s="223"/>
      <c r="DZ65" s="223"/>
      <c r="EA65" s="221"/>
      <c r="EB65" s="221"/>
      <c r="EC65" s="221"/>
      <c r="ED65" s="222"/>
      <c r="EE65" s="221"/>
      <c r="EF65" s="221"/>
      <c r="EG65" s="223"/>
      <c r="EH65" s="223"/>
      <c r="EI65" s="221"/>
      <c r="EJ65" s="221"/>
      <c r="EK65" s="221"/>
      <c r="EL65" s="222"/>
      <c r="EM65" s="221"/>
      <c r="EN65" s="221"/>
      <c r="EO65" s="223"/>
      <c r="EP65" s="223"/>
      <c r="EQ65" s="221"/>
      <c r="ER65" s="221"/>
      <c r="ES65" s="221"/>
      <c r="ET65" s="222"/>
      <c r="EU65" s="221"/>
      <c r="EV65" s="221"/>
      <c r="EW65" s="223"/>
      <c r="EX65" s="223"/>
      <c r="EY65" s="221"/>
      <c r="EZ65" s="221"/>
      <c r="FA65" s="221"/>
      <c r="FB65" s="222"/>
      <c r="FC65" s="221"/>
      <c r="FD65" s="221"/>
      <c r="FE65" s="223"/>
      <c r="FF65" s="223"/>
    </row>
    <row r="66" spans="1:162" ht="11.25" hidden="1" customHeight="1" outlineLevel="1" x14ac:dyDescent="0.2">
      <c r="A66" s="186"/>
      <c r="B66" s="197" t="s">
        <v>82</v>
      </c>
      <c r="C66" s="220"/>
      <c r="D66" s="221"/>
      <c r="E66" s="221"/>
      <c r="F66" s="222"/>
      <c r="G66" s="221">
        <f>G57/G9</f>
        <v>8.9779005524861885E-2</v>
      </c>
      <c r="H66" s="221">
        <f>H57/H9</f>
        <v>7.255936675461741E-2</v>
      </c>
      <c r="I66" s="223"/>
      <c r="J66" s="223">
        <f>J57/J9</f>
        <v>8.0971659919028341E-2</v>
      </c>
      <c r="K66" s="220"/>
      <c r="L66" s="221"/>
      <c r="M66" s="221"/>
      <c r="N66" s="222"/>
      <c r="O66" s="221">
        <f>O57/O9</f>
        <v>8.8642659279778394E-2</v>
      </c>
      <c r="P66" s="221">
        <f>P57/P9</f>
        <v>8.6633663366336627E-2</v>
      </c>
      <c r="Q66" s="223"/>
      <c r="R66" s="223">
        <f>R57/R9</f>
        <v>8.7581699346405223E-2</v>
      </c>
      <c r="S66" s="220"/>
      <c r="T66" s="221"/>
      <c r="U66" s="221"/>
      <c r="V66" s="222"/>
      <c r="W66" s="221">
        <f>W57/W9</f>
        <v>7.4576271186440682E-2</v>
      </c>
      <c r="X66" s="221">
        <f>X57/X9</f>
        <v>8.559919436052367E-2</v>
      </c>
      <c r="Y66" s="223"/>
      <c r="Z66" s="223">
        <f>Z57/Z9</f>
        <v>8.0404685835995734E-2</v>
      </c>
      <c r="AA66" s="220"/>
      <c r="AB66" s="221"/>
      <c r="AC66" s="221"/>
      <c r="AD66" s="222"/>
      <c r="AE66" s="221">
        <f>AE57/AE9</f>
        <v>8.3245521601685982E-2</v>
      </c>
      <c r="AF66" s="221"/>
      <c r="AG66" s="223"/>
      <c r="AH66" s="223"/>
      <c r="AI66" s="220"/>
      <c r="AJ66" s="221"/>
      <c r="AK66" s="221"/>
      <c r="AL66" s="222"/>
      <c r="AM66" s="221"/>
      <c r="AN66" s="221"/>
      <c r="AO66" s="223"/>
      <c r="AP66" s="223"/>
      <c r="AQ66" s="220"/>
      <c r="AR66" s="221"/>
      <c r="AS66" s="221"/>
      <c r="AT66" s="222"/>
      <c r="AU66" s="221"/>
      <c r="AV66" s="221"/>
      <c r="AW66" s="223"/>
      <c r="AX66" s="223"/>
      <c r="AY66" s="220"/>
      <c r="AZ66" s="221"/>
      <c r="BA66" s="221"/>
      <c r="BB66" s="222"/>
      <c r="BC66" s="221"/>
      <c r="BD66" s="221"/>
      <c r="BE66" s="223"/>
      <c r="BF66" s="223"/>
      <c r="BG66" s="220"/>
      <c r="BH66" s="221"/>
      <c r="BI66" s="221"/>
      <c r="BJ66" s="222"/>
      <c r="BK66" s="221"/>
      <c r="BL66" s="221"/>
      <c r="BM66" s="223"/>
      <c r="BN66" s="223"/>
      <c r="BO66" s="220"/>
      <c r="BP66" s="221"/>
      <c r="BQ66" s="221"/>
      <c r="BR66" s="222"/>
      <c r="BS66" s="221"/>
      <c r="BT66" s="221"/>
      <c r="BU66" s="223"/>
      <c r="BV66" s="223"/>
      <c r="BW66" s="220"/>
      <c r="BX66" s="221"/>
      <c r="BY66" s="221"/>
      <c r="BZ66" s="222"/>
      <c r="CA66" s="221"/>
      <c r="CB66" s="221"/>
      <c r="CC66" s="223"/>
      <c r="CD66" s="223"/>
      <c r="CE66" s="220"/>
      <c r="CF66" s="221"/>
      <c r="CG66" s="221"/>
      <c r="CH66" s="222"/>
      <c r="CI66" s="221"/>
      <c r="CJ66" s="221"/>
      <c r="CK66" s="223"/>
      <c r="CL66" s="223"/>
      <c r="CM66" s="220"/>
      <c r="CN66" s="221"/>
      <c r="CO66" s="221"/>
      <c r="CP66" s="222"/>
      <c r="CQ66" s="221"/>
      <c r="CR66" s="221"/>
      <c r="CS66" s="223"/>
      <c r="CT66" s="223"/>
      <c r="CU66" s="221"/>
      <c r="CV66" s="221"/>
      <c r="CW66" s="221"/>
      <c r="CX66" s="222"/>
      <c r="CY66" s="221"/>
      <c r="CZ66" s="221"/>
      <c r="DA66" s="223"/>
      <c r="DB66" s="223"/>
      <c r="DC66" s="221"/>
      <c r="DD66" s="221"/>
      <c r="DE66" s="221"/>
      <c r="DF66" s="222"/>
      <c r="DG66" s="221"/>
      <c r="DH66" s="221"/>
      <c r="DI66" s="223"/>
      <c r="DJ66" s="223"/>
      <c r="DK66" s="221"/>
      <c r="DL66" s="221"/>
      <c r="DM66" s="221"/>
      <c r="DN66" s="222"/>
      <c r="DO66" s="221"/>
      <c r="DP66" s="221"/>
      <c r="DQ66" s="223"/>
      <c r="DR66" s="1713"/>
      <c r="DS66" s="221"/>
      <c r="DT66" s="221"/>
      <c r="DU66" s="221"/>
      <c r="DV66" s="222"/>
      <c r="DW66" s="221"/>
      <c r="DX66" s="221"/>
      <c r="DY66" s="223"/>
      <c r="DZ66" s="223"/>
      <c r="EA66" s="221"/>
      <c r="EB66" s="221"/>
      <c r="EC66" s="221"/>
      <c r="ED66" s="222"/>
      <c r="EE66" s="221"/>
      <c r="EF66" s="221"/>
      <c r="EG66" s="223"/>
      <c r="EH66" s="223"/>
      <c r="EI66" s="221"/>
      <c r="EJ66" s="221"/>
      <c r="EK66" s="221"/>
      <c r="EL66" s="222"/>
      <c r="EM66" s="221"/>
      <c r="EN66" s="221"/>
      <c r="EO66" s="223"/>
      <c r="EP66" s="223"/>
      <c r="EQ66" s="221"/>
      <c r="ER66" s="221"/>
      <c r="ES66" s="221"/>
      <c r="ET66" s="222"/>
      <c r="EU66" s="221"/>
      <c r="EV66" s="221"/>
      <c r="EW66" s="223"/>
      <c r="EX66" s="223"/>
      <c r="EY66" s="221"/>
      <c r="EZ66" s="221"/>
      <c r="FA66" s="221"/>
      <c r="FB66" s="222"/>
      <c r="FC66" s="221"/>
      <c r="FD66" s="221"/>
      <c r="FE66" s="223"/>
      <c r="FF66" s="223"/>
    </row>
    <row r="67" spans="1:162" ht="11.25" customHeight="1" collapsed="1" x14ac:dyDescent="0.2">
      <c r="A67" s="186"/>
      <c r="B67" s="202" t="s">
        <v>284</v>
      </c>
      <c r="C67" s="238"/>
      <c r="D67" s="239"/>
      <c r="E67" s="239"/>
      <c r="F67" s="240"/>
      <c r="G67" s="239">
        <f>G50/G11</f>
        <v>0.12190531345012307</v>
      </c>
      <c r="H67" s="239">
        <f>H50/H11</f>
        <v>0.12580472103004292</v>
      </c>
      <c r="I67" s="241"/>
      <c r="J67" s="241">
        <f>J50/J11</f>
        <v>0.12392954118220427</v>
      </c>
      <c r="K67" s="238"/>
      <c r="L67" s="239"/>
      <c r="M67" s="239"/>
      <c r="N67" s="240"/>
      <c r="O67" s="239">
        <f>O50/O11</f>
        <v>0.13263041065482797</v>
      </c>
      <c r="P67" s="239">
        <f>P50/P11</f>
        <v>0.13906959617036946</v>
      </c>
      <c r="Q67" s="241"/>
      <c r="R67" s="241">
        <f>R50/R11</f>
        <v>0.13604689026375774</v>
      </c>
      <c r="S67" s="238"/>
      <c r="T67" s="239"/>
      <c r="U67" s="239"/>
      <c r="V67" s="240"/>
      <c r="W67" s="239">
        <f>W50/W11</f>
        <v>0.13935499226466738</v>
      </c>
      <c r="X67" s="239">
        <f>X50/X11</f>
        <v>0.13994007324381311</v>
      </c>
      <c r="Y67" s="241"/>
      <c r="Z67" s="241">
        <f>Z50/Z11</f>
        <v>0.13965774664063396</v>
      </c>
      <c r="AA67" s="238"/>
      <c r="AB67" s="239"/>
      <c r="AC67" s="239"/>
      <c r="AD67" s="240"/>
      <c r="AE67" s="239">
        <f>AE50/AE11</f>
        <v>0.14648612354521037</v>
      </c>
      <c r="AF67" s="239">
        <f>AF50/AF11</f>
        <v>0.14049268668206313</v>
      </c>
      <c r="AG67" s="241"/>
      <c r="AH67" s="241">
        <f>AH50/AH11</f>
        <v>0.15233508649641975</v>
      </c>
      <c r="AI67" s="238"/>
      <c r="AJ67" s="239"/>
      <c r="AK67" s="239"/>
      <c r="AL67" s="240"/>
      <c r="AM67" s="239">
        <f>AM50/AM11</f>
        <v>0.15153023140084598</v>
      </c>
      <c r="AN67" s="239">
        <f>AN50/AN11</f>
        <v>0.1475892962395379</v>
      </c>
      <c r="AO67" s="241"/>
      <c r="AP67" s="241">
        <f>AP50/AP11</f>
        <v>0.14950668845711518</v>
      </c>
      <c r="AQ67" s="238"/>
      <c r="AR67" s="239"/>
      <c r="AS67" s="239"/>
      <c r="AT67" s="240"/>
      <c r="AU67" s="239">
        <f>AU50/AU11</f>
        <v>0.13624511082138202</v>
      </c>
      <c r="AV67" s="239">
        <f>AV50/AV11</f>
        <v>0.13847639744054085</v>
      </c>
      <c r="AW67" s="241"/>
      <c r="AX67" s="241">
        <f>AX50/AX11</f>
        <v>0.13740362314298252</v>
      </c>
      <c r="AY67" s="238"/>
      <c r="AZ67" s="239"/>
      <c r="BA67" s="239"/>
      <c r="BB67" s="240"/>
      <c r="BC67" s="239">
        <f>+BC50/BC13</f>
        <v>0.14755669115298628</v>
      </c>
      <c r="BD67" s="239">
        <f>+BD50/BD13</f>
        <v>0.140732462173315</v>
      </c>
      <c r="BE67" s="241"/>
      <c r="BF67" s="241">
        <f>BF50/BF11</f>
        <v>0.14361045130641331</v>
      </c>
      <c r="BG67" s="238"/>
      <c r="BH67" s="239"/>
      <c r="BI67" s="239"/>
      <c r="BJ67" s="240"/>
      <c r="BK67" s="239">
        <f>+BK50/BK13</f>
        <v>0.14755669115298628</v>
      </c>
      <c r="BL67" s="239">
        <f>+BL50/BL13</f>
        <v>0.140732462173315</v>
      </c>
      <c r="BM67" s="241"/>
      <c r="BN67" s="241">
        <f>BN50/BN11</f>
        <v>0.14361045130641331</v>
      </c>
      <c r="BO67" s="238"/>
      <c r="BP67" s="239"/>
      <c r="BQ67" s="239"/>
      <c r="BR67" s="240"/>
      <c r="BS67" s="239">
        <f>+BS50/BS13</f>
        <v>0.15290296386520502</v>
      </c>
      <c r="BT67" s="239">
        <f>+BT50/BT13</f>
        <v>0.15152937495110694</v>
      </c>
      <c r="BU67" s="241"/>
      <c r="BV67" s="241">
        <f>BV50/BV11</f>
        <v>0.15503246753246752</v>
      </c>
      <c r="BW67" s="238"/>
      <c r="BX67" s="239"/>
      <c r="BY67" s="239"/>
      <c r="BZ67" s="240"/>
      <c r="CA67" s="239">
        <f>+CA50/CA13</f>
        <v>0.10638058863176814</v>
      </c>
      <c r="CB67" s="239">
        <f>+CB50/CB13</f>
        <v>9.5613921593996634E-2</v>
      </c>
      <c r="CC67" s="241"/>
      <c r="CD67" s="241">
        <f>CD50/CD11</f>
        <v>0.10219420535822524</v>
      </c>
      <c r="CE67" s="238"/>
      <c r="CF67" s="239"/>
      <c r="CG67" s="239"/>
      <c r="CH67" s="240"/>
      <c r="CI67" s="239">
        <f>+CI50/CI13</f>
        <v>9.735559166789777E-2</v>
      </c>
      <c r="CJ67" s="239">
        <f>+CJ50/CJ13</f>
        <v>0.13701578192252512</v>
      </c>
      <c r="CK67" s="241"/>
      <c r="CL67" s="241">
        <f>CL50/CL11</f>
        <v>0.11830635118306351</v>
      </c>
      <c r="CM67" s="238"/>
      <c r="CN67" s="239"/>
      <c r="CO67" s="239"/>
      <c r="CP67" s="240"/>
      <c r="CQ67" s="239">
        <f>+CQ50/CQ13</f>
        <v>0.12069164265129682</v>
      </c>
      <c r="CR67" s="239">
        <f>+CR50/CR13</f>
        <v>0.12546091445427729</v>
      </c>
      <c r="CS67" s="241"/>
      <c r="CT67" s="241">
        <f>CT50/CT11</f>
        <v>0.12650380877331233</v>
      </c>
      <c r="CU67" s="239"/>
      <c r="CV67" s="239"/>
      <c r="CW67" s="239"/>
      <c r="CX67" s="240"/>
      <c r="CY67" s="239">
        <f>+CY50/CY13</f>
        <v>0.12552790008086981</v>
      </c>
      <c r="CZ67" s="239">
        <f>CZ50/CZ11</f>
        <v>0.14436102497143791</v>
      </c>
      <c r="DA67" s="241"/>
      <c r="DB67" s="241">
        <f>DB50/DB11</f>
        <v>0.13647139962929436</v>
      </c>
      <c r="DC67" s="239"/>
      <c r="DD67" s="239"/>
      <c r="DE67" s="239"/>
      <c r="DF67" s="240"/>
      <c r="DG67" s="239">
        <f>+DG50/DG13</f>
        <v>0.14950015146925175</v>
      </c>
      <c r="DH67" s="239">
        <f>DH50/DH11</f>
        <v>0.15031534688156972</v>
      </c>
      <c r="DI67" s="241"/>
      <c r="DJ67" s="241">
        <f>DJ50/DJ11</f>
        <v>0.15078522531756783</v>
      </c>
      <c r="DK67" s="239"/>
      <c r="DL67" s="239"/>
      <c r="DM67" s="239"/>
      <c r="DN67" s="240"/>
      <c r="DO67" s="239">
        <f>+DO50/DO13</f>
        <v>0.16885301042717793</v>
      </c>
      <c r="DP67" s="239">
        <f>DP50/DP11</f>
        <v>0.16225845410628023</v>
      </c>
      <c r="DQ67" s="241"/>
      <c r="DR67" s="1714">
        <f>DR50/DR11</f>
        <v>0.16588464362092631</v>
      </c>
      <c r="DS67" s="239"/>
      <c r="DT67" s="239"/>
      <c r="DU67" s="239"/>
      <c r="DV67" s="240"/>
      <c r="DW67" s="239">
        <f>+DW50/DW13</f>
        <v>0.18770658161786025</v>
      </c>
      <c r="DX67" s="243">
        <f>DX50/DX11</f>
        <v>0.18056326411089771</v>
      </c>
      <c r="DY67" s="241"/>
      <c r="DZ67" s="244">
        <f>DZ50/DZ11</f>
        <v>0.18237675397410574</v>
      </c>
      <c r="EA67" s="239"/>
      <c r="EB67" s="239"/>
      <c r="EC67" s="239"/>
      <c r="ED67" s="240"/>
      <c r="EE67" s="243">
        <f>EE50/EE11</f>
        <v>0.12257708418328243</v>
      </c>
      <c r="EF67" s="243">
        <f>EF50/EF11</f>
        <v>0.24639797291450344</v>
      </c>
      <c r="EG67" s="241"/>
      <c r="EH67" s="244">
        <f>EH50/EH11</f>
        <v>0.18918752181169013</v>
      </c>
      <c r="EI67" s="239"/>
      <c r="EJ67" s="239"/>
      <c r="EK67" s="239"/>
      <c r="EL67" s="240"/>
      <c r="EM67" s="243">
        <f>EM50/EM11</f>
        <v>0.12461943206483009</v>
      </c>
      <c r="EN67" s="243">
        <f>EN50/EN11</f>
        <v>0.24490606621750474</v>
      </c>
      <c r="EO67" s="241"/>
      <c r="EP67" s="244">
        <f>EP50/EP11</f>
        <v>0.18919976251995266</v>
      </c>
      <c r="EQ67" s="239"/>
      <c r="ER67" s="239"/>
      <c r="ES67" s="239"/>
      <c r="ET67" s="240"/>
      <c r="EU67" s="243">
        <f>EU50/EU11</f>
        <v>0.12466667416402265</v>
      </c>
      <c r="EV67" s="243">
        <f>EV50/EV11</f>
        <v>0.24391604195383579</v>
      </c>
      <c r="EW67" s="241"/>
      <c r="EX67" s="244">
        <f>EX50/EX11</f>
        <v>0.18864965800424752</v>
      </c>
      <c r="EY67" s="239"/>
      <c r="EZ67" s="239"/>
      <c r="FA67" s="239"/>
      <c r="FB67" s="240"/>
      <c r="FC67" s="243">
        <f>FC50/FC11</f>
        <v>0.12764123532125188</v>
      </c>
      <c r="FD67" s="243">
        <f>FD50/FD11</f>
        <v>0.2456220424883428</v>
      </c>
      <c r="FE67" s="241"/>
      <c r="FF67" s="244">
        <f>FF50/FF11</f>
        <v>0.19090998052883576</v>
      </c>
    </row>
    <row r="68" spans="1:162" ht="11.25" customHeight="1" x14ac:dyDescent="0.2">
      <c r="A68" s="186"/>
      <c r="C68" s="220"/>
      <c r="D68" s="221"/>
      <c r="E68" s="221"/>
      <c r="F68" s="222"/>
      <c r="G68" s="221"/>
      <c r="H68" s="221"/>
      <c r="I68" s="223"/>
      <c r="J68" s="223"/>
      <c r="K68" s="220"/>
      <c r="L68" s="221"/>
      <c r="M68" s="221"/>
      <c r="N68" s="222"/>
      <c r="O68" s="221"/>
      <c r="P68" s="221"/>
      <c r="Q68" s="223"/>
      <c r="R68" s="223"/>
      <c r="S68" s="220"/>
      <c r="T68" s="221"/>
      <c r="U68" s="221"/>
      <c r="V68" s="222"/>
      <c r="W68" s="221"/>
      <c r="X68" s="221"/>
      <c r="Y68" s="223"/>
      <c r="Z68" s="223"/>
      <c r="AA68" s="220"/>
      <c r="AB68" s="221"/>
      <c r="AC68" s="221"/>
      <c r="AD68" s="222"/>
      <c r="AE68" s="221"/>
      <c r="AF68" s="221"/>
      <c r="AG68" s="223"/>
      <c r="AH68" s="223"/>
      <c r="AI68" s="220"/>
      <c r="AJ68" s="221"/>
      <c r="AK68" s="221"/>
      <c r="AL68" s="222"/>
      <c r="AM68" s="221"/>
      <c r="AN68" s="221"/>
      <c r="AO68" s="223"/>
      <c r="AP68" s="223"/>
      <c r="AQ68" s="220"/>
      <c r="AR68" s="221"/>
      <c r="AS68" s="221"/>
      <c r="AT68" s="222"/>
      <c r="AU68" s="221"/>
      <c r="AV68" s="221"/>
      <c r="AW68" s="223"/>
      <c r="AX68" s="223"/>
      <c r="AY68" s="220"/>
      <c r="AZ68" s="221"/>
      <c r="BA68" s="221"/>
      <c r="BB68" s="222"/>
      <c r="BC68" s="221"/>
      <c r="BD68" s="221"/>
      <c r="BE68" s="223"/>
      <c r="BF68" s="223"/>
      <c r="BG68" s="220"/>
      <c r="BH68" s="221"/>
      <c r="BI68" s="221"/>
      <c r="BJ68" s="222"/>
      <c r="BK68" s="221"/>
      <c r="BL68" s="221"/>
      <c r="BM68" s="223"/>
      <c r="BN68" s="223"/>
      <c r="BO68" s="220"/>
      <c r="BP68" s="221"/>
      <c r="BQ68" s="221"/>
      <c r="BR68" s="222"/>
      <c r="BS68" s="221"/>
      <c r="BT68" s="221"/>
      <c r="BU68" s="223"/>
      <c r="BV68" s="223"/>
      <c r="BW68" s="220"/>
      <c r="BX68" s="221"/>
      <c r="BY68" s="221"/>
      <c r="BZ68" s="222"/>
      <c r="CA68" s="221"/>
      <c r="CB68" s="221"/>
      <c r="CC68" s="223"/>
      <c r="CD68" s="223"/>
      <c r="CE68" s="220"/>
      <c r="CF68" s="221"/>
      <c r="CG68" s="221"/>
      <c r="CH68" s="222"/>
      <c r="CI68" s="221"/>
      <c r="CJ68" s="221"/>
      <c r="CK68" s="223"/>
      <c r="CL68" s="223"/>
      <c r="CM68" s="220"/>
      <c r="CN68" s="221"/>
      <c r="CO68" s="221"/>
      <c r="CP68" s="222"/>
      <c r="CQ68" s="221"/>
      <c r="CR68" s="221"/>
      <c r="CS68" s="223"/>
      <c r="CT68" s="223"/>
      <c r="CU68" s="292"/>
      <c r="CV68" s="292"/>
      <c r="CW68" s="292"/>
      <c r="CX68" s="293"/>
      <c r="CY68" s="221"/>
      <c r="CZ68" s="292"/>
      <c r="DA68" s="294"/>
      <c r="DB68" s="294"/>
      <c r="DC68" s="292"/>
      <c r="DD68" s="292"/>
      <c r="DE68" s="292"/>
      <c r="DF68" s="293"/>
      <c r="DG68" s="292"/>
      <c r="DH68" s="292"/>
      <c r="DI68" s="294"/>
      <c r="DJ68" s="294"/>
      <c r="DK68" s="292"/>
      <c r="DL68" s="292"/>
      <c r="DM68" s="292"/>
      <c r="DN68" s="293"/>
      <c r="DO68" s="292"/>
      <c r="DP68" s="292"/>
      <c r="DQ68" s="294"/>
      <c r="DR68" s="1715"/>
      <c r="DS68" s="292"/>
      <c r="DT68" s="292"/>
      <c r="DU68" s="292"/>
      <c r="DV68" s="293"/>
      <c r="DW68" s="292"/>
      <c r="DX68" s="292"/>
      <c r="DY68" s="294"/>
      <c r="DZ68" s="294"/>
      <c r="EA68" s="292"/>
      <c r="EB68" s="292"/>
      <c r="EC68" s="292"/>
      <c r="ED68" s="293"/>
      <c r="EE68" s="292"/>
      <c r="EF68" s="292"/>
      <c r="EG68" s="294"/>
      <c r="EH68" s="294"/>
      <c r="EI68" s="292"/>
      <c r="EJ68" s="292"/>
      <c r="EK68" s="292"/>
      <c r="EL68" s="293"/>
      <c r="EM68" s="292"/>
      <c r="EN68" s="292"/>
      <c r="EO68" s="294"/>
      <c r="EP68" s="294"/>
      <c r="EQ68" s="292"/>
      <c r="ER68" s="292"/>
      <c r="ES68" s="292"/>
      <c r="ET68" s="293"/>
      <c r="EU68" s="292"/>
      <c r="EV68" s="292"/>
      <c r="EW68" s="294"/>
      <c r="EX68" s="294"/>
      <c r="EY68" s="292"/>
      <c r="EZ68" s="292"/>
      <c r="FA68" s="292"/>
      <c r="FB68" s="293"/>
      <c r="FC68" s="292"/>
      <c r="FD68" s="292"/>
      <c r="FE68" s="294"/>
      <c r="FF68" s="294"/>
    </row>
    <row r="69" spans="1:162" ht="11.25" customHeight="1" x14ac:dyDescent="0.2">
      <c r="A69" s="186" t="s">
        <v>285</v>
      </c>
      <c r="C69" s="282"/>
      <c r="D69" s="186"/>
      <c r="E69" s="186"/>
      <c r="F69" s="283"/>
      <c r="G69" s="186">
        <f>G13+G44+G48</f>
        <v>670</v>
      </c>
      <c r="H69" s="186">
        <f>H13+H44+H48</f>
        <v>617</v>
      </c>
      <c r="I69" s="284"/>
      <c r="J69" s="284">
        <f>J13+J44+J48</f>
        <v>1287</v>
      </c>
      <c r="K69" s="282"/>
      <c r="L69" s="186"/>
      <c r="M69" s="186"/>
      <c r="N69" s="283"/>
      <c r="O69" s="186">
        <f>O13+O44+O48</f>
        <v>557</v>
      </c>
      <c r="P69" s="186">
        <f>P13+P44+P48</f>
        <v>943</v>
      </c>
      <c r="Q69" s="284"/>
      <c r="R69" s="284">
        <f>R13+R44+R48</f>
        <v>1500</v>
      </c>
      <c r="S69" s="282"/>
      <c r="T69" s="186"/>
      <c r="U69" s="186"/>
      <c r="V69" s="283"/>
      <c r="W69" s="186">
        <f>W13+W44+W48</f>
        <v>1343</v>
      </c>
      <c r="X69" s="186">
        <f>X13+X44+X48</f>
        <v>1530</v>
      </c>
      <c r="Y69" s="284"/>
      <c r="Z69" s="284">
        <f>Z13+Z44+Z48</f>
        <v>2873</v>
      </c>
      <c r="AA69" s="282"/>
      <c r="AB69" s="186"/>
      <c r="AC69" s="186"/>
      <c r="AD69" s="283"/>
      <c r="AE69" s="186">
        <f>AE13+AE44+AE48</f>
        <v>1513</v>
      </c>
      <c r="AF69" s="186">
        <f>+AH69-AE69</f>
        <v>1477</v>
      </c>
      <c r="AG69" s="284"/>
      <c r="AH69" s="284">
        <f>AH13+AH44+AH48</f>
        <v>2990</v>
      </c>
      <c r="AI69" s="282"/>
      <c r="AJ69" s="186"/>
      <c r="AK69" s="186"/>
      <c r="AL69" s="283"/>
      <c r="AM69" s="186">
        <f>AM13+AM44+AM48</f>
        <v>1489</v>
      </c>
      <c r="AN69" s="186">
        <f>+AP69-AM69</f>
        <v>1282</v>
      </c>
      <c r="AO69" s="284"/>
      <c r="AP69" s="284">
        <f>AP13+AP44+AP48</f>
        <v>2771</v>
      </c>
      <c r="AQ69" s="282"/>
      <c r="AR69" s="186"/>
      <c r="AS69" s="186"/>
      <c r="AT69" s="283"/>
      <c r="AU69" s="186">
        <v>1311</v>
      </c>
      <c r="AV69" s="186"/>
      <c r="AW69" s="284"/>
      <c r="AX69" s="284"/>
      <c r="AY69" s="282"/>
      <c r="AZ69" s="186"/>
      <c r="BA69" s="186"/>
      <c r="BB69" s="283"/>
      <c r="BC69" s="186">
        <f>BC13+BC44+BC48</f>
        <v>912</v>
      </c>
      <c r="BD69" s="186">
        <f>+BF69-BC69</f>
        <v>1368</v>
      </c>
      <c r="BE69" s="284"/>
      <c r="BF69" s="284">
        <f>BF13+BF44+BF48</f>
        <v>2280</v>
      </c>
      <c r="BG69" s="282"/>
      <c r="BH69" s="186"/>
      <c r="BI69" s="186"/>
      <c r="BJ69" s="283"/>
      <c r="BK69" s="186"/>
      <c r="BL69" s="186"/>
      <c r="BM69" s="284"/>
      <c r="BN69" s="284"/>
      <c r="BO69" s="282"/>
      <c r="BP69" s="186"/>
      <c r="BQ69" s="186"/>
      <c r="BR69" s="283"/>
      <c r="BS69" s="186">
        <f>BS13+BS44+BS48</f>
        <v>1877</v>
      </c>
      <c r="BT69" s="186">
        <f>BV69-BS69</f>
        <v>1947</v>
      </c>
      <c r="BU69" s="284"/>
      <c r="BV69" s="284">
        <f>BV13+BV44+BV48</f>
        <v>3824</v>
      </c>
      <c r="BW69" s="282"/>
      <c r="BX69" s="186"/>
      <c r="BY69" s="186"/>
      <c r="BZ69" s="283"/>
      <c r="CA69" s="186">
        <f>CA13+CA44+CA48</f>
        <v>859</v>
      </c>
      <c r="CB69" s="186">
        <f>CD69-CA69</f>
        <v>534</v>
      </c>
      <c r="CC69" s="284"/>
      <c r="CD69" s="284">
        <f>CD13+CD44+CD48</f>
        <v>1393</v>
      </c>
      <c r="CE69" s="282"/>
      <c r="CF69" s="186"/>
      <c r="CG69" s="186"/>
      <c r="CH69" s="283"/>
      <c r="CI69" s="186">
        <f>CI13+CI44+CI48</f>
        <v>351</v>
      </c>
      <c r="CJ69" s="186">
        <f>CL69-CI69</f>
        <v>918</v>
      </c>
      <c r="CK69" s="284"/>
      <c r="CL69" s="284">
        <f>CL13+CL44+CL48</f>
        <v>1269</v>
      </c>
      <c r="CM69" s="282"/>
      <c r="CN69" s="186"/>
      <c r="CO69" s="186"/>
      <c r="CP69" s="283"/>
      <c r="CQ69" s="186">
        <f>CQ13+CQ44+CQ48</f>
        <v>968</v>
      </c>
      <c r="CR69" s="186">
        <f>CT69-CQ69</f>
        <v>1525</v>
      </c>
      <c r="CS69" s="284"/>
      <c r="CT69" s="284">
        <f>CT13+CT44+CT48</f>
        <v>2493</v>
      </c>
      <c r="CU69" s="186"/>
      <c r="CV69" s="186"/>
      <c r="CW69" s="186"/>
      <c r="CX69" s="283"/>
      <c r="CY69" s="186">
        <f>CY13+CY44+CY48</f>
        <v>1406</v>
      </c>
      <c r="CZ69" s="186">
        <f>CZ13+CZ44+CZ48</f>
        <v>1903</v>
      </c>
      <c r="DA69" s="284"/>
      <c r="DB69" s="284">
        <f>DB13+DB44+DB48</f>
        <v>3309</v>
      </c>
      <c r="DC69" s="186"/>
      <c r="DD69" s="186"/>
      <c r="DE69" s="186"/>
      <c r="DF69" s="283"/>
      <c r="DG69" s="186">
        <f>DG13+DG44+DG48</f>
        <v>1968</v>
      </c>
      <c r="DH69" s="186">
        <f>DH13+DH44+DH48</f>
        <v>2218</v>
      </c>
      <c r="DI69" s="284"/>
      <c r="DJ69" s="284">
        <f>DJ13+DJ44+DJ48</f>
        <v>4186</v>
      </c>
      <c r="DK69" s="186"/>
      <c r="DL69" s="186"/>
      <c r="DM69" s="186"/>
      <c r="DN69" s="283"/>
      <c r="DO69" s="186">
        <f>DO13+DO44+DO48</f>
        <v>2468</v>
      </c>
      <c r="DP69" s="186">
        <f>DP13+DP44+DP48</f>
        <v>2319</v>
      </c>
      <c r="DQ69" s="284"/>
      <c r="DR69" s="284">
        <f>DR13+DR44+DR48</f>
        <v>4787</v>
      </c>
      <c r="DS69" s="186"/>
      <c r="DT69" s="186"/>
      <c r="DU69" s="186"/>
      <c r="DV69" s="283"/>
      <c r="DW69" s="186">
        <f>DW13+DW44+DW48</f>
        <v>2636</v>
      </c>
      <c r="DX69" s="285">
        <f>DX13+DX44+DX48</f>
        <v>3811.4535518696975</v>
      </c>
      <c r="DY69" s="284"/>
      <c r="DZ69" s="286">
        <f>DZ13+DZ44+DZ48</f>
        <v>6450.877179101848</v>
      </c>
      <c r="EA69" s="186"/>
      <c r="EB69" s="186"/>
      <c r="EC69" s="186"/>
      <c r="ED69" s="283"/>
      <c r="EE69" s="285">
        <f>EE13+EE44+EE48</f>
        <v>2144.9510712875272</v>
      </c>
      <c r="EF69" s="285">
        <f>EF13+EF44+EF48</f>
        <v>5221.161239227029</v>
      </c>
      <c r="EG69" s="284"/>
      <c r="EH69" s="286">
        <f>EH13+EH44+EH48</f>
        <v>7366.1123105145525</v>
      </c>
      <c r="EI69" s="186"/>
      <c r="EJ69" s="186"/>
      <c r="EK69" s="186"/>
      <c r="EL69" s="283"/>
      <c r="EM69" s="285">
        <f>EM13+EM44+EM48</f>
        <v>2410.0590093367391</v>
      </c>
      <c r="EN69" s="285">
        <f>EN13+EN44+EN48</f>
        <v>5682.5661255592313</v>
      </c>
      <c r="EO69" s="284"/>
      <c r="EP69" s="286">
        <f>EP13+EP44+EP48</f>
        <v>8092.6251348959631</v>
      </c>
      <c r="EQ69" s="186"/>
      <c r="ER69" s="186"/>
      <c r="ES69" s="186"/>
      <c r="ET69" s="283"/>
      <c r="EU69" s="285">
        <f>EU13+EU44+EU48</f>
        <v>2593.099547038888</v>
      </c>
      <c r="EV69" s="285">
        <f>EV13+EV44+EV48</f>
        <v>6063.4813419776474</v>
      </c>
      <c r="EW69" s="284"/>
      <c r="EX69" s="286">
        <f>EX13+EX44+EX48</f>
        <v>8656.5808890165281</v>
      </c>
      <c r="EY69" s="186"/>
      <c r="EZ69" s="186"/>
      <c r="FA69" s="186"/>
      <c r="FB69" s="283"/>
      <c r="FC69" s="285">
        <f>FC13+FC44+FC48</f>
        <v>2741.8541552405441</v>
      </c>
      <c r="FD69" s="285">
        <f>FD13+FD44+FD48</f>
        <v>6285.1528213470992</v>
      </c>
      <c r="FE69" s="284"/>
      <c r="FF69" s="286">
        <f>FF13+FF44+FF48</f>
        <v>9027.0069765876397</v>
      </c>
    </row>
    <row r="70" spans="1:162" ht="11.25" customHeight="1" x14ac:dyDescent="0.2">
      <c r="A70" s="186"/>
      <c r="C70" s="220"/>
      <c r="D70" s="221"/>
      <c r="E70" s="221"/>
      <c r="F70" s="222"/>
      <c r="G70" s="221"/>
      <c r="H70" s="221"/>
      <c r="I70" s="223"/>
      <c r="J70" s="223"/>
      <c r="K70" s="220"/>
      <c r="L70" s="221"/>
      <c r="M70" s="221"/>
      <c r="N70" s="222"/>
      <c r="O70" s="221"/>
      <c r="P70" s="221"/>
      <c r="Q70" s="223"/>
      <c r="R70" s="223"/>
      <c r="S70" s="220"/>
      <c r="T70" s="221"/>
      <c r="U70" s="221"/>
      <c r="V70" s="222"/>
      <c r="W70" s="221"/>
      <c r="X70" s="221"/>
      <c r="Y70" s="223"/>
      <c r="Z70" s="223"/>
      <c r="AA70" s="220"/>
      <c r="AB70" s="221"/>
      <c r="AC70" s="221"/>
      <c r="AD70" s="222"/>
      <c r="AE70" s="221"/>
      <c r="AF70" s="221"/>
      <c r="AG70" s="223"/>
      <c r="AH70" s="223"/>
      <c r="AI70" s="220"/>
      <c r="AJ70" s="221"/>
      <c r="AK70" s="221"/>
      <c r="AL70" s="222"/>
      <c r="AM70" s="221"/>
      <c r="AN70" s="221"/>
      <c r="AO70" s="223"/>
      <c r="AP70" s="223"/>
      <c r="AQ70" s="220"/>
      <c r="AR70" s="221"/>
      <c r="AS70" s="221"/>
      <c r="AT70" s="222"/>
      <c r="AU70" s="221"/>
      <c r="AV70" s="221"/>
      <c r="AW70" s="223"/>
      <c r="AX70" s="223"/>
      <c r="AY70" s="220"/>
      <c r="AZ70" s="221"/>
      <c r="BA70" s="221"/>
      <c r="BB70" s="222"/>
      <c r="BC70" s="221"/>
      <c r="BD70" s="221"/>
      <c r="BE70" s="223"/>
      <c r="BF70" s="223"/>
      <c r="BG70" s="220"/>
      <c r="BH70" s="221"/>
      <c r="BI70" s="221"/>
      <c r="BJ70" s="222"/>
      <c r="BK70" s="221"/>
      <c r="BL70" s="221"/>
      <c r="BM70" s="223"/>
      <c r="BN70" s="223"/>
      <c r="BO70" s="220"/>
      <c r="BP70" s="221"/>
      <c r="BQ70" s="221"/>
      <c r="BR70" s="222"/>
      <c r="BS70" s="221"/>
      <c r="BT70" s="221"/>
      <c r="BU70" s="223"/>
      <c r="BV70" s="223"/>
      <c r="BW70" s="220"/>
      <c r="BX70" s="221"/>
      <c r="BY70" s="221"/>
      <c r="BZ70" s="222"/>
      <c r="CA70" s="221"/>
      <c r="CB70" s="221"/>
      <c r="CC70" s="223"/>
      <c r="CD70" s="223"/>
      <c r="CE70" s="220"/>
      <c r="CF70" s="221"/>
      <c r="CG70" s="221"/>
      <c r="CH70" s="222"/>
      <c r="CI70" s="221"/>
      <c r="CJ70" s="221"/>
      <c r="CK70" s="223"/>
      <c r="CL70" s="223"/>
      <c r="CM70" s="220"/>
      <c r="CN70" s="221"/>
      <c r="CO70" s="221"/>
      <c r="CP70" s="222"/>
      <c r="CQ70" s="221"/>
      <c r="CR70" s="221"/>
      <c r="CS70" s="223"/>
      <c r="CT70" s="223"/>
      <c r="CU70" s="292"/>
      <c r="CV70" s="292"/>
      <c r="CW70" s="292"/>
      <c r="CX70" s="293"/>
      <c r="CY70" s="221"/>
      <c r="CZ70" s="292"/>
      <c r="DA70" s="294"/>
      <c r="DB70" s="294"/>
      <c r="DC70" s="292"/>
      <c r="DD70" s="292"/>
      <c r="DE70" s="292"/>
      <c r="DF70" s="293"/>
      <c r="DG70" s="292"/>
      <c r="DH70" s="292"/>
      <c r="DI70" s="294"/>
      <c r="DJ70" s="294"/>
      <c r="DK70" s="292"/>
      <c r="DL70" s="292"/>
      <c r="DM70" s="292"/>
      <c r="DN70" s="293"/>
      <c r="DO70" s="292"/>
      <c r="DP70" s="292"/>
      <c r="DQ70" s="294"/>
      <c r="DR70" s="1715"/>
      <c r="DS70" s="292"/>
      <c r="DT70" s="292"/>
      <c r="DU70" s="292"/>
      <c r="DV70" s="293"/>
      <c r="DW70" s="292"/>
      <c r="DX70" s="292"/>
      <c r="DY70" s="294"/>
      <c r="DZ70" s="294"/>
      <c r="EA70" s="292"/>
      <c r="EB70" s="292"/>
      <c r="EC70" s="292"/>
      <c r="ED70" s="293"/>
      <c r="EE70" s="292"/>
      <c r="EF70" s="292"/>
      <c r="EG70" s="294"/>
      <c r="EH70" s="294"/>
      <c r="EI70" s="292"/>
      <c r="EJ70" s="292"/>
      <c r="EK70" s="292"/>
      <c r="EL70" s="293"/>
      <c r="EM70" s="292"/>
      <c r="EN70" s="292"/>
      <c r="EO70" s="294"/>
      <c r="EP70" s="294"/>
      <c r="EQ70" s="292"/>
      <c r="ER70" s="292"/>
      <c r="ES70" s="292"/>
      <c r="ET70" s="293"/>
      <c r="EU70" s="292"/>
      <c r="EV70" s="292"/>
      <c r="EW70" s="294"/>
      <c r="EX70" s="294"/>
      <c r="EY70" s="292"/>
      <c r="EZ70" s="292"/>
      <c r="FA70" s="292"/>
      <c r="FB70" s="293"/>
      <c r="FC70" s="292"/>
      <c r="FD70" s="292"/>
      <c r="FE70" s="294"/>
      <c r="FF70" s="294"/>
    </row>
    <row r="71" spans="1:162" ht="11.25" customHeight="1" x14ac:dyDescent="0.2">
      <c r="A71" s="4" t="s">
        <v>286</v>
      </c>
      <c r="C71" s="38"/>
      <c r="F71" s="179"/>
      <c r="G71" s="4">
        <v>-23</v>
      </c>
      <c r="H71" s="4">
        <f>J71-G71</f>
        <v>-11</v>
      </c>
      <c r="I71" s="180"/>
      <c r="J71" s="180">
        <v>-34</v>
      </c>
      <c r="K71" s="38"/>
      <c r="N71" s="179"/>
      <c r="O71" s="4">
        <v>-10</v>
      </c>
      <c r="P71" s="4">
        <f>R71-O71</f>
        <v>-97</v>
      </c>
      <c r="Q71" s="180"/>
      <c r="R71" s="180">
        <v>-107</v>
      </c>
      <c r="S71" s="38"/>
      <c r="V71" s="179"/>
      <c r="W71" s="4">
        <v>-4</v>
      </c>
      <c r="X71" s="4">
        <f>Z71-W71</f>
        <v>-694</v>
      </c>
      <c r="Y71" s="180"/>
      <c r="Z71" s="180">
        <f>IS!M23</f>
        <v>-698</v>
      </c>
      <c r="AA71" s="38"/>
      <c r="AD71" s="179"/>
      <c r="AE71" s="4">
        <v>-13</v>
      </c>
      <c r="AF71" s="4">
        <f>+AH71-AE71</f>
        <v>-5</v>
      </c>
      <c r="AG71" s="180"/>
      <c r="AH71" s="180">
        <f>IS!N23</f>
        <v>-18</v>
      </c>
      <c r="AI71" s="38"/>
      <c r="AL71" s="179"/>
      <c r="AM71" s="4">
        <v>-16</v>
      </c>
      <c r="AN71" s="4">
        <f>+AP71-AM71</f>
        <v>-74</v>
      </c>
      <c r="AO71" s="180"/>
      <c r="AP71" s="180">
        <f>IS!O23</f>
        <v>-90</v>
      </c>
      <c r="AQ71" s="38"/>
      <c r="AT71" s="179"/>
      <c r="AU71" s="4">
        <v>-16</v>
      </c>
      <c r="AW71" s="180"/>
      <c r="AX71" s="180"/>
      <c r="AY71" s="38"/>
      <c r="BB71" s="179"/>
      <c r="BC71" s="4">
        <v>-26</v>
      </c>
      <c r="BD71" s="4">
        <f>+BF71-BC71</f>
        <v>-89</v>
      </c>
      <c r="BE71" s="180"/>
      <c r="BF71" s="180">
        <f>IS!P23</f>
        <v>-115</v>
      </c>
      <c r="BG71" s="38"/>
      <c r="BJ71" s="179"/>
      <c r="BK71" s="4">
        <f t="shared" ref="BK71:BL100" si="106">BC71</f>
        <v>-26</v>
      </c>
      <c r="BL71" s="4">
        <f t="shared" si="106"/>
        <v>-89</v>
      </c>
      <c r="BM71" s="180"/>
      <c r="BN71" s="180">
        <f t="shared" ref="BN71:BN100" si="107">BF71</f>
        <v>-115</v>
      </c>
      <c r="BO71" s="38"/>
      <c r="BR71" s="179"/>
      <c r="BS71" s="4">
        <v>32</v>
      </c>
      <c r="BT71" s="4">
        <f>BV71-BS71</f>
        <v>-19</v>
      </c>
      <c r="BU71" s="180"/>
      <c r="BV71" s="180">
        <f>IS!Q23</f>
        <v>13</v>
      </c>
      <c r="BW71" s="38"/>
      <c r="BZ71" s="179"/>
      <c r="CA71" s="4">
        <v>-144</v>
      </c>
      <c r="CB71" s="4">
        <f>CD71-CA71</f>
        <v>-322</v>
      </c>
      <c r="CC71" s="180"/>
      <c r="CD71" s="180">
        <f>IS!R23</f>
        <v>-466</v>
      </c>
      <c r="CE71" s="38"/>
      <c r="CH71" s="179"/>
      <c r="CI71" s="4">
        <v>-195</v>
      </c>
      <c r="CJ71" s="4">
        <f>CL71-CI71</f>
        <v>-210</v>
      </c>
      <c r="CK71" s="180"/>
      <c r="CL71" s="180">
        <f>IS!S23</f>
        <v>-405</v>
      </c>
      <c r="CM71" s="38"/>
      <c r="CP71" s="179"/>
      <c r="CQ71" s="4">
        <v>-92</v>
      </c>
      <c r="CR71" s="4">
        <f>CT71-CQ71</f>
        <v>-358</v>
      </c>
      <c r="CS71" s="180"/>
      <c r="CT71" s="180">
        <f>IS!T23</f>
        <v>-450</v>
      </c>
      <c r="CX71" s="179"/>
      <c r="CY71" s="4">
        <v>-57</v>
      </c>
      <c r="CZ71" s="199">
        <f>DB71-CY71</f>
        <v>-454</v>
      </c>
      <c r="DA71" s="180"/>
      <c r="DB71" s="180">
        <f>IS!U23</f>
        <v>-511</v>
      </c>
      <c r="DF71" s="179"/>
      <c r="DG71" s="4">
        <v>-24</v>
      </c>
      <c r="DH71" s="199">
        <f>DJ71-DG71</f>
        <v>30</v>
      </c>
      <c r="DI71" s="180"/>
      <c r="DJ71" s="180">
        <f>IS!V23</f>
        <v>6</v>
      </c>
      <c r="DN71" s="179"/>
      <c r="DO71" s="4">
        <v>-37</v>
      </c>
      <c r="DP71" s="199">
        <f>DR71-DO71</f>
        <v>-442</v>
      </c>
      <c r="DQ71" s="180"/>
      <c r="DR71" s="180">
        <f>IS!W23</f>
        <v>-479</v>
      </c>
      <c r="DV71" s="179"/>
      <c r="DW71" s="4">
        <v>-177</v>
      </c>
      <c r="DX71" s="280">
        <f>DZ71-DW71</f>
        <v>4</v>
      </c>
      <c r="DY71" s="180"/>
      <c r="DZ71" s="182">
        <f>IS!X23</f>
        <v>-173</v>
      </c>
      <c r="ED71" s="179"/>
      <c r="EE71" s="280">
        <f>EH71/2</f>
        <v>0</v>
      </c>
      <c r="EF71" s="280">
        <f>EH71-EE71</f>
        <v>0</v>
      </c>
      <c r="EG71" s="180"/>
      <c r="EH71" s="182">
        <f>IS!Y23</f>
        <v>0</v>
      </c>
      <c r="EL71" s="179"/>
      <c r="EM71" s="280">
        <f>EP71/2</f>
        <v>0</v>
      </c>
      <c r="EN71" s="280">
        <f>EP71-EM71</f>
        <v>0</v>
      </c>
      <c r="EO71" s="180"/>
      <c r="EP71" s="182">
        <f>IS!Z23</f>
        <v>0</v>
      </c>
      <c r="ET71" s="179"/>
      <c r="EU71" s="280">
        <f>EX71/2</f>
        <v>0</v>
      </c>
      <c r="EV71" s="280">
        <f>EX71-EU71</f>
        <v>0</v>
      </c>
      <c r="EW71" s="180"/>
      <c r="EX71" s="182">
        <f>IS!AA23</f>
        <v>0</v>
      </c>
      <c r="FB71" s="179"/>
      <c r="FC71" s="280">
        <f>FF71/2</f>
        <v>0</v>
      </c>
      <c r="FD71" s="280">
        <f>FF71-FC71</f>
        <v>0</v>
      </c>
      <c r="FE71" s="180"/>
      <c r="FF71" s="182">
        <f>IS!AB23</f>
        <v>0</v>
      </c>
    </row>
    <row r="72" spans="1:162" ht="11.25" hidden="1" customHeight="1" outlineLevel="1" x14ac:dyDescent="0.2">
      <c r="B72" s="197" t="s">
        <v>278</v>
      </c>
      <c r="C72" s="38"/>
      <c r="F72" s="179"/>
      <c r="I72" s="180"/>
      <c r="J72" s="180"/>
      <c r="K72" s="38"/>
      <c r="N72" s="179"/>
      <c r="Q72" s="180"/>
      <c r="R72" s="180"/>
      <c r="S72" s="38"/>
      <c r="V72" s="179"/>
      <c r="W72" s="4">
        <v>0</v>
      </c>
      <c r="X72" s="4">
        <f>Z72-W72</f>
        <v>-133</v>
      </c>
      <c r="Y72" s="180"/>
      <c r="Z72" s="180">
        <v>-133</v>
      </c>
      <c r="AA72" s="38"/>
      <c r="AD72" s="179"/>
      <c r="AE72" s="4">
        <v>0</v>
      </c>
      <c r="AG72" s="180"/>
      <c r="AH72" s="180"/>
      <c r="AI72" s="38"/>
      <c r="AL72" s="179"/>
      <c r="AM72" s="4">
        <v>0</v>
      </c>
      <c r="AN72" s="4">
        <f>+AP72-AM72</f>
        <v>0</v>
      </c>
      <c r="AO72" s="180"/>
      <c r="AP72" s="180"/>
      <c r="AQ72" s="38"/>
      <c r="AT72" s="179"/>
      <c r="AW72" s="180"/>
      <c r="AX72" s="180"/>
      <c r="AY72" s="38"/>
      <c r="BB72" s="179"/>
      <c r="BE72" s="180"/>
      <c r="BF72" s="180"/>
      <c r="BG72" s="38"/>
      <c r="BJ72" s="179"/>
      <c r="BK72" s="4">
        <f t="shared" si="106"/>
        <v>0</v>
      </c>
      <c r="BL72" s="4">
        <f t="shared" si="106"/>
        <v>0</v>
      </c>
      <c r="BM72" s="180"/>
      <c r="BN72" s="180">
        <f t="shared" si="107"/>
        <v>0</v>
      </c>
      <c r="BO72" s="38"/>
      <c r="BR72" s="179"/>
      <c r="BS72" s="4">
        <v>-30</v>
      </c>
      <c r="BT72" s="4">
        <f>BV72-BS72</f>
        <v>30</v>
      </c>
      <c r="BU72" s="180"/>
      <c r="BV72" s="180"/>
      <c r="BW72" s="38"/>
      <c r="BZ72" s="179"/>
      <c r="CB72" s="4">
        <f>CD72-CA72</f>
        <v>0</v>
      </c>
      <c r="CC72" s="180"/>
      <c r="CD72" s="180"/>
      <c r="CE72" s="38"/>
      <c r="CH72" s="179"/>
      <c r="CJ72" s="4">
        <f>CL72-CI72</f>
        <v>0</v>
      </c>
      <c r="CK72" s="180"/>
      <c r="CL72" s="180"/>
      <c r="CM72" s="38"/>
      <c r="CP72" s="179"/>
      <c r="CQ72" s="4">
        <v>0</v>
      </c>
      <c r="CR72" s="4">
        <f>CT72-CQ72</f>
        <v>0</v>
      </c>
      <c r="CS72" s="180"/>
      <c r="CT72" s="180">
        <v>0</v>
      </c>
      <c r="CX72" s="179"/>
      <c r="CY72" s="4">
        <v>0</v>
      </c>
      <c r="CZ72" s="199">
        <f>DB72-CY72</f>
        <v>0</v>
      </c>
      <c r="DA72" s="180"/>
      <c r="DB72" s="180">
        <v>0</v>
      </c>
      <c r="DF72" s="179"/>
      <c r="DG72" s="4">
        <v>0</v>
      </c>
      <c r="DH72" s="199">
        <f>DJ72-DG72</f>
        <v>0</v>
      </c>
      <c r="DI72" s="180"/>
      <c r="DJ72" s="180">
        <v>0</v>
      </c>
      <c r="DN72" s="179"/>
      <c r="DO72" s="4">
        <v>0</v>
      </c>
      <c r="DP72" s="199">
        <f>DR72-DO72</f>
        <v>0</v>
      </c>
      <c r="DQ72" s="180"/>
      <c r="DR72" s="180">
        <v>0</v>
      </c>
      <c r="DV72" s="179"/>
      <c r="DW72" s="4">
        <v>0</v>
      </c>
      <c r="DY72" s="180"/>
      <c r="DZ72" s="180"/>
      <c r="ED72" s="179"/>
      <c r="EG72" s="180"/>
      <c r="EH72" s="180"/>
      <c r="EL72" s="179"/>
      <c r="EO72" s="180"/>
      <c r="EP72" s="180"/>
      <c r="ET72" s="179"/>
      <c r="EW72" s="180"/>
      <c r="EX72" s="180"/>
      <c r="FB72" s="179"/>
      <c r="FE72" s="180"/>
      <c r="FF72" s="180"/>
    </row>
    <row r="73" spans="1:162" ht="11.25" hidden="1" customHeight="1" outlineLevel="1" x14ac:dyDescent="0.2">
      <c r="B73" s="197" t="s">
        <v>279</v>
      </c>
      <c r="C73" s="38"/>
      <c r="F73" s="179"/>
      <c r="I73" s="180"/>
      <c r="J73" s="180"/>
      <c r="K73" s="38"/>
      <c r="N73" s="179"/>
      <c r="Q73" s="180"/>
      <c r="R73" s="180"/>
      <c r="S73" s="38"/>
      <c r="V73" s="179"/>
      <c r="W73" s="4">
        <v>36</v>
      </c>
      <c r="X73" s="4">
        <f>Z73-W73</f>
        <v>-1</v>
      </c>
      <c r="Y73" s="180"/>
      <c r="Z73" s="180">
        <v>35</v>
      </c>
      <c r="AA73" s="38"/>
      <c r="AD73" s="179"/>
      <c r="AE73" s="4">
        <v>368</v>
      </c>
      <c r="AF73" s="4">
        <f>+AH73-AE73</f>
        <v>-1</v>
      </c>
      <c r="AG73" s="180"/>
      <c r="AH73" s="180">
        <v>367</v>
      </c>
      <c r="AI73" s="38"/>
      <c r="AL73" s="179"/>
      <c r="AM73" s="4">
        <v>0</v>
      </c>
      <c r="AN73" s="4">
        <f>+AP73-AM73</f>
        <v>0</v>
      </c>
      <c r="AO73" s="180"/>
      <c r="AP73" s="180"/>
      <c r="AQ73" s="38"/>
      <c r="AT73" s="179"/>
      <c r="AW73" s="180"/>
      <c r="AX73" s="180"/>
      <c r="AY73" s="38"/>
      <c r="BB73" s="179"/>
      <c r="BE73" s="180"/>
      <c r="BF73" s="180"/>
      <c r="BG73" s="38"/>
      <c r="BJ73" s="179"/>
      <c r="BK73" s="4">
        <f t="shared" si="106"/>
        <v>0</v>
      </c>
      <c r="BL73" s="4">
        <f t="shared" si="106"/>
        <v>0</v>
      </c>
      <c r="BM73" s="180"/>
      <c r="BN73" s="180">
        <f t="shared" si="107"/>
        <v>0</v>
      </c>
      <c r="BO73" s="38"/>
      <c r="BR73" s="179"/>
      <c r="BS73" s="4">
        <v>-30</v>
      </c>
      <c r="BT73" s="4">
        <f>BV73-BS73</f>
        <v>30</v>
      </c>
      <c r="BU73" s="180"/>
      <c r="BV73" s="180"/>
      <c r="BW73" s="38"/>
      <c r="BZ73" s="179"/>
      <c r="CB73" s="4">
        <f>CD73-CA73</f>
        <v>0</v>
      </c>
      <c r="CC73" s="180"/>
      <c r="CD73" s="180"/>
      <c r="CE73" s="38"/>
      <c r="CH73" s="179"/>
      <c r="CJ73" s="4">
        <f>CL73-CI73</f>
        <v>0</v>
      </c>
      <c r="CK73" s="180"/>
      <c r="CL73" s="180"/>
      <c r="CM73" s="38"/>
      <c r="CP73" s="179"/>
      <c r="CQ73" s="4">
        <v>0</v>
      </c>
      <c r="CR73" s="4">
        <f>CT73-CQ73</f>
        <v>0</v>
      </c>
      <c r="CS73" s="180"/>
      <c r="CT73" s="180">
        <v>0</v>
      </c>
      <c r="CX73" s="179"/>
      <c r="CY73" s="4">
        <v>0</v>
      </c>
      <c r="CZ73" s="199">
        <f>DB73-CY73</f>
        <v>0</v>
      </c>
      <c r="DA73" s="180"/>
      <c r="DB73" s="180">
        <v>0</v>
      </c>
      <c r="DF73" s="179"/>
      <c r="DG73" s="4">
        <v>0</v>
      </c>
      <c r="DH73" s="199">
        <f>DJ73-DG73</f>
        <v>0</v>
      </c>
      <c r="DI73" s="180"/>
      <c r="DJ73" s="180">
        <v>0</v>
      </c>
      <c r="DN73" s="179"/>
      <c r="DO73" s="4">
        <v>0</v>
      </c>
      <c r="DP73" s="199">
        <f>DR73-DO73</f>
        <v>0</v>
      </c>
      <c r="DQ73" s="180"/>
      <c r="DR73" s="180">
        <v>0</v>
      </c>
      <c r="DV73" s="179"/>
      <c r="DW73" s="4">
        <v>0</v>
      </c>
      <c r="DY73" s="180"/>
      <c r="DZ73" s="180"/>
      <c r="ED73" s="179"/>
      <c r="EG73" s="180"/>
      <c r="EH73" s="180"/>
      <c r="EL73" s="179"/>
      <c r="EO73" s="180"/>
      <c r="EP73" s="180"/>
      <c r="ET73" s="179"/>
      <c r="EW73" s="180"/>
      <c r="EX73" s="180"/>
      <c r="FB73" s="179"/>
      <c r="FE73" s="180"/>
      <c r="FF73" s="180"/>
    </row>
    <row r="74" spans="1:162" ht="11.25" customHeight="1" collapsed="1" x14ac:dyDescent="0.2">
      <c r="A74" s="4" t="s">
        <v>287</v>
      </c>
      <c r="C74" s="38"/>
      <c r="F74" s="179"/>
      <c r="G74" s="4">
        <v>-23</v>
      </c>
      <c r="H74" s="4">
        <f>J74-G74</f>
        <v>205</v>
      </c>
      <c r="I74" s="180"/>
      <c r="J74" s="180">
        <v>182</v>
      </c>
      <c r="K74" s="38"/>
      <c r="N74" s="179"/>
      <c r="O74" s="4">
        <v>-10</v>
      </c>
      <c r="P74" s="4">
        <v>-97</v>
      </c>
      <c r="Q74" s="180"/>
      <c r="R74" s="180">
        <v>-107</v>
      </c>
      <c r="S74" s="38"/>
      <c r="V74" s="179"/>
      <c r="W74" s="4">
        <f>W71+W72+W73</f>
        <v>32</v>
      </c>
      <c r="X74" s="4">
        <f>X71+X72+X73</f>
        <v>-828</v>
      </c>
      <c r="Y74" s="180"/>
      <c r="Z74" s="180">
        <f>Z71+Z72+Z73</f>
        <v>-796</v>
      </c>
      <c r="AA74" s="38"/>
      <c r="AD74" s="179"/>
      <c r="AE74" s="4">
        <f>AE71+AE72+AE73</f>
        <v>355</v>
      </c>
      <c r="AF74" s="4">
        <f>+AH74-AE74</f>
        <v>-6</v>
      </c>
      <c r="AG74" s="180"/>
      <c r="AH74" s="180">
        <f>AH71+AH72+AH73</f>
        <v>349</v>
      </c>
      <c r="AI74" s="38"/>
      <c r="AL74" s="179"/>
      <c r="AM74" s="4">
        <f>AM71+AM72+AM73</f>
        <v>-16</v>
      </c>
      <c r="AN74" s="4">
        <f>+AP74-AM74</f>
        <v>-74</v>
      </c>
      <c r="AO74" s="180"/>
      <c r="AP74" s="180">
        <f>IS!O75</f>
        <v>-90</v>
      </c>
      <c r="AQ74" s="38"/>
      <c r="AT74" s="179"/>
      <c r="AU74" s="4">
        <v>-16</v>
      </c>
      <c r="AW74" s="180"/>
      <c r="AX74" s="180"/>
      <c r="AY74" s="38"/>
      <c r="BB74" s="179"/>
      <c r="BC74" s="4">
        <v>-26</v>
      </c>
      <c r="BD74" s="4">
        <f>+BF74-BC74</f>
        <v>-89</v>
      </c>
      <c r="BE74" s="180"/>
      <c r="BF74" s="180">
        <f>IS!P75</f>
        <v>-115</v>
      </c>
      <c r="BG74" s="38"/>
      <c r="BJ74" s="179"/>
      <c r="BK74" s="4">
        <f t="shared" si="106"/>
        <v>-26</v>
      </c>
      <c r="BL74" s="4">
        <f t="shared" si="106"/>
        <v>-89</v>
      </c>
      <c r="BM74" s="180"/>
      <c r="BN74" s="180">
        <f t="shared" si="107"/>
        <v>-115</v>
      </c>
      <c r="BO74" s="38"/>
      <c r="BR74" s="179"/>
      <c r="BS74" s="4">
        <v>32</v>
      </c>
      <c r="BT74" s="4">
        <f>BV74-BS74</f>
        <v>-19</v>
      </c>
      <c r="BU74" s="180"/>
      <c r="BV74" s="180">
        <f>IS!Q75</f>
        <v>13</v>
      </c>
      <c r="BW74" s="38"/>
      <c r="BZ74" s="179"/>
      <c r="CA74" s="4">
        <v>-144</v>
      </c>
      <c r="CB74" s="4">
        <f>CD74-CA74</f>
        <v>-322</v>
      </c>
      <c r="CC74" s="180"/>
      <c r="CD74" s="180">
        <f>IS!R75</f>
        <v>-466</v>
      </c>
      <c r="CE74" s="38"/>
      <c r="CH74" s="179"/>
      <c r="CI74" s="4">
        <v>-195</v>
      </c>
      <c r="CJ74" s="4">
        <f>CL74-CI74</f>
        <v>-210</v>
      </c>
      <c r="CK74" s="180"/>
      <c r="CL74" s="180">
        <f>IS!S75</f>
        <v>-405</v>
      </c>
      <c r="CM74" s="38"/>
      <c r="CP74" s="179"/>
      <c r="CQ74" s="4">
        <f>CQ71-CQ72-CQ73</f>
        <v>-92</v>
      </c>
      <c r="CR74" s="4">
        <f>CT74-CQ74</f>
        <v>-358</v>
      </c>
      <c r="CS74" s="180"/>
      <c r="CT74" s="180">
        <f>CT71-CT72-CT73</f>
        <v>-450</v>
      </c>
      <c r="CX74" s="179"/>
      <c r="CY74" s="4">
        <f>CY71-CY72-CY73</f>
        <v>-57</v>
      </c>
      <c r="CZ74" s="199">
        <f>DB74-CY74</f>
        <v>-454</v>
      </c>
      <c r="DA74" s="180"/>
      <c r="DB74" s="180">
        <f>DB71-DB72-DB73</f>
        <v>-511</v>
      </c>
      <c r="DF74" s="179"/>
      <c r="DG74" s="4">
        <f>DG71-DG72-DG73</f>
        <v>-24</v>
      </c>
      <c r="DH74" s="199">
        <f>DJ74-DG74</f>
        <v>30</v>
      </c>
      <c r="DI74" s="180"/>
      <c r="DJ74" s="180">
        <f>DJ71-DJ72-DJ73</f>
        <v>6</v>
      </c>
      <c r="DN74" s="179"/>
      <c r="DO74" s="4">
        <f>DO71-DO72-DO73</f>
        <v>-37</v>
      </c>
      <c r="DP74" s="199">
        <f>DR74-DO74</f>
        <v>-442</v>
      </c>
      <c r="DQ74" s="180"/>
      <c r="DR74" s="180">
        <f>DR71-DR72-DR73</f>
        <v>-479</v>
      </c>
      <c r="DV74" s="179"/>
      <c r="DW74" s="4">
        <f>DW71-DW72-DW73</f>
        <v>-177</v>
      </c>
      <c r="DX74" s="280">
        <f>DZ74-DW74</f>
        <v>4</v>
      </c>
      <c r="DY74" s="180"/>
      <c r="DZ74" s="182">
        <f>IS!X75</f>
        <v>-173</v>
      </c>
      <c r="ED74" s="179"/>
      <c r="EE74" s="280">
        <f>EH74/2</f>
        <v>0</v>
      </c>
      <c r="EF74" s="280">
        <f>EH74-EE74</f>
        <v>0</v>
      </c>
      <c r="EG74" s="180"/>
      <c r="EH74" s="182">
        <f>IS!Y75</f>
        <v>0</v>
      </c>
      <c r="EL74" s="179"/>
      <c r="EM74" s="280">
        <f>EP74/2</f>
        <v>0</v>
      </c>
      <c r="EN74" s="280">
        <f>EP74-EM74</f>
        <v>0</v>
      </c>
      <c r="EO74" s="180"/>
      <c r="EP74" s="182">
        <f>IS!Z75</f>
        <v>0</v>
      </c>
      <c r="ET74" s="179"/>
      <c r="EU74" s="280">
        <f>EX74/2</f>
        <v>0</v>
      </c>
      <c r="EV74" s="280">
        <f>EX74-EU74</f>
        <v>0</v>
      </c>
      <c r="EW74" s="180"/>
      <c r="EX74" s="182">
        <f>IS!AA75</f>
        <v>0</v>
      </c>
      <c r="FB74" s="179"/>
      <c r="FC74" s="280">
        <f>FF74/2</f>
        <v>0</v>
      </c>
      <c r="FD74" s="280">
        <f>FF74-FC74</f>
        <v>0</v>
      </c>
      <c r="FE74" s="180"/>
      <c r="FF74" s="182">
        <f>IS!AB75</f>
        <v>0</v>
      </c>
    </row>
    <row r="75" spans="1:162" ht="11.25" customHeight="1" x14ac:dyDescent="0.2">
      <c r="C75" s="38"/>
      <c r="F75" s="179"/>
      <c r="I75" s="180"/>
      <c r="J75" s="180"/>
      <c r="K75" s="38"/>
      <c r="N75" s="179"/>
      <c r="Q75" s="180"/>
      <c r="R75" s="180"/>
      <c r="S75" s="38"/>
      <c r="V75" s="179"/>
      <c r="Y75" s="180"/>
      <c r="Z75" s="180"/>
      <c r="AA75" s="38"/>
      <c r="AD75" s="179"/>
      <c r="AG75" s="180"/>
      <c r="AH75" s="180"/>
      <c r="AI75" s="38"/>
      <c r="AL75" s="179"/>
      <c r="AO75" s="180"/>
      <c r="AP75" s="180"/>
      <c r="AQ75" s="38"/>
      <c r="AT75" s="179"/>
      <c r="AW75" s="180"/>
      <c r="AX75" s="180"/>
      <c r="AY75" s="38"/>
      <c r="BB75" s="179"/>
      <c r="BE75" s="180"/>
      <c r="BF75" s="180"/>
      <c r="BG75" s="38"/>
      <c r="BJ75" s="179"/>
      <c r="BM75" s="180"/>
      <c r="BN75" s="180"/>
      <c r="BO75" s="38"/>
      <c r="BR75" s="179"/>
      <c r="BU75" s="180"/>
      <c r="BV75" s="180"/>
      <c r="BW75" s="38"/>
      <c r="BZ75" s="179"/>
      <c r="CC75" s="180"/>
      <c r="CD75" s="180"/>
      <c r="CE75" s="38"/>
      <c r="CH75" s="179"/>
      <c r="CK75" s="180"/>
      <c r="CL75" s="180"/>
      <c r="CM75" s="38"/>
      <c r="CP75" s="179"/>
      <c r="CS75" s="180"/>
      <c r="CT75" s="180"/>
      <c r="CX75" s="179"/>
      <c r="DA75" s="180"/>
      <c r="DB75" s="180"/>
      <c r="DF75" s="179"/>
      <c r="DI75" s="180"/>
      <c r="DJ75" s="180"/>
      <c r="DN75" s="179"/>
      <c r="DQ75" s="180"/>
      <c r="DR75" s="180"/>
      <c r="DV75" s="179"/>
      <c r="DY75" s="180"/>
      <c r="DZ75" s="180"/>
      <c r="ED75" s="179"/>
      <c r="EG75" s="180"/>
      <c r="EH75" s="180"/>
      <c r="EL75" s="179"/>
      <c r="EO75" s="180"/>
      <c r="EP75" s="180"/>
      <c r="ET75" s="179"/>
      <c r="EW75" s="180"/>
      <c r="EX75" s="180"/>
      <c r="FB75" s="179"/>
      <c r="FE75" s="180"/>
      <c r="FF75" s="180"/>
    </row>
    <row r="76" spans="1:162" ht="11.25" customHeight="1" x14ac:dyDescent="0.2">
      <c r="A76" s="186" t="s">
        <v>288</v>
      </c>
      <c r="C76" s="190"/>
      <c r="D76" s="191"/>
      <c r="E76" s="191"/>
      <c r="F76" s="192"/>
      <c r="G76" s="191">
        <f>G50+G71</f>
        <v>819</v>
      </c>
      <c r="H76" s="191">
        <f>H50+H71</f>
        <v>927</v>
      </c>
      <c r="I76" s="193"/>
      <c r="J76" s="193">
        <f>J50+J71</f>
        <v>1746</v>
      </c>
      <c r="K76" s="190"/>
      <c r="L76" s="191"/>
      <c r="M76" s="191"/>
      <c r="N76" s="192"/>
      <c r="O76" s="191">
        <f>O50+O71</f>
        <v>946</v>
      </c>
      <c r="P76" s="191">
        <f>P50+P71</f>
        <v>1036</v>
      </c>
      <c r="Q76" s="193"/>
      <c r="R76" s="193">
        <f>R50+R71</f>
        <v>1982</v>
      </c>
      <c r="S76" s="190"/>
      <c r="T76" s="191"/>
      <c r="U76" s="191"/>
      <c r="V76" s="192"/>
      <c r="W76" s="191">
        <f>W50+W71</f>
        <v>1167</v>
      </c>
      <c r="X76" s="191">
        <f>X50+X71</f>
        <v>567</v>
      </c>
      <c r="Y76" s="193"/>
      <c r="Z76" s="193">
        <f>Z50+Z71</f>
        <v>1734</v>
      </c>
      <c r="AA76" s="190"/>
      <c r="AB76" s="191"/>
      <c r="AC76" s="191"/>
      <c r="AD76" s="192"/>
      <c r="AE76" s="191">
        <f>AE50+AE71</f>
        <v>1296</v>
      </c>
      <c r="AF76" s="191">
        <f>+AH76-AE76</f>
        <v>1090</v>
      </c>
      <c r="AG76" s="193"/>
      <c r="AH76" s="193">
        <f>AH50+AH71</f>
        <v>2386</v>
      </c>
      <c r="AI76" s="190"/>
      <c r="AJ76" s="191"/>
      <c r="AK76" s="191"/>
      <c r="AL76" s="192"/>
      <c r="AM76" s="191">
        <f>AM50+AM71</f>
        <v>1202</v>
      </c>
      <c r="AN76" s="191">
        <f>+AP76-AM76</f>
        <v>1178</v>
      </c>
      <c r="AO76" s="193"/>
      <c r="AP76" s="193">
        <f>AP50+AP71</f>
        <v>2380</v>
      </c>
      <c r="AQ76" s="190"/>
      <c r="AR76" s="191"/>
      <c r="AS76" s="191"/>
      <c r="AT76" s="192"/>
      <c r="AU76" s="191">
        <f>AU50+AU71</f>
        <v>1029</v>
      </c>
      <c r="AV76" s="191"/>
      <c r="AW76" s="193"/>
      <c r="AX76" s="193"/>
      <c r="AY76" s="190"/>
      <c r="AZ76" s="191"/>
      <c r="BA76" s="191"/>
      <c r="BB76" s="192"/>
      <c r="BC76" s="191">
        <f>BC50+BC71</f>
        <v>1360</v>
      </c>
      <c r="BD76" s="191">
        <f>+BF76-BC76</f>
        <v>1548</v>
      </c>
      <c r="BE76" s="193"/>
      <c r="BF76" s="193">
        <f>BF50+BF71</f>
        <v>2908</v>
      </c>
      <c r="BG76" s="190"/>
      <c r="BH76" s="191"/>
      <c r="BI76" s="191"/>
      <c r="BJ76" s="192"/>
      <c r="BK76" s="191">
        <f t="shared" si="106"/>
        <v>1360</v>
      </c>
      <c r="BL76" s="191">
        <f t="shared" si="106"/>
        <v>1548</v>
      </c>
      <c r="BM76" s="193"/>
      <c r="BN76" s="193">
        <f t="shared" si="107"/>
        <v>2908</v>
      </c>
      <c r="BO76" s="190"/>
      <c r="BP76" s="191"/>
      <c r="BQ76" s="191"/>
      <c r="BR76" s="192"/>
      <c r="BS76" s="191">
        <f>BS50+BS71</f>
        <v>1915</v>
      </c>
      <c r="BT76" s="191">
        <f>BT50+BT71</f>
        <v>1918</v>
      </c>
      <c r="BU76" s="193"/>
      <c r="BV76" s="193">
        <f>BV50+BV71</f>
        <v>3833</v>
      </c>
      <c r="BW76" s="190"/>
      <c r="BX76" s="191"/>
      <c r="BY76" s="191"/>
      <c r="BZ76" s="192"/>
      <c r="CA76" s="191">
        <f>CA50+CA71</f>
        <v>803</v>
      </c>
      <c r="CB76" s="191">
        <f>CB50+CB71</f>
        <v>417</v>
      </c>
      <c r="CC76" s="193"/>
      <c r="CD76" s="193">
        <f>CD50+CD71</f>
        <v>1220</v>
      </c>
      <c r="CE76" s="190"/>
      <c r="CF76" s="191"/>
      <c r="CG76" s="191"/>
      <c r="CH76" s="192"/>
      <c r="CI76" s="191">
        <f>CI50+CI71</f>
        <v>464</v>
      </c>
      <c r="CJ76" s="191">
        <f>CJ50+CJ71</f>
        <v>936</v>
      </c>
      <c r="CK76" s="193"/>
      <c r="CL76" s="193">
        <f>CL50+CL71</f>
        <v>1400</v>
      </c>
      <c r="CM76" s="190"/>
      <c r="CN76" s="191"/>
      <c r="CO76" s="191"/>
      <c r="CP76" s="192"/>
      <c r="CQ76" s="191">
        <f>CQ50+CQ71</f>
        <v>955</v>
      </c>
      <c r="CR76" s="191">
        <f>CR50+CR71</f>
        <v>1003</v>
      </c>
      <c r="CS76" s="193"/>
      <c r="CT76" s="193">
        <f>CT50+CT71</f>
        <v>1958</v>
      </c>
      <c r="CU76" s="191"/>
      <c r="CV76" s="191"/>
      <c r="CW76" s="191"/>
      <c r="CX76" s="192"/>
      <c r="CY76" s="191">
        <f>CY50+CY71</f>
        <v>1340</v>
      </c>
      <c r="CZ76" s="191">
        <f>CZ50+CZ71</f>
        <v>1315</v>
      </c>
      <c r="DA76" s="193"/>
      <c r="DB76" s="193">
        <f>DB50+DB71</f>
        <v>2655</v>
      </c>
      <c r="DC76" s="191"/>
      <c r="DD76" s="191"/>
      <c r="DE76" s="191"/>
      <c r="DF76" s="192"/>
      <c r="DG76" s="191">
        <f>DG50+DG71</f>
        <v>1950</v>
      </c>
      <c r="DH76" s="191">
        <f>DH50+DH71</f>
        <v>2175</v>
      </c>
      <c r="DI76" s="193"/>
      <c r="DJ76" s="193">
        <f>DJ50+DJ71</f>
        <v>4125</v>
      </c>
      <c r="DK76" s="191"/>
      <c r="DL76" s="191"/>
      <c r="DM76" s="191"/>
      <c r="DN76" s="192"/>
      <c r="DO76" s="191">
        <f>DO50+DO71</f>
        <v>2473</v>
      </c>
      <c r="DP76" s="191">
        <f>DP50+DP71</f>
        <v>2245.0000000000005</v>
      </c>
      <c r="DQ76" s="193"/>
      <c r="DR76" s="193">
        <f>DR50+DR71</f>
        <v>4718</v>
      </c>
      <c r="DS76" s="191"/>
      <c r="DT76" s="191"/>
      <c r="DU76" s="191"/>
      <c r="DV76" s="192"/>
      <c r="DW76" s="191">
        <f>DW50+DW71</f>
        <v>3060</v>
      </c>
      <c r="DX76" s="195">
        <f>DX50+DX71</f>
        <v>3514.4535518696975</v>
      </c>
      <c r="DY76" s="193"/>
      <c r="DZ76" s="196">
        <f>DZ50+DZ71</f>
        <v>6577.877179101848</v>
      </c>
      <c r="EA76" s="191"/>
      <c r="EB76" s="191"/>
      <c r="EC76" s="191"/>
      <c r="ED76" s="192"/>
      <c r="EE76" s="195">
        <f>EE50+EE71</f>
        <v>2294.9510712875272</v>
      </c>
      <c r="EF76" s="195">
        <f>EF50+EF71</f>
        <v>5371.161239227029</v>
      </c>
      <c r="EG76" s="193"/>
      <c r="EH76" s="196">
        <f>EH50+EH71</f>
        <v>7666.1123105145525</v>
      </c>
      <c r="EI76" s="191"/>
      <c r="EJ76" s="191"/>
      <c r="EK76" s="191"/>
      <c r="EL76" s="192"/>
      <c r="EM76" s="195">
        <f>EM50+EM71</f>
        <v>2560.0590093367391</v>
      </c>
      <c r="EN76" s="195">
        <f>EN50+EN71</f>
        <v>5832.5661255592313</v>
      </c>
      <c r="EO76" s="193"/>
      <c r="EP76" s="196">
        <f>EP50+EP71</f>
        <v>8392.6251348959631</v>
      </c>
      <c r="EQ76" s="191"/>
      <c r="ER76" s="191"/>
      <c r="ES76" s="191"/>
      <c r="ET76" s="192"/>
      <c r="EU76" s="195">
        <f>EU50+EU71</f>
        <v>2743.0995470388916</v>
      </c>
      <c r="EV76" s="195">
        <f>EV50+EV71</f>
        <v>6213.481341977651</v>
      </c>
      <c r="EW76" s="193"/>
      <c r="EX76" s="196">
        <f>EX50+EX71</f>
        <v>8956.5808890165354</v>
      </c>
      <c r="EY76" s="191"/>
      <c r="EZ76" s="191"/>
      <c r="FA76" s="191"/>
      <c r="FB76" s="192"/>
      <c r="FC76" s="195">
        <f>FC50+FC71</f>
        <v>2891.8541552405441</v>
      </c>
      <c r="FD76" s="195">
        <f>FD50+FD71</f>
        <v>6435.1528213470992</v>
      </c>
      <c r="FE76" s="193"/>
      <c r="FF76" s="196">
        <f>FF50+FF71</f>
        <v>9327.0069765876397</v>
      </c>
    </row>
    <row r="77" spans="1:162" ht="11.25" customHeight="1" x14ac:dyDescent="0.2">
      <c r="A77" s="186" t="s">
        <v>289</v>
      </c>
      <c r="C77" s="190"/>
      <c r="D77" s="191"/>
      <c r="E77" s="191"/>
      <c r="F77" s="192"/>
      <c r="G77" s="191">
        <f>G69+G74</f>
        <v>647</v>
      </c>
      <c r="H77" s="191">
        <f>H69+H74</f>
        <v>822</v>
      </c>
      <c r="I77" s="193"/>
      <c r="J77" s="193">
        <f>J69+J74</f>
        <v>1469</v>
      </c>
      <c r="K77" s="190"/>
      <c r="L77" s="191"/>
      <c r="M77" s="191"/>
      <c r="N77" s="192"/>
      <c r="O77" s="191">
        <f>O69+O74</f>
        <v>547</v>
      </c>
      <c r="P77" s="191">
        <f>P69+P74</f>
        <v>846</v>
      </c>
      <c r="Q77" s="193"/>
      <c r="R77" s="193">
        <f>R69+R74</f>
        <v>1393</v>
      </c>
      <c r="S77" s="190"/>
      <c r="T77" s="191"/>
      <c r="U77" s="191"/>
      <c r="V77" s="192"/>
      <c r="W77" s="191">
        <f>W69+W74</f>
        <v>1375</v>
      </c>
      <c r="X77" s="191">
        <f>X69+X74</f>
        <v>702</v>
      </c>
      <c r="Y77" s="193"/>
      <c r="Z77" s="193">
        <f>Z69+Z74</f>
        <v>2077</v>
      </c>
      <c r="AA77" s="190"/>
      <c r="AB77" s="191"/>
      <c r="AC77" s="191"/>
      <c r="AD77" s="192"/>
      <c r="AE77" s="191">
        <f>AE69+AE74</f>
        <v>1868</v>
      </c>
      <c r="AF77" s="191">
        <f>+AH77-AE77</f>
        <v>1471</v>
      </c>
      <c r="AG77" s="193"/>
      <c r="AH77" s="193">
        <f>AH69+AH74</f>
        <v>3339</v>
      </c>
      <c r="AI77" s="190"/>
      <c r="AJ77" s="191"/>
      <c r="AK77" s="191"/>
      <c r="AL77" s="192"/>
      <c r="AM77" s="191">
        <f>AM69+AM74</f>
        <v>1473</v>
      </c>
      <c r="AN77" s="191">
        <f>+AP77-AM77</f>
        <v>1208</v>
      </c>
      <c r="AO77" s="193"/>
      <c r="AP77" s="193">
        <f>AP69+AP74</f>
        <v>2681</v>
      </c>
      <c r="AQ77" s="190"/>
      <c r="AR77" s="191"/>
      <c r="AS77" s="191"/>
      <c r="AT77" s="192"/>
      <c r="AU77" s="191">
        <f>AU69+AU74</f>
        <v>1295</v>
      </c>
      <c r="AV77" s="191"/>
      <c r="AW77" s="193"/>
      <c r="AX77" s="193"/>
      <c r="AY77" s="190"/>
      <c r="AZ77" s="191"/>
      <c r="BA77" s="191"/>
      <c r="BB77" s="192"/>
      <c r="BC77" s="191">
        <f>BC69+BC74</f>
        <v>886</v>
      </c>
      <c r="BD77" s="191">
        <f>+BF77-BC77</f>
        <v>1279</v>
      </c>
      <c r="BE77" s="193"/>
      <c r="BF77" s="193">
        <f>BF69+BF74</f>
        <v>2165</v>
      </c>
      <c r="BG77" s="190"/>
      <c r="BH77" s="191"/>
      <c r="BI77" s="191"/>
      <c r="BJ77" s="192"/>
      <c r="BK77" s="191">
        <f t="shared" si="106"/>
        <v>886</v>
      </c>
      <c r="BL77" s="191">
        <f t="shared" si="106"/>
        <v>1279</v>
      </c>
      <c r="BM77" s="193"/>
      <c r="BN77" s="193">
        <f t="shared" si="107"/>
        <v>2165</v>
      </c>
      <c r="BO77" s="190"/>
      <c r="BP77" s="191"/>
      <c r="BQ77" s="191"/>
      <c r="BR77" s="192"/>
      <c r="BS77" s="191">
        <f>BS69+BS74</f>
        <v>1909</v>
      </c>
      <c r="BT77" s="191">
        <f>BT69+BT74</f>
        <v>1928</v>
      </c>
      <c r="BU77" s="193"/>
      <c r="BV77" s="193">
        <f>BV69+BV74</f>
        <v>3837</v>
      </c>
      <c r="BW77" s="190"/>
      <c r="BX77" s="191"/>
      <c r="BY77" s="191"/>
      <c r="BZ77" s="192"/>
      <c r="CA77" s="191">
        <f>CA69+CA74</f>
        <v>715</v>
      </c>
      <c r="CB77" s="191">
        <f>CB69+CB74</f>
        <v>212</v>
      </c>
      <c r="CC77" s="193"/>
      <c r="CD77" s="193">
        <f>CD69+CD74</f>
        <v>927</v>
      </c>
      <c r="CE77" s="190"/>
      <c r="CF77" s="191"/>
      <c r="CG77" s="191"/>
      <c r="CH77" s="192"/>
      <c r="CI77" s="191">
        <f>CI69+CI74</f>
        <v>156</v>
      </c>
      <c r="CJ77" s="191">
        <f>CJ69+CJ74</f>
        <v>708</v>
      </c>
      <c r="CK77" s="193"/>
      <c r="CL77" s="193">
        <f>CL69+CL74</f>
        <v>864</v>
      </c>
      <c r="CM77" s="190"/>
      <c r="CN77" s="191"/>
      <c r="CO77" s="191"/>
      <c r="CP77" s="192"/>
      <c r="CQ77" s="191">
        <f>CQ69+CQ74</f>
        <v>876</v>
      </c>
      <c r="CR77" s="191">
        <f>CR69+CR74</f>
        <v>1167</v>
      </c>
      <c r="CS77" s="193"/>
      <c r="CT77" s="193">
        <f>CT69+CT74</f>
        <v>2043</v>
      </c>
      <c r="CU77" s="191"/>
      <c r="CV77" s="191"/>
      <c r="CW77" s="191"/>
      <c r="CX77" s="192"/>
      <c r="CY77" s="191">
        <f>CY69+CY74</f>
        <v>1349</v>
      </c>
      <c r="CZ77" s="191">
        <f>CZ69+CZ74</f>
        <v>1449</v>
      </c>
      <c r="DA77" s="193"/>
      <c r="DB77" s="193">
        <f>DB69+DB74</f>
        <v>2798</v>
      </c>
      <c r="DC77" s="191"/>
      <c r="DD77" s="191"/>
      <c r="DE77" s="191"/>
      <c r="DF77" s="192"/>
      <c r="DG77" s="191">
        <f>DG69+DG74</f>
        <v>1944</v>
      </c>
      <c r="DH77" s="191">
        <f>DH69+DH74</f>
        <v>2248</v>
      </c>
      <c r="DI77" s="193"/>
      <c r="DJ77" s="193">
        <f>DJ69+DJ74</f>
        <v>4192</v>
      </c>
      <c r="DK77" s="191"/>
      <c r="DL77" s="191"/>
      <c r="DM77" s="191"/>
      <c r="DN77" s="192"/>
      <c r="DO77" s="191">
        <f>DO69+DO74</f>
        <v>2431</v>
      </c>
      <c r="DP77" s="191">
        <f>DP69+DP74</f>
        <v>1877</v>
      </c>
      <c r="DQ77" s="193"/>
      <c r="DR77" s="193">
        <f>DR69+DR74</f>
        <v>4308</v>
      </c>
      <c r="DS77" s="191"/>
      <c r="DT77" s="191"/>
      <c r="DU77" s="191"/>
      <c r="DV77" s="192"/>
      <c r="DW77" s="191">
        <f>DW69+DW74</f>
        <v>2459</v>
      </c>
      <c r="DX77" s="195">
        <f>DX69+DX74</f>
        <v>3815.4535518696975</v>
      </c>
      <c r="DY77" s="193"/>
      <c r="DZ77" s="196">
        <f>DZ69+DZ74</f>
        <v>6277.877179101848</v>
      </c>
      <c r="EA77" s="191"/>
      <c r="EB77" s="191"/>
      <c r="EC77" s="191"/>
      <c r="ED77" s="192"/>
      <c r="EE77" s="195">
        <f>EE69+EE74</f>
        <v>2144.9510712875272</v>
      </c>
      <c r="EF77" s="195">
        <f>EF69+EF74</f>
        <v>5221.161239227029</v>
      </c>
      <c r="EG77" s="193"/>
      <c r="EH77" s="196">
        <f>EH69+EH74</f>
        <v>7366.1123105145525</v>
      </c>
      <c r="EI77" s="191"/>
      <c r="EJ77" s="191"/>
      <c r="EK77" s="191"/>
      <c r="EL77" s="192"/>
      <c r="EM77" s="195">
        <f>EM69+EM74</f>
        <v>2410.0590093367391</v>
      </c>
      <c r="EN77" s="195">
        <f>EN69+EN74</f>
        <v>5682.5661255592313</v>
      </c>
      <c r="EO77" s="193"/>
      <c r="EP77" s="196">
        <f>EP69+EP74</f>
        <v>8092.6251348959631</v>
      </c>
      <c r="EQ77" s="191"/>
      <c r="ER77" s="191"/>
      <c r="ES77" s="191"/>
      <c r="ET77" s="192"/>
      <c r="EU77" s="195">
        <f>EU69+EU74</f>
        <v>2593.099547038888</v>
      </c>
      <c r="EV77" s="195">
        <f>EV69+EV74</f>
        <v>6063.4813419776474</v>
      </c>
      <c r="EW77" s="193"/>
      <c r="EX77" s="196">
        <f>EX69+EX74</f>
        <v>8656.5808890165281</v>
      </c>
      <c r="EY77" s="191"/>
      <c r="EZ77" s="191"/>
      <c r="FA77" s="191"/>
      <c r="FB77" s="192"/>
      <c r="FC77" s="195">
        <f>FC69+FC74</f>
        <v>2741.8541552405441</v>
      </c>
      <c r="FD77" s="195">
        <f>FD69+FD74</f>
        <v>6285.1528213470992</v>
      </c>
      <c r="FE77" s="193"/>
      <c r="FF77" s="196">
        <f>FF69+FF74</f>
        <v>9027.0069765876397</v>
      </c>
    </row>
    <row r="78" spans="1:162" ht="11.25" customHeight="1" x14ac:dyDescent="0.2">
      <c r="C78" s="288"/>
      <c r="D78" s="289"/>
      <c r="E78" s="289"/>
      <c r="F78" s="290"/>
      <c r="G78" s="289"/>
      <c r="H78" s="289"/>
      <c r="I78" s="291"/>
      <c r="J78" s="291"/>
      <c r="K78" s="288"/>
      <c r="L78" s="289"/>
      <c r="M78" s="289"/>
      <c r="N78" s="290"/>
      <c r="O78" s="289"/>
      <c r="P78" s="289"/>
      <c r="Q78" s="291"/>
      <c r="R78" s="291"/>
      <c r="S78" s="288"/>
      <c r="T78" s="289"/>
      <c r="U78" s="289"/>
      <c r="V78" s="290"/>
      <c r="W78" s="289"/>
      <c r="X78" s="289"/>
      <c r="Y78" s="291"/>
      <c r="Z78" s="291"/>
      <c r="AA78" s="288"/>
      <c r="AB78" s="289"/>
      <c r="AC78" s="289"/>
      <c r="AD78" s="290"/>
      <c r="AE78" s="289"/>
      <c r="AF78" s="289"/>
      <c r="AG78" s="291"/>
      <c r="AH78" s="291"/>
      <c r="AI78" s="288"/>
      <c r="AJ78" s="289"/>
      <c r="AK78" s="289"/>
      <c r="AL78" s="290"/>
      <c r="AM78" s="289"/>
      <c r="AN78" s="289"/>
      <c r="AO78" s="291"/>
      <c r="AP78" s="291"/>
      <c r="AQ78" s="288"/>
      <c r="AR78" s="289"/>
      <c r="AS78" s="289"/>
      <c r="AT78" s="290"/>
      <c r="AU78" s="289"/>
      <c r="AV78" s="289"/>
      <c r="AW78" s="291"/>
      <c r="AX78" s="291"/>
      <c r="AY78" s="288"/>
      <c r="AZ78" s="289"/>
      <c r="BA78" s="289"/>
      <c r="BB78" s="290"/>
      <c r="BC78" s="289"/>
      <c r="BD78" s="289"/>
      <c r="BE78" s="291"/>
      <c r="BF78" s="291"/>
      <c r="BG78" s="288"/>
      <c r="BH78" s="289"/>
      <c r="BI78" s="289"/>
      <c r="BJ78" s="290"/>
      <c r="BK78" s="289">
        <f t="shared" si="106"/>
        <v>0</v>
      </c>
      <c r="BL78" s="289">
        <f t="shared" si="106"/>
        <v>0</v>
      </c>
      <c r="BM78" s="291"/>
      <c r="BN78" s="291">
        <f t="shared" si="107"/>
        <v>0</v>
      </c>
      <c r="BO78" s="288"/>
      <c r="BP78" s="289"/>
      <c r="BQ78" s="289"/>
      <c r="BR78" s="290"/>
      <c r="BS78" s="289"/>
      <c r="BT78" s="289"/>
      <c r="BU78" s="291"/>
      <c r="BV78" s="291"/>
      <c r="BW78" s="288"/>
      <c r="BX78" s="289"/>
      <c r="BY78" s="289"/>
      <c r="BZ78" s="290"/>
      <c r="CA78" s="289"/>
      <c r="CB78" s="289"/>
      <c r="CC78" s="291"/>
      <c r="CD78" s="291"/>
      <c r="CE78" s="288"/>
      <c r="CF78" s="289"/>
      <c r="CG78" s="289"/>
      <c r="CH78" s="290"/>
      <c r="CI78" s="289"/>
      <c r="CJ78" s="289"/>
      <c r="CK78" s="291"/>
      <c r="CL78" s="291"/>
      <c r="CM78" s="288"/>
      <c r="CN78" s="289"/>
      <c r="CO78" s="289"/>
      <c r="CP78" s="290"/>
      <c r="CQ78" s="289"/>
      <c r="CR78" s="289"/>
      <c r="CS78" s="291"/>
      <c r="CT78" s="291"/>
      <c r="CU78" s="289"/>
      <c r="CV78" s="289"/>
      <c r="CW78" s="289"/>
      <c r="CX78" s="290"/>
      <c r="CY78" s="289"/>
      <c r="CZ78" s="289"/>
      <c r="DA78" s="291"/>
      <c r="DB78" s="291"/>
      <c r="DC78" s="289"/>
      <c r="DD78" s="289"/>
      <c r="DE78" s="289"/>
      <c r="DF78" s="290"/>
      <c r="DG78" s="289"/>
      <c r="DH78" s="289"/>
      <c r="DI78" s="291"/>
      <c r="DJ78" s="291"/>
      <c r="DK78" s="289"/>
      <c r="DL78" s="289"/>
      <c r="DM78" s="289"/>
      <c r="DN78" s="290"/>
      <c r="DO78" s="289"/>
      <c r="DP78" s="289"/>
      <c r="DQ78" s="291"/>
      <c r="DR78" s="291"/>
      <c r="DS78" s="289"/>
      <c r="DT78" s="289"/>
      <c r="DU78" s="289"/>
      <c r="DV78" s="290"/>
      <c r="DW78" s="289"/>
      <c r="DX78" s="289"/>
      <c r="DY78" s="291"/>
      <c r="DZ78" s="291"/>
      <c r="EA78" s="289"/>
      <c r="EB78" s="289"/>
      <c r="EC78" s="289"/>
      <c r="ED78" s="290"/>
      <c r="EE78" s="289"/>
      <c r="EF78" s="289"/>
      <c r="EG78" s="291"/>
      <c r="EH78" s="291"/>
      <c r="EI78" s="289"/>
      <c r="EJ78" s="289"/>
      <c r="EK78" s="289"/>
      <c r="EL78" s="290"/>
      <c r="EM78" s="289"/>
      <c r="EN78" s="289"/>
      <c r="EO78" s="291"/>
      <c r="EP78" s="291"/>
      <c r="EQ78" s="289"/>
      <c r="ER78" s="289"/>
      <c r="ES78" s="289"/>
      <c r="ET78" s="290"/>
      <c r="EU78" s="289"/>
      <c r="EV78" s="289"/>
      <c r="EW78" s="291"/>
      <c r="EX78" s="291"/>
      <c r="EY78" s="289"/>
      <c r="EZ78" s="289"/>
      <c r="FA78" s="289"/>
      <c r="FB78" s="290"/>
      <c r="FC78" s="289"/>
      <c r="FD78" s="289"/>
      <c r="FE78" s="291"/>
      <c r="FF78" s="291"/>
    </row>
    <row r="79" spans="1:162" ht="11.25" customHeight="1" x14ac:dyDescent="0.2">
      <c r="A79" s="4" t="s">
        <v>290</v>
      </c>
      <c r="C79" s="288"/>
      <c r="D79" s="289"/>
      <c r="E79" s="289"/>
      <c r="F79" s="290"/>
      <c r="G79" s="289">
        <v>-15</v>
      </c>
      <c r="H79" s="289">
        <f>J79-G79</f>
        <v>-27</v>
      </c>
      <c r="I79" s="291"/>
      <c r="J79" s="291">
        <v>-42</v>
      </c>
      <c r="K79" s="288"/>
      <c r="L79" s="289"/>
      <c r="M79" s="289"/>
      <c r="N79" s="290"/>
      <c r="O79" s="289">
        <v>-21</v>
      </c>
      <c r="P79" s="289">
        <f>R79-O79</f>
        <v>-21</v>
      </c>
      <c r="Q79" s="291"/>
      <c r="R79" s="291">
        <v>-42</v>
      </c>
      <c r="S79" s="288"/>
      <c r="T79" s="289"/>
      <c r="U79" s="289"/>
      <c r="V79" s="290"/>
      <c r="W79" s="289">
        <v>-10</v>
      </c>
      <c r="X79" s="289">
        <f>Z79-W79</f>
        <v>-18</v>
      </c>
      <c r="Y79" s="291"/>
      <c r="Z79" s="291">
        <f>IS!M26</f>
        <v>-28</v>
      </c>
      <c r="AA79" s="288"/>
      <c r="AB79" s="289"/>
      <c r="AC79" s="289"/>
      <c r="AD79" s="290"/>
      <c r="AE79" s="289">
        <v>-24</v>
      </c>
      <c r="AF79" s="289">
        <f>+AH79-AE79</f>
        <v>-27</v>
      </c>
      <c r="AG79" s="291"/>
      <c r="AH79" s="291">
        <f>IS!N26</f>
        <v>-51</v>
      </c>
      <c r="AI79" s="288"/>
      <c r="AJ79" s="289"/>
      <c r="AK79" s="289"/>
      <c r="AL79" s="290"/>
      <c r="AM79" s="289">
        <v>-28</v>
      </c>
      <c r="AN79" s="289">
        <f>+AP79-AM79</f>
        <v>-29</v>
      </c>
      <c r="AO79" s="291"/>
      <c r="AP79" s="291">
        <f>IS!O26</f>
        <v>-57</v>
      </c>
      <c r="AQ79" s="288"/>
      <c r="AR79" s="289"/>
      <c r="AS79" s="289"/>
      <c r="AT79" s="290"/>
      <c r="AU79" s="289">
        <v>-28</v>
      </c>
      <c r="AV79" s="289"/>
      <c r="AW79" s="291"/>
      <c r="AX79" s="291"/>
      <c r="AY79" s="288"/>
      <c r="AZ79" s="289"/>
      <c r="BA79" s="289"/>
      <c r="BB79" s="290"/>
      <c r="BC79" s="289">
        <v>-34</v>
      </c>
      <c r="BD79" s="289">
        <f>+BF79-BC79</f>
        <v>-33</v>
      </c>
      <c r="BE79" s="291"/>
      <c r="BF79" s="291">
        <f>IS!P26</f>
        <v>-67</v>
      </c>
      <c r="BG79" s="288"/>
      <c r="BH79" s="289"/>
      <c r="BI79" s="289"/>
      <c r="BJ79" s="290"/>
      <c r="BK79" s="289">
        <f t="shared" si="106"/>
        <v>-34</v>
      </c>
      <c r="BL79" s="289">
        <f t="shared" si="106"/>
        <v>-33</v>
      </c>
      <c r="BM79" s="291"/>
      <c r="BN79" s="291">
        <f t="shared" si="107"/>
        <v>-67</v>
      </c>
      <c r="BO79" s="288"/>
      <c r="BP79" s="289"/>
      <c r="BQ79" s="289"/>
      <c r="BR79" s="290"/>
      <c r="BS79" s="289">
        <v>-21</v>
      </c>
      <c r="BT79" s="289">
        <f>BV79-BS79</f>
        <v>-12</v>
      </c>
      <c r="BU79" s="291"/>
      <c r="BV79" s="291">
        <f>IS!Q26</f>
        <v>-33</v>
      </c>
      <c r="BW79" s="288"/>
      <c r="BX79" s="289"/>
      <c r="BY79" s="289"/>
      <c r="BZ79" s="290"/>
      <c r="CA79" s="289">
        <v>-20</v>
      </c>
      <c r="CB79" s="289">
        <f>CD79-CA79</f>
        <v>-38</v>
      </c>
      <c r="CC79" s="291"/>
      <c r="CD79" s="291">
        <f>IS!R26</f>
        <v>-58</v>
      </c>
      <c r="CE79" s="288"/>
      <c r="CF79" s="289"/>
      <c r="CG79" s="289"/>
      <c r="CH79" s="290"/>
      <c r="CI79" s="289">
        <v>-51</v>
      </c>
      <c r="CJ79" s="289">
        <f>CL79-CI79</f>
        <v>-34</v>
      </c>
      <c r="CK79" s="291"/>
      <c r="CL79" s="291">
        <f>IS!S26</f>
        <v>-85</v>
      </c>
      <c r="CM79" s="288"/>
      <c r="CN79" s="289"/>
      <c r="CO79" s="289"/>
      <c r="CP79" s="290"/>
      <c r="CQ79" s="289">
        <v>-38</v>
      </c>
      <c r="CR79" s="289">
        <f>CT79-CQ79</f>
        <v>-18</v>
      </c>
      <c r="CS79" s="291"/>
      <c r="CT79" s="291">
        <f>IS!T26</f>
        <v>-56</v>
      </c>
      <c r="CU79" s="289"/>
      <c r="CV79" s="289"/>
      <c r="CW79" s="289"/>
      <c r="CX79" s="290"/>
      <c r="CY79" s="289">
        <v>42</v>
      </c>
      <c r="CZ79" s="199">
        <f>DB79-CY79</f>
        <v>70</v>
      </c>
      <c r="DA79" s="291"/>
      <c r="DB79" s="291">
        <f>IS!U26</f>
        <v>112</v>
      </c>
      <c r="DC79" s="289"/>
      <c r="DD79" s="289"/>
      <c r="DE79" s="289"/>
      <c r="DF79" s="290"/>
      <c r="DG79" s="289">
        <v>84</v>
      </c>
      <c r="DH79" s="199">
        <f>DJ79-DG79</f>
        <v>73</v>
      </c>
      <c r="DI79" s="291"/>
      <c r="DJ79" s="291">
        <f>IS!V26</f>
        <v>157</v>
      </c>
      <c r="DK79" s="289"/>
      <c r="DL79" s="289"/>
      <c r="DM79" s="289"/>
      <c r="DN79" s="290"/>
      <c r="DO79" s="289">
        <v>77</v>
      </c>
      <c r="DP79" s="199">
        <f>DR79-DO79</f>
        <v>39</v>
      </c>
      <c r="DQ79" s="291"/>
      <c r="DR79" s="291">
        <f>IS!W26</f>
        <v>116</v>
      </c>
      <c r="DS79" s="289"/>
      <c r="DT79" s="289"/>
      <c r="DU79" s="289"/>
      <c r="DV79" s="290"/>
      <c r="DW79" s="289">
        <v>57</v>
      </c>
      <c r="DX79" s="280">
        <f>DZ79-DW79</f>
        <v>64.055000000000007</v>
      </c>
      <c r="DY79" s="291"/>
      <c r="DZ79" s="287">
        <f>IS!X26</f>
        <v>121.05500000000001</v>
      </c>
      <c r="EA79" s="289"/>
      <c r="EB79" s="289"/>
      <c r="EC79" s="289"/>
      <c r="ED79" s="290"/>
      <c r="EE79" s="280">
        <f>EH79/2</f>
        <v>78.581327532782311</v>
      </c>
      <c r="EF79" s="280">
        <f>EH79-EE79</f>
        <v>78.581327532782311</v>
      </c>
      <c r="EG79" s="291"/>
      <c r="EH79" s="287">
        <f>IS!Y26</f>
        <v>157.16265506556462</v>
      </c>
      <c r="EI79" s="289"/>
      <c r="EJ79" s="289"/>
      <c r="EK79" s="289"/>
      <c r="EL79" s="290"/>
      <c r="EM79" s="280">
        <f>EP79/2</f>
        <v>118.01050551623489</v>
      </c>
      <c r="EN79" s="280">
        <f>EP79-EM79</f>
        <v>118.01050551623489</v>
      </c>
      <c r="EO79" s="291"/>
      <c r="EP79" s="287">
        <f>IS!Z26</f>
        <v>236.02101103246977</v>
      </c>
      <c r="EQ79" s="289"/>
      <c r="ER79" s="289"/>
      <c r="ES79" s="289"/>
      <c r="ET79" s="290"/>
      <c r="EU79" s="280">
        <f>EX79/2</f>
        <v>154.42616620661516</v>
      </c>
      <c r="EV79" s="280">
        <f>EX79-EU79</f>
        <v>154.42616620661516</v>
      </c>
      <c r="EW79" s="291"/>
      <c r="EX79" s="287">
        <f>IS!AA26</f>
        <v>308.85233241323033</v>
      </c>
      <c r="EY79" s="289"/>
      <c r="EZ79" s="289"/>
      <c r="FA79" s="289"/>
      <c r="FB79" s="290"/>
      <c r="FC79" s="280">
        <f>FF79/2</f>
        <v>212.62351755867007</v>
      </c>
      <c r="FD79" s="280">
        <f>FF79-FC79</f>
        <v>212.62351755867007</v>
      </c>
      <c r="FE79" s="291"/>
      <c r="FF79" s="287">
        <f>IS!AB26</f>
        <v>425.24703511734015</v>
      </c>
    </row>
    <row r="80" spans="1:162" ht="11.25" customHeight="1" x14ac:dyDescent="0.2">
      <c r="C80" s="288"/>
      <c r="D80" s="289"/>
      <c r="E80" s="289"/>
      <c r="F80" s="290"/>
      <c r="G80" s="289"/>
      <c r="H80" s="289"/>
      <c r="I80" s="291"/>
      <c r="J80" s="291"/>
      <c r="K80" s="288"/>
      <c r="L80" s="289"/>
      <c r="M80" s="289"/>
      <c r="N80" s="290"/>
      <c r="O80" s="289"/>
      <c r="P80" s="289"/>
      <c r="Q80" s="291"/>
      <c r="R80" s="291"/>
      <c r="S80" s="288"/>
      <c r="T80" s="289"/>
      <c r="U80" s="289"/>
      <c r="V80" s="290"/>
      <c r="W80" s="289"/>
      <c r="X80" s="289"/>
      <c r="Y80" s="291"/>
      <c r="Z80" s="291"/>
      <c r="AA80" s="288"/>
      <c r="AB80" s="289"/>
      <c r="AC80" s="289"/>
      <c r="AD80" s="290"/>
      <c r="AE80" s="289"/>
      <c r="AF80" s="289"/>
      <c r="AG80" s="291"/>
      <c r="AH80" s="291"/>
      <c r="AI80" s="288"/>
      <c r="AJ80" s="289"/>
      <c r="AK80" s="289"/>
      <c r="AL80" s="290"/>
      <c r="AM80" s="289"/>
      <c r="AN80" s="289"/>
      <c r="AO80" s="291"/>
      <c r="AP80" s="291"/>
      <c r="AQ80" s="288"/>
      <c r="AR80" s="289"/>
      <c r="AS80" s="289"/>
      <c r="AT80" s="290"/>
      <c r="AU80" s="289"/>
      <c r="AV80" s="289"/>
      <c r="AW80" s="291"/>
      <c r="AX80" s="291"/>
      <c r="AY80" s="288"/>
      <c r="AZ80" s="289"/>
      <c r="BA80" s="289"/>
      <c r="BB80" s="290"/>
      <c r="BC80" s="289"/>
      <c r="BD80" s="289"/>
      <c r="BE80" s="291"/>
      <c r="BF80" s="291"/>
      <c r="BG80" s="288"/>
      <c r="BH80" s="289"/>
      <c r="BI80" s="289"/>
      <c r="BJ80" s="290"/>
      <c r="BK80" s="289"/>
      <c r="BL80" s="289"/>
      <c r="BM80" s="291"/>
      <c r="BN80" s="291"/>
      <c r="BO80" s="288"/>
      <c r="BP80" s="289"/>
      <c r="BQ80" s="289"/>
      <c r="BR80" s="290"/>
      <c r="BS80" s="289"/>
      <c r="BT80" s="289"/>
      <c r="BU80" s="291"/>
      <c r="BV80" s="291"/>
      <c r="BW80" s="288"/>
      <c r="BX80" s="289"/>
      <c r="BY80" s="289"/>
      <c r="BZ80" s="290"/>
      <c r="CA80" s="289"/>
      <c r="CB80" s="289"/>
      <c r="CC80" s="291"/>
      <c r="CD80" s="291"/>
      <c r="CE80" s="288"/>
      <c r="CF80" s="289"/>
      <c r="CG80" s="289"/>
      <c r="CH80" s="290"/>
      <c r="CI80" s="289"/>
      <c r="CJ80" s="289"/>
      <c r="CK80" s="291"/>
      <c r="CL80" s="291"/>
      <c r="CM80" s="288"/>
      <c r="CN80" s="289"/>
      <c r="CO80" s="289"/>
      <c r="CP80" s="290"/>
      <c r="CQ80" s="289"/>
      <c r="CR80" s="289"/>
      <c r="CS80" s="291"/>
      <c r="CT80" s="291"/>
      <c r="CU80" s="289"/>
      <c r="CV80" s="289"/>
      <c r="CW80" s="289"/>
      <c r="CX80" s="290"/>
      <c r="CY80" s="289"/>
      <c r="CZ80" s="289"/>
      <c r="DA80" s="291"/>
      <c r="DB80" s="291"/>
      <c r="DC80" s="289"/>
      <c r="DD80" s="289"/>
      <c r="DE80" s="289"/>
      <c r="DF80" s="290"/>
      <c r="DG80" s="289"/>
      <c r="DH80" s="289"/>
      <c r="DI80" s="291"/>
      <c r="DJ80" s="291"/>
      <c r="DK80" s="289"/>
      <c r="DL80" s="289"/>
      <c r="DM80" s="289"/>
      <c r="DN80" s="290"/>
      <c r="DO80" s="289"/>
      <c r="DP80" s="289"/>
      <c r="DQ80" s="291"/>
      <c r="DR80" s="291"/>
      <c r="DS80" s="289"/>
      <c r="DT80" s="289"/>
      <c r="DU80" s="289"/>
      <c r="DV80" s="290"/>
      <c r="DW80" s="289"/>
      <c r="DX80" s="289"/>
      <c r="DY80" s="291"/>
      <c r="DZ80" s="291"/>
      <c r="EA80" s="289"/>
      <c r="EB80" s="289"/>
      <c r="EC80" s="289"/>
      <c r="ED80" s="290"/>
      <c r="EE80" s="289"/>
      <c r="EF80" s="289"/>
      <c r="EG80" s="291"/>
      <c r="EH80" s="291"/>
      <c r="EI80" s="289"/>
      <c r="EJ80" s="289"/>
      <c r="EK80" s="289"/>
      <c r="EL80" s="290"/>
      <c r="EM80" s="289"/>
      <c r="EN80" s="289"/>
      <c r="EO80" s="291"/>
      <c r="EP80" s="291"/>
      <c r="EQ80" s="289"/>
      <c r="ER80" s="289"/>
      <c r="ES80" s="289"/>
      <c r="ET80" s="290"/>
      <c r="EU80" s="289"/>
      <c r="EV80" s="289"/>
      <c r="EW80" s="291"/>
      <c r="EX80" s="291"/>
      <c r="EY80" s="289"/>
      <c r="EZ80" s="289"/>
      <c r="FA80" s="289"/>
      <c r="FB80" s="290"/>
      <c r="FC80" s="289"/>
      <c r="FD80" s="289"/>
      <c r="FE80" s="291"/>
      <c r="FF80" s="291"/>
    </row>
    <row r="81" spans="1:162" ht="11.25" customHeight="1" x14ac:dyDescent="0.2">
      <c r="A81" s="4" t="s">
        <v>291</v>
      </c>
      <c r="C81" s="288"/>
      <c r="D81" s="289"/>
      <c r="E81" s="289"/>
      <c r="F81" s="290"/>
      <c r="G81" s="289">
        <v>-6</v>
      </c>
      <c r="H81" s="289">
        <f>J81-G81</f>
        <v>-20</v>
      </c>
      <c r="I81" s="291"/>
      <c r="J81" s="291">
        <v>-26</v>
      </c>
      <c r="K81" s="288"/>
      <c r="L81" s="289"/>
      <c r="M81" s="289"/>
      <c r="N81" s="290"/>
      <c r="O81" s="289">
        <v>20</v>
      </c>
      <c r="P81" s="289">
        <f>R81-O81</f>
        <v>-68</v>
      </c>
      <c r="Q81" s="291"/>
      <c r="R81" s="291">
        <v>-48</v>
      </c>
      <c r="S81" s="288"/>
      <c r="T81" s="289"/>
      <c r="U81" s="289"/>
      <c r="V81" s="290"/>
      <c r="W81" s="289">
        <v>-31</v>
      </c>
      <c r="X81" s="289">
        <f>Z81-W81</f>
        <v>-54</v>
      </c>
      <c r="Y81" s="291"/>
      <c r="Z81" s="291">
        <f>IS!M27</f>
        <v>-85</v>
      </c>
      <c r="AA81" s="288"/>
      <c r="AB81" s="289"/>
      <c r="AC81" s="289"/>
      <c r="AD81" s="290"/>
      <c r="AE81" s="289">
        <v>25</v>
      </c>
      <c r="AF81" s="289">
        <f>+AH81-AE81</f>
        <v>-60</v>
      </c>
      <c r="AG81" s="291"/>
      <c r="AH81" s="291">
        <f>IS!N27</f>
        <v>-35</v>
      </c>
      <c r="AI81" s="288"/>
      <c r="AJ81" s="289"/>
      <c r="AK81" s="289"/>
      <c r="AL81" s="290"/>
      <c r="AM81" s="289">
        <v>24</v>
      </c>
      <c r="AN81" s="289">
        <f>+AP81-AM81</f>
        <v>81</v>
      </c>
      <c r="AO81" s="291"/>
      <c r="AP81" s="291">
        <f>IS!O27</f>
        <v>105</v>
      </c>
      <c r="AQ81" s="288"/>
      <c r="AR81" s="289"/>
      <c r="AS81" s="289"/>
      <c r="AT81" s="290"/>
      <c r="AU81" s="289">
        <v>-5</v>
      </c>
      <c r="AV81" s="289"/>
      <c r="AW81" s="291"/>
      <c r="AX81" s="291"/>
      <c r="AY81" s="288"/>
      <c r="AZ81" s="289"/>
      <c r="BA81" s="289"/>
      <c r="BB81" s="290"/>
      <c r="BC81" s="289">
        <v>-69</v>
      </c>
      <c r="BD81" s="289">
        <f>+BF81-BC81</f>
        <v>-17</v>
      </c>
      <c r="BE81" s="291"/>
      <c r="BF81" s="291">
        <f>IS!P27</f>
        <v>-86</v>
      </c>
      <c r="BG81" s="288"/>
      <c r="BH81" s="289"/>
      <c r="BI81" s="289"/>
      <c r="BJ81" s="290"/>
      <c r="BK81" s="289">
        <f t="shared" si="106"/>
        <v>-69</v>
      </c>
      <c r="BL81" s="289">
        <f t="shared" si="106"/>
        <v>-17</v>
      </c>
      <c r="BM81" s="291"/>
      <c r="BN81" s="291">
        <f t="shared" si="107"/>
        <v>-86</v>
      </c>
      <c r="BO81" s="288"/>
      <c r="BP81" s="289"/>
      <c r="BQ81" s="289"/>
      <c r="BR81" s="290"/>
      <c r="BS81" s="289">
        <v>12</v>
      </c>
      <c r="BT81" s="289">
        <f>BV81-BS81</f>
        <v>-21</v>
      </c>
      <c r="BU81" s="291"/>
      <c r="BV81" s="291">
        <f>IS!Q27</f>
        <v>-9</v>
      </c>
      <c r="BW81" s="288"/>
      <c r="BX81" s="289"/>
      <c r="BY81" s="289"/>
      <c r="BZ81" s="290"/>
      <c r="CA81" s="289">
        <v>-51</v>
      </c>
      <c r="CB81" s="289">
        <f>CD81-CA81</f>
        <v>144</v>
      </c>
      <c r="CC81" s="291"/>
      <c r="CD81" s="291">
        <f>IS!R27</f>
        <v>93</v>
      </c>
      <c r="CE81" s="288"/>
      <c r="CF81" s="289"/>
      <c r="CG81" s="289"/>
      <c r="CH81" s="290"/>
      <c r="CI81" s="289">
        <v>-28</v>
      </c>
      <c r="CJ81" s="289">
        <f>CL81-CI81</f>
        <v>-77</v>
      </c>
      <c r="CK81" s="291"/>
      <c r="CL81" s="291">
        <f>IS!S27</f>
        <v>-105</v>
      </c>
      <c r="CM81" s="288"/>
      <c r="CN81" s="289"/>
      <c r="CO81" s="289"/>
      <c r="CP81" s="290"/>
      <c r="CQ81" s="289">
        <v>-115</v>
      </c>
      <c r="CR81" s="289">
        <f>CT81-CQ81</f>
        <v>20</v>
      </c>
      <c r="CS81" s="291"/>
      <c r="CT81" s="291">
        <f>IS!T27</f>
        <v>-95</v>
      </c>
      <c r="CU81" s="289"/>
      <c r="CV81" s="295"/>
      <c r="CW81" s="289"/>
      <c r="CX81" s="290"/>
      <c r="CY81" s="289">
        <v>21</v>
      </c>
      <c r="CZ81" s="289">
        <f>DB81-CY81</f>
        <v>45</v>
      </c>
      <c r="DA81" s="291"/>
      <c r="DB81" s="291">
        <f>IS!U27</f>
        <v>66</v>
      </c>
      <c r="DC81" s="289"/>
      <c r="DD81" s="289"/>
      <c r="DE81" s="289"/>
      <c r="DF81" s="290"/>
      <c r="DG81" s="289">
        <v>-119</v>
      </c>
      <c r="DH81" s="289">
        <f>DJ81-DG81</f>
        <v>13</v>
      </c>
      <c r="DI81" s="291"/>
      <c r="DJ81" s="291">
        <f>IS!V27</f>
        <v>-106</v>
      </c>
      <c r="DK81" s="289"/>
      <c r="DL81" s="289"/>
      <c r="DM81" s="289"/>
      <c r="DN81" s="290"/>
      <c r="DO81" s="289">
        <v>-80</v>
      </c>
      <c r="DP81" s="289">
        <f>DR81-DO81</f>
        <v>90</v>
      </c>
      <c r="DQ81" s="291"/>
      <c r="DR81" s="291">
        <f>IS!W27</f>
        <v>10</v>
      </c>
      <c r="DS81" s="289"/>
      <c r="DT81" s="289"/>
      <c r="DU81" s="289"/>
      <c r="DV81" s="290"/>
      <c r="DW81" s="289">
        <v>-188</v>
      </c>
      <c r="DX81" s="280">
        <f>DZ81-DW81</f>
        <v>0</v>
      </c>
      <c r="DY81" s="291"/>
      <c r="DZ81" s="287">
        <f>IS!X27</f>
        <v>-188</v>
      </c>
      <c r="EA81" s="289"/>
      <c r="EB81" s="289"/>
      <c r="EC81" s="289"/>
      <c r="ED81" s="290"/>
      <c r="EE81" s="280">
        <f>EH81/2</f>
        <v>0</v>
      </c>
      <c r="EF81" s="280">
        <f>EH81-EE81</f>
        <v>0</v>
      </c>
      <c r="EG81" s="291"/>
      <c r="EH81" s="287">
        <f>IS!Y27</f>
        <v>0</v>
      </c>
      <c r="EI81" s="289"/>
      <c r="EJ81" s="289"/>
      <c r="EK81" s="289"/>
      <c r="EL81" s="290"/>
      <c r="EM81" s="280">
        <f>EP81/2</f>
        <v>0</v>
      </c>
      <c r="EN81" s="280">
        <f>EP81-EM81</f>
        <v>0</v>
      </c>
      <c r="EO81" s="291"/>
      <c r="EP81" s="287">
        <f>IS!Z27</f>
        <v>0</v>
      </c>
      <c r="EQ81" s="289"/>
      <c r="ER81" s="289"/>
      <c r="ES81" s="289"/>
      <c r="ET81" s="290"/>
      <c r="EU81" s="280">
        <f>EX81/2</f>
        <v>0</v>
      </c>
      <c r="EV81" s="280">
        <f>EX81-EU81</f>
        <v>0</v>
      </c>
      <c r="EW81" s="291"/>
      <c r="EX81" s="287">
        <f>IS!AA27</f>
        <v>0</v>
      </c>
      <c r="EY81" s="289"/>
      <c r="EZ81" s="289"/>
      <c r="FA81" s="289"/>
      <c r="FB81" s="290"/>
      <c r="FC81" s="280">
        <f>FF81/2</f>
        <v>0</v>
      </c>
      <c r="FD81" s="280">
        <f>FF81-FC81</f>
        <v>0</v>
      </c>
      <c r="FE81" s="291"/>
      <c r="FF81" s="287">
        <f>IS!AB27</f>
        <v>0</v>
      </c>
    </row>
    <row r="82" spans="1:162" ht="11.25" customHeight="1" outlineLevel="1" x14ac:dyDescent="0.2">
      <c r="B82" s="197" t="s">
        <v>267</v>
      </c>
      <c r="C82" s="288"/>
      <c r="D82" s="289"/>
      <c r="E82" s="289"/>
      <c r="F82" s="290"/>
      <c r="G82" s="289"/>
      <c r="H82" s="289"/>
      <c r="I82" s="291"/>
      <c r="J82" s="291">
        <v>203</v>
      </c>
      <c r="K82" s="288"/>
      <c r="L82" s="289"/>
      <c r="M82" s="289"/>
      <c r="N82" s="290"/>
      <c r="O82" s="289">
        <v>229</v>
      </c>
      <c r="P82" s="289">
        <f>R82-O82</f>
        <v>87</v>
      </c>
      <c r="Q82" s="291"/>
      <c r="R82" s="291">
        <v>316</v>
      </c>
      <c r="S82" s="288"/>
      <c r="T82" s="289"/>
      <c r="U82" s="289"/>
      <c r="V82" s="290"/>
      <c r="W82" s="289">
        <v>-291</v>
      </c>
      <c r="X82" s="289">
        <f>Z82-W82</f>
        <v>-387</v>
      </c>
      <c r="Y82" s="291"/>
      <c r="Z82" s="291">
        <v>-678</v>
      </c>
      <c r="AA82" s="288"/>
      <c r="AB82" s="289"/>
      <c r="AC82" s="289"/>
      <c r="AD82" s="290"/>
      <c r="AE82" s="289">
        <v>-322</v>
      </c>
      <c r="AF82" s="289">
        <f>+AH82-AE82</f>
        <v>-400</v>
      </c>
      <c r="AG82" s="291"/>
      <c r="AH82" s="291">
        <v>-722</v>
      </c>
      <c r="AI82" s="288"/>
      <c r="AJ82" s="289"/>
      <c r="AK82" s="289"/>
      <c r="AL82" s="290"/>
      <c r="AM82" s="289">
        <v>-356</v>
      </c>
      <c r="AN82" s="289"/>
      <c r="AO82" s="291"/>
      <c r="AP82" s="291"/>
      <c r="AQ82" s="288"/>
      <c r="AR82" s="289"/>
      <c r="AS82" s="289"/>
      <c r="AT82" s="290"/>
      <c r="AU82" s="289"/>
      <c r="AV82" s="289"/>
      <c r="AW82" s="291"/>
      <c r="AX82" s="291"/>
      <c r="AY82" s="288"/>
      <c r="AZ82" s="289"/>
      <c r="BA82" s="289"/>
      <c r="BB82" s="290"/>
      <c r="BC82" s="289"/>
      <c r="BD82" s="289"/>
      <c r="BE82" s="291"/>
      <c r="BF82" s="291"/>
      <c r="BG82" s="288"/>
      <c r="BH82" s="289"/>
      <c r="BI82" s="289"/>
      <c r="BJ82" s="290"/>
      <c r="BK82" s="289">
        <f t="shared" si="106"/>
        <v>0</v>
      </c>
      <c r="BL82" s="289">
        <f t="shared" si="106"/>
        <v>0</v>
      </c>
      <c r="BM82" s="291"/>
      <c r="BN82" s="291">
        <f t="shared" si="107"/>
        <v>0</v>
      </c>
      <c r="BO82" s="288"/>
      <c r="BP82" s="289"/>
      <c r="BQ82" s="289"/>
      <c r="BR82" s="290"/>
      <c r="BS82" s="289"/>
      <c r="BT82" s="289"/>
      <c r="BU82" s="291"/>
      <c r="BV82" s="291"/>
      <c r="BW82" s="288"/>
      <c r="BX82" s="289"/>
      <c r="BY82" s="289"/>
      <c r="BZ82" s="290"/>
      <c r="CA82" s="289"/>
      <c r="CB82" s="289"/>
      <c r="CC82" s="291"/>
      <c r="CD82" s="291"/>
      <c r="CE82" s="288"/>
      <c r="CF82" s="289"/>
      <c r="CG82" s="289"/>
      <c r="CH82" s="290"/>
      <c r="CI82" s="289"/>
      <c r="CJ82" s="289"/>
      <c r="CK82" s="291"/>
      <c r="CL82" s="291"/>
      <c r="CM82" s="288"/>
      <c r="CN82" s="289"/>
      <c r="CO82" s="289"/>
      <c r="CP82" s="290"/>
      <c r="CQ82" s="289">
        <v>112</v>
      </c>
      <c r="CR82" s="289">
        <f>CT82-CQ82</f>
        <v>366</v>
      </c>
      <c r="CS82" s="291"/>
      <c r="CT82" s="291">
        <v>478</v>
      </c>
      <c r="CU82" s="289"/>
      <c r="CV82" s="289"/>
      <c r="CW82" s="289"/>
      <c r="CX82" s="290"/>
      <c r="CY82" s="289">
        <v>170</v>
      </c>
      <c r="CZ82" s="289">
        <f>DB82-CY82</f>
        <v>285</v>
      </c>
      <c r="DA82" s="291"/>
      <c r="DB82" s="291">
        <v>455</v>
      </c>
      <c r="DC82" s="289"/>
      <c r="DD82" s="289"/>
      <c r="DE82" s="289"/>
      <c r="DF82" s="290"/>
      <c r="DG82" s="289">
        <v>161</v>
      </c>
      <c r="DH82" s="289">
        <f>DJ82-DG82</f>
        <v>243</v>
      </c>
      <c r="DI82" s="291"/>
      <c r="DJ82" s="291">
        <v>404</v>
      </c>
      <c r="DK82" s="289"/>
      <c r="DL82" s="289"/>
      <c r="DM82" s="289"/>
      <c r="DN82" s="290"/>
      <c r="DO82" s="289">
        <v>100</v>
      </c>
      <c r="DP82" s="289">
        <f>DR82-DO82</f>
        <v>-221</v>
      </c>
      <c r="DQ82" s="291"/>
      <c r="DR82" s="291">
        <v>-121</v>
      </c>
      <c r="DS82" s="289"/>
      <c r="DT82" s="289"/>
      <c r="DU82" s="289"/>
      <c r="DV82" s="290"/>
      <c r="DW82" s="289">
        <v>-350</v>
      </c>
      <c r="DX82" s="401">
        <f>DZ82-DW82</f>
        <v>0</v>
      </c>
      <c r="DY82" s="291"/>
      <c r="DZ82" s="296">
        <v>-350</v>
      </c>
      <c r="EA82" s="289"/>
      <c r="EB82" s="289"/>
      <c r="EC82" s="289"/>
      <c r="ED82" s="290"/>
      <c r="EE82" s="289"/>
      <c r="EF82" s="289"/>
      <c r="EG82" s="291"/>
      <c r="EH82" s="296">
        <v>0</v>
      </c>
      <c r="EI82" s="289"/>
      <c r="EJ82" s="289"/>
      <c r="EK82" s="289"/>
      <c r="EL82" s="290"/>
      <c r="EM82" s="289"/>
      <c r="EN82" s="289"/>
      <c r="EO82" s="291"/>
      <c r="EP82" s="296">
        <v>0</v>
      </c>
      <c r="EQ82" s="289"/>
      <c r="ER82" s="289"/>
      <c r="ES82" s="289"/>
      <c r="ET82" s="290"/>
      <c r="EU82" s="289"/>
      <c r="EV82" s="289"/>
      <c r="EW82" s="291"/>
      <c r="EX82" s="296">
        <v>0</v>
      </c>
      <c r="EY82" s="289"/>
      <c r="EZ82" s="289"/>
      <c r="FA82" s="289"/>
      <c r="FB82" s="290"/>
      <c r="FC82" s="289"/>
      <c r="FD82" s="289"/>
      <c r="FE82" s="291"/>
      <c r="FF82" s="296">
        <v>0</v>
      </c>
    </row>
    <row r="83" spans="1:162" ht="11.25" customHeight="1" outlineLevel="1" x14ac:dyDescent="0.2">
      <c r="B83" s="197" t="s">
        <v>277</v>
      </c>
      <c r="C83" s="288"/>
      <c r="D83" s="289"/>
      <c r="E83" s="289"/>
      <c r="F83" s="290"/>
      <c r="G83" s="289"/>
      <c r="H83" s="289"/>
      <c r="I83" s="291"/>
      <c r="J83" s="291">
        <v>374</v>
      </c>
      <c r="K83" s="288"/>
      <c r="L83" s="289"/>
      <c r="M83" s="289"/>
      <c r="N83" s="290"/>
      <c r="O83" s="289">
        <v>206</v>
      </c>
      <c r="P83" s="289">
        <f>R83-O83</f>
        <v>-2128</v>
      </c>
      <c r="Q83" s="291"/>
      <c r="R83" s="291">
        <v>-1922</v>
      </c>
      <c r="S83" s="288"/>
      <c r="T83" s="289"/>
      <c r="U83" s="289"/>
      <c r="V83" s="290"/>
      <c r="W83" s="289">
        <v>-2123</v>
      </c>
      <c r="X83" s="289">
        <f>Z83-W83</f>
        <v>-362</v>
      </c>
      <c r="Y83" s="291"/>
      <c r="Z83" s="291">
        <v>-2485</v>
      </c>
      <c r="AA83" s="288"/>
      <c r="AB83" s="289"/>
      <c r="AC83" s="289"/>
      <c r="AD83" s="290"/>
      <c r="AE83" s="289">
        <v>1015</v>
      </c>
      <c r="AF83" s="289">
        <f>+AH83-AE83</f>
        <v>-1201</v>
      </c>
      <c r="AG83" s="291"/>
      <c r="AH83" s="291">
        <v>-186</v>
      </c>
      <c r="AI83" s="288"/>
      <c r="AJ83" s="289"/>
      <c r="AK83" s="289"/>
      <c r="AL83" s="290"/>
      <c r="AM83" s="289">
        <v>2754</v>
      </c>
      <c r="AN83" s="289"/>
      <c r="AO83" s="291"/>
      <c r="AP83" s="291"/>
      <c r="AQ83" s="288"/>
      <c r="AR83" s="289"/>
      <c r="AS83" s="289"/>
      <c r="AT83" s="290"/>
      <c r="AU83" s="289"/>
      <c r="AV83" s="289"/>
      <c r="AW83" s="291"/>
      <c r="AX83" s="291"/>
      <c r="AY83" s="288"/>
      <c r="AZ83" s="289"/>
      <c r="BA83" s="289"/>
      <c r="BB83" s="290"/>
      <c r="BC83" s="289"/>
      <c r="BD83" s="289"/>
      <c r="BE83" s="291"/>
      <c r="BF83" s="291"/>
      <c r="BG83" s="288"/>
      <c r="BH83" s="289"/>
      <c r="BI83" s="289"/>
      <c r="BJ83" s="290"/>
      <c r="BK83" s="289">
        <f t="shared" si="106"/>
        <v>0</v>
      </c>
      <c r="BL83" s="289">
        <f t="shared" si="106"/>
        <v>0</v>
      </c>
      <c r="BM83" s="291"/>
      <c r="BN83" s="291">
        <f t="shared" si="107"/>
        <v>0</v>
      </c>
      <c r="BO83" s="288"/>
      <c r="BP83" s="289"/>
      <c r="BQ83" s="289"/>
      <c r="BR83" s="290"/>
      <c r="BS83" s="289"/>
      <c r="BT83" s="289"/>
      <c r="BU83" s="291"/>
      <c r="BV83" s="291"/>
      <c r="BW83" s="288"/>
      <c r="BX83" s="289"/>
      <c r="BY83" s="289"/>
      <c r="BZ83" s="290"/>
      <c r="CA83" s="289"/>
      <c r="CB83" s="289"/>
      <c r="CC83" s="291"/>
      <c r="CD83" s="291"/>
      <c r="CE83" s="288"/>
      <c r="CF83" s="289"/>
      <c r="CG83" s="289"/>
      <c r="CH83" s="290"/>
      <c r="CI83" s="289"/>
      <c r="CJ83" s="289"/>
      <c r="CK83" s="291"/>
      <c r="CL83" s="291"/>
      <c r="CM83" s="288"/>
      <c r="CN83" s="289"/>
      <c r="CO83" s="289"/>
      <c r="CP83" s="290"/>
      <c r="CQ83" s="289">
        <v>5601</v>
      </c>
      <c r="CR83" s="289">
        <f>CT83-CQ83</f>
        <v>-1102</v>
      </c>
      <c r="CS83" s="291"/>
      <c r="CT83" s="291">
        <v>4499</v>
      </c>
      <c r="CU83" s="289"/>
      <c r="CV83" s="289"/>
      <c r="CW83" s="289"/>
      <c r="CX83" s="290"/>
      <c r="CY83" s="289">
        <v>-1272</v>
      </c>
      <c r="CZ83" s="289">
        <f>DB83-CY83</f>
        <v>-967</v>
      </c>
      <c r="DA83" s="291"/>
      <c r="DB83" s="291">
        <v>-2239</v>
      </c>
      <c r="DC83" s="289"/>
      <c r="DD83" s="289"/>
      <c r="DE83" s="289"/>
      <c r="DF83" s="290"/>
      <c r="DG83" s="289">
        <v>1681</v>
      </c>
      <c r="DH83" s="289">
        <f>DJ83-DG83</f>
        <v>2989</v>
      </c>
      <c r="DI83" s="291"/>
      <c r="DJ83" s="291">
        <v>4670</v>
      </c>
      <c r="DK83" s="289"/>
      <c r="DL83" s="289"/>
      <c r="DM83" s="289"/>
      <c r="DN83" s="290"/>
      <c r="DO83" s="289">
        <v>-4808</v>
      </c>
      <c r="DP83" s="289">
        <f>DR83-DO83</f>
        <v>-893</v>
      </c>
      <c r="DQ83" s="291"/>
      <c r="DR83" s="291">
        <v>-5701</v>
      </c>
      <c r="DS83" s="289"/>
      <c r="DT83" s="289"/>
      <c r="DU83" s="289"/>
      <c r="DV83" s="290"/>
      <c r="DW83" s="289">
        <v>-22</v>
      </c>
      <c r="DX83" s="401">
        <f>DZ83-DW83</f>
        <v>0</v>
      </c>
      <c r="DY83" s="291"/>
      <c r="DZ83" s="296">
        <v>-22</v>
      </c>
      <c r="EA83" s="289"/>
      <c r="EB83" s="289"/>
      <c r="EC83" s="289"/>
      <c r="ED83" s="290"/>
      <c r="EE83" s="289"/>
      <c r="EF83" s="289"/>
      <c r="EG83" s="291"/>
      <c r="EH83" s="296">
        <v>0</v>
      </c>
      <c r="EI83" s="289"/>
      <c r="EJ83" s="289"/>
      <c r="EK83" s="289"/>
      <c r="EL83" s="290"/>
      <c r="EM83" s="289"/>
      <c r="EN83" s="289"/>
      <c r="EO83" s="291"/>
      <c r="EP83" s="296">
        <v>0</v>
      </c>
      <c r="EQ83" s="289"/>
      <c r="ER83" s="289"/>
      <c r="ES83" s="289"/>
      <c r="ET83" s="290"/>
      <c r="EU83" s="289"/>
      <c r="EV83" s="289"/>
      <c r="EW83" s="291"/>
      <c r="EX83" s="296">
        <v>0</v>
      </c>
      <c r="EY83" s="289"/>
      <c r="EZ83" s="289"/>
      <c r="FA83" s="289"/>
      <c r="FB83" s="290"/>
      <c r="FC83" s="289"/>
      <c r="FD83" s="289"/>
      <c r="FE83" s="291"/>
      <c r="FF83" s="296">
        <v>0</v>
      </c>
    </row>
    <row r="84" spans="1:162" ht="11.25" customHeight="1" x14ac:dyDescent="0.2">
      <c r="A84" s="4" t="s">
        <v>292</v>
      </c>
      <c r="B84" s="197"/>
      <c r="C84" s="288"/>
      <c r="D84" s="289"/>
      <c r="E84" s="289"/>
      <c r="F84" s="290"/>
      <c r="G84" s="289">
        <v>-126</v>
      </c>
      <c r="H84" s="289">
        <f>J84-G84</f>
        <v>677</v>
      </c>
      <c r="I84" s="291"/>
      <c r="J84" s="291">
        <f>J81+J82+J83</f>
        <v>551</v>
      </c>
      <c r="K84" s="288"/>
      <c r="L84" s="289"/>
      <c r="M84" s="289"/>
      <c r="N84" s="290"/>
      <c r="O84" s="289">
        <f>O81+O82+O83</f>
        <v>455</v>
      </c>
      <c r="P84" s="289">
        <f>P81+P82+P83</f>
        <v>-2109</v>
      </c>
      <c r="Q84" s="291"/>
      <c r="R84" s="291">
        <f>R81+R82+R83</f>
        <v>-1654</v>
      </c>
      <c r="S84" s="288"/>
      <c r="T84" s="289"/>
      <c r="U84" s="289"/>
      <c r="V84" s="290"/>
      <c r="W84" s="289">
        <f>W81+W82+W83</f>
        <v>-2445</v>
      </c>
      <c r="X84" s="289">
        <f>X81+X82+X83</f>
        <v>-803</v>
      </c>
      <c r="Y84" s="291"/>
      <c r="Z84" s="291">
        <f>Z81+Z82+Z83</f>
        <v>-3248</v>
      </c>
      <c r="AA84" s="288"/>
      <c r="AB84" s="289"/>
      <c r="AC84" s="289"/>
      <c r="AD84" s="290"/>
      <c r="AE84" s="289">
        <f>AE81+AE82+AE83</f>
        <v>718</v>
      </c>
      <c r="AF84" s="289">
        <f>+AH84-AE84</f>
        <v>-1661</v>
      </c>
      <c r="AG84" s="291"/>
      <c r="AH84" s="291">
        <f>AH81+AH82+AH83</f>
        <v>-943</v>
      </c>
      <c r="AI84" s="288"/>
      <c r="AJ84" s="289"/>
      <c r="AK84" s="289"/>
      <c r="AL84" s="290"/>
      <c r="AM84" s="289">
        <f>AM81+AM82+AM83</f>
        <v>2422</v>
      </c>
      <c r="AN84" s="289"/>
      <c r="AO84" s="291"/>
      <c r="AP84" s="291"/>
      <c r="AQ84" s="288"/>
      <c r="AR84" s="289"/>
      <c r="AS84" s="289"/>
      <c r="AT84" s="290"/>
      <c r="AU84" s="289">
        <v>2384</v>
      </c>
      <c r="AV84" s="289"/>
      <c r="AW84" s="291"/>
      <c r="AX84" s="291"/>
      <c r="AY84" s="288"/>
      <c r="AZ84" s="289"/>
      <c r="BA84" s="289"/>
      <c r="BB84" s="290"/>
      <c r="BC84" s="289">
        <v>-175</v>
      </c>
      <c r="BD84" s="289"/>
      <c r="BE84" s="291"/>
      <c r="BF84" s="291"/>
      <c r="BG84" s="288"/>
      <c r="BH84" s="289"/>
      <c r="BI84" s="289"/>
      <c r="BJ84" s="290"/>
      <c r="BK84" s="289">
        <f t="shared" si="106"/>
        <v>-175</v>
      </c>
      <c r="BL84" s="289"/>
      <c r="BM84" s="291"/>
      <c r="BN84" s="291">
        <f t="shared" si="107"/>
        <v>0</v>
      </c>
      <c r="BO84" s="288"/>
      <c r="BP84" s="289"/>
      <c r="BQ84" s="289"/>
      <c r="BR84" s="290"/>
      <c r="BS84" s="289">
        <v>150</v>
      </c>
      <c r="BT84" s="289">
        <f>BV84-BS84</f>
        <v>-433</v>
      </c>
      <c r="BU84" s="291"/>
      <c r="BV84" s="291">
        <v>-283</v>
      </c>
      <c r="BW84" s="288"/>
      <c r="BX84" s="289"/>
      <c r="BY84" s="289"/>
      <c r="BZ84" s="290"/>
      <c r="CA84" s="289">
        <v>-1181</v>
      </c>
      <c r="CB84" s="289">
        <f>CD84-CA84</f>
        <v>924</v>
      </c>
      <c r="CC84" s="291"/>
      <c r="CD84" s="291">
        <v>-257</v>
      </c>
      <c r="CE84" s="288"/>
      <c r="CF84" s="289"/>
      <c r="CG84" s="289"/>
      <c r="CH84" s="290"/>
      <c r="CI84" s="289">
        <v>860</v>
      </c>
      <c r="CJ84" s="289">
        <f>CL84-CI84</f>
        <v>-860</v>
      </c>
      <c r="CK84" s="291"/>
      <c r="CL84" s="291"/>
      <c r="CM84" s="288"/>
      <c r="CN84" s="289"/>
      <c r="CO84" s="289"/>
      <c r="CP84" s="290"/>
      <c r="CQ84" s="289">
        <f>CQ81-CQ82-CQ83</f>
        <v>-5828</v>
      </c>
      <c r="CR84" s="289">
        <f>CT84-CQ84</f>
        <v>756</v>
      </c>
      <c r="CS84" s="291"/>
      <c r="CT84" s="291">
        <f>CT81-CT82-CT83</f>
        <v>-5072</v>
      </c>
      <c r="CU84" s="289"/>
      <c r="CV84" s="289"/>
      <c r="CW84" s="289"/>
      <c r="CX84" s="290"/>
      <c r="CY84" s="289">
        <f>CY81-CY82-CY83</f>
        <v>1123</v>
      </c>
      <c r="CZ84" s="289">
        <f>DB84-CY84</f>
        <v>727</v>
      </c>
      <c r="DA84" s="291"/>
      <c r="DB84" s="291">
        <f>DB81-DB82-DB83</f>
        <v>1850</v>
      </c>
      <c r="DC84" s="289"/>
      <c r="DD84" s="289"/>
      <c r="DE84" s="289"/>
      <c r="DF84" s="290"/>
      <c r="DG84" s="289">
        <f>DG81-DG82-DG83</f>
        <v>-1961</v>
      </c>
      <c r="DH84" s="289">
        <f>DJ84-DG84</f>
        <v>-3219</v>
      </c>
      <c r="DI84" s="291"/>
      <c r="DJ84" s="291">
        <f>DJ81-DJ82-DJ83</f>
        <v>-5180</v>
      </c>
      <c r="DK84" s="289"/>
      <c r="DL84" s="289"/>
      <c r="DM84" s="289"/>
      <c r="DN84" s="290"/>
      <c r="DO84" s="289">
        <f>DO81-DO82-DO83</f>
        <v>4628</v>
      </c>
      <c r="DP84" s="289">
        <f>DR84-DO84</f>
        <v>1204</v>
      </c>
      <c r="DQ84" s="291"/>
      <c r="DR84" s="291">
        <f>DR81-DR82-DR83</f>
        <v>5832</v>
      </c>
      <c r="DS84" s="289"/>
      <c r="DT84" s="289"/>
      <c r="DU84" s="289"/>
      <c r="DV84" s="290"/>
      <c r="DW84" s="289">
        <f>DW81-DW82-DW83</f>
        <v>184</v>
      </c>
      <c r="DX84" s="401">
        <f>DZ84-DW84</f>
        <v>0</v>
      </c>
      <c r="DY84" s="291"/>
      <c r="DZ84" s="287">
        <f>DZ81-DZ82-DZ83</f>
        <v>184</v>
      </c>
      <c r="EA84" s="289"/>
      <c r="EB84" s="289"/>
      <c r="EC84" s="289"/>
      <c r="ED84" s="290"/>
      <c r="EE84" s="289"/>
      <c r="EF84" s="289"/>
      <c r="EG84" s="291"/>
      <c r="EH84" s="287">
        <f>EH81-EH82-EH83</f>
        <v>0</v>
      </c>
      <c r="EI84" s="289"/>
      <c r="EJ84" s="289"/>
      <c r="EK84" s="289"/>
      <c r="EL84" s="290"/>
      <c r="EM84" s="289"/>
      <c r="EN84" s="289"/>
      <c r="EO84" s="291"/>
      <c r="EP84" s="287">
        <f>EP81-EP82-EP83</f>
        <v>0</v>
      </c>
      <c r="EQ84" s="289"/>
      <c r="ER84" s="289"/>
      <c r="ES84" s="289"/>
      <c r="ET84" s="290"/>
      <c r="EU84" s="289"/>
      <c r="EV84" s="289"/>
      <c r="EW84" s="291"/>
      <c r="EX84" s="287">
        <f>EX81-EX82-EX83</f>
        <v>0</v>
      </c>
      <c r="EY84" s="289"/>
      <c r="EZ84" s="289"/>
      <c r="FA84" s="289"/>
      <c r="FB84" s="290"/>
      <c r="FC84" s="289"/>
      <c r="FD84" s="289"/>
      <c r="FE84" s="291"/>
      <c r="FF84" s="287">
        <f>FF81-FF82-FF83</f>
        <v>0</v>
      </c>
    </row>
    <row r="85" spans="1:162" ht="11.25" customHeight="1" x14ac:dyDescent="0.2">
      <c r="B85" s="197"/>
      <c r="C85" s="288"/>
      <c r="D85" s="289"/>
      <c r="E85" s="289"/>
      <c r="F85" s="290"/>
      <c r="G85" s="289"/>
      <c r="H85" s="289"/>
      <c r="I85" s="291"/>
      <c r="J85" s="291"/>
      <c r="K85" s="288"/>
      <c r="L85" s="289"/>
      <c r="M85" s="289"/>
      <c r="N85" s="290"/>
      <c r="O85" s="289"/>
      <c r="P85" s="289"/>
      <c r="Q85" s="291"/>
      <c r="R85" s="291"/>
      <c r="S85" s="288"/>
      <c r="T85" s="289"/>
      <c r="U85" s="289"/>
      <c r="V85" s="290"/>
      <c r="W85" s="289"/>
      <c r="X85" s="289"/>
      <c r="Y85" s="291"/>
      <c r="Z85" s="291"/>
      <c r="AA85" s="288"/>
      <c r="AB85" s="289"/>
      <c r="AC85" s="289"/>
      <c r="AD85" s="290"/>
      <c r="AE85" s="289"/>
      <c r="AF85" s="289"/>
      <c r="AG85" s="291"/>
      <c r="AH85" s="291"/>
      <c r="AI85" s="288"/>
      <c r="AJ85" s="289"/>
      <c r="AK85" s="289"/>
      <c r="AL85" s="290"/>
      <c r="AM85" s="289"/>
      <c r="AN85" s="289"/>
      <c r="AO85" s="291"/>
      <c r="AP85" s="291"/>
      <c r="AQ85" s="288"/>
      <c r="AR85" s="289"/>
      <c r="AS85" s="289"/>
      <c r="AT85" s="290"/>
      <c r="AU85" s="289"/>
      <c r="AV85" s="289"/>
      <c r="AW85" s="291"/>
      <c r="AX85" s="291"/>
      <c r="AY85" s="288"/>
      <c r="AZ85" s="289"/>
      <c r="BA85" s="289"/>
      <c r="BB85" s="290"/>
      <c r="BC85" s="289"/>
      <c r="BD85" s="289"/>
      <c r="BE85" s="291"/>
      <c r="BF85" s="291"/>
      <c r="BG85" s="288"/>
      <c r="BH85" s="289"/>
      <c r="BI85" s="289"/>
      <c r="BJ85" s="290"/>
      <c r="BK85" s="289"/>
      <c r="BL85" s="289"/>
      <c r="BM85" s="291"/>
      <c r="BN85" s="291"/>
      <c r="BO85" s="288"/>
      <c r="BP85" s="289"/>
      <c r="BQ85" s="289"/>
      <c r="BR85" s="290"/>
      <c r="BS85" s="289"/>
      <c r="BT85" s="289"/>
      <c r="BU85" s="291"/>
      <c r="BV85" s="291"/>
      <c r="BW85" s="288"/>
      <c r="BX85" s="289"/>
      <c r="BY85" s="289"/>
      <c r="BZ85" s="290"/>
      <c r="CA85" s="289"/>
      <c r="CB85" s="289"/>
      <c r="CC85" s="291"/>
      <c r="CD85" s="291"/>
      <c r="CE85" s="288"/>
      <c r="CF85" s="289"/>
      <c r="CG85" s="289"/>
      <c r="CH85" s="290"/>
      <c r="CI85" s="289"/>
      <c r="CJ85" s="289"/>
      <c r="CK85" s="291"/>
      <c r="CL85" s="291"/>
      <c r="CM85" s="288"/>
      <c r="CN85" s="289"/>
      <c r="CO85" s="289"/>
      <c r="CP85" s="290"/>
      <c r="CQ85" s="289"/>
      <c r="CR85" s="289"/>
      <c r="CS85" s="291"/>
      <c r="CT85" s="291"/>
      <c r="CU85" s="289"/>
      <c r="CV85" s="289"/>
      <c r="CW85" s="289"/>
      <c r="CX85" s="290"/>
      <c r="CY85" s="289"/>
      <c r="CZ85" s="289"/>
      <c r="DA85" s="291"/>
      <c r="DB85" s="291"/>
      <c r="DC85" s="289"/>
      <c r="DD85" s="289"/>
      <c r="DE85" s="289"/>
      <c r="DF85" s="290"/>
      <c r="DG85" s="289"/>
      <c r="DH85" s="289"/>
      <c r="DI85" s="291"/>
      <c r="DJ85" s="291"/>
      <c r="DK85" s="289"/>
      <c r="DL85" s="289"/>
      <c r="DM85" s="289"/>
      <c r="DN85" s="290"/>
      <c r="DO85" s="289"/>
      <c r="DP85" s="289"/>
      <c r="DQ85" s="291"/>
      <c r="DR85" s="291"/>
      <c r="DS85" s="289"/>
      <c r="DT85" s="289"/>
      <c r="DU85" s="289"/>
      <c r="DV85" s="290"/>
      <c r="DW85" s="289"/>
      <c r="DX85" s="289"/>
      <c r="DY85" s="291"/>
      <c r="DZ85" s="291"/>
      <c r="EA85" s="289"/>
      <c r="EB85" s="289"/>
      <c r="EC85" s="289"/>
      <c r="ED85" s="290"/>
      <c r="EE85" s="289"/>
      <c r="EF85" s="289"/>
      <c r="EG85" s="291"/>
      <c r="EH85" s="291"/>
      <c r="EI85" s="289"/>
      <c r="EJ85" s="289"/>
      <c r="EK85" s="289"/>
      <c r="EL85" s="290"/>
      <c r="EM85" s="289"/>
      <c r="EN85" s="289"/>
      <c r="EO85" s="291"/>
      <c r="EP85" s="291"/>
      <c r="EQ85" s="289"/>
      <c r="ER85" s="289"/>
      <c r="ES85" s="289"/>
      <c r="ET85" s="290"/>
      <c r="EU85" s="289"/>
      <c r="EV85" s="289"/>
      <c r="EW85" s="291"/>
      <c r="EX85" s="291"/>
      <c r="EY85" s="289"/>
      <c r="EZ85" s="289"/>
      <c r="FA85" s="289"/>
      <c r="FB85" s="290"/>
      <c r="FC85" s="289"/>
      <c r="FD85" s="289"/>
      <c r="FE85" s="291"/>
      <c r="FF85" s="291"/>
    </row>
    <row r="86" spans="1:162" ht="11.25" customHeight="1" x14ac:dyDescent="0.2">
      <c r="A86" s="4" t="s">
        <v>293</v>
      </c>
      <c r="C86" s="288"/>
      <c r="D86" s="289"/>
      <c r="E86" s="289"/>
      <c r="F86" s="290"/>
      <c r="G86" s="289">
        <v>-46</v>
      </c>
      <c r="H86" s="289">
        <f>J86-G86</f>
        <v>-24</v>
      </c>
      <c r="I86" s="291"/>
      <c r="J86" s="291">
        <v>-70</v>
      </c>
      <c r="K86" s="288"/>
      <c r="L86" s="289"/>
      <c r="M86" s="289"/>
      <c r="N86" s="290"/>
      <c r="O86" s="289">
        <v>-10</v>
      </c>
      <c r="P86" s="289">
        <f>R86-O86</f>
        <v>-65</v>
      </c>
      <c r="Q86" s="291"/>
      <c r="R86" s="291">
        <v>-75</v>
      </c>
      <c r="S86" s="288"/>
      <c r="T86" s="289"/>
      <c r="U86" s="289"/>
      <c r="V86" s="290"/>
      <c r="W86" s="289">
        <v>2</v>
      </c>
      <c r="X86" s="289">
        <f>Z86-W86</f>
        <v>-113</v>
      </c>
      <c r="Y86" s="291"/>
      <c r="Z86" s="291">
        <f>IS!M28</f>
        <v>-111</v>
      </c>
      <c r="AA86" s="288"/>
      <c r="AB86" s="289"/>
      <c r="AC86" s="289"/>
      <c r="AD86" s="290"/>
      <c r="AE86" s="289">
        <v>-60</v>
      </c>
      <c r="AF86" s="289">
        <f>+AH86-AE86</f>
        <v>2</v>
      </c>
      <c r="AG86" s="291"/>
      <c r="AH86" s="291">
        <f>IS!N28</f>
        <v>-58</v>
      </c>
      <c r="AI86" s="288"/>
      <c r="AJ86" s="289"/>
      <c r="AK86" s="289"/>
      <c r="AL86" s="290"/>
      <c r="AM86" s="289">
        <v>-20</v>
      </c>
      <c r="AN86" s="289">
        <f>+AP86-AM86</f>
        <v>-2</v>
      </c>
      <c r="AO86" s="291"/>
      <c r="AP86" s="291">
        <f>IS!O28</f>
        <v>-22</v>
      </c>
      <c r="AQ86" s="288"/>
      <c r="AR86" s="289"/>
      <c r="AS86" s="289"/>
      <c r="AT86" s="290"/>
      <c r="AU86" s="289">
        <v>-3</v>
      </c>
      <c r="AV86" s="289"/>
      <c r="AW86" s="291"/>
      <c r="AX86" s="291"/>
      <c r="AY86" s="288"/>
      <c r="AZ86" s="289"/>
      <c r="BA86" s="289"/>
      <c r="BB86" s="290"/>
      <c r="BC86" s="289">
        <v>-11</v>
      </c>
      <c r="BD86" s="289">
        <f>+BF86-BC86</f>
        <v>-47</v>
      </c>
      <c r="BE86" s="291"/>
      <c r="BF86" s="291">
        <f>IS!P28</f>
        <v>-58</v>
      </c>
      <c r="BG86" s="288"/>
      <c r="BH86" s="289"/>
      <c r="BI86" s="289"/>
      <c r="BJ86" s="290"/>
      <c r="BK86" s="289">
        <f t="shared" si="106"/>
        <v>-11</v>
      </c>
      <c r="BL86" s="289">
        <f t="shared" si="106"/>
        <v>-47</v>
      </c>
      <c r="BM86" s="291"/>
      <c r="BN86" s="291">
        <f t="shared" si="107"/>
        <v>-58</v>
      </c>
      <c r="BO86" s="288"/>
      <c r="BP86" s="289"/>
      <c r="BQ86" s="289"/>
      <c r="BR86" s="290"/>
      <c r="BS86" s="289">
        <v>-23</v>
      </c>
      <c r="BT86" s="289">
        <f>BV86-BS86</f>
        <v>-24</v>
      </c>
      <c r="BU86" s="291"/>
      <c r="BV86" s="291">
        <f>IS!Q28</f>
        <v>-47</v>
      </c>
      <c r="BW86" s="288"/>
      <c r="BX86" s="289"/>
      <c r="BY86" s="289"/>
      <c r="BZ86" s="290"/>
      <c r="CA86" s="289">
        <v>-46</v>
      </c>
      <c r="CB86" s="289">
        <f>CD86-CA86</f>
        <v>4</v>
      </c>
      <c r="CC86" s="291"/>
      <c r="CD86" s="291">
        <f>IS!R28</f>
        <v>-42</v>
      </c>
      <c r="CE86" s="288"/>
      <c r="CF86" s="289"/>
      <c r="CG86" s="289"/>
      <c r="CH86" s="290"/>
      <c r="CI86" s="289">
        <v>-5</v>
      </c>
      <c r="CJ86" s="289">
        <f>CL86-CI86</f>
        <v>-9</v>
      </c>
      <c r="CK86" s="291"/>
      <c r="CL86" s="291">
        <f>IS!S28</f>
        <v>-14</v>
      </c>
      <c r="CM86" s="288"/>
      <c r="CN86" s="289"/>
      <c r="CO86" s="289"/>
      <c r="CP86" s="290"/>
      <c r="CQ86" s="289">
        <v>-40</v>
      </c>
      <c r="CR86" s="289">
        <f>CT86-CQ86</f>
        <v>5</v>
      </c>
      <c r="CS86" s="291"/>
      <c r="CT86" s="291">
        <f>IS!T28</f>
        <v>-35</v>
      </c>
      <c r="CU86" s="289"/>
      <c r="CV86" s="289"/>
      <c r="CW86" s="289"/>
      <c r="CX86" s="290"/>
      <c r="CY86" s="289">
        <v>0</v>
      </c>
      <c r="CZ86" s="199">
        <f>DB86-CY86</f>
        <v>-4</v>
      </c>
      <c r="DA86" s="291"/>
      <c r="DB86" s="291">
        <f>IS!U28</f>
        <v>-4</v>
      </c>
      <c r="DC86" s="289"/>
      <c r="DD86" s="289"/>
      <c r="DE86" s="289"/>
      <c r="DF86" s="290"/>
      <c r="DG86" s="289">
        <v>1</v>
      </c>
      <c r="DH86" s="199">
        <f>DJ86-DG86</f>
        <v>-29</v>
      </c>
      <c r="DI86" s="291"/>
      <c r="DJ86" s="291">
        <f>IS!V28</f>
        <v>-28</v>
      </c>
      <c r="DK86" s="289"/>
      <c r="DL86" s="289"/>
      <c r="DM86" s="289"/>
      <c r="DN86" s="290"/>
      <c r="DO86" s="289">
        <v>35</v>
      </c>
      <c r="DP86" s="199">
        <f>DR86-DO86</f>
        <v>-22</v>
      </c>
      <c r="DQ86" s="291"/>
      <c r="DR86" s="291">
        <f>IS!W28</f>
        <v>13</v>
      </c>
      <c r="DS86" s="289"/>
      <c r="DT86" s="289"/>
      <c r="DU86" s="289"/>
      <c r="DV86" s="290"/>
      <c r="DW86" s="289">
        <v>8</v>
      </c>
      <c r="DX86" s="280">
        <f>DZ86-DW86</f>
        <v>0</v>
      </c>
      <c r="DY86" s="291"/>
      <c r="DZ86" s="287">
        <f>IS!X28</f>
        <v>8</v>
      </c>
      <c r="EA86" s="289"/>
      <c r="EB86" s="289"/>
      <c r="EC86" s="289"/>
      <c r="ED86" s="290"/>
      <c r="EE86" s="280">
        <f>EH86/2</f>
        <v>0</v>
      </c>
      <c r="EF86" s="280">
        <f>EH86-EE86</f>
        <v>0</v>
      </c>
      <c r="EG86" s="291"/>
      <c r="EH86" s="287">
        <f>IS!Y28</f>
        <v>0</v>
      </c>
      <c r="EI86" s="289"/>
      <c r="EJ86" s="289"/>
      <c r="EK86" s="289"/>
      <c r="EL86" s="290"/>
      <c r="EM86" s="280">
        <f>EP86/2</f>
        <v>0</v>
      </c>
      <c r="EN86" s="280">
        <f>EP86-EM86</f>
        <v>0</v>
      </c>
      <c r="EO86" s="291"/>
      <c r="EP86" s="287">
        <f>IS!Z28</f>
        <v>0</v>
      </c>
      <c r="EQ86" s="289"/>
      <c r="ER86" s="289"/>
      <c r="ES86" s="289"/>
      <c r="ET86" s="290"/>
      <c r="EU86" s="280">
        <f>EX86/2</f>
        <v>0</v>
      </c>
      <c r="EV86" s="280">
        <f>EX86-EU86</f>
        <v>0</v>
      </c>
      <c r="EW86" s="291"/>
      <c r="EX86" s="287">
        <f>IS!AA28</f>
        <v>0</v>
      </c>
      <c r="EY86" s="289"/>
      <c r="EZ86" s="289"/>
      <c r="FA86" s="289"/>
      <c r="FB86" s="290"/>
      <c r="FC86" s="280">
        <f>FF86/2</f>
        <v>0</v>
      </c>
      <c r="FD86" s="280">
        <f>FF86-FC86</f>
        <v>0</v>
      </c>
      <c r="FE86" s="291"/>
      <c r="FF86" s="287">
        <f>IS!AB28</f>
        <v>0</v>
      </c>
    </row>
    <row r="87" spans="1:162" ht="11.25" customHeight="1" x14ac:dyDescent="0.2">
      <c r="C87" s="288"/>
      <c r="D87" s="289"/>
      <c r="E87" s="289"/>
      <c r="F87" s="290"/>
      <c r="G87" s="289"/>
      <c r="H87" s="289"/>
      <c r="I87" s="291"/>
      <c r="J87" s="291"/>
      <c r="K87" s="288"/>
      <c r="L87" s="289"/>
      <c r="M87" s="289"/>
      <c r="N87" s="290"/>
      <c r="O87" s="289"/>
      <c r="P87" s="289"/>
      <c r="Q87" s="291"/>
      <c r="R87" s="291"/>
      <c r="S87" s="288"/>
      <c r="T87" s="289"/>
      <c r="U87" s="289"/>
      <c r="V87" s="290"/>
      <c r="W87" s="289"/>
      <c r="X87" s="289"/>
      <c r="Y87" s="291"/>
      <c r="Z87" s="291"/>
      <c r="AA87" s="288"/>
      <c r="AB87" s="289"/>
      <c r="AC87" s="289"/>
      <c r="AD87" s="290"/>
      <c r="AE87" s="289"/>
      <c r="AF87" s="289"/>
      <c r="AG87" s="291"/>
      <c r="AH87" s="291"/>
      <c r="AI87" s="288"/>
      <c r="AJ87" s="289"/>
      <c r="AK87" s="289"/>
      <c r="AL87" s="290"/>
      <c r="AM87" s="289"/>
      <c r="AN87" s="289"/>
      <c r="AO87" s="291"/>
      <c r="AP87" s="291"/>
      <c r="AQ87" s="288"/>
      <c r="AR87" s="289"/>
      <c r="AS87" s="289"/>
      <c r="AT87" s="290"/>
      <c r="AU87" s="289"/>
      <c r="AV87" s="289"/>
      <c r="AW87" s="291"/>
      <c r="AX87" s="291"/>
      <c r="AY87" s="288"/>
      <c r="AZ87" s="289"/>
      <c r="BA87" s="289"/>
      <c r="BB87" s="290"/>
      <c r="BC87" s="289"/>
      <c r="BD87" s="289"/>
      <c r="BE87" s="291"/>
      <c r="BF87" s="291"/>
      <c r="BG87" s="288"/>
      <c r="BH87" s="289"/>
      <c r="BI87" s="289"/>
      <c r="BJ87" s="290"/>
      <c r="BK87" s="289"/>
      <c r="BL87" s="289"/>
      <c r="BM87" s="291"/>
      <c r="BN87" s="291"/>
      <c r="BO87" s="288"/>
      <c r="BP87" s="289"/>
      <c r="BQ87" s="289"/>
      <c r="BR87" s="290"/>
      <c r="BS87" s="289"/>
      <c r="BT87" s="289"/>
      <c r="BU87" s="291"/>
      <c r="BV87" s="291"/>
      <c r="BW87" s="288"/>
      <c r="BX87" s="289"/>
      <c r="BY87" s="289"/>
      <c r="BZ87" s="290"/>
      <c r="CA87" s="289"/>
      <c r="CB87" s="289"/>
      <c r="CC87" s="291"/>
      <c r="CD87" s="291"/>
      <c r="CE87" s="288"/>
      <c r="CF87" s="289"/>
      <c r="CG87" s="289"/>
      <c r="CH87" s="290"/>
      <c r="CI87" s="289"/>
      <c r="CJ87" s="289"/>
      <c r="CK87" s="291"/>
      <c r="CL87" s="291"/>
      <c r="CM87" s="288"/>
      <c r="CN87" s="289"/>
      <c r="CO87" s="289"/>
      <c r="CP87" s="290"/>
      <c r="CQ87" s="289"/>
      <c r="CR87" s="289"/>
      <c r="CS87" s="291"/>
      <c r="CT87" s="291"/>
      <c r="CU87" s="289"/>
      <c r="CV87" s="289"/>
      <c r="CW87" s="289"/>
      <c r="CX87" s="290"/>
      <c r="CY87" s="289"/>
      <c r="CZ87" s="289"/>
      <c r="DA87" s="291"/>
      <c r="DB87" s="291"/>
      <c r="DC87" s="289"/>
      <c r="DD87" s="289"/>
      <c r="DE87" s="289"/>
      <c r="DF87" s="290"/>
      <c r="DG87" s="289"/>
      <c r="DH87" s="289"/>
      <c r="DI87" s="291"/>
      <c r="DJ87" s="291"/>
      <c r="DK87" s="289"/>
      <c r="DL87" s="289"/>
      <c r="DM87" s="289"/>
      <c r="DN87" s="290"/>
      <c r="DO87" s="289"/>
      <c r="DP87" s="289"/>
      <c r="DQ87" s="291"/>
      <c r="DR87" s="291"/>
      <c r="DS87" s="289"/>
      <c r="DT87" s="289"/>
      <c r="DU87" s="289"/>
      <c r="DV87" s="290"/>
      <c r="DW87" s="289"/>
      <c r="DX87" s="289"/>
      <c r="DY87" s="291"/>
      <c r="DZ87" s="291"/>
      <c r="EA87" s="289"/>
      <c r="EB87" s="289"/>
      <c r="EC87" s="289"/>
      <c r="ED87" s="290"/>
      <c r="EE87" s="289"/>
      <c r="EF87" s="289"/>
      <c r="EG87" s="291"/>
      <c r="EH87" s="291"/>
      <c r="EI87" s="289"/>
      <c r="EJ87" s="289"/>
      <c r="EK87" s="289"/>
      <c r="EL87" s="290"/>
      <c r="EM87" s="289"/>
      <c r="EN87" s="289"/>
      <c r="EO87" s="291"/>
      <c r="EP87" s="291"/>
      <c r="EQ87" s="289"/>
      <c r="ER87" s="289"/>
      <c r="ES87" s="289"/>
      <c r="ET87" s="290"/>
      <c r="EU87" s="289"/>
      <c r="EV87" s="289"/>
      <c r="EW87" s="291"/>
      <c r="EX87" s="291"/>
      <c r="EY87" s="289"/>
      <c r="EZ87" s="289"/>
      <c r="FA87" s="289"/>
      <c r="FB87" s="290"/>
      <c r="FC87" s="289"/>
      <c r="FD87" s="289"/>
      <c r="FE87" s="291"/>
      <c r="FF87" s="291"/>
    </row>
    <row r="88" spans="1:162" ht="11.25" customHeight="1" x14ac:dyDescent="0.2">
      <c r="A88" s="186" t="s">
        <v>294</v>
      </c>
      <c r="C88" s="190"/>
      <c r="D88" s="191"/>
      <c r="E88" s="191"/>
      <c r="F88" s="192"/>
      <c r="G88" s="191">
        <f>G79+G81+G86</f>
        <v>-67</v>
      </c>
      <c r="H88" s="191">
        <f>H79+H81+H86</f>
        <v>-71</v>
      </c>
      <c r="I88" s="193"/>
      <c r="J88" s="193">
        <f>J79+J81+J86</f>
        <v>-138</v>
      </c>
      <c r="K88" s="190"/>
      <c r="L88" s="191"/>
      <c r="M88" s="191"/>
      <c r="N88" s="192"/>
      <c r="O88" s="191">
        <f>O79+O81+O86</f>
        <v>-11</v>
      </c>
      <c r="P88" s="191">
        <f>P79+P81+P86</f>
        <v>-154</v>
      </c>
      <c r="Q88" s="193"/>
      <c r="R88" s="193">
        <f>R79+R81+R86</f>
        <v>-165</v>
      </c>
      <c r="S88" s="190"/>
      <c r="T88" s="191"/>
      <c r="U88" s="191"/>
      <c r="V88" s="192"/>
      <c r="W88" s="191">
        <f>W79+W81+W86</f>
        <v>-39</v>
      </c>
      <c r="X88" s="191">
        <f>X79+X81+X86</f>
        <v>-185</v>
      </c>
      <c r="Y88" s="193"/>
      <c r="Z88" s="193">
        <f>Z79+Z81+Z86</f>
        <v>-224</v>
      </c>
      <c r="AA88" s="190"/>
      <c r="AB88" s="191"/>
      <c r="AC88" s="191"/>
      <c r="AD88" s="192"/>
      <c r="AE88" s="191">
        <f>AE79+AE81+AE86</f>
        <v>-59</v>
      </c>
      <c r="AF88" s="191">
        <f>+AH88-AE88</f>
        <v>-85</v>
      </c>
      <c r="AG88" s="193"/>
      <c r="AH88" s="193">
        <f>AH79+AH81+AH86</f>
        <v>-144</v>
      </c>
      <c r="AI88" s="190"/>
      <c r="AJ88" s="191"/>
      <c r="AK88" s="191"/>
      <c r="AL88" s="192"/>
      <c r="AM88" s="191">
        <f>AM79+AM81+AM86</f>
        <v>-24</v>
      </c>
      <c r="AN88" s="191">
        <f>+AP88-AM88</f>
        <v>50</v>
      </c>
      <c r="AO88" s="193"/>
      <c r="AP88" s="193">
        <f>AP79+AP81+AP86</f>
        <v>26</v>
      </c>
      <c r="AQ88" s="190"/>
      <c r="AR88" s="191"/>
      <c r="AS88" s="191"/>
      <c r="AT88" s="192"/>
      <c r="AU88" s="191">
        <f>AU79+AU81+AU86</f>
        <v>-36</v>
      </c>
      <c r="AV88" s="191"/>
      <c r="AW88" s="193"/>
      <c r="AX88" s="193"/>
      <c r="AY88" s="190"/>
      <c r="AZ88" s="191"/>
      <c r="BA88" s="191"/>
      <c r="BB88" s="192"/>
      <c r="BC88" s="191">
        <f>BC79+BC81+BC86</f>
        <v>-114</v>
      </c>
      <c r="BD88" s="191">
        <f>+BF88-BC88</f>
        <v>-97</v>
      </c>
      <c r="BE88" s="193"/>
      <c r="BF88" s="193">
        <f>BF79+BF81+BF86</f>
        <v>-211</v>
      </c>
      <c r="BG88" s="190"/>
      <c r="BH88" s="191"/>
      <c r="BI88" s="191"/>
      <c r="BJ88" s="192"/>
      <c r="BK88" s="191">
        <f t="shared" si="106"/>
        <v>-114</v>
      </c>
      <c r="BL88" s="191">
        <f t="shared" si="106"/>
        <v>-97</v>
      </c>
      <c r="BM88" s="193"/>
      <c r="BN88" s="193">
        <f t="shared" si="107"/>
        <v>-211</v>
      </c>
      <c r="BO88" s="190"/>
      <c r="BP88" s="191"/>
      <c r="BQ88" s="191"/>
      <c r="BR88" s="192"/>
      <c r="BS88" s="191">
        <f>BS79+BS81+BS86</f>
        <v>-32</v>
      </c>
      <c r="BT88" s="191">
        <f>BT79+BT81+BT86</f>
        <v>-57</v>
      </c>
      <c r="BU88" s="193"/>
      <c r="BV88" s="193">
        <f>BV79+BV81+BV86</f>
        <v>-89</v>
      </c>
      <c r="BW88" s="190"/>
      <c r="BX88" s="191"/>
      <c r="BY88" s="191"/>
      <c r="BZ88" s="192"/>
      <c r="CA88" s="191">
        <f>CA79+CA81+CA86</f>
        <v>-117</v>
      </c>
      <c r="CB88" s="191">
        <f>CB79+CB81+CB86</f>
        <v>110</v>
      </c>
      <c r="CC88" s="193"/>
      <c r="CD88" s="193">
        <f>CD79+CD81+CD86</f>
        <v>-7</v>
      </c>
      <c r="CE88" s="190"/>
      <c r="CF88" s="191"/>
      <c r="CG88" s="191"/>
      <c r="CH88" s="192"/>
      <c r="CI88" s="191">
        <f>CI79+CI81+CI86</f>
        <v>-84</v>
      </c>
      <c r="CJ88" s="191">
        <f>CJ79+CJ81+CJ86</f>
        <v>-120</v>
      </c>
      <c r="CK88" s="193"/>
      <c r="CL88" s="193">
        <f>CL79+CL81+CL86</f>
        <v>-204</v>
      </c>
      <c r="CM88" s="190"/>
      <c r="CN88" s="191"/>
      <c r="CO88" s="191"/>
      <c r="CP88" s="192"/>
      <c r="CQ88" s="191">
        <f>CQ79+CQ81+CQ86</f>
        <v>-193</v>
      </c>
      <c r="CR88" s="191">
        <f>CR79+CR81+CR86</f>
        <v>7</v>
      </c>
      <c r="CS88" s="193"/>
      <c r="CT88" s="193">
        <f>CT79+CT81+CT86</f>
        <v>-186</v>
      </c>
      <c r="CU88" s="191"/>
      <c r="CV88" s="191"/>
      <c r="CW88" s="191"/>
      <c r="CX88" s="192"/>
      <c r="CY88" s="191">
        <f>CY79+CY81+CY86</f>
        <v>63</v>
      </c>
      <c r="CZ88" s="191">
        <f>CZ79+CZ81+CZ86</f>
        <v>111</v>
      </c>
      <c r="DA88" s="193"/>
      <c r="DB88" s="193">
        <f>DB79+DB81+DB86</f>
        <v>174</v>
      </c>
      <c r="DC88" s="191"/>
      <c r="DD88" s="191"/>
      <c r="DE88" s="191"/>
      <c r="DF88" s="192"/>
      <c r="DG88" s="191">
        <f>DG79+DG81+DG86</f>
        <v>-34</v>
      </c>
      <c r="DH88" s="191">
        <f>DH79+DH81+DH86</f>
        <v>57</v>
      </c>
      <c r="DI88" s="193"/>
      <c r="DJ88" s="193">
        <f>DJ79+DJ81+DJ86</f>
        <v>23</v>
      </c>
      <c r="DK88" s="191"/>
      <c r="DL88" s="191"/>
      <c r="DM88" s="191"/>
      <c r="DN88" s="192"/>
      <c r="DO88" s="191">
        <f>DO79+DO81+DO86</f>
        <v>32</v>
      </c>
      <c r="DP88" s="191">
        <f>DP79+DP81+DP86</f>
        <v>107</v>
      </c>
      <c r="DQ88" s="193"/>
      <c r="DR88" s="193">
        <f>DR79+DR81+DR86</f>
        <v>139</v>
      </c>
      <c r="DS88" s="191"/>
      <c r="DT88" s="191"/>
      <c r="DU88" s="191"/>
      <c r="DV88" s="192"/>
      <c r="DW88" s="191">
        <f>DW79+DW81+DW86</f>
        <v>-123</v>
      </c>
      <c r="DX88" s="195">
        <f>DX79+DX81+DX86</f>
        <v>64.055000000000007</v>
      </c>
      <c r="DY88" s="193"/>
      <c r="DZ88" s="196">
        <f>DZ79+DZ81+DZ86</f>
        <v>-58.944999999999993</v>
      </c>
      <c r="EA88" s="191"/>
      <c r="EB88" s="191"/>
      <c r="EC88" s="191"/>
      <c r="ED88" s="192"/>
      <c r="EE88" s="195">
        <f>EE79+EE81+EE86</f>
        <v>78.581327532782311</v>
      </c>
      <c r="EF88" s="195">
        <f>EF79+EF81+EF86</f>
        <v>78.581327532782311</v>
      </c>
      <c r="EG88" s="193"/>
      <c r="EH88" s="196">
        <f>EH79+EH81+EH86</f>
        <v>157.16265506556462</v>
      </c>
      <c r="EI88" s="191"/>
      <c r="EJ88" s="191"/>
      <c r="EK88" s="191"/>
      <c r="EL88" s="192"/>
      <c r="EM88" s="195">
        <f>EM79+EM81+EM86</f>
        <v>118.01050551623489</v>
      </c>
      <c r="EN88" s="195">
        <f>EN79+EN81+EN86</f>
        <v>118.01050551623489</v>
      </c>
      <c r="EO88" s="193"/>
      <c r="EP88" s="196">
        <f>EP79+EP81+EP86</f>
        <v>236.02101103246977</v>
      </c>
      <c r="EQ88" s="191"/>
      <c r="ER88" s="191"/>
      <c r="ES88" s="191"/>
      <c r="ET88" s="192"/>
      <c r="EU88" s="195">
        <f>EU79+EU81+EU86</f>
        <v>154.42616620661516</v>
      </c>
      <c r="EV88" s="195">
        <f>EV79+EV81+EV86</f>
        <v>154.42616620661516</v>
      </c>
      <c r="EW88" s="193"/>
      <c r="EX88" s="196">
        <f>EX79+EX81+EX86</f>
        <v>308.85233241323033</v>
      </c>
      <c r="EY88" s="191"/>
      <c r="EZ88" s="191"/>
      <c r="FA88" s="191"/>
      <c r="FB88" s="192"/>
      <c r="FC88" s="195">
        <f>FC79+FC81+FC86</f>
        <v>212.62351755867007</v>
      </c>
      <c r="FD88" s="195">
        <f>FD79+FD81+FD86</f>
        <v>212.62351755867007</v>
      </c>
      <c r="FE88" s="193"/>
      <c r="FF88" s="196">
        <f>FF79+FF81+FF86</f>
        <v>425.24703511734015</v>
      </c>
    </row>
    <row r="89" spans="1:162" ht="11.25" customHeight="1" x14ac:dyDescent="0.2">
      <c r="A89" s="186" t="s">
        <v>295</v>
      </c>
      <c r="C89" s="190"/>
      <c r="D89" s="191"/>
      <c r="E89" s="191"/>
      <c r="F89" s="192"/>
      <c r="G89" s="191">
        <f>G79+G84+G86</f>
        <v>-187</v>
      </c>
      <c r="H89" s="191">
        <f>H79+H84+H86</f>
        <v>626</v>
      </c>
      <c r="I89" s="193"/>
      <c r="J89" s="193">
        <f>J79+J84+J86</f>
        <v>439</v>
      </c>
      <c r="K89" s="190"/>
      <c r="L89" s="191"/>
      <c r="M89" s="191"/>
      <c r="N89" s="192"/>
      <c r="O89" s="191">
        <f>O79+O84+O86</f>
        <v>424</v>
      </c>
      <c r="P89" s="191">
        <f>P79+P84+P86</f>
        <v>-2195</v>
      </c>
      <c r="Q89" s="193"/>
      <c r="R89" s="193">
        <f>R79+R84+R86</f>
        <v>-1771</v>
      </c>
      <c r="S89" s="190"/>
      <c r="T89" s="191"/>
      <c r="U89" s="191"/>
      <c r="V89" s="192"/>
      <c r="W89" s="191">
        <f>W79+W84+W86</f>
        <v>-2453</v>
      </c>
      <c r="X89" s="191">
        <f>X79+X84+X86</f>
        <v>-934</v>
      </c>
      <c r="Y89" s="193"/>
      <c r="Z89" s="193">
        <f>Z79+Z84+Z86</f>
        <v>-3387</v>
      </c>
      <c r="AA89" s="190"/>
      <c r="AB89" s="191"/>
      <c r="AC89" s="191"/>
      <c r="AD89" s="192"/>
      <c r="AE89" s="191">
        <f>AE79+AE84+AE86</f>
        <v>634</v>
      </c>
      <c r="AF89" s="191">
        <f>+AH89-AE89</f>
        <v>-1686</v>
      </c>
      <c r="AG89" s="193"/>
      <c r="AH89" s="193">
        <f>AH79+AH84+AH86</f>
        <v>-1052</v>
      </c>
      <c r="AI89" s="190"/>
      <c r="AJ89" s="191"/>
      <c r="AK89" s="191"/>
      <c r="AL89" s="192"/>
      <c r="AM89" s="191">
        <f>AM79+AM84+AM86</f>
        <v>2374</v>
      </c>
      <c r="AN89" s="191">
        <f>+AP89-AM89</f>
        <v>690</v>
      </c>
      <c r="AO89" s="193"/>
      <c r="AP89" s="193">
        <f>IS!O79</f>
        <v>3064</v>
      </c>
      <c r="AQ89" s="190"/>
      <c r="AR89" s="191"/>
      <c r="AS89" s="191"/>
      <c r="AT89" s="192"/>
      <c r="AU89" s="191">
        <f>AU79+AU84+AU86</f>
        <v>2353</v>
      </c>
      <c r="AV89" s="191"/>
      <c r="AW89" s="193"/>
      <c r="AX89" s="193"/>
      <c r="AY89" s="190"/>
      <c r="AZ89" s="191"/>
      <c r="BA89" s="191"/>
      <c r="BB89" s="192"/>
      <c r="BC89" s="191">
        <f>BC79+BC84+BC86</f>
        <v>-220</v>
      </c>
      <c r="BD89" s="191">
        <f>+BF89-BC89</f>
        <v>-256</v>
      </c>
      <c r="BE89" s="193"/>
      <c r="BF89" s="193">
        <f>IS!P79</f>
        <v>-476</v>
      </c>
      <c r="BG89" s="190"/>
      <c r="BH89" s="191"/>
      <c r="BI89" s="191"/>
      <c r="BJ89" s="192"/>
      <c r="BK89" s="191">
        <f t="shared" si="106"/>
        <v>-220</v>
      </c>
      <c r="BL89" s="191">
        <f t="shared" si="106"/>
        <v>-256</v>
      </c>
      <c r="BM89" s="193"/>
      <c r="BN89" s="193">
        <f t="shared" si="107"/>
        <v>-476</v>
      </c>
      <c r="BO89" s="190"/>
      <c r="BP89" s="191"/>
      <c r="BQ89" s="191"/>
      <c r="BR89" s="192"/>
      <c r="BS89" s="191">
        <f>BS79+BS84+BS86</f>
        <v>106</v>
      </c>
      <c r="BT89" s="191">
        <f>BT79+BT84+BT86</f>
        <v>-469</v>
      </c>
      <c r="BU89" s="193"/>
      <c r="BV89" s="193">
        <f>IS!Q79</f>
        <v>-363</v>
      </c>
      <c r="BW89" s="190"/>
      <c r="BX89" s="191"/>
      <c r="BY89" s="191"/>
      <c r="BZ89" s="192"/>
      <c r="CA89" s="191">
        <f>CA79+CA84+CA86</f>
        <v>-1247</v>
      </c>
      <c r="CB89" s="191">
        <f>CB79+CB84+CB86</f>
        <v>890</v>
      </c>
      <c r="CC89" s="193"/>
      <c r="CD89" s="193">
        <f>IS!R79</f>
        <v>-357</v>
      </c>
      <c r="CE89" s="190"/>
      <c r="CF89" s="191"/>
      <c r="CG89" s="191"/>
      <c r="CH89" s="192"/>
      <c r="CI89" s="191">
        <f>CI79+CI84+CI86</f>
        <v>804</v>
      </c>
      <c r="CJ89" s="191">
        <f>CJ79+CJ84+CJ86</f>
        <v>-903</v>
      </c>
      <c r="CK89" s="193"/>
      <c r="CL89" s="193">
        <f>IS!S79</f>
        <v>-596</v>
      </c>
      <c r="CM89" s="190"/>
      <c r="CN89" s="191"/>
      <c r="CO89" s="191"/>
      <c r="CP89" s="192"/>
      <c r="CQ89" s="191">
        <f>CQ79+CQ84+CQ86</f>
        <v>-5906</v>
      </c>
      <c r="CR89" s="191">
        <f>CR79+CR84+CR86</f>
        <v>743</v>
      </c>
      <c r="CS89" s="193"/>
      <c r="CT89" s="193">
        <f>CT79+CT84+CT86</f>
        <v>-5163</v>
      </c>
      <c r="CU89" s="191"/>
      <c r="CV89" s="191"/>
      <c r="CW89" s="191"/>
      <c r="CX89" s="192"/>
      <c r="CY89" s="191">
        <f>CY79+CY84+CY86</f>
        <v>1165</v>
      </c>
      <c r="CZ89" s="191">
        <f>CZ79+CZ84+CZ86</f>
        <v>793</v>
      </c>
      <c r="DA89" s="193"/>
      <c r="DB89" s="193">
        <f>DB79+DB84+DB86</f>
        <v>1958</v>
      </c>
      <c r="DC89" s="191"/>
      <c r="DD89" s="191"/>
      <c r="DE89" s="191"/>
      <c r="DF89" s="192"/>
      <c r="DG89" s="191">
        <f>DG79+DG84+DG86</f>
        <v>-1876</v>
      </c>
      <c r="DH89" s="191">
        <f>DH79+DH84+DH86</f>
        <v>-3175</v>
      </c>
      <c r="DI89" s="193"/>
      <c r="DJ89" s="193">
        <f>DJ79+DJ84+DJ86</f>
        <v>-5051</v>
      </c>
      <c r="DK89" s="191"/>
      <c r="DL89" s="191"/>
      <c r="DM89" s="191"/>
      <c r="DN89" s="192"/>
      <c r="DO89" s="191">
        <f>DO79+DO84+DO86</f>
        <v>4740</v>
      </c>
      <c r="DP89" s="191">
        <f>DP79+DP84+DP86</f>
        <v>1221</v>
      </c>
      <c r="DQ89" s="193"/>
      <c r="DR89" s="193">
        <f>DR79+DR84+DR86</f>
        <v>5961</v>
      </c>
      <c r="DS89" s="191"/>
      <c r="DT89" s="191"/>
      <c r="DU89" s="191"/>
      <c r="DV89" s="192"/>
      <c r="DW89" s="191">
        <f>DW79+DW84+DW86</f>
        <v>249</v>
      </c>
      <c r="DX89" s="297">
        <f>DZ89-DW89</f>
        <v>64.055000000000007</v>
      </c>
      <c r="DY89" s="193"/>
      <c r="DZ89" s="196">
        <f>IS!X79</f>
        <v>313.05500000000001</v>
      </c>
      <c r="EA89" s="191"/>
      <c r="EB89" s="191"/>
      <c r="EC89" s="191"/>
      <c r="ED89" s="192"/>
      <c r="EE89" s="297">
        <f>EH89/2</f>
        <v>78.581327532782311</v>
      </c>
      <c r="EF89" s="297">
        <f>EH89-EE89</f>
        <v>78.581327532782311</v>
      </c>
      <c r="EG89" s="193"/>
      <c r="EH89" s="196">
        <f>IS!Y79</f>
        <v>157.16265506556462</v>
      </c>
      <c r="EI89" s="191"/>
      <c r="EJ89" s="191"/>
      <c r="EK89" s="191"/>
      <c r="EL89" s="192"/>
      <c r="EM89" s="297">
        <f>EP89/2</f>
        <v>118.01050551623489</v>
      </c>
      <c r="EN89" s="297">
        <f>EP89-EM89</f>
        <v>118.01050551623489</v>
      </c>
      <c r="EO89" s="193"/>
      <c r="EP89" s="196">
        <f>IS!Z79</f>
        <v>236.02101103246977</v>
      </c>
      <c r="EQ89" s="191"/>
      <c r="ER89" s="191"/>
      <c r="ES89" s="191"/>
      <c r="ET89" s="192"/>
      <c r="EU89" s="297">
        <f>EX89/2</f>
        <v>154.42616620661516</v>
      </c>
      <c r="EV89" s="297">
        <f>EX89-EU89</f>
        <v>154.42616620661516</v>
      </c>
      <c r="EW89" s="193"/>
      <c r="EX89" s="196">
        <f>IS!AA79</f>
        <v>308.85233241323033</v>
      </c>
      <c r="EY89" s="191"/>
      <c r="EZ89" s="191"/>
      <c r="FA89" s="191"/>
      <c r="FB89" s="192"/>
      <c r="FC89" s="297">
        <f>FF89/2</f>
        <v>212.62351755867007</v>
      </c>
      <c r="FD89" s="297">
        <f>FF89-FC89</f>
        <v>212.62351755867007</v>
      </c>
      <c r="FE89" s="193"/>
      <c r="FF89" s="196">
        <f>IS!AB79</f>
        <v>425.24703511734015</v>
      </c>
    </row>
    <row r="90" spans="1:162" ht="11.25" customHeight="1" x14ac:dyDescent="0.2">
      <c r="A90" s="186"/>
      <c r="C90" s="190"/>
      <c r="D90" s="191"/>
      <c r="E90" s="191"/>
      <c r="F90" s="192"/>
      <c r="G90" s="191"/>
      <c r="H90" s="191"/>
      <c r="I90" s="193"/>
      <c r="J90" s="193"/>
      <c r="K90" s="190"/>
      <c r="L90" s="191"/>
      <c r="M90" s="191"/>
      <c r="N90" s="192"/>
      <c r="O90" s="191"/>
      <c r="P90" s="191"/>
      <c r="Q90" s="193"/>
      <c r="R90" s="193"/>
      <c r="S90" s="190"/>
      <c r="T90" s="191"/>
      <c r="U90" s="191"/>
      <c r="V90" s="192"/>
      <c r="W90" s="191"/>
      <c r="X90" s="191"/>
      <c r="Y90" s="193"/>
      <c r="Z90" s="193"/>
      <c r="AA90" s="190"/>
      <c r="AB90" s="191"/>
      <c r="AC90" s="191"/>
      <c r="AD90" s="192"/>
      <c r="AE90" s="191"/>
      <c r="AF90" s="191"/>
      <c r="AG90" s="193"/>
      <c r="AH90" s="193"/>
      <c r="AI90" s="190"/>
      <c r="AJ90" s="191"/>
      <c r="AK90" s="191"/>
      <c r="AL90" s="192"/>
      <c r="AM90" s="191"/>
      <c r="AN90" s="191"/>
      <c r="AO90" s="193"/>
      <c r="AP90" s="193"/>
      <c r="AQ90" s="190"/>
      <c r="AR90" s="191"/>
      <c r="AS90" s="191"/>
      <c r="AT90" s="192"/>
      <c r="AU90" s="191"/>
      <c r="AV90" s="191"/>
      <c r="AW90" s="193"/>
      <c r="AX90" s="193"/>
      <c r="AY90" s="190"/>
      <c r="AZ90" s="191"/>
      <c r="BA90" s="191"/>
      <c r="BB90" s="192"/>
      <c r="BC90" s="191"/>
      <c r="BD90" s="191"/>
      <c r="BE90" s="193"/>
      <c r="BF90" s="193"/>
      <c r="BG90" s="190"/>
      <c r="BH90" s="191"/>
      <c r="BI90" s="191"/>
      <c r="BJ90" s="192"/>
      <c r="BK90" s="191"/>
      <c r="BL90" s="191"/>
      <c r="BM90" s="193"/>
      <c r="BN90" s="193"/>
      <c r="BO90" s="190"/>
      <c r="BP90" s="191"/>
      <c r="BQ90" s="191"/>
      <c r="BR90" s="192"/>
      <c r="BS90" s="191"/>
      <c r="BT90" s="191"/>
      <c r="BU90" s="193"/>
      <c r="BV90" s="193"/>
      <c r="BW90" s="190"/>
      <c r="BX90" s="191"/>
      <c r="BY90" s="191"/>
      <c r="BZ90" s="192"/>
      <c r="CA90" s="191"/>
      <c r="CB90" s="191"/>
      <c r="CC90" s="193"/>
      <c r="CD90" s="193"/>
      <c r="CE90" s="190"/>
      <c r="CF90" s="191"/>
      <c r="CG90" s="191"/>
      <c r="CH90" s="192"/>
      <c r="CI90" s="191"/>
      <c r="CJ90" s="191"/>
      <c r="CK90" s="193"/>
      <c r="CL90" s="193"/>
      <c r="CM90" s="190"/>
      <c r="CN90" s="191"/>
      <c r="CO90" s="191"/>
      <c r="CP90" s="192"/>
      <c r="CQ90" s="191"/>
      <c r="CR90" s="191"/>
      <c r="CS90" s="193"/>
      <c r="CT90" s="193"/>
      <c r="CU90" s="191"/>
      <c r="CV90" s="191"/>
      <c r="CW90" s="191"/>
      <c r="CX90" s="192"/>
      <c r="CY90" s="191"/>
      <c r="CZ90" s="191"/>
      <c r="DA90" s="193"/>
      <c r="DB90" s="193"/>
      <c r="DC90" s="191"/>
      <c r="DD90" s="191"/>
      <c r="DE90" s="191"/>
      <c r="DF90" s="192"/>
      <c r="DG90" s="191"/>
      <c r="DH90" s="191"/>
      <c r="DI90" s="193"/>
      <c r="DJ90" s="193"/>
      <c r="DK90" s="191"/>
      <c r="DL90" s="191"/>
      <c r="DM90" s="191"/>
      <c r="DN90" s="192"/>
      <c r="DO90" s="191"/>
      <c r="DP90" s="191"/>
      <c r="DQ90" s="193"/>
      <c r="DR90" s="193"/>
      <c r="DS90" s="191"/>
      <c r="DT90" s="191"/>
      <c r="DU90" s="191"/>
      <c r="DV90" s="192"/>
      <c r="DW90" s="191"/>
      <c r="DX90" s="191"/>
      <c r="DY90" s="193"/>
      <c r="DZ90" s="193"/>
      <c r="EA90" s="191"/>
      <c r="EB90" s="191"/>
      <c r="EC90" s="191"/>
      <c r="ED90" s="192"/>
      <c r="EE90" s="191"/>
      <c r="EF90" s="191"/>
      <c r="EG90" s="193"/>
      <c r="EH90" s="193"/>
      <c r="EI90" s="191"/>
      <c r="EJ90" s="191"/>
      <c r="EK90" s="191"/>
      <c r="EL90" s="192"/>
      <c r="EM90" s="191"/>
      <c r="EN90" s="191"/>
      <c r="EO90" s="193"/>
      <c r="EP90" s="193"/>
      <c r="EQ90" s="191"/>
      <c r="ER90" s="191"/>
      <c r="ES90" s="191"/>
      <c r="ET90" s="192"/>
      <c r="EU90" s="191"/>
      <c r="EV90" s="191"/>
      <c r="EW90" s="193"/>
      <c r="EX90" s="193"/>
      <c r="EY90" s="191"/>
      <c r="EZ90" s="191"/>
      <c r="FA90" s="191"/>
      <c r="FB90" s="192"/>
      <c r="FC90" s="191"/>
      <c r="FD90" s="191"/>
      <c r="FE90" s="193"/>
      <c r="FF90" s="193"/>
    </row>
    <row r="91" spans="1:162" ht="11.25" customHeight="1" x14ac:dyDescent="0.2">
      <c r="A91" s="186" t="s">
        <v>296</v>
      </c>
      <c r="C91" s="282"/>
      <c r="D91" s="186"/>
      <c r="E91" s="186"/>
      <c r="F91" s="283"/>
      <c r="G91" s="186">
        <f>G76+G88</f>
        <v>752</v>
      </c>
      <c r="H91" s="186">
        <f>H76+H88</f>
        <v>856</v>
      </c>
      <c r="I91" s="284"/>
      <c r="J91" s="284">
        <f>J76+J88</f>
        <v>1608</v>
      </c>
      <c r="K91" s="282"/>
      <c r="L91" s="186"/>
      <c r="M91" s="186"/>
      <c r="N91" s="283"/>
      <c r="O91" s="186">
        <f>O76+O88</f>
        <v>935</v>
      </c>
      <c r="P91" s="186">
        <f>P76+P88</f>
        <v>882</v>
      </c>
      <c r="Q91" s="284"/>
      <c r="R91" s="284">
        <f>R76+R88</f>
        <v>1817</v>
      </c>
      <c r="S91" s="282"/>
      <c r="T91" s="186"/>
      <c r="U91" s="186"/>
      <c r="V91" s="283"/>
      <c r="W91" s="186">
        <f>W76+W88</f>
        <v>1128</v>
      </c>
      <c r="X91" s="186">
        <f>X76+X88</f>
        <v>382</v>
      </c>
      <c r="Y91" s="284"/>
      <c r="Z91" s="284">
        <f>Z76+Z88</f>
        <v>1510</v>
      </c>
      <c r="AA91" s="282"/>
      <c r="AB91" s="186"/>
      <c r="AC91" s="186"/>
      <c r="AD91" s="283"/>
      <c r="AE91" s="186">
        <f>AE76+AE88</f>
        <v>1237</v>
      </c>
      <c r="AF91" s="186">
        <f>+AH91-AE91</f>
        <v>1005</v>
      </c>
      <c r="AG91" s="284"/>
      <c r="AH91" s="284">
        <f>AH76+AH88</f>
        <v>2242</v>
      </c>
      <c r="AI91" s="282"/>
      <c r="AJ91" s="186"/>
      <c r="AK91" s="186"/>
      <c r="AL91" s="283"/>
      <c r="AM91" s="186">
        <f>AM76+AM88</f>
        <v>1178</v>
      </c>
      <c r="AN91" s="186">
        <f>+AP91-AM91</f>
        <v>1228</v>
      </c>
      <c r="AO91" s="284"/>
      <c r="AP91" s="284">
        <f>AP76+AP88</f>
        <v>2406</v>
      </c>
      <c r="AQ91" s="282"/>
      <c r="AR91" s="186"/>
      <c r="AS91" s="186"/>
      <c r="AT91" s="283"/>
      <c r="AU91" s="186">
        <f>AU76+AU88</f>
        <v>993</v>
      </c>
      <c r="AV91" s="186"/>
      <c r="AW91" s="284"/>
      <c r="AX91" s="284"/>
      <c r="AY91" s="282"/>
      <c r="AZ91" s="186"/>
      <c r="BA91" s="186"/>
      <c r="BB91" s="283"/>
      <c r="BC91" s="186">
        <f>BC76+BC88</f>
        <v>1246</v>
      </c>
      <c r="BD91" s="186">
        <f>+BF91-BC91</f>
        <v>1451</v>
      </c>
      <c r="BE91" s="284"/>
      <c r="BF91" s="284">
        <f>BF76+BF88</f>
        <v>2697</v>
      </c>
      <c r="BG91" s="282"/>
      <c r="BH91" s="186"/>
      <c r="BI91" s="186"/>
      <c r="BJ91" s="283"/>
      <c r="BK91" s="186">
        <f t="shared" si="106"/>
        <v>1246</v>
      </c>
      <c r="BL91" s="186">
        <f t="shared" si="106"/>
        <v>1451</v>
      </c>
      <c r="BM91" s="284"/>
      <c r="BN91" s="284">
        <f t="shared" si="107"/>
        <v>2697</v>
      </c>
      <c r="BO91" s="282"/>
      <c r="BP91" s="186"/>
      <c r="BQ91" s="186"/>
      <c r="BR91" s="283"/>
      <c r="BS91" s="186">
        <f>BS76+BS88</f>
        <v>1883</v>
      </c>
      <c r="BT91" s="186">
        <f>BT76+BT88</f>
        <v>1861</v>
      </c>
      <c r="BU91" s="284"/>
      <c r="BV91" s="284">
        <f>BV76+BV88</f>
        <v>3744</v>
      </c>
      <c r="BW91" s="282"/>
      <c r="BX91" s="186"/>
      <c r="BY91" s="186"/>
      <c r="BZ91" s="283"/>
      <c r="CA91" s="186">
        <f>CA76+CA88</f>
        <v>686</v>
      </c>
      <c r="CB91" s="186">
        <f>CB76+CB88</f>
        <v>527</v>
      </c>
      <c r="CC91" s="284"/>
      <c r="CD91" s="284">
        <f>CD76+CD88</f>
        <v>1213</v>
      </c>
      <c r="CE91" s="282"/>
      <c r="CF91" s="186"/>
      <c r="CG91" s="186"/>
      <c r="CH91" s="283"/>
      <c r="CI91" s="186">
        <f>CI76+CI88</f>
        <v>380</v>
      </c>
      <c r="CJ91" s="186">
        <f>CJ76+CJ88</f>
        <v>816</v>
      </c>
      <c r="CK91" s="284"/>
      <c r="CL91" s="284">
        <f>CL76+CL88</f>
        <v>1196</v>
      </c>
      <c r="CM91" s="282"/>
      <c r="CN91" s="186"/>
      <c r="CO91" s="186"/>
      <c r="CP91" s="283"/>
      <c r="CQ91" s="186">
        <f>CQ76+CQ88</f>
        <v>762</v>
      </c>
      <c r="CR91" s="186">
        <f>CR76+CR88</f>
        <v>1010</v>
      </c>
      <c r="CS91" s="284"/>
      <c r="CT91" s="284">
        <f>CT76+CT88</f>
        <v>1772</v>
      </c>
      <c r="CU91" s="186"/>
      <c r="CV91" s="186"/>
      <c r="CW91" s="186"/>
      <c r="CX91" s="283"/>
      <c r="CY91" s="186">
        <f>CY76+CY88</f>
        <v>1403</v>
      </c>
      <c r="CZ91" s="186">
        <f>CZ76+CZ88</f>
        <v>1426</v>
      </c>
      <c r="DA91" s="284"/>
      <c r="DB91" s="284">
        <f>DB76+DB88</f>
        <v>2829</v>
      </c>
      <c r="DC91" s="186"/>
      <c r="DD91" s="186"/>
      <c r="DE91" s="186"/>
      <c r="DF91" s="283"/>
      <c r="DG91" s="186">
        <f>DG76+DG88</f>
        <v>1916</v>
      </c>
      <c r="DH91" s="186">
        <f>DH76+DH88</f>
        <v>2232</v>
      </c>
      <c r="DI91" s="284"/>
      <c r="DJ91" s="284">
        <f>DJ76+DJ88</f>
        <v>4148</v>
      </c>
      <c r="DK91" s="186"/>
      <c r="DL91" s="186"/>
      <c r="DM91" s="186"/>
      <c r="DN91" s="283"/>
      <c r="DO91" s="186">
        <f>DO76+DO88</f>
        <v>2505</v>
      </c>
      <c r="DP91" s="186">
        <f>DP76+DP88</f>
        <v>2352.0000000000005</v>
      </c>
      <c r="DQ91" s="284"/>
      <c r="DR91" s="284">
        <f>DR76+DR88</f>
        <v>4857</v>
      </c>
      <c r="DS91" s="186"/>
      <c r="DT91" s="186"/>
      <c r="DU91" s="186"/>
      <c r="DV91" s="283"/>
      <c r="DW91" s="186">
        <f>DW76+DW88</f>
        <v>2937</v>
      </c>
      <c r="DX91" s="285">
        <f>DX76+DX88</f>
        <v>3578.5085518696974</v>
      </c>
      <c r="DY91" s="284"/>
      <c r="DZ91" s="286">
        <f>DZ76+DZ88</f>
        <v>6518.9321791018483</v>
      </c>
      <c r="EA91" s="186"/>
      <c r="EB91" s="186"/>
      <c r="EC91" s="186"/>
      <c r="ED91" s="283"/>
      <c r="EE91" s="285">
        <f>EE76+EE88</f>
        <v>2373.5323988203095</v>
      </c>
      <c r="EF91" s="285">
        <f>EF76+EF88</f>
        <v>5449.7425667598109</v>
      </c>
      <c r="EG91" s="284"/>
      <c r="EH91" s="286">
        <f>EH76+EH88</f>
        <v>7823.2749655801172</v>
      </c>
      <c r="EI91" s="186"/>
      <c r="EJ91" s="186"/>
      <c r="EK91" s="186"/>
      <c r="EL91" s="283"/>
      <c r="EM91" s="285">
        <f>EM76+EM88</f>
        <v>2678.069514852974</v>
      </c>
      <c r="EN91" s="285">
        <f>EN76+EN88</f>
        <v>5950.5766310754661</v>
      </c>
      <c r="EO91" s="284"/>
      <c r="EP91" s="286">
        <f>EP76+EP88</f>
        <v>8628.6461459284328</v>
      </c>
      <c r="EQ91" s="186"/>
      <c r="ER91" s="186"/>
      <c r="ES91" s="186"/>
      <c r="ET91" s="283"/>
      <c r="EU91" s="285">
        <f>EU76+EU88</f>
        <v>2897.5257132455067</v>
      </c>
      <c r="EV91" s="285">
        <f>EV76+EV88</f>
        <v>6367.9075081842666</v>
      </c>
      <c r="EW91" s="284"/>
      <c r="EX91" s="286">
        <f>EX76+EX88</f>
        <v>9265.4332214297665</v>
      </c>
      <c r="EY91" s="186"/>
      <c r="EZ91" s="186"/>
      <c r="FA91" s="186"/>
      <c r="FB91" s="283"/>
      <c r="FC91" s="285">
        <f>FC76+FC88</f>
        <v>3104.4776727992139</v>
      </c>
      <c r="FD91" s="285">
        <f>FD76+FD88</f>
        <v>6647.7763389057691</v>
      </c>
      <c r="FE91" s="284"/>
      <c r="FF91" s="286">
        <f>FF76+FF88</f>
        <v>9752.2540117049793</v>
      </c>
    </row>
    <row r="92" spans="1:162" ht="11.25" customHeight="1" x14ac:dyDescent="0.2">
      <c r="A92" s="186" t="s">
        <v>297</v>
      </c>
      <c r="C92" s="190"/>
      <c r="D92" s="191"/>
      <c r="E92" s="191"/>
      <c r="F92" s="192"/>
      <c r="G92" s="191">
        <f>G77+G89</f>
        <v>460</v>
      </c>
      <c r="H92" s="191">
        <f>H77+H89</f>
        <v>1448</v>
      </c>
      <c r="I92" s="193"/>
      <c r="J92" s="193">
        <f>J77+J89</f>
        <v>1908</v>
      </c>
      <c r="K92" s="190"/>
      <c r="L92" s="191"/>
      <c r="M92" s="191"/>
      <c r="N92" s="192"/>
      <c r="O92" s="191">
        <f>O77+O89</f>
        <v>971</v>
      </c>
      <c r="P92" s="191">
        <f>P77+P89</f>
        <v>-1349</v>
      </c>
      <c r="Q92" s="193"/>
      <c r="R92" s="193">
        <f>R77+R89</f>
        <v>-378</v>
      </c>
      <c r="S92" s="190"/>
      <c r="T92" s="191"/>
      <c r="U92" s="191"/>
      <c r="V92" s="192"/>
      <c r="W92" s="191">
        <f>W77+W89</f>
        <v>-1078</v>
      </c>
      <c r="X92" s="191">
        <f>X77+X89</f>
        <v>-232</v>
      </c>
      <c r="Y92" s="193"/>
      <c r="Z92" s="193">
        <f>Z77+Z89</f>
        <v>-1310</v>
      </c>
      <c r="AA92" s="190"/>
      <c r="AB92" s="191"/>
      <c r="AC92" s="191"/>
      <c r="AD92" s="192"/>
      <c r="AE92" s="191">
        <f>AE77+AE89</f>
        <v>2502</v>
      </c>
      <c r="AF92" s="191">
        <f>+AH92-AE92</f>
        <v>-215</v>
      </c>
      <c r="AG92" s="193"/>
      <c r="AH92" s="193">
        <f>AH77+AH89</f>
        <v>2287</v>
      </c>
      <c r="AI92" s="190"/>
      <c r="AJ92" s="191"/>
      <c r="AK92" s="191"/>
      <c r="AL92" s="192"/>
      <c r="AM92" s="191">
        <f>AM77+AM89</f>
        <v>3847</v>
      </c>
      <c r="AN92" s="191">
        <f>+AP92-AM92</f>
        <v>1898</v>
      </c>
      <c r="AO92" s="193"/>
      <c r="AP92" s="193">
        <f>AP77+AP89</f>
        <v>5745</v>
      </c>
      <c r="AQ92" s="190"/>
      <c r="AR92" s="191"/>
      <c r="AS92" s="191"/>
      <c r="AT92" s="192"/>
      <c r="AU92" s="191">
        <f>AU77+AU89</f>
        <v>3648</v>
      </c>
      <c r="AV92" s="191"/>
      <c r="AW92" s="193"/>
      <c r="AX92" s="193"/>
      <c r="AY92" s="190"/>
      <c r="AZ92" s="191"/>
      <c r="BA92" s="191"/>
      <c r="BB92" s="192"/>
      <c r="BC92" s="191">
        <f>BC77+BC89</f>
        <v>666</v>
      </c>
      <c r="BD92" s="191">
        <f>+BF92-BC92</f>
        <v>1023</v>
      </c>
      <c r="BE92" s="193"/>
      <c r="BF92" s="193">
        <f>BF77+BF89</f>
        <v>1689</v>
      </c>
      <c r="BG92" s="190"/>
      <c r="BH92" s="191"/>
      <c r="BI92" s="191"/>
      <c r="BJ92" s="192"/>
      <c r="BK92" s="191">
        <f t="shared" si="106"/>
        <v>666</v>
      </c>
      <c r="BL92" s="191">
        <f t="shared" si="106"/>
        <v>1023</v>
      </c>
      <c r="BM92" s="193"/>
      <c r="BN92" s="193">
        <f t="shared" si="107"/>
        <v>1689</v>
      </c>
      <c r="BO92" s="190"/>
      <c r="BP92" s="191"/>
      <c r="BQ92" s="191"/>
      <c r="BR92" s="192"/>
      <c r="BS92" s="191">
        <f>BS77+BS89</f>
        <v>2015</v>
      </c>
      <c r="BT92" s="191">
        <f>BT77+BT89</f>
        <v>1459</v>
      </c>
      <c r="BU92" s="193"/>
      <c r="BV92" s="193">
        <f>BV77+BV89</f>
        <v>3474</v>
      </c>
      <c r="BW92" s="190"/>
      <c r="BX92" s="191"/>
      <c r="BY92" s="191"/>
      <c r="BZ92" s="192"/>
      <c r="CA92" s="191">
        <f>CA77+CA89</f>
        <v>-532</v>
      </c>
      <c r="CB92" s="191">
        <f>CB77+CB89</f>
        <v>1102</v>
      </c>
      <c r="CC92" s="193"/>
      <c r="CD92" s="193">
        <f>CD77+CD89</f>
        <v>570</v>
      </c>
      <c r="CE92" s="190"/>
      <c r="CF92" s="191"/>
      <c r="CG92" s="191"/>
      <c r="CH92" s="192"/>
      <c r="CI92" s="191">
        <f>CI77+CI89</f>
        <v>960</v>
      </c>
      <c r="CJ92" s="191">
        <f>CJ77+CJ89</f>
        <v>-195</v>
      </c>
      <c r="CK92" s="193"/>
      <c r="CL92" s="193">
        <f>CL77+CL89</f>
        <v>268</v>
      </c>
      <c r="CM92" s="190"/>
      <c r="CN92" s="191"/>
      <c r="CO92" s="191"/>
      <c r="CP92" s="192"/>
      <c r="CQ92" s="191">
        <f>CQ77+CQ89</f>
        <v>-5030</v>
      </c>
      <c r="CR92" s="191">
        <f>CR77+CR89</f>
        <v>1910</v>
      </c>
      <c r="CS92" s="193"/>
      <c r="CT92" s="193">
        <f>CT77+CT89</f>
        <v>-3120</v>
      </c>
      <c r="CU92" s="191"/>
      <c r="CV92" s="191"/>
      <c r="CW92" s="191"/>
      <c r="CX92" s="192"/>
      <c r="CY92" s="191">
        <f>CY77+CY89</f>
        <v>2514</v>
      </c>
      <c r="CZ92" s="191">
        <f>CZ77+CZ89</f>
        <v>2242</v>
      </c>
      <c r="DA92" s="193"/>
      <c r="DB92" s="193">
        <f>DB77+DB89</f>
        <v>4756</v>
      </c>
      <c r="DC92" s="191"/>
      <c r="DD92" s="191"/>
      <c r="DE92" s="191"/>
      <c r="DF92" s="192"/>
      <c r="DG92" s="191">
        <f>DG77+DG89</f>
        <v>68</v>
      </c>
      <c r="DH92" s="191">
        <f>DH77+DH89</f>
        <v>-927</v>
      </c>
      <c r="DI92" s="193"/>
      <c r="DJ92" s="193">
        <f>DJ77+DJ89</f>
        <v>-859</v>
      </c>
      <c r="DK92" s="191"/>
      <c r="DL92" s="191"/>
      <c r="DM92" s="191"/>
      <c r="DN92" s="192"/>
      <c r="DO92" s="191">
        <f>DO77+DO89</f>
        <v>7171</v>
      </c>
      <c r="DP92" s="191">
        <f>DP77+DP89</f>
        <v>3098</v>
      </c>
      <c r="DQ92" s="193"/>
      <c r="DR92" s="193">
        <f>DR77+DR89</f>
        <v>10269</v>
      </c>
      <c r="DS92" s="191"/>
      <c r="DT92" s="191"/>
      <c r="DU92" s="191"/>
      <c r="DV92" s="192"/>
      <c r="DW92" s="191">
        <f>DW77+DW89</f>
        <v>2708</v>
      </c>
      <c r="DX92" s="195">
        <f>DX77+DX89</f>
        <v>3879.5085518696974</v>
      </c>
      <c r="DY92" s="193"/>
      <c r="DZ92" s="196">
        <f>DZ77+DZ89</f>
        <v>6590.9321791018483</v>
      </c>
      <c r="EA92" s="191"/>
      <c r="EB92" s="191"/>
      <c r="EC92" s="191"/>
      <c r="ED92" s="192"/>
      <c r="EE92" s="195">
        <f>EE77+EE89</f>
        <v>2223.5323988203095</v>
      </c>
      <c r="EF92" s="195">
        <f>EF77+EF89</f>
        <v>5299.7425667598109</v>
      </c>
      <c r="EG92" s="193"/>
      <c r="EH92" s="196">
        <f>EH77+EH89</f>
        <v>7523.2749655801172</v>
      </c>
      <c r="EI92" s="191"/>
      <c r="EJ92" s="191"/>
      <c r="EK92" s="191"/>
      <c r="EL92" s="192"/>
      <c r="EM92" s="195">
        <f>EM77+EM89</f>
        <v>2528.069514852974</v>
      </c>
      <c r="EN92" s="195">
        <f>EN77+EN89</f>
        <v>5800.5766310754661</v>
      </c>
      <c r="EO92" s="193"/>
      <c r="EP92" s="196">
        <f>EP77+EP89</f>
        <v>8328.6461459284328</v>
      </c>
      <c r="EQ92" s="191"/>
      <c r="ER92" s="191"/>
      <c r="ES92" s="191"/>
      <c r="ET92" s="192"/>
      <c r="EU92" s="195">
        <f>EU77+EU89</f>
        <v>2747.5257132455031</v>
      </c>
      <c r="EV92" s="195">
        <f>EV77+EV89</f>
        <v>6217.907508184263</v>
      </c>
      <c r="EW92" s="193"/>
      <c r="EX92" s="196">
        <f>EX77+EX89</f>
        <v>8965.4332214297592</v>
      </c>
      <c r="EY92" s="191"/>
      <c r="EZ92" s="191"/>
      <c r="FA92" s="191"/>
      <c r="FB92" s="192"/>
      <c r="FC92" s="195">
        <f>FC77+FC89</f>
        <v>2954.4776727992139</v>
      </c>
      <c r="FD92" s="195">
        <f>FD77+FD89</f>
        <v>6497.7763389057691</v>
      </c>
      <c r="FE92" s="193"/>
      <c r="FF92" s="196">
        <f>FF77+FF89</f>
        <v>9452.2540117049793</v>
      </c>
    </row>
    <row r="93" spans="1:162" ht="11.25" customHeight="1" x14ac:dyDescent="0.2">
      <c r="C93" s="288"/>
      <c r="D93" s="289"/>
      <c r="E93" s="289"/>
      <c r="F93" s="290"/>
      <c r="G93" s="289"/>
      <c r="H93" s="289"/>
      <c r="I93" s="291"/>
      <c r="J93" s="291"/>
      <c r="K93" s="288"/>
      <c r="L93" s="289"/>
      <c r="M93" s="289"/>
      <c r="N93" s="290"/>
      <c r="O93" s="289"/>
      <c r="P93" s="289"/>
      <c r="Q93" s="291"/>
      <c r="R93" s="291"/>
      <c r="S93" s="288"/>
      <c r="T93" s="289"/>
      <c r="U93" s="289"/>
      <c r="V93" s="290"/>
      <c r="W93" s="289"/>
      <c r="X93" s="289"/>
      <c r="Y93" s="291"/>
      <c r="Z93" s="291"/>
      <c r="AA93" s="288"/>
      <c r="AB93" s="289"/>
      <c r="AC93" s="289"/>
      <c r="AD93" s="290"/>
      <c r="AE93" s="289"/>
      <c r="AF93" s="289"/>
      <c r="AG93" s="291"/>
      <c r="AH93" s="291"/>
      <c r="AI93" s="288"/>
      <c r="AJ93" s="289"/>
      <c r="AK93" s="289"/>
      <c r="AL93" s="290"/>
      <c r="AM93" s="289"/>
      <c r="AN93" s="289"/>
      <c r="AO93" s="291"/>
      <c r="AP93" s="291"/>
      <c r="AQ93" s="288"/>
      <c r="AR93" s="289"/>
      <c r="AS93" s="289"/>
      <c r="AT93" s="290"/>
      <c r="AU93" s="289"/>
      <c r="AV93" s="289"/>
      <c r="AW93" s="291"/>
      <c r="AX93" s="291"/>
      <c r="AY93" s="288"/>
      <c r="AZ93" s="289"/>
      <c r="BA93" s="289"/>
      <c r="BB93" s="290"/>
      <c r="BC93" s="289"/>
      <c r="BD93" s="289"/>
      <c r="BE93" s="291"/>
      <c r="BF93" s="291"/>
      <c r="BG93" s="288"/>
      <c r="BH93" s="289"/>
      <c r="BI93" s="289"/>
      <c r="BJ93" s="290"/>
      <c r="BK93" s="289"/>
      <c r="BL93" s="289"/>
      <c r="BM93" s="291"/>
      <c r="BN93" s="291"/>
      <c r="BO93" s="288"/>
      <c r="BP93" s="289"/>
      <c r="BQ93" s="289"/>
      <c r="BR93" s="290"/>
      <c r="BS93" s="289"/>
      <c r="BT93" s="289"/>
      <c r="BU93" s="291"/>
      <c r="BV93" s="291"/>
      <c r="BW93" s="288"/>
      <c r="BX93" s="289"/>
      <c r="BY93" s="289"/>
      <c r="BZ93" s="290"/>
      <c r="CA93" s="289"/>
      <c r="CB93" s="289"/>
      <c r="CC93" s="291"/>
      <c r="CD93" s="291"/>
      <c r="CE93" s="288"/>
      <c r="CF93" s="289"/>
      <c r="CG93" s="289"/>
      <c r="CH93" s="290"/>
      <c r="CI93" s="289"/>
      <c r="CJ93" s="289"/>
      <c r="CK93" s="291"/>
      <c r="CL93" s="291"/>
      <c r="CM93" s="288"/>
      <c r="CN93" s="289"/>
      <c r="CO93" s="289"/>
      <c r="CP93" s="290"/>
      <c r="CQ93" s="289"/>
      <c r="CR93" s="289"/>
      <c r="CS93" s="291"/>
      <c r="CT93" s="291"/>
      <c r="CU93" s="289"/>
      <c r="CV93" s="289"/>
      <c r="CW93" s="289"/>
      <c r="CX93" s="290"/>
      <c r="CY93" s="289"/>
      <c r="CZ93" s="289"/>
      <c r="DA93" s="291"/>
      <c r="DB93" s="291"/>
      <c r="DC93" s="289"/>
      <c r="DD93" s="289"/>
      <c r="DE93" s="289"/>
      <c r="DF93" s="290"/>
      <c r="DG93" s="289"/>
      <c r="DH93" s="289"/>
      <c r="DI93" s="291"/>
      <c r="DJ93" s="291"/>
      <c r="DK93" s="289"/>
      <c r="DL93" s="289"/>
      <c r="DM93" s="289"/>
      <c r="DN93" s="290"/>
      <c r="DO93" s="289"/>
      <c r="DP93" s="289"/>
      <c r="DQ93" s="291"/>
      <c r="DR93" s="291"/>
      <c r="DS93" s="289"/>
      <c r="DT93" s="289"/>
      <c r="DU93" s="289"/>
      <c r="DV93" s="290"/>
      <c r="DW93" s="289"/>
      <c r="DX93" s="289"/>
      <c r="DY93" s="291"/>
      <c r="DZ93" s="291"/>
      <c r="EA93" s="289"/>
      <c r="EB93" s="289"/>
      <c r="EC93" s="289"/>
      <c r="ED93" s="290"/>
      <c r="EE93" s="289"/>
      <c r="EF93" s="289"/>
      <c r="EG93" s="291"/>
      <c r="EH93" s="291"/>
      <c r="EI93" s="289"/>
      <c r="EJ93" s="289"/>
      <c r="EK93" s="289"/>
      <c r="EL93" s="290"/>
      <c r="EM93" s="289"/>
      <c r="EN93" s="289"/>
      <c r="EO93" s="291"/>
      <c r="EP93" s="291"/>
      <c r="EQ93" s="289"/>
      <c r="ER93" s="289"/>
      <c r="ES93" s="289"/>
      <c r="ET93" s="290"/>
      <c r="EU93" s="289"/>
      <c r="EV93" s="289"/>
      <c r="EW93" s="291"/>
      <c r="EX93" s="291"/>
      <c r="EY93" s="289"/>
      <c r="EZ93" s="289"/>
      <c r="FA93" s="289"/>
      <c r="FB93" s="290"/>
      <c r="FC93" s="289"/>
      <c r="FD93" s="289"/>
      <c r="FE93" s="291"/>
      <c r="FF93" s="291"/>
    </row>
    <row r="94" spans="1:162" ht="11.25" customHeight="1" x14ac:dyDescent="0.2">
      <c r="A94" s="4" t="s">
        <v>298</v>
      </c>
      <c r="C94" s="288"/>
      <c r="D94" s="289"/>
      <c r="E94" s="289"/>
      <c r="F94" s="290"/>
      <c r="G94" s="289">
        <v>-226</v>
      </c>
      <c r="H94" s="289">
        <f>J94-G94</f>
        <v>-303</v>
      </c>
      <c r="I94" s="291"/>
      <c r="J94" s="291">
        <v>-529</v>
      </c>
      <c r="K94" s="288"/>
      <c r="L94" s="289"/>
      <c r="M94" s="289"/>
      <c r="N94" s="290"/>
      <c r="O94" s="289">
        <f>-313+9</f>
        <v>-304</v>
      </c>
      <c r="P94" s="289">
        <f>R94-O94</f>
        <v>-218</v>
      </c>
      <c r="Q94" s="291"/>
      <c r="R94" s="291">
        <v>-522</v>
      </c>
      <c r="S94" s="288"/>
      <c r="T94" s="289"/>
      <c r="U94" s="289"/>
      <c r="V94" s="290"/>
      <c r="W94" s="289">
        <v>-353</v>
      </c>
      <c r="X94" s="289">
        <f>Z94-W94</f>
        <v>-50</v>
      </c>
      <c r="Y94" s="291"/>
      <c r="Z94" s="291">
        <f>IS!M33</f>
        <v>-403</v>
      </c>
      <c r="AA94" s="288"/>
      <c r="AB94" s="289"/>
      <c r="AC94" s="289"/>
      <c r="AD94" s="290"/>
      <c r="AE94" s="289">
        <v>-342</v>
      </c>
      <c r="AF94" s="289">
        <f>+AH94-AE94</f>
        <v>-156</v>
      </c>
      <c r="AG94" s="291"/>
      <c r="AH94" s="291">
        <f>IS!N33</f>
        <v>-498</v>
      </c>
      <c r="AI94" s="288"/>
      <c r="AJ94" s="289"/>
      <c r="AK94" s="289"/>
      <c r="AL94" s="290"/>
      <c r="AM94" s="289">
        <v>-306</v>
      </c>
      <c r="AN94" s="289">
        <f>+AP94-AM94</f>
        <v>-236</v>
      </c>
      <c r="AO94" s="291"/>
      <c r="AP94" s="291">
        <f>IS!O33</f>
        <v>-542</v>
      </c>
      <c r="AQ94" s="288"/>
      <c r="AR94" s="289"/>
      <c r="AS94" s="289"/>
      <c r="AT94" s="290"/>
      <c r="AU94" s="289">
        <v>-248</v>
      </c>
      <c r="AV94" s="289"/>
      <c r="AW94" s="291"/>
      <c r="AX94" s="291"/>
      <c r="AY94" s="288"/>
      <c r="AZ94" s="289"/>
      <c r="BA94" s="289"/>
      <c r="BB94" s="290"/>
      <c r="BC94" s="289">
        <v>-272</v>
      </c>
      <c r="BD94" s="289">
        <f>+BF94-BC94</f>
        <v>-366</v>
      </c>
      <c r="BE94" s="291"/>
      <c r="BF94" s="291">
        <f>IS!P33</f>
        <v>-638</v>
      </c>
      <c r="BG94" s="288"/>
      <c r="BH94" s="289"/>
      <c r="BI94" s="289"/>
      <c r="BJ94" s="290"/>
      <c r="BK94" s="289">
        <f t="shared" si="106"/>
        <v>-272</v>
      </c>
      <c r="BL94" s="289">
        <f t="shared" si="106"/>
        <v>-366</v>
      </c>
      <c r="BM94" s="291"/>
      <c r="BN94" s="291">
        <f t="shared" si="107"/>
        <v>-638</v>
      </c>
      <c r="BO94" s="288"/>
      <c r="BP94" s="289"/>
      <c r="BQ94" s="289"/>
      <c r="BR94" s="290"/>
      <c r="BS94" s="289">
        <v>-496</v>
      </c>
      <c r="BT94" s="289">
        <f>BV94-BS94</f>
        <v>-516</v>
      </c>
      <c r="BU94" s="291"/>
      <c r="BV94" s="291">
        <f>IS!Q33</f>
        <v>-1012</v>
      </c>
      <c r="BW94" s="288"/>
      <c r="BX94" s="289"/>
      <c r="BY94" s="289"/>
      <c r="BZ94" s="290"/>
      <c r="CA94" s="289">
        <v>-169</v>
      </c>
      <c r="CB94" s="289">
        <f>CD94-CA94</f>
        <v>-165</v>
      </c>
      <c r="CC94" s="291"/>
      <c r="CD94" s="291">
        <f>IS!R33</f>
        <v>-334</v>
      </c>
      <c r="CE94" s="288"/>
      <c r="CF94" s="289"/>
      <c r="CG94" s="289"/>
      <c r="CH94" s="290"/>
      <c r="CI94" s="289">
        <v>-100</v>
      </c>
      <c r="CJ94" s="289">
        <f>CL94-CI94</f>
        <v>-312</v>
      </c>
      <c r="CK94" s="291"/>
      <c r="CL94" s="291">
        <f>IS!S33</f>
        <v>-412</v>
      </c>
      <c r="CM94" s="288"/>
      <c r="CN94" s="289"/>
      <c r="CO94" s="289"/>
      <c r="CP94" s="290"/>
      <c r="CQ94" s="289">
        <v>-211</v>
      </c>
      <c r="CR94" s="289">
        <f>CT94-CQ94</f>
        <v>-346</v>
      </c>
      <c r="CS94" s="291"/>
      <c r="CT94" s="291">
        <f>IS!T33</f>
        <v>-557</v>
      </c>
      <c r="CU94" s="289"/>
      <c r="CV94" s="289"/>
      <c r="CW94" s="289"/>
      <c r="CX94" s="290"/>
      <c r="CY94" s="289">
        <v>-318</v>
      </c>
      <c r="CZ94" s="289">
        <f>DB94-CY94</f>
        <v>-406</v>
      </c>
      <c r="DA94" s="291"/>
      <c r="DB94" s="291">
        <f>IS!U33</f>
        <v>-724</v>
      </c>
      <c r="DC94" s="289"/>
      <c r="DD94" s="289"/>
      <c r="DE94" s="289"/>
      <c r="DF94" s="290"/>
      <c r="DG94" s="289">
        <v>-435</v>
      </c>
      <c r="DH94" s="289">
        <f>DJ94-DG94</f>
        <v>-552</v>
      </c>
      <c r="DI94" s="291"/>
      <c r="DJ94" s="291">
        <f>IS!V33</f>
        <v>-987</v>
      </c>
      <c r="DK94" s="289"/>
      <c r="DL94" s="289"/>
      <c r="DM94" s="289"/>
      <c r="DN94" s="290"/>
      <c r="DO94" s="289">
        <v>-851</v>
      </c>
      <c r="DP94" s="289">
        <f>DR94-DO94</f>
        <v>-720</v>
      </c>
      <c r="DQ94" s="291"/>
      <c r="DR94" s="291">
        <f>IS!W33</f>
        <v>-1571</v>
      </c>
      <c r="DS94" s="289"/>
      <c r="DT94" s="289"/>
      <c r="DU94" s="289"/>
      <c r="DV94" s="290"/>
      <c r="DW94" s="289">
        <v>-961</v>
      </c>
      <c r="DX94" s="280">
        <f>DZ94-DW94</f>
        <v>-1125.058297312592</v>
      </c>
      <c r="DY94" s="291"/>
      <c r="DZ94" s="287">
        <f>IS!X33</f>
        <v>-2086.058297312592</v>
      </c>
      <c r="EA94" s="289"/>
      <c r="EB94" s="289"/>
      <c r="EC94" s="289"/>
      <c r="ED94" s="290"/>
      <c r="EE94" s="280">
        <f>EH94/2</f>
        <v>-977.90937069751419</v>
      </c>
      <c r="EF94" s="280">
        <f>EH94-EE94</f>
        <v>-977.90937069751419</v>
      </c>
      <c r="EG94" s="291"/>
      <c r="EH94" s="287">
        <f>IS!Y33</f>
        <v>-1955.8187413950284</v>
      </c>
      <c r="EI94" s="289"/>
      <c r="EJ94" s="289"/>
      <c r="EK94" s="289"/>
      <c r="EL94" s="290"/>
      <c r="EM94" s="280">
        <f>EP94/2</f>
        <v>-1078.5807682410539</v>
      </c>
      <c r="EN94" s="280">
        <f>EP94-EM94</f>
        <v>-1078.5807682410539</v>
      </c>
      <c r="EO94" s="291"/>
      <c r="EP94" s="287">
        <f>IS!Z33</f>
        <v>-2157.1615364821077</v>
      </c>
      <c r="EQ94" s="289"/>
      <c r="ER94" s="289"/>
      <c r="ES94" s="289"/>
      <c r="ET94" s="290"/>
      <c r="EU94" s="280">
        <f>EX94/2</f>
        <v>-1158.1791526787206</v>
      </c>
      <c r="EV94" s="280">
        <f>EX94-EU94</f>
        <v>-1158.1791526787206</v>
      </c>
      <c r="EW94" s="291"/>
      <c r="EX94" s="287">
        <f>IS!AA33</f>
        <v>-2316.3583053574412</v>
      </c>
      <c r="EY94" s="289"/>
      <c r="EZ94" s="289"/>
      <c r="FA94" s="289"/>
      <c r="FB94" s="290"/>
      <c r="FC94" s="280">
        <f>FF94/2</f>
        <v>-1219.0317514631222</v>
      </c>
      <c r="FD94" s="280">
        <f>FF94-FC94</f>
        <v>-1219.0317514631222</v>
      </c>
      <c r="FE94" s="291"/>
      <c r="FF94" s="287">
        <f>IS!AB33</f>
        <v>-2438.0635029262444</v>
      </c>
    </row>
    <row r="95" spans="1:162" ht="11.25" customHeight="1" outlineLevel="1" x14ac:dyDescent="0.2">
      <c r="B95" s="197" t="s">
        <v>277</v>
      </c>
      <c r="C95" s="288"/>
      <c r="D95" s="289"/>
      <c r="E95" s="289"/>
      <c r="F95" s="290"/>
      <c r="G95" s="289"/>
      <c r="H95" s="289"/>
      <c r="I95" s="291"/>
      <c r="J95" s="291"/>
      <c r="K95" s="288"/>
      <c r="L95" s="289"/>
      <c r="M95" s="289"/>
      <c r="N95" s="290"/>
      <c r="O95" s="289">
        <v>-81</v>
      </c>
      <c r="P95" s="289">
        <f>R95-O95</f>
        <v>798</v>
      </c>
      <c r="Q95" s="291"/>
      <c r="R95" s="291">
        <v>717</v>
      </c>
      <c r="S95" s="288"/>
      <c r="T95" s="289"/>
      <c r="U95" s="289"/>
      <c r="V95" s="290"/>
      <c r="W95" s="289">
        <v>804</v>
      </c>
      <c r="X95" s="289">
        <f>Z95-W95</f>
        <v>2</v>
      </c>
      <c r="Y95" s="291"/>
      <c r="Z95" s="291">
        <v>806</v>
      </c>
      <c r="AA95" s="288"/>
      <c r="AB95" s="289"/>
      <c r="AC95" s="289"/>
      <c r="AD95" s="290"/>
      <c r="AE95" s="289">
        <v>-345</v>
      </c>
      <c r="AF95" s="289">
        <f>+AH95-AE95</f>
        <v>403</v>
      </c>
      <c r="AG95" s="291"/>
      <c r="AH95" s="291">
        <v>58</v>
      </c>
      <c r="AI95" s="288"/>
      <c r="AJ95" s="289"/>
      <c r="AK95" s="289"/>
      <c r="AL95" s="290"/>
      <c r="AM95" s="289">
        <v>-946</v>
      </c>
      <c r="AN95" s="289"/>
      <c r="AO95" s="291"/>
      <c r="AP95" s="291"/>
      <c r="AQ95" s="288"/>
      <c r="AR95" s="289"/>
      <c r="AS95" s="289"/>
      <c r="AT95" s="290"/>
      <c r="AU95" s="289"/>
      <c r="AV95" s="289"/>
      <c r="AW95" s="291"/>
      <c r="AX95" s="291"/>
      <c r="AY95" s="288"/>
      <c r="AZ95" s="289"/>
      <c r="BA95" s="289"/>
      <c r="BB95" s="290"/>
      <c r="BC95" s="289"/>
      <c r="BD95" s="289"/>
      <c r="BE95" s="291"/>
      <c r="BF95" s="291"/>
      <c r="BG95" s="288"/>
      <c r="BH95" s="289"/>
      <c r="BI95" s="289"/>
      <c r="BJ95" s="290"/>
      <c r="BK95" s="289">
        <f t="shared" si="106"/>
        <v>0</v>
      </c>
      <c r="BL95" s="289">
        <f t="shared" si="106"/>
        <v>0</v>
      </c>
      <c r="BM95" s="291"/>
      <c r="BN95" s="291">
        <f t="shared" si="107"/>
        <v>0</v>
      </c>
      <c r="BO95" s="288"/>
      <c r="BP95" s="289"/>
      <c r="BQ95" s="289"/>
      <c r="BR95" s="290"/>
      <c r="BS95" s="289"/>
      <c r="BT95" s="289"/>
      <c r="BU95" s="291"/>
      <c r="BV95" s="291"/>
      <c r="BW95" s="288"/>
      <c r="BX95" s="289"/>
      <c r="BY95" s="289"/>
      <c r="BZ95" s="290"/>
      <c r="CA95" s="289"/>
      <c r="CB95" s="289"/>
      <c r="CC95" s="291"/>
      <c r="CD95" s="291"/>
      <c r="CE95" s="288"/>
      <c r="CF95" s="289"/>
      <c r="CG95" s="289"/>
      <c r="CH95" s="290"/>
      <c r="CI95" s="289"/>
      <c r="CJ95" s="289"/>
      <c r="CK95" s="291"/>
      <c r="CL95" s="291"/>
      <c r="CM95" s="288"/>
      <c r="CN95" s="289"/>
      <c r="CO95" s="289"/>
      <c r="CP95" s="290"/>
      <c r="CQ95" s="289">
        <v>-1447</v>
      </c>
      <c r="CR95" s="289">
        <f>CT95-CQ95</f>
        <v>284</v>
      </c>
      <c r="CS95" s="291"/>
      <c r="CT95" s="291">
        <v>-1163</v>
      </c>
      <c r="CU95" s="289"/>
      <c r="CV95" s="289"/>
      <c r="CW95" s="289"/>
      <c r="CX95" s="290"/>
      <c r="CY95" s="289">
        <v>329</v>
      </c>
      <c r="CZ95" s="289">
        <f>DB95-CY95</f>
        <v>252</v>
      </c>
      <c r="DA95" s="291"/>
      <c r="DB95" s="291">
        <v>581</v>
      </c>
      <c r="DC95" s="289"/>
      <c r="DD95" s="289"/>
      <c r="DE95" s="289"/>
      <c r="DF95" s="290"/>
      <c r="DG95" s="289">
        <v>-434</v>
      </c>
      <c r="DH95" s="289">
        <f>DJ95-DG95</f>
        <v>-775</v>
      </c>
      <c r="DI95" s="291"/>
      <c r="DJ95" s="291">
        <v>-1209</v>
      </c>
      <c r="DK95" s="289"/>
      <c r="DL95" s="289"/>
      <c r="DM95" s="289"/>
      <c r="DN95" s="290"/>
      <c r="DO95" s="289">
        <v>1245</v>
      </c>
      <c r="DP95" s="289">
        <f>DR95-DO95</f>
        <v>234</v>
      </c>
      <c r="DQ95" s="291"/>
      <c r="DR95" s="291">
        <v>1479</v>
      </c>
      <c r="DS95" s="289"/>
      <c r="DT95" s="289"/>
      <c r="DU95" s="289"/>
      <c r="DV95" s="290"/>
      <c r="DW95" s="289">
        <v>8</v>
      </c>
      <c r="DX95" s="289"/>
      <c r="DY95" s="291"/>
      <c r="DZ95" s="291"/>
      <c r="EA95" s="289"/>
      <c r="EB95" s="289"/>
      <c r="EC95" s="289"/>
      <c r="ED95" s="290"/>
      <c r="EE95" s="289"/>
      <c r="EF95" s="289"/>
      <c r="EG95" s="291"/>
      <c r="EH95" s="291"/>
      <c r="EI95" s="289"/>
      <c r="EJ95" s="289"/>
      <c r="EK95" s="289"/>
      <c r="EL95" s="290"/>
      <c r="EM95" s="289"/>
      <c r="EN95" s="289"/>
      <c r="EO95" s="291"/>
      <c r="EP95" s="291"/>
      <c r="EQ95" s="289"/>
      <c r="ER95" s="289"/>
      <c r="ES95" s="289"/>
      <c r="ET95" s="290"/>
      <c r="EU95" s="289"/>
      <c r="EV95" s="289"/>
      <c r="EW95" s="291"/>
      <c r="EX95" s="291"/>
      <c r="EY95" s="289"/>
      <c r="EZ95" s="289"/>
      <c r="FA95" s="289"/>
      <c r="FB95" s="290"/>
      <c r="FC95" s="289"/>
      <c r="FD95" s="289"/>
      <c r="FE95" s="291"/>
      <c r="FF95" s="291"/>
    </row>
    <row r="96" spans="1:162" ht="11.25" customHeight="1" outlineLevel="1" x14ac:dyDescent="0.2">
      <c r="B96" s="197" t="s">
        <v>278</v>
      </c>
      <c r="C96" s="288"/>
      <c r="D96" s="289"/>
      <c r="E96" s="289"/>
      <c r="F96" s="290"/>
      <c r="G96" s="289"/>
      <c r="H96" s="289"/>
      <c r="I96" s="291"/>
      <c r="J96" s="291"/>
      <c r="K96" s="288"/>
      <c r="L96" s="289"/>
      <c r="M96" s="289"/>
      <c r="N96" s="290"/>
      <c r="O96" s="289">
        <v>29</v>
      </c>
      <c r="P96" s="289">
        <f>R96-O96</f>
        <v>22</v>
      </c>
      <c r="Q96" s="291"/>
      <c r="R96" s="291">
        <v>51</v>
      </c>
      <c r="S96" s="288"/>
      <c r="T96" s="289"/>
      <c r="U96" s="289"/>
      <c r="V96" s="290"/>
      <c r="W96" s="289">
        <v>19</v>
      </c>
      <c r="X96" s="289">
        <f>Z96-W96</f>
        <v>56</v>
      </c>
      <c r="Y96" s="291"/>
      <c r="Z96" s="291">
        <v>75</v>
      </c>
      <c r="AA96" s="288"/>
      <c r="AB96" s="289"/>
      <c r="AC96" s="289"/>
      <c r="AD96" s="290"/>
      <c r="AE96" s="289">
        <v>12</v>
      </c>
      <c r="AF96" s="289">
        <f>+AH96-AE96</f>
        <v>20</v>
      </c>
      <c r="AG96" s="291"/>
      <c r="AH96" s="291">
        <v>32</v>
      </c>
      <c r="AI96" s="288"/>
      <c r="AJ96" s="289"/>
      <c r="AK96" s="289"/>
      <c r="AL96" s="290"/>
      <c r="AM96" s="289">
        <v>11</v>
      </c>
      <c r="AN96" s="289"/>
      <c r="AO96" s="291"/>
      <c r="AP96" s="291"/>
      <c r="AQ96" s="288"/>
      <c r="AR96" s="289"/>
      <c r="AS96" s="289"/>
      <c r="AT96" s="290"/>
      <c r="AU96" s="289"/>
      <c r="AV96" s="289"/>
      <c r="AW96" s="291"/>
      <c r="AX96" s="291"/>
      <c r="AY96" s="288"/>
      <c r="AZ96" s="289"/>
      <c r="BA96" s="289"/>
      <c r="BB96" s="290"/>
      <c r="BC96" s="289"/>
      <c r="BD96" s="289"/>
      <c r="BE96" s="291"/>
      <c r="BF96" s="291"/>
      <c r="BG96" s="288"/>
      <c r="BH96" s="289"/>
      <c r="BI96" s="289"/>
      <c r="BJ96" s="290"/>
      <c r="BK96" s="289">
        <f t="shared" si="106"/>
        <v>0</v>
      </c>
      <c r="BL96" s="289">
        <f t="shared" si="106"/>
        <v>0</v>
      </c>
      <c r="BM96" s="291"/>
      <c r="BN96" s="291">
        <f t="shared" si="107"/>
        <v>0</v>
      </c>
      <c r="BO96" s="288"/>
      <c r="BP96" s="289"/>
      <c r="BQ96" s="289"/>
      <c r="BR96" s="290"/>
      <c r="BS96" s="289"/>
      <c r="BT96" s="289"/>
      <c r="BU96" s="291"/>
      <c r="BV96" s="291"/>
      <c r="BW96" s="288"/>
      <c r="BX96" s="289"/>
      <c r="BY96" s="289"/>
      <c r="BZ96" s="290"/>
      <c r="CA96" s="289"/>
      <c r="CB96" s="289"/>
      <c r="CC96" s="291"/>
      <c r="CD96" s="291"/>
      <c r="CE96" s="288"/>
      <c r="CF96" s="289"/>
      <c r="CG96" s="289"/>
      <c r="CH96" s="290"/>
      <c r="CI96" s="289"/>
      <c r="CJ96" s="289"/>
      <c r="CK96" s="291"/>
      <c r="CL96" s="291"/>
      <c r="CM96" s="288"/>
      <c r="CN96" s="289"/>
      <c r="CO96" s="289"/>
      <c r="CP96" s="290"/>
      <c r="CQ96" s="289">
        <v>-5</v>
      </c>
      <c r="CR96" s="289">
        <f>CT96-CQ96</f>
        <v>-5</v>
      </c>
      <c r="CS96" s="291"/>
      <c r="CT96" s="291">
        <v>-10</v>
      </c>
      <c r="CU96" s="289"/>
      <c r="CV96" s="289"/>
      <c r="CW96" s="289"/>
      <c r="CX96" s="290"/>
      <c r="CY96" s="289">
        <v>-5</v>
      </c>
      <c r="CZ96" s="289">
        <f>DB96-CY96</f>
        <v>-5</v>
      </c>
      <c r="DA96" s="291"/>
      <c r="DB96" s="291">
        <v>-10</v>
      </c>
      <c r="DC96" s="289"/>
      <c r="DD96" s="289"/>
      <c r="DE96" s="289"/>
      <c r="DF96" s="290"/>
      <c r="DG96" s="289">
        <v>-5</v>
      </c>
      <c r="DH96" s="289">
        <f>DJ96-DG96</f>
        <v>-6</v>
      </c>
      <c r="DI96" s="291"/>
      <c r="DJ96" s="291">
        <v>-11</v>
      </c>
      <c r="DK96" s="289"/>
      <c r="DL96" s="289"/>
      <c r="DM96" s="289"/>
      <c r="DN96" s="290"/>
      <c r="DO96" s="289">
        <v>-3</v>
      </c>
      <c r="DP96" s="289">
        <f>DR96-DO96</f>
        <v>-1</v>
      </c>
      <c r="DQ96" s="291"/>
      <c r="DR96" s="291">
        <v>-4</v>
      </c>
      <c r="DS96" s="289"/>
      <c r="DT96" s="289"/>
      <c r="DU96" s="289"/>
      <c r="DV96" s="290"/>
      <c r="DW96" s="289">
        <v>-1</v>
      </c>
      <c r="DX96" s="289"/>
      <c r="DY96" s="291"/>
      <c r="DZ96" s="291"/>
      <c r="EA96" s="289"/>
      <c r="EB96" s="289"/>
      <c r="EC96" s="289"/>
      <c r="ED96" s="290"/>
      <c r="EE96" s="289"/>
      <c r="EF96" s="289"/>
      <c r="EG96" s="291"/>
      <c r="EH96" s="291"/>
      <c r="EI96" s="289"/>
      <c r="EJ96" s="289"/>
      <c r="EK96" s="289"/>
      <c r="EL96" s="290"/>
      <c r="EM96" s="289"/>
      <c r="EN96" s="289"/>
      <c r="EO96" s="291"/>
      <c r="EP96" s="291"/>
      <c r="EQ96" s="289"/>
      <c r="ER96" s="289"/>
      <c r="ES96" s="289"/>
      <c r="ET96" s="290"/>
      <c r="EU96" s="289"/>
      <c r="EV96" s="289"/>
      <c r="EW96" s="291"/>
      <c r="EX96" s="291"/>
      <c r="EY96" s="289"/>
      <c r="EZ96" s="289"/>
      <c r="FA96" s="289"/>
      <c r="FB96" s="290"/>
      <c r="FC96" s="289"/>
      <c r="FD96" s="289"/>
      <c r="FE96" s="291"/>
      <c r="FF96" s="291"/>
    </row>
    <row r="97" spans="1:162" ht="11.25" customHeight="1" outlineLevel="1" x14ac:dyDescent="0.2">
      <c r="B97" s="197" t="s">
        <v>279</v>
      </c>
      <c r="C97" s="288"/>
      <c r="D97" s="289"/>
      <c r="E97" s="289"/>
      <c r="F97" s="290"/>
      <c r="G97" s="289"/>
      <c r="H97" s="289"/>
      <c r="I97" s="291"/>
      <c r="J97" s="291"/>
      <c r="K97" s="288"/>
      <c r="L97" s="289"/>
      <c r="M97" s="289"/>
      <c r="N97" s="290"/>
      <c r="O97" s="289">
        <v>30</v>
      </c>
      <c r="P97" s="289">
        <f>R97-O97</f>
        <v>16</v>
      </c>
      <c r="Q97" s="291"/>
      <c r="R97" s="291">
        <v>46</v>
      </c>
      <c r="S97" s="288"/>
      <c r="T97" s="289"/>
      <c r="U97" s="289"/>
      <c r="V97" s="290"/>
      <c r="W97" s="289">
        <v>24</v>
      </c>
      <c r="X97" s="289">
        <f>Z97-W97</f>
        <v>6</v>
      </c>
      <c r="Y97" s="291"/>
      <c r="Z97" s="291">
        <v>30</v>
      </c>
      <c r="AA97" s="288"/>
      <c r="AB97" s="289"/>
      <c r="AC97" s="289"/>
      <c r="AD97" s="290"/>
      <c r="AE97" s="289">
        <v>23</v>
      </c>
      <c r="AF97" s="289">
        <f>+AH97-AE97</f>
        <v>-13</v>
      </c>
      <c r="AG97" s="291"/>
      <c r="AH97" s="291">
        <v>10</v>
      </c>
      <c r="AI97" s="288"/>
      <c r="AJ97" s="289"/>
      <c r="AK97" s="289"/>
      <c r="AL97" s="290"/>
      <c r="AM97" s="289">
        <v>7</v>
      </c>
      <c r="AN97" s="289"/>
      <c r="AO97" s="291"/>
      <c r="AP97" s="291"/>
      <c r="AQ97" s="288"/>
      <c r="AR97" s="289"/>
      <c r="AS97" s="289"/>
      <c r="AT97" s="290"/>
      <c r="AU97" s="289"/>
      <c r="AV97" s="289"/>
      <c r="AW97" s="291"/>
      <c r="AX97" s="291"/>
      <c r="AY97" s="288"/>
      <c r="AZ97" s="289"/>
      <c r="BA97" s="289"/>
      <c r="BB97" s="290"/>
      <c r="BC97" s="289"/>
      <c r="BD97" s="289"/>
      <c r="BE97" s="291"/>
      <c r="BF97" s="291"/>
      <c r="BG97" s="288"/>
      <c r="BH97" s="289"/>
      <c r="BI97" s="289"/>
      <c r="BJ97" s="290"/>
      <c r="BK97" s="289">
        <f t="shared" si="106"/>
        <v>0</v>
      </c>
      <c r="BL97" s="289">
        <f t="shared" si="106"/>
        <v>0</v>
      </c>
      <c r="BM97" s="291"/>
      <c r="BN97" s="291">
        <f t="shared" si="107"/>
        <v>0</v>
      </c>
      <c r="BO97" s="288"/>
      <c r="BP97" s="289"/>
      <c r="BQ97" s="289"/>
      <c r="BR97" s="290"/>
      <c r="BS97" s="289"/>
      <c r="BT97" s="289"/>
      <c r="BU97" s="291"/>
      <c r="BV97" s="291"/>
      <c r="BW97" s="288"/>
      <c r="BX97" s="289"/>
      <c r="BY97" s="289"/>
      <c r="BZ97" s="290"/>
      <c r="CA97" s="289"/>
      <c r="CB97" s="289"/>
      <c r="CC97" s="291"/>
      <c r="CD97" s="291"/>
      <c r="CE97" s="288"/>
      <c r="CF97" s="289"/>
      <c r="CG97" s="289"/>
      <c r="CH97" s="290"/>
      <c r="CI97" s="289"/>
      <c r="CJ97" s="289"/>
      <c r="CK97" s="291"/>
      <c r="CL97" s="291"/>
      <c r="CM97" s="288"/>
      <c r="CN97" s="289"/>
      <c r="CO97" s="289"/>
      <c r="CP97" s="290"/>
      <c r="CQ97" s="289">
        <v>-42</v>
      </c>
      <c r="CR97" s="289">
        <f>CT97-CQ97</f>
        <v>-36</v>
      </c>
      <c r="CS97" s="291"/>
      <c r="CT97" s="291">
        <v>-78</v>
      </c>
      <c r="CU97" s="289"/>
      <c r="CV97" s="289"/>
      <c r="CW97" s="289"/>
      <c r="CX97" s="290"/>
      <c r="CY97" s="289">
        <v>-33</v>
      </c>
      <c r="CZ97" s="289">
        <f>DB97-CY97</f>
        <v>-26</v>
      </c>
      <c r="DA97" s="291"/>
      <c r="DB97" s="291">
        <v>-59</v>
      </c>
      <c r="DC97" s="289"/>
      <c r="DD97" s="289"/>
      <c r="DE97" s="289"/>
      <c r="DF97" s="290"/>
      <c r="DG97" s="289">
        <v>-34</v>
      </c>
      <c r="DH97" s="289">
        <f>DJ97-DG97</f>
        <v>-17</v>
      </c>
      <c r="DI97" s="291"/>
      <c r="DJ97" s="291">
        <v>-51</v>
      </c>
      <c r="DK97" s="289"/>
      <c r="DL97" s="289"/>
      <c r="DM97" s="289"/>
      <c r="DN97" s="290"/>
      <c r="DO97" s="289">
        <v>-34</v>
      </c>
      <c r="DP97" s="289">
        <f>DR97-DO97</f>
        <v>-29</v>
      </c>
      <c r="DQ97" s="291"/>
      <c r="DR97" s="291">
        <v>-63</v>
      </c>
      <c r="DS97" s="289"/>
      <c r="DT97" s="289"/>
      <c r="DU97" s="289"/>
      <c r="DV97" s="290"/>
      <c r="DW97" s="289">
        <v>-60</v>
      </c>
      <c r="DX97" s="289"/>
      <c r="DY97" s="291"/>
      <c r="DZ97" s="291"/>
      <c r="EA97" s="289"/>
      <c r="EB97" s="289"/>
      <c r="EC97" s="289"/>
      <c r="ED97" s="290"/>
      <c r="EE97" s="289"/>
      <c r="EF97" s="289"/>
      <c r="EG97" s="291"/>
      <c r="EH97" s="291"/>
      <c r="EI97" s="289"/>
      <c r="EJ97" s="289"/>
      <c r="EK97" s="289"/>
      <c r="EL97" s="290"/>
      <c r="EM97" s="289"/>
      <c r="EN97" s="289"/>
      <c r="EO97" s="291"/>
      <c r="EP97" s="291"/>
      <c r="EQ97" s="289"/>
      <c r="ER97" s="289"/>
      <c r="ES97" s="289"/>
      <c r="ET97" s="290"/>
      <c r="EU97" s="289"/>
      <c r="EV97" s="289"/>
      <c r="EW97" s="291"/>
      <c r="EX97" s="291"/>
      <c r="EY97" s="289"/>
      <c r="EZ97" s="289"/>
      <c r="FA97" s="289"/>
      <c r="FB97" s="290"/>
      <c r="FC97" s="289"/>
      <c r="FD97" s="289"/>
      <c r="FE97" s="291"/>
      <c r="FF97" s="291"/>
    </row>
    <row r="98" spans="1:162" ht="11.25" customHeight="1" x14ac:dyDescent="0.2">
      <c r="A98" s="4" t="s">
        <v>299</v>
      </c>
      <c r="B98" s="197"/>
      <c r="C98" s="288"/>
      <c r="D98" s="289"/>
      <c r="E98" s="289"/>
      <c r="F98" s="290"/>
      <c r="G98" s="289">
        <v>-124</v>
      </c>
      <c r="H98" s="289">
        <f>J98-G98</f>
        <v>-515</v>
      </c>
      <c r="I98" s="291"/>
      <c r="J98" s="291">
        <v>-639</v>
      </c>
      <c r="K98" s="288"/>
      <c r="L98" s="289"/>
      <c r="M98" s="289"/>
      <c r="N98" s="290"/>
      <c r="O98" s="289">
        <f>O94+O95+O96+O97</f>
        <v>-326</v>
      </c>
      <c r="P98" s="289">
        <f>P94+P95+P96+P97</f>
        <v>618</v>
      </c>
      <c r="Q98" s="291"/>
      <c r="R98" s="291">
        <f>R94+R95+R96+R97</f>
        <v>292</v>
      </c>
      <c r="S98" s="288"/>
      <c r="T98" s="289"/>
      <c r="U98" s="289"/>
      <c r="V98" s="290"/>
      <c r="W98" s="289">
        <f>W94+W95+W96+W97</f>
        <v>494</v>
      </c>
      <c r="X98" s="289">
        <f>X94+X95+X96+X97</f>
        <v>14</v>
      </c>
      <c r="Y98" s="291"/>
      <c r="Z98" s="291">
        <f>Z94+Z95+Z96+Z97</f>
        <v>508</v>
      </c>
      <c r="AA98" s="288"/>
      <c r="AB98" s="289"/>
      <c r="AC98" s="289"/>
      <c r="AD98" s="290"/>
      <c r="AE98" s="289">
        <f>AE94+AE95+AE96+AE97</f>
        <v>-652</v>
      </c>
      <c r="AF98" s="289">
        <f>+AH98-AE98</f>
        <v>254</v>
      </c>
      <c r="AG98" s="291"/>
      <c r="AH98" s="291">
        <f>AH94+AH95+AH96+AH97</f>
        <v>-398</v>
      </c>
      <c r="AI98" s="288"/>
      <c r="AJ98" s="289"/>
      <c r="AK98" s="289"/>
      <c r="AL98" s="290"/>
      <c r="AM98" s="289">
        <f>AM94+AM95+AM96+AM97</f>
        <v>-1234</v>
      </c>
      <c r="AN98" s="289">
        <f>+AP98-AM98</f>
        <v>-482</v>
      </c>
      <c r="AO98" s="291"/>
      <c r="AP98" s="291">
        <f>IS!O82</f>
        <v>-1716</v>
      </c>
      <c r="AQ98" s="288"/>
      <c r="AR98" s="289"/>
      <c r="AS98" s="289"/>
      <c r="AT98" s="290"/>
      <c r="AU98" s="289">
        <v>-1171</v>
      </c>
      <c r="AV98" s="289"/>
      <c r="AW98" s="291"/>
      <c r="AX98" s="291"/>
      <c r="AY98" s="288"/>
      <c r="AZ98" s="289"/>
      <c r="BA98" s="289"/>
      <c r="BB98" s="290"/>
      <c r="BC98" s="289">
        <v>-100</v>
      </c>
      <c r="BD98" s="289">
        <f>+BF98-BC98</f>
        <v>-248</v>
      </c>
      <c r="BE98" s="291"/>
      <c r="BF98" s="291">
        <f>IS!P82</f>
        <v>-348</v>
      </c>
      <c r="BG98" s="288"/>
      <c r="BH98" s="289"/>
      <c r="BI98" s="289"/>
      <c r="BJ98" s="290"/>
      <c r="BK98" s="289">
        <f t="shared" si="106"/>
        <v>-100</v>
      </c>
      <c r="BL98" s="289">
        <f t="shared" si="106"/>
        <v>-248</v>
      </c>
      <c r="BM98" s="291"/>
      <c r="BN98" s="291">
        <f t="shared" si="107"/>
        <v>-348</v>
      </c>
      <c r="BO98" s="288"/>
      <c r="BP98" s="289"/>
      <c r="BQ98" s="289"/>
      <c r="BR98" s="290"/>
      <c r="BS98" s="289">
        <v>-550</v>
      </c>
      <c r="BT98" s="289">
        <f>BV98-BS98</f>
        <v>-412</v>
      </c>
      <c r="BU98" s="291"/>
      <c r="BV98" s="291">
        <f>IS!Q82</f>
        <v>-962</v>
      </c>
      <c r="BW98" s="288"/>
      <c r="BX98" s="289"/>
      <c r="BY98" s="289"/>
      <c r="BZ98" s="290"/>
      <c r="CA98" s="289">
        <v>207</v>
      </c>
      <c r="CB98" s="289">
        <f>CD98-CA98</f>
        <v>-391</v>
      </c>
      <c r="CC98" s="291"/>
      <c r="CD98" s="291">
        <f>IS!R82</f>
        <v>-184</v>
      </c>
      <c r="CE98" s="288"/>
      <c r="CF98" s="289"/>
      <c r="CG98" s="289"/>
      <c r="CH98" s="290"/>
      <c r="CI98" s="289">
        <v>-273</v>
      </c>
      <c r="CJ98" s="289">
        <f>CL98-CI98</f>
        <v>73</v>
      </c>
      <c r="CK98" s="291"/>
      <c r="CL98" s="291">
        <f>IS!S82</f>
        <v>-200</v>
      </c>
      <c r="CM98" s="288"/>
      <c r="CN98" s="289"/>
      <c r="CO98" s="289"/>
      <c r="CP98" s="290"/>
      <c r="CQ98" s="289">
        <f>CQ94-CQ95-CQ96-CQ97</f>
        <v>1283</v>
      </c>
      <c r="CR98" s="289">
        <f>CT98-CQ98</f>
        <v>-589</v>
      </c>
      <c r="CS98" s="291"/>
      <c r="CT98" s="291">
        <f>CT94-CT95-CT96-CT97</f>
        <v>694</v>
      </c>
      <c r="CU98" s="289"/>
      <c r="CV98" s="289"/>
      <c r="CW98" s="289"/>
      <c r="CX98" s="290"/>
      <c r="CY98" s="289">
        <f>CY94-CY95-CY96-CY97</f>
        <v>-609</v>
      </c>
      <c r="CZ98" s="289">
        <f>DB98-CY98</f>
        <v>-627</v>
      </c>
      <c r="DA98" s="291"/>
      <c r="DB98" s="291">
        <f>DB94-DB95-DB96-DB97</f>
        <v>-1236</v>
      </c>
      <c r="DC98" s="289"/>
      <c r="DD98" s="289"/>
      <c r="DE98" s="289"/>
      <c r="DF98" s="290"/>
      <c r="DG98" s="289">
        <f>DG94-DG95-DG96-DG97</f>
        <v>38</v>
      </c>
      <c r="DH98" s="289">
        <f>DJ98-DG98</f>
        <v>246</v>
      </c>
      <c r="DI98" s="291"/>
      <c r="DJ98" s="291">
        <f>DJ94-DJ95-DJ96-DJ97</f>
        <v>284</v>
      </c>
      <c r="DK98" s="289"/>
      <c r="DL98" s="289"/>
      <c r="DM98" s="289"/>
      <c r="DN98" s="290"/>
      <c r="DO98" s="289">
        <f>DO94-DO95-DO96-DO97</f>
        <v>-2059</v>
      </c>
      <c r="DP98" s="289">
        <f>DR98-DO98</f>
        <v>-924</v>
      </c>
      <c r="DQ98" s="291"/>
      <c r="DR98" s="291">
        <f>DR94-DR95-DR96-DR97</f>
        <v>-2983</v>
      </c>
      <c r="DS98" s="289"/>
      <c r="DT98" s="289"/>
      <c r="DU98" s="289"/>
      <c r="DV98" s="290"/>
      <c r="DW98" s="289">
        <f>DW94-DW95-DW96-DW97</f>
        <v>-908</v>
      </c>
      <c r="DX98" s="280">
        <f>DZ98-DW98</f>
        <v>-1137.0982973125917</v>
      </c>
      <c r="DY98" s="291"/>
      <c r="DZ98" s="287">
        <f>IS!X82</f>
        <v>-2045.0982973125917</v>
      </c>
      <c r="EA98" s="289"/>
      <c r="EB98" s="289"/>
      <c r="EC98" s="289"/>
      <c r="ED98" s="290"/>
      <c r="EE98" s="280">
        <f>EH98/2</f>
        <v>-915.40937069751419</v>
      </c>
      <c r="EF98" s="280">
        <f>EH98-EE98</f>
        <v>-915.40937069751419</v>
      </c>
      <c r="EG98" s="291"/>
      <c r="EH98" s="287">
        <f>IS!Y82</f>
        <v>-1830.8187413950284</v>
      </c>
      <c r="EI98" s="289"/>
      <c r="EJ98" s="289"/>
      <c r="EK98" s="289"/>
      <c r="EL98" s="290"/>
      <c r="EM98" s="280">
        <f>EP98/2</f>
        <v>-1016.0807682410539</v>
      </c>
      <c r="EN98" s="280">
        <f>EP98-EM98</f>
        <v>-1016.0807682410539</v>
      </c>
      <c r="EO98" s="291"/>
      <c r="EP98" s="287">
        <f>IS!Z82</f>
        <v>-2032.1615364821077</v>
      </c>
      <c r="EQ98" s="289"/>
      <c r="ER98" s="289"/>
      <c r="ES98" s="289"/>
      <c r="ET98" s="290"/>
      <c r="EU98" s="280">
        <f>EX98/2</f>
        <v>-1095.6791526787206</v>
      </c>
      <c r="EV98" s="280">
        <f>EX98-EU98</f>
        <v>-1095.6791526787206</v>
      </c>
      <c r="EW98" s="291"/>
      <c r="EX98" s="287">
        <f>IS!AA82</f>
        <v>-2191.3583053574412</v>
      </c>
      <c r="EY98" s="289"/>
      <c r="EZ98" s="289"/>
      <c r="FA98" s="289"/>
      <c r="FB98" s="290"/>
      <c r="FC98" s="280">
        <f>FF98/2</f>
        <v>-1156.5317514631222</v>
      </c>
      <c r="FD98" s="280">
        <f>FF98-FC98</f>
        <v>-1156.5317514631222</v>
      </c>
      <c r="FE98" s="291"/>
      <c r="FF98" s="287">
        <f>IS!AB82</f>
        <v>-2313.0635029262444</v>
      </c>
    </row>
    <row r="99" spans="1:162" ht="11.25" customHeight="1" x14ac:dyDescent="0.2">
      <c r="B99" s="197"/>
      <c r="C99" s="288"/>
      <c r="D99" s="289"/>
      <c r="E99" s="289"/>
      <c r="F99" s="290"/>
      <c r="G99" s="289"/>
      <c r="H99" s="289"/>
      <c r="I99" s="291"/>
      <c r="J99" s="291"/>
      <c r="K99" s="288"/>
      <c r="L99" s="289"/>
      <c r="M99" s="289"/>
      <c r="N99" s="290"/>
      <c r="O99" s="289"/>
      <c r="P99" s="289"/>
      <c r="Q99" s="291"/>
      <c r="R99" s="291"/>
      <c r="S99" s="288"/>
      <c r="T99" s="289"/>
      <c r="U99" s="289"/>
      <c r="V99" s="290"/>
      <c r="W99" s="289"/>
      <c r="X99" s="289"/>
      <c r="Y99" s="291"/>
      <c r="Z99" s="291"/>
      <c r="AA99" s="288"/>
      <c r="AB99" s="289"/>
      <c r="AC99" s="289"/>
      <c r="AD99" s="290"/>
      <c r="AE99" s="289"/>
      <c r="AF99" s="289"/>
      <c r="AG99" s="291"/>
      <c r="AH99" s="291"/>
      <c r="AI99" s="288"/>
      <c r="AJ99" s="289"/>
      <c r="AK99" s="289"/>
      <c r="AL99" s="290"/>
      <c r="AM99" s="289"/>
      <c r="AN99" s="289"/>
      <c r="AO99" s="291"/>
      <c r="AP99" s="291"/>
      <c r="AQ99" s="288"/>
      <c r="AR99" s="289"/>
      <c r="AS99" s="289"/>
      <c r="AT99" s="290"/>
      <c r="AU99" s="289"/>
      <c r="AV99" s="289"/>
      <c r="AW99" s="291"/>
      <c r="AX99" s="291"/>
      <c r="AY99" s="288"/>
      <c r="AZ99" s="289"/>
      <c r="BA99" s="289"/>
      <c r="BB99" s="290"/>
      <c r="BC99" s="289"/>
      <c r="BD99" s="289"/>
      <c r="BE99" s="291"/>
      <c r="BF99" s="291"/>
      <c r="BG99" s="288"/>
      <c r="BH99" s="289"/>
      <c r="BI99" s="289"/>
      <c r="BJ99" s="290"/>
      <c r="BK99" s="289"/>
      <c r="BL99" s="289"/>
      <c r="BM99" s="291"/>
      <c r="BN99" s="291"/>
      <c r="BO99" s="288"/>
      <c r="BP99" s="289"/>
      <c r="BQ99" s="289"/>
      <c r="BR99" s="290"/>
      <c r="BS99" s="289"/>
      <c r="BT99" s="289"/>
      <c r="BU99" s="291"/>
      <c r="BV99" s="291"/>
      <c r="BW99" s="288"/>
      <c r="BX99" s="289"/>
      <c r="BY99" s="289"/>
      <c r="BZ99" s="290"/>
      <c r="CA99" s="289"/>
      <c r="CB99" s="289"/>
      <c r="CC99" s="291"/>
      <c r="CD99" s="291"/>
      <c r="CE99" s="288"/>
      <c r="CF99" s="289"/>
      <c r="CG99" s="289"/>
      <c r="CH99" s="290"/>
      <c r="CI99" s="289"/>
      <c r="CJ99" s="289"/>
      <c r="CK99" s="291"/>
      <c r="CL99" s="291"/>
      <c r="CM99" s="288"/>
      <c r="CN99" s="289"/>
      <c r="CO99" s="289"/>
      <c r="CP99" s="290"/>
      <c r="CQ99" s="289"/>
      <c r="CR99" s="289"/>
      <c r="CS99" s="291"/>
      <c r="CT99" s="291"/>
      <c r="CU99" s="289"/>
      <c r="CV99" s="289"/>
      <c r="CW99" s="289"/>
      <c r="CX99" s="290"/>
      <c r="CY99" s="289"/>
      <c r="CZ99" s="289"/>
      <c r="DA99" s="291"/>
      <c r="DB99" s="291"/>
      <c r="DC99" s="289"/>
      <c r="DD99" s="289"/>
      <c r="DE99" s="289"/>
      <c r="DF99" s="290"/>
      <c r="DG99" s="289"/>
      <c r="DH99" s="289"/>
      <c r="DI99" s="291"/>
      <c r="DJ99" s="291"/>
      <c r="DK99" s="289"/>
      <c r="DL99" s="289"/>
      <c r="DM99" s="289"/>
      <c r="DN99" s="290"/>
      <c r="DO99" s="289"/>
      <c r="DP99" s="289"/>
      <c r="DQ99" s="291"/>
      <c r="DR99" s="291"/>
      <c r="DS99" s="289"/>
      <c r="DT99" s="289"/>
      <c r="DU99" s="289"/>
      <c r="DV99" s="290"/>
      <c r="DW99" s="289"/>
      <c r="DX99" s="289"/>
      <c r="DY99" s="291"/>
      <c r="DZ99" s="291"/>
      <c r="EA99" s="289"/>
      <c r="EB99" s="289"/>
      <c r="EC99" s="289"/>
      <c r="ED99" s="290"/>
      <c r="EE99" s="289"/>
      <c r="EF99" s="289"/>
      <c r="EG99" s="291"/>
      <c r="EH99" s="291"/>
      <c r="EI99" s="289"/>
      <c r="EJ99" s="289"/>
      <c r="EK99" s="289"/>
      <c r="EL99" s="290"/>
      <c r="EM99" s="289"/>
      <c r="EN99" s="289"/>
      <c r="EO99" s="291"/>
      <c r="EP99" s="291"/>
      <c r="EQ99" s="289"/>
      <c r="ER99" s="289"/>
      <c r="ES99" s="289"/>
      <c r="ET99" s="290"/>
      <c r="EU99" s="289"/>
      <c r="EV99" s="289"/>
      <c r="EW99" s="291"/>
      <c r="EX99" s="291"/>
      <c r="EY99" s="289"/>
      <c r="EZ99" s="289"/>
      <c r="FA99" s="289"/>
      <c r="FB99" s="290"/>
      <c r="FC99" s="289"/>
      <c r="FD99" s="289"/>
      <c r="FE99" s="291"/>
      <c r="FF99" s="291"/>
    </row>
    <row r="100" spans="1:162" ht="11.25" customHeight="1" x14ac:dyDescent="0.2">
      <c r="A100" s="197" t="s">
        <v>300</v>
      </c>
      <c r="B100" s="197"/>
      <c r="C100" s="268"/>
      <c r="D100" s="278"/>
      <c r="E100" s="278"/>
      <c r="F100" s="298"/>
      <c r="G100" s="278"/>
      <c r="H100" s="278"/>
      <c r="I100" s="250"/>
      <c r="J100" s="250">
        <f>-J94/J91</f>
        <v>0.32898009950248758</v>
      </c>
      <c r="K100" s="268"/>
      <c r="L100" s="278"/>
      <c r="M100" s="278"/>
      <c r="N100" s="298"/>
      <c r="O100" s="278"/>
      <c r="P100" s="278"/>
      <c r="Q100" s="250"/>
      <c r="R100" s="250">
        <f>-R94/R91</f>
        <v>0.2872867363786461</v>
      </c>
      <c r="S100" s="268"/>
      <c r="T100" s="278"/>
      <c r="U100" s="278"/>
      <c r="V100" s="298"/>
      <c r="W100" s="278"/>
      <c r="X100" s="278"/>
      <c r="Y100" s="250"/>
      <c r="Z100" s="250">
        <f>-Z94/Z91</f>
        <v>0.26688741721854303</v>
      </c>
      <c r="AA100" s="268"/>
      <c r="AB100" s="278"/>
      <c r="AC100" s="278"/>
      <c r="AD100" s="298"/>
      <c r="AE100" s="278"/>
      <c r="AF100" s="278"/>
      <c r="AG100" s="250"/>
      <c r="AH100" s="250">
        <f>-AH94/AH91</f>
        <v>0.22212310437109722</v>
      </c>
      <c r="AI100" s="268"/>
      <c r="AJ100" s="278"/>
      <c r="AK100" s="278"/>
      <c r="AL100" s="298"/>
      <c r="AM100" s="278"/>
      <c r="AN100" s="278"/>
      <c r="AO100" s="250"/>
      <c r="AP100" s="250">
        <f>-AP94/AP91</f>
        <v>0.22527015793848712</v>
      </c>
      <c r="AQ100" s="268"/>
      <c r="AR100" s="278"/>
      <c r="AS100" s="278"/>
      <c r="AT100" s="298"/>
      <c r="AU100" s="278">
        <f>-AU94/AU91</f>
        <v>0.24974823766364551</v>
      </c>
      <c r="AV100" s="278"/>
      <c r="AW100" s="250"/>
      <c r="AX100" s="250"/>
      <c r="AY100" s="268"/>
      <c r="AZ100" s="278"/>
      <c r="BA100" s="278"/>
      <c r="BB100" s="298"/>
      <c r="BC100" s="278">
        <f>-BC94/BC91</f>
        <v>0.21829855537720708</v>
      </c>
      <c r="BD100" s="278">
        <f>-BD94/BD91</f>
        <v>0.25223983459682975</v>
      </c>
      <c r="BE100" s="250"/>
      <c r="BF100" s="250">
        <f>-BF94/BF91</f>
        <v>0.23655913978494625</v>
      </c>
      <c r="BG100" s="268"/>
      <c r="BH100" s="278"/>
      <c r="BI100" s="278"/>
      <c r="BJ100" s="298"/>
      <c r="BK100" s="278">
        <f t="shared" si="106"/>
        <v>0.21829855537720708</v>
      </c>
      <c r="BL100" s="278">
        <f t="shared" si="106"/>
        <v>0.25223983459682975</v>
      </c>
      <c r="BM100" s="250"/>
      <c r="BN100" s="250">
        <f t="shared" si="107"/>
        <v>0.23655913978494625</v>
      </c>
      <c r="BO100" s="268"/>
      <c r="BP100" s="278"/>
      <c r="BQ100" s="278"/>
      <c r="BR100" s="298"/>
      <c r="BS100" s="278">
        <f>-BS94/BS91</f>
        <v>0.26340945300053109</v>
      </c>
      <c r="BT100" s="278">
        <f>-BT94/BT91</f>
        <v>0.27727028479312199</v>
      </c>
      <c r="BU100" s="250"/>
      <c r="BV100" s="250">
        <f>-BV94/BV91</f>
        <v>0.27029914529914528</v>
      </c>
      <c r="BW100" s="268"/>
      <c r="BX100" s="278"/>
      <c r="BY100" s="278"/>
      <c r="BZ100" s="298"/>
      <c r="CA100" s="278">
        <f>-CA94/CA91</f>
        <v>0.24635568513119532</v>
      </c>
      <c r="CB100" s="278">
        <f>-CB94/CB91</f>
        <v>0.31309297912713474</v>
      </c>
      <c r="CC100" s="250"/>
      <c r="CD100" s="250">
        <f>-CD94/CD91</f>
        <v>0.27535037098103876</v>
      </c>
      <c r="CE100" s="268"/>
      <c r="CF100" s="278"/>
      <c r="CG100" s="278"/>
      <c r="CH100" s="298"/>
      <c r="CI100" s="278">
        <f>-CI94/CI91</f>
        <v>0.26315789473684209</v>
      </c>
      <c r="CJ100" s="278">
        <f>-CJ94/CJ91</f>
        <v>0.38235294117647056</v>
      </c>
      <c r="CK100" s="250"/>
      <c r="CL100" s="250">
        <f>-CL94/CL91</f>
        <v>0.34448160535117056</v>
      </c>
      <c r="CM100" s="268"/>
      <c r="CN100" s="278"/>
      <c r="CO100" s="278"/>
      <c r="CP100" s="298"/>
      <c r="CQ100" s="278">
        <f>-CQ94/CQ91</f>
        <v>0.2769028871391076</v>
      </c>
      <c r="CR100" s="278">
        <f>-CR94/CR91</f>
        <v>0.3425742574257426</v>
      </c>
      <c r="CS100" s="250"/>
      <c r="CT100" s="250">
        <f>-CT94/CT91</f>
        <v>0.31433408577878102</v>
      </c>
      <c r="CU100" s="278"/>
      <c r="CV100" s="278"/>
      <c r="CW100" s="278"/>
      <c r="CX100" s="298"/>
      <c r="CY100" s="278">
        <f>-CY94/CY91</f>
        <v>0.22665716322166785</v>
      </c>
      <c r="CZ100" s="278">
        <f>-CZ94/CZ91</f>
        <v>0.28471248246844322</v>
      </c>
      <c r="DA100" s="250"/>
      <c r="DB100" s="250">
        <f>-DB94/DB91</f>
        <v>0.25592082007776601</v>
      </c>
      <c r="DC100" s="278"/>
      <c r="DD100" s="278"/>
      <c r="DE100" s="278"/>
      <c r="DF100" s="298"/>
      <c r="DG100" s="278">
        <f>-DG94/DG91</f>
        <v>0.22703549060542796</v>
      </c>
      <c r="DH100" s="278">
        <f>-DH94/DH91</f>
        <v>0.24731182795698925</v>
      </c>
      <c r="DI100" s="250"/>
      <c r="DJ100" s="250">
        <f>-DJ94/DJ91</f>
        <v>0.23794599807135969</v>
      </c>
      <c r="DK100" s="278"/>
      <c r="DL100" s="278"/>
      <c r="DM100" s="278"/>
      <c r="DN100" s="298"/>
      <c r="DO100" s="278">
        <f>-DO94/DO91</f>
        <v>0.33972055888223551</v>
      </c>
      <c r="DP100" s="278">
        <f>-DP94/DP91</f>
        <v>0.30612244897959179</v>
      </c>
      <c r="DQ100" s="250"/>
      <c r="DR100" s="275">
        <f>-DR94/DR91</f>
        <v>0.32345068972616842</v>
      </c>
      <c r="DS100" s="278"/>
      <c r="DT100" s="278"/>
      <c r="DU100" s="278"/>
      <c r="DV100" s="298"/>
      <c r="DW100" s="278">
        <f>-DW94/DW91</f>
        <v>0.3272046305754171</v>
      </c>
      <c r="DX100" s="299">
        <f>-DX94/DX91</f>
        <v>0.31439307214307816</v>
      </c>
      <c r="DY100" s="250"/>
      <c r="DZ100" s="300">
        <f>-DZ94/DZ91</f>
        <v>0.32000000000000006</v>
      </c>
      <c r="EA100" s="278"/>
      <c r="EB100" s="278"/>
      <c r="EC100" s="278"/>
      <c r="ED100" s="298"/>
      <c r="EE100" s="299">
        <f>-EE94/EE91</f>
        <v>0.41200590781215107</v>
      </c>
      <c r="EF100" s="299">
        <f>-EF94/EF91</f>
        <v>0.17944138805054385</v>
      </c>
      <c r="EG100" s="250"/>
      <c r="EH100" s="300">
        <f>-EH94/EH91</f>
        <v>0.24999999999999989</v>
      </c>
      <c r="EI100" s="278"/>
      <c r="EJ100" s="278"/>
      <c r="EK100" s="278"/>
      <c r="EL100" s="298"/>
      <c r="EM100" s="299">
        <f>-EM94/EM91</f>
        <v>0.40274562040271311</v>
      </c>
      <c r="EN100" s="299">
        <f>-EN94/EN91</f>
        <v>0.18125651262239414</v>
      </c>
      <c r="EO100" s="250"/>
      <c r="EP100" s="300">
        <f>-EP94/EP91</f>
        <v>0.24999999999999994</v>
      </c>
      <c r="EQ100" s="278"/>
      <c r="ER100" s="278"/>
      <c r="ES100" s="278"/>
      <c r="ET100" s="298"/>
      <c r="EU100" s="299">
        <f>-EU94/EU91</f>
        <v>0.39971315781058209</v>
      </c>
      <c r="EV100" s="299">
        <f>-EV94/EV91</f>
        <v>0.1818775086149079</v>
      </c>
      <c r="EW100" s="250"/>
      <c r="EX100" s="300">
        <f>-EX94/EX91</f>
        <v>0.24999999999999994</v>
      </c>
      <c r="EY100" s="278"/>
      <c r="EZ100" s="278"/>
      <c r="FA100" s="278"/>
      <c r="FB100" s="298"/>
      <c r="FC100" s="299">
        <f>-FC94/FC91</f>
        <v>0.39266887378318877</v>
      </c>
      <c r="FD100" s="299">
        <f>-FD94/FD91</f>
        <v>0.1833743629924493</v>
      </c>
      <c r="FE100" s="250"/>
      <c r="FF100" s="300">
        <f>-FF94/FF91</f>
        <v>0.24999999999999994</v>
      </c>
    </row>
    <row r="101" spans="1:162" ht="11.25" customHeight="1" x14ac:dyDescent="0.2">
      <c r="B101" s="197"/>
      <c r="C101" s="288"/>
      <c r="D101" s="289"/>
      <c r="E101" s="289"/>
      <c r="F101" s="290"/>
      <c r="G101" s="289"/>
      <c r="H101" s="289"/>
      <c r="I101" s="291"/>
      <c r="J101" s="291"/>
      <c r="K101" s="288"/>
      <c r="L101" s="289"/>
      <c r="M101" s="289"/>
      <c r="N101" s="290"/>
      <c r="O101" s="289"/>
      <c r="P101" s="289"/>
      <c r="Q101" s="291"/>
      <c r="R101" s="291"/>
      <c r="S101" s="288"/>
      <c r="T101" s="289"/>
      <c r="U101" s="289"/>
      <c r="V101" s="290"/>
      <c r="W101" s="289"/>
      <c r="X101" s="289"/>
      <c r="Y101" s="291"/>
      <c r="Z101" s="291"/>
      <c r="AA101" s="288"/>
      <c r="AB101" s="289"/>
      <c r="AC101" s="289"/>
      <c r="AD101" s="290"/>
      <c r="AE101" s="289"/>
      <c r="AF101" s="289"/>
      <c r="AG101" s="291"/>
      <c r="AH101" s="291"/>
      <c r="AI101" s="288"/>
      <c r="AJ101" s="289"/>
      <c r="AK101" s="289"/>
      <c r="AL101" s="290"/>
      <c r="AM101" s="289"/>
      <c r="AN101" s="289"/>
      <c r="AO101" s="291"/>
      <c r="AP101" s="291"/>
      <c r="AQ101" s="288"/>
      <c r="AR101" s="289"/>
      <c r="AS101" s="289"/>
      <c r="AT101" s="290"/>
      <c r="AU101" s="289"/>
      <c r="AV101" s="289"/>
      <c r="AW101" s="291"/>
      <c r="AX101" s="291"/>
      <c r="AY101" s="288"/>
      <c r="AZ101" s="289"/>
      <c r="BA101" s="289"/>
      <c r="BB101" s="290"/>
      <c r="BC101" s="289"/>
      <c r="BD101" s="289"/>
      <c r="BE101" s="291"/>
      <c r="BF101" s="291"/>
      <c r="BG101" s="288"/>
      <c r="BH101" s="289"/>
      <c r="BI101" s="289"/>
      <c r="BJ101" s="290"/>
      <c r="BK101" s="289"/>
      <c r="BL101" s="289"/>
      <c r="BM101" s="291"/>
      <c r="BN101" s="291"/>
      <c r="BO101" s="288"/>
      <c r="BP101" s="289"/>
      <c r="BQ101" s="289"/>
      <c r="BR101" s="290"/>
      <c r="BS101" s="289"/>
      <c r="BT101" s="289"/>
      <c r="BU101" s="291"/>
      <c r="BV101" s="291"/>
      <c r="BW101" s="288"/>
      <c r="BX101" s="289"/>
      <c r="BY101" s="289"/>
      <c r="BZ101" s="290"/>
      <c r="CA101" s="289"/>
      <c r="CB101" s="289"/>
      <c r="CC101" s="291"/>
      <c r="CD101" s="291"/>
      <c r="CE101" s="288"/>
      <c r="CF101" s="289"/>
      <c r="CG101" s="289"/>
      <c r="CH101" s="290"/>
      <c r="CI101" s="289"/>
      <c r="CJ101" s="289"/>
      <c r="CK101" s="291"/>
      <c r="CL101" s="291"/>
      <c r="CM101" s="288"/>
      <c r="CN101" s="289"/>
      <c r="CO101" s="289"/>
      <c r="CP101" s="290"/>
      <c r="CQ101" s="289"/>
      <c r="CR101" s="289"/>
      <c r="CS101" s="291"/>
      <c r="CT101" s="291"/>
      <c r="CU101" s="289"/>
      <c r="CV101" s="289"/>
      <c r="CW101" s="289"/>
      <c r="CX101" s="290"/>
      <c r="CY101" s="289"/>
      <c r="CZ101" s="289"/>
      <c r="DA101" s="291"/>
      <c r="DB101" s="291"/>
      <c r="DC101" s="289"/>
      <c r="DD101" s="289"/>
      <c r="DE101" s="289"/>
      <c r="DF101" s="290"/>
      <c r="DG101" s="289"/>
      <c r="DH101" s="289"/>
      <c r="DI101" s="291"/>
      <c r="DJ101" s="291"/>
      <c r="DK101" s="289"/>
      <c r="DL101" s="289"/>
      <c r="DM101" s="289"/>
      <c r="DN101" s="290"/>
      <c r="DO101" s="289"/>
      <c r="DP101" s="289"/>
      <c r="DQ101" s="291"/>
      <c r="DR101" s="291"/>
      <c r="DS101" s="289"/>
      <c r="DT101" s="289"/>
      <c r="DU101" s="289"/>
      <c r="DV101" s="290"/>
      <c r="DW101" s="289"/>
      <c r="DX101" s="289"/>
      <c r="DY101" s="291"/>
      <c r="DZ101" s="291"/>
      <c r="EA101" s="289"/>
      <c r="EB101" s="289"/>
      <c r="EC101" s="289"/>
      <c r="ED101" s="290"/>
      <c r="EE101" s="289"/>
      <c r="EF101" s="289"/>
      <c r="EG101" s="291"/>
      <c r="EH101" s="291"/>
      <c r="EI101" s="289"/>
      <c r="EJ101" s="289"/>
      <c r="EK101" s="289"/>
      <c r="EL101" s="290"/>
      <c r="EM101" s="289"/>
      <c r="EN101" s="289"/>
      <c r="EO101" s="291"/>
      <c r="EP101" s="291"/>
      <c r="EQ101" s="289"/>
      <c r="ER101" s="289"/>
      <c r="ES101" s="289"/>
      <c r="ET101" s="290"/>
      <c r="EU101" s="289"/>
      <c r="EV101" s="289"/>
      <c r="EW101" s="291"/>
      <c r="EX101" s="291"/>
      <c r="EY101" s="289"/>
      <c r="EZ101" s="289"/>
      <c r="FA101" s="289"/>
      <c r="FB101" s="290"/>
      <c r="FC101" s="289"/>
      <c r="FD101" s="289"/>
      <c r="FE101" s="291"/>
      <c r="FF101" s="291"/>
    </row>
    <row r="102" spans="1:162" ht="11.25" customHeight="1" x14ac:dyDescent="0.2">
      <c r="A102" s="4" t="s">
        <v>301</v>
      </c>
      <c r="C102" s="288"/>
      <c r="D102" s="289"/>
      <c r="E102" s="289"/>
      <c r="F102" s="290"/>
      <c r="G102" s="289">
        <v>10</v>
      </c>
      <c r="H102" s="289">
        <f>J102-G102</f>
        <v>5</v>
      </c>
      <c r="I102" s="291"/>
      <c r="J102" s="291">
        <v>15</v>
      </c>
      <c r="K102" s="288"/>
      <c r="L102" s="289"/>
      <c r="M102" s="289"/>
      <c r="N102" s="290"/>
      <c r="O102" s="289">
        <v>7</v>
      </c>
      <c r="P102" s="289">
        <f>R102-O102</f>
        <v>11</v>
      </c>
      <c r="Q102" s="291"/>
      <c r="R102" s="291">
        <v>18</v>
      </c>
      <c r="S102" s="288"/>
      <c r="T102" s="289"/>
      <c r="U102" s="289"/>
      <c r="V102" s="290"/>
      <c r="W102" s="289">
        <v>4</v>
      </c>
      <c r="X102" s="289">
        <f>Z102-W102</f>
        <v>0</v>
      </c>
      <c r="Y102" s="291"/>
      <c r="Z102" s="291">
        <f>IS!M31</f>
        <v>4</v>
      </c>
      <c r="AA102" s="288"/>
      <c r="AB102" s="289"/>
      <c r="AC102" s="289"/>
      <c r="AD102" s="290"/>
      <c r="AE102" s="289">
        <v>0</v>
      </c>
      <c r="AF102" s="289">
        <f>+AH102-AE102</f>
        <v>0</v>
      </c>
      <c r="AG102" s="291"/>
      <c r="AH102" s="291">
        <f>IS!N31</f>
        <v>0</v>
      </c>
      <c r="AI102" s="288"/>
      <c r="AJ102" s="289"/>
      <c r="AK102" s="289"/>
      <c r="AL102" s="290"/>
      <c r="AM102" s="289">
        <v>0</v>
      </c>
      <c r="AN102" s="289"/>
      <c r="AO102" s="291"/>
      <c r="AP102" s="291">
        <f>IS!O31</f>
        <v>0</v>
      </c>
      <c r="AQ102" s="288"/>
      <c r="AR102" s="289"/>
      <c r="AS102" s="289"/>
      <c r="AT102" s="290"/>
      <c r="AU102" s="289">
        <v>0</v>
      </c>
      <c r="AV102" s="289"/>
      <c r="AW102" s="291"/>
      <c r="AX102" s="291"/>
      <c r="AY102" s="288"/>
      <c r="AZ102" s="289"/>
      <c r="BA102" s="289"/>
      <c r="BB102" s="290"/>
      <c r="BC102" s="289">
        <v>0</v>
      </c>
      <c r="BD102" s="289">
        <f>+BF102-BC102</f>
        <v>0</v>
      </c>
      <c r="BE102" s="291"/>
      <c r="BF102" s="291">
        <f>IS!P31</f>
        <v>0</v>
      </c>
      <c r="BG102" s="288"/>
      <c r="BH102" s="289"/>
      <c r="BI102" s="289"/>
      <c r="BJ102" s="290"/>
      <c r="BK102" s="289"/>
      <c r="BL102" s="289"/>
      <c r="BM102" s="291"/>
      <c r="BN102" s="291"/>
      <c r="BO102" s="288"/>
      <c r="BP102" s="289"/>
      <c r="BQ102" s="289"/>
      <c r="BR102" s="290"/>
      <c r="BS102" s="289">
        <v>0</v>
      </c>
      <c r="BT102" s="289">
        <f>+BV102-BS102</f>
        <v>0</v>
      </c>
      <c r="BU102" s="291"/>
      <c r="BV102" s="291">
        <f>IS!Q31</f>
        <v>0</v>
      </c>
      <c r="BW102" s="288"/>
      <c r="BX102" s="289"/>
      <c r="BY102" s="289"/>
      <c r="BZ102" s="290"/>
      <c r="CA102" s="289">
        <v>0</v>
      </c>
      <c r="CB102" s="289">
        <f>+CD102-CA102</f>
        <v>0</v>
      </c>
      <c r="CC102" s="291"/>
      <c r="CD102" s="291">
        <f>IS!R31</f>
        <v>0</v>
      </c>
      <c r="CE102" s="288"/>
      <c r="CF102" s="289"/>
      <c r="CG102" s="289"/>
      <c r="CH102" s="290"/>
      <c r="CI102" s="289">
        <v>0</v>
      </c>
      <c r="CJ102" s="289">
        <f>+CL102-CI102</f>
        <v>0</v>
      </c>
      <c r="CK102" s="291"/>
      <c r="CL102" s="291">
        <f>IS!S31</f>
        <v>0</v>
      </c>
      <c r="CM102" s="288"/>
      <c r="CN102" s="289"/>
      <c r="CO102" s="289"/>
      <c r="CP102" s="290"/>
      <c r="CQ102" s="289">
        <v>0</v>
      </c>
      <c r="CR102" s="289">
        <f>+CT102-CQ102</f>
        <v>0</v>
      </c>
      <c r="CS102" s="291"/>
      <c r="CT102" s="291">
        <f>IS!T31</f>
        <v>0</v>
      </c>
      <c r="CU102" s="289"/>
      <c r="CV102" s="289"/>
      <c r="CW102" s="289"/>
      <c r="CX102" s="290"/>
      <c r="CY102" s="289">
        <v>0</v>
      </c>
      <c r="CZ102" s="289">
        <f>+DB102-CY102</f>
        <v>0</v>
      </c>
      <c r="DA102" s="291"/>
      <c r="DB102" s="291">
        <f>IS!U31</f>
        <v>0</v>
      </c>
      <c r="DC102" s="289"/>
      <c r="DD102" s="289"/>
      <c r="DE102" s="289"/>
      <c r="DF102" s="290"/>
      <c r="DG102" s="289">
        <v>0</v>
      </c>
      <c r="DH102" s="289">
        <f>+DJ102-DG102</f>
        <v>0</v>
      </c>
      <c r="DI102" s="291"/>
      <c r="DJ102" s="291">
        <f>IS!V31</f>
        <v>0</v>
      </c>
      <c r="DK102" s="289"/>
      <c r="DL102" s="289"/>
      <c r="DM102" s="289"/>
      <c r="DN102" s="290"/>
      <c r="DO102" s="289">
        <v>0</v>
      </c>
      <c r="DP102" s="289">
        <f>+DR102-DO102</f>
        <v>0</v>
      </c>
      <c r="DQ102" s="291"/>
      <c r="DR102" s="291">
        <f>IS!W31</f>
        <v>0</v>
      </c>
      <c r="DS102" s="289"/>
      <c r="DT102" s="289"/>
      <c r="DU102" s="289"/>
      <c r="DV102" s="290"/>
      <c r="DW102" s="289">
        <v>0</v>
      </c>
      <c r="DX102" s="280">
        <f>DZ102-DW102</f>
        <v>0</v>
      </c>
      <c r="DY102" s="291"/>
      <c r="DZ102" s="287">
        <f>IS!X31</f>
        <v>0</v>
      </c>
      <c r="EA102" s="289"/>
      <c r="EB102" s="289"/>
      <c r="EC102" s="289"/>
      <c r="ED102" s="290"/>
      <c r="EE102" s="280">
        <f>EH102/2</f>
        <v>0</v>
      </c>
      <c r="EF102" s="280">
        <f>EH102-EE102</f>
        <v>0</v>
      </c>
      <c r="EG102" s="291"/>
      <c r="EH102" s="287">
        <f>IS!Y31</f>
        <v>0</v>
      </c>
      <c r="EI102" s="289"/>
      <c r="EJ102" s="289"/>
      <c r="EK102" s="289"/>
      <c r="EL102" s="290"/>
      <c r="EM102" s="280">
        <f>EP102/2</f>
        <v>0</v>
      </c>
      <c r="EN102" s="280">
        <f>EP102-EM102</f>
        <v>0</v>
      </c>
      <c r="EO102" s="291"/>
      <c r="EP102" s="287">
        <f>IS!Z31</f>
        <v>0</v>
      </c>
      <c r="EQ102" s="289"/>
      <c r="ER102" s="289"/>
      <c r="ES102" s="289"/>
      <c r="ET102" s="290"/>
      <c r="EU102" s="280">
        <f>EX102/2</f>
        <v>0</v>
      </c>
      <c r="EV102" s="280">
        <f>EX102-EU102</f>
        <v>0</v>
      </c>
      <c r="EW102" s="291"/>
      <c r="EX102" s="287">
        <f>IS!AA31</f>
        <v>0</v>
      </c>
      <c r="EY102" s="289"/>
      <c r="EZ102" s="289"/>
      <c r="FA102" s="289"/>
      <c r="FB102" s="290"/>
      <c r="FC102" s="280">
        <f>FF102/2</f>
        <v>0</v>
      </c>
      <c r="FD102" s="280">
        <f>FF102-FC102</f>
        <v>0</v>
      </c>
      <c r="FE102" s="291"/>
      <c r="FF102" s="287">
        <f>IS!AB31</f>
        <v>0</v>
      </c>
    </row>
    <row r="103" spans="1:162" ht="11.25" customHeight="1" x14ac:dyDescent="0.2">
      <c r="A103" s="4" t="s">
        <v>302</v>
      </c>
      <c r="C103" s="288"/>
      <c r="D103" s="289"/>
      <c r="E103" s="289"/>
      <c r="F103" s="290"/>
      <c r="G103" s="289">
        <v>131</v>
      </c>
      <c r="H103" s="289">
        <f>J103-G103</f>
        <v>0</v>
      </c>
      <c r="I103" s="291"/>
      <c r="J103" s="291">
        <v>131</v>
      </c>
      <c r="K103" s="288"/>
      <c r="L103" s="289"/>
      <c r="M103" s="289"/>
      <c r="N103" s="290"/>
      <c r="O103" s="289">
        <v>0</v>
      </c>
      <c r="P103" s="289">
        <f>R103-O103</f>
        <v>0</v>
      </c>
      <c r="Q103" s="291"/>
      <c r="R103" s="291">
        <v>0</v>
      </c>
      <c r="S103" s="288"/>
      <c r="T103" s="289"/>
      <c r="U103" s="289"/>
      <c r="V103" s="290"/>
      <c r="W103" s="289">
        <v>419</v>
      </c>
      <c r="X103" s="289">
        <f>Z103-W103</f>
        <v>2</v>
      </c>
      <c r="Y103" s="291"/>
      <c r="Z103" s="291">
        <f>IS!M35</f>
        <v>421</v>
      </c>
      <c r="AA103" s="288"/>
      <c r="AB103" s="289"/>
      <c r="AC103" s="289"/>
      <c r="AD103" s="290"/>
      <c r="AE103" s="289">
        <v>0</v>
      </c>
      <c r="AF103" s="289">
        <f>+AH103-AE103</f>
        <v>0</v>
      </c>
      <c r="AG103" s="291"/>
      <c r="AH103" s="291">
        <f>IS!N35</f>
        <v>0</v>
      </c>
      <c r="AI103" s="288"/>
      <c r="AJ103" s="289"/>
      <c r="AK103" s="289"/>
      <c r="AL103" s="290"/>
      <c r="AM103" s="289">
        <v>0</v>
      </c>
      <c r="AN103" s="289"/>
      <c r="AO103" s="291"/>
      <c r="AP103" s="291">
        <f>IS!O35</f>
        <v>824</v>
      </c>
      <c r="AQ103" s="288"/>
      <c r="AR103" s="289"/>
      <c r="AS103" s="289"/>
      <c r="AT103" s="290"/>
      <c r="AU103" s="289">
        <v>0</v>
      </c>
      <c r="AV103" s="289"/>
      <c r="AW103" s="291"/>
      <c r="AX103" s="291"/>
      <c r="AY103" s="288"/>
      <c r="AZ103" s="289"/>
      <c r="BA103" s="289"/>
      <c r="BB103" s="290"/>
      <c r="BC103" s="289">
        <v>0</v>
      </c>
      <c r="BD103" s="289">
        <f>+BF103-BC103</f>
        <v>0</v>
      </c>
      <c r="BE103" s="291"/>
      <c r="BF103" s="291">
        <f>IS!P35</f>
        <v>0</v>
      </c>
      <c r="BG103" s="288"/>
      <c r="BH103" s="289"/>
      <c r="BI103" s="289"/>
      <c r="BJ103" s="290"/>
      <c r="BK103" s="289"/>
      <c r="BL103" s="289"/>
      <c r="BM103" s="291"/>
      <c r="BN103" s="291"/>
      <c r="BO103" s="288"/>
      <c r="BP103" s="289"/>
      <c r="BQ103" s="289"/>
      <c r="BR103" s="290"/>
      <c r="BS103" s="289">
        <v>0</v>
      </c>
      <c r="BT103" s="289">
        <f>+BV103-BS103</f>
        <v>0</v>
      </c>
      <c r="BU103" s="291"/>
      <c r="BV103" s="291">
        <f>IS!Q35</f>
        <v>0</v>
      </c>
      <c r="BW103" s="288"/>
      <c r="BX103" s="289"/>
      <c r="BY103" s="289"/>
      <c r="BZ103" s="290"/>
      <c r="CA103" s="289">
        <v>0</v>
      </c>
      <c r="CB103" s="289">
        <f>+CD103-CA103</f>
        <v>0</v>
      </c>
      <c r="CC103" s="291"/>
      <c r="CD103" s="291">
        <f>IS!R35</f>
        <v>0</v>
      </c>
      <c r="CE103" s="288"/>
      <c r="CF103" s="289"/>
      <c r="CG103" s="289"/>
      <c r="CH103" s="290"/>
      <c r="CI103" s="289">
        <v>0</v>
      </c>
      <c r="CJ103" s="289">
        <f>+CL103-CI103</f>
        <v>0</v>
      </c>
      <c r="CK103" s="291"/>
      <c r="CL103" s="291">
        <f>IS!S35</f>
        <v>0</v>
      </c>
      <c r="CM103" s="288"/>
      <c r="CN103" s="289"/>
      <c r="CO103" s="289"/>
      <c r="CP103" s="290"/>
      <c r="CQ103" s="289">
        <v>0</v>
      </c>
      <c r="CR103" s="289">
        <f>+CT103-CQ103</f>
        <v>0</v>
      </c>
      <c r="CS103" s="291"/>
      <c r="CT103" s="291">
        <f>IS!T35</f>
        <v>0</v>
      </c>
      <c r="CU103" s="289"/>
      <c r="CV103" s="289"/>
      <c r="CW103" s="289"/>
      <c r="CX103" s="290"/>
      <c r="CY103" s="289">
        <v>0</v>
      </c>
      <c r="CZ103" s="289">
        <f>+DB103-CY103</f>
        <v>0</v>
      </c>
      <c r="DA103" s="291"/>
      <c r="DB103" s="291">
        <f>IS!U35</f>
        <v>0</v>
      </c>
      <c r="DC103" s="289"/>
      <c r="DD103" s="289"/>
      <c r="DE103" s="289"/>
      <c r="DF103" s="290"/>
      <c r="DG103" s="289">
        <v>0</v>
      </c>
      <c r="DH103" s="289">
        <f>+DJ103-DG103</f>
        <v>0</v>
      </c>
      <c r="DI103" s="291"/>
      <c r="DJ103" s="291">
        <f>IS!V35</f>
        <v>0</v>
      </c>
      <c r="DK103" s="289"/>
      <c r="DL103" s="289"/>
      <c r="DM103" s="289"/>
      <c r="DN103" s="290"/>
      <c r="DO103" s="289">
        <v>0</v>
      </c>
      <c r="DP103" s="289">
        <f>+DR103-DO103</f>
        <v>0</v>
      </c>
      <c r="DQ103" s="291"/>
      <c r="DR103" s="291">
        <f>IS!W35</f>
        <v>0</v>
      </c>
      <c r="DS103" s="289"/>
      <c r="DT103" s="289"/>
      <c r="DU103" s="289"/>
      <c r="DV103" s="290"/>
      <c r="DW103" s="289">
        <v>0</v>
      </c>
      <c r="DX103" s="280">
        <f>DZ103-DW103</f>
        <v>0</v>
      </c>
      <c r="DY103" s="291"/>
      <c r="DZ103" s="287">
        <f>IS!X35</f>
        <v>0</v>
      </c>
      <c r="EA103" s="289"/>
      <c r="EB103" s="289"/>
      <c r="EC103" s="289"/>
      <c r="ED103" s="290"/>
      <c r="EE103" s="280">
        <f>EH103/2</f>
        <v>0</v>
      </c>
      <c r="EF103" s="280">
        <f>EH103-EE103</f>
        <v>0</v>
      </c>
      <c r="EG103" s="291"/>
      <c r="EH103" s="287">
        <f>IS!Y35</f>
        <v>0</v>
      </c>
      <c r="EI103" s="289"/>
      <c r="EJ103" s="289"/>
      <c r="EK103" s="289"/>
      <c r="EL103" s="290"/>
      <c r="EM103" s="280">
        <f>EP103/2</f>
        <v>0</v>
      </c>
      <c r="EN103" s="280">
        <f>EP103-EM103</f>
        <v>0</v>
      </c>
      <c r="EO103" s="291"/>
      <c r="EP103" s="287">
        <f>IS!Z35</f>
        <v>0</v>
      </c>
      <c r="EQ103" s="289"/>
      <c r="ER103" s="289"/>
      <c r="ES103" s="289"/>
      <c r="ET103" s="290"/>
      <c r="EU103" s="280">
        <f>EX103/2</f>
        <v>0</v>
      </c>
      <c r="EV103" s="280">
        <f>EX103-EU103</f>
        <v>0</v>
      </c>
      <c r="EW103" s="291"/>
      <c r="EX103" s="287">
        <f>IS!AA35</f>
        <v>0</v>
      </c>
      <c r="EY103" s="289"/>
      <c r="EZ103" s="289"/>
      <c r="FA103" s="289"/>
      <c r="FB103" s="290"/>
      <c r="FC103" s="280">
        <f>FF103/2</f>
        <v>0</v>
      </c>
      <c r="FD103" s="280">
        <f>FF103-FC103</f>
        <v>0</v>
      </c>
      <c r="FE103" s="291"/>
      <c r="FF103" s="287">
        <f>IS!AB35</f>
        <v>0</v>
      </c>
    </row>
    <row r="104" spans="1:162" ht="11.25" customHeight="1" x14ac:dyDescent="0.2">
      <c r="C104" s="288"/>
      <c r="D104" s="289"/>
      <c r="E104" s="289"/>
      <c r="F104" s="290"/>
      <c r="G104" s="289"/>
      <c r="H104" s="289"/>
      <c r="I104" s="291"/>
      <c r="J104" s="291"/>
      <c r="K104" s="288"/>
      <c r="L104" s="289"/>
      <c r="M104" s="289"/>
      <c r="N104" s="290"/>
      <c r="O104" s="289"/>
      <c r="P104" s="289"/>
      <c r="Q104" s="291"/>
      <c r="R104" s="291"/>
      <c r="S104" s="288"/>
      <c r="T104" s="289"/>
      <c r="U104" s="289"/>
      <c r="V104" s="290"/>
      <c r="W104" s="289"/>
      <c r="X104" s="289"/>
      <c r="Y104" s="291"/>
      <c r="Z104" s="291"/>
      <c r="AA104" s="288"/>
      <c r="AB104" s="289"/>
      <c r="AC104" s="289"/>
      <c r="AD104" s="290"/>
      <c r="AE104" s="289"/>
      <c r="AF104" s="289"/>
      <c r="AG104" s="291"/>
      <c r="AH104" s="291"/>
      <c r="AI104" s="288"/>
      <c r="AJ104" s="289"/>
      <c r="AK104" s="289"/>
      <c r="AL104" s="290"/>
      <c r="AM104" s="289"/>
      <c r="AN104" s="289"/>
      <c r="AO104" s="291"/>
      <c r="AP104" s="291"/>
      <c r="AQ104" s="288"/>
      <c r="AR104" s="289"/>
      <c r="AS104" s="289"/>
      <c r="AT104" s="290"/>
      <c r="AU104" s="289"/>
      <c r="AV104" s="289"/>
      <c r="AW104" s="291"/>
      <c r="AX104" s="291"/>
      <c r="AY104" s="288"/>
      <c r="AZ104" s="289"/>
      <c r="BA104" s="289"/>
      <c r="BB104" s="290"/>
      <c r="BC104" s="289"/>
      <c r="BD104" s="289"/>
      <c r="BE104" s="291"/>
      <c r="BF104" s="291"/>
      <c r="BG104" s="288"/>
      <c r="BH104" s="289"/>
      <c r="BI104" s="289"/>
      <c r="BJ104" s="290"/>
      <c r="BK104" s="289"/>
      <c r="BL104" s="289"/>
      <c r="BM104" s="291"/>
      <c r="BN104" s="291"/>
      <c r="BO104" s="288"/>
      <c r="BP104" s="289"/>
      <c r="BQ104" s="289"/>
      <c r="BR104" s="290"/>
      <c r="BS104" s="289"/>
      <c r="BT104" s="289"/>
      <c r="BU104" s="291"/>
      <c r="BV104" s="291"/>
      <c r="BW104" s="288"/>
      <c r="BX104" s="289"/>
      <c r="BY104" s="289"/>
      <c r="BZ104" s="290"/>
      <c r="CA104" s="289"/>
      <c r="CB104" s="289"/>
      <c r="CC104" s="291"/>
      <c r="CD104" s="291"/>
      <c r="CE104" s="288"/>
      <c r="CF104" s="289"/>
      <c r="CG104" s="289"/>
      <c r="CH104" s="290"/>
      <c r="CI104" s="289"/>
      <c r="CJ104" s="289"/>
      <c r="CK104" s="291"/>
      <c r="CL104" s="291"/>
      <c r="CM104" s="288"/>
      <c r="CN104" s="289"/>
      <c r="CO104" s="289"/>
      <c r="CP104" s="290"/>
      <c r="CQ104" s="289"/>
      <c r="CR104" s="289"/>
      <c r="CS104" s="291"/>
      <c r="CT104" s="291"/>
      <c r="CU104" s="289"/>
      <c r="CV104" s="289"/>
      <c r="CW104" s="289"/>
      <c r="CX104" s="290"/>
      <c r="CY104" s="289"/>
      <c r="CZ104" s="289"/>
      <c r="DA104" s="291"/>
      <c r="DB104" s="291"/>
      <c r="DC104" s="289"/>
      <c r="DD104" s="289"/>
      <c r="DE104" s="289"/>
      <c r="DF104" s="290"/>
      <c r="DG104" s="289"/>
      <c r="DH104" s="289"/>
      <c r="DI104" s="291"/>
      <c r="DJ104" s="291"/>
      <c r="DK104" s="289"/>
      <c r="DL104" s="289"/>
      <c r="DM104" s="289"/>
      <c r="DN104" s="290"/>
      <c r="DO104" s="289"/>
      <c r="DP104" s="289"/>
      <c r="DQ104" s="291"/>
      <c r="DR104" s="291"/>
      <c r="DS104" s="289"/>
      <c r="DT104" s="289"/>
      <c r="DU104" s="289"/>
      <c r="DV104" s="290"/>
      <c r="DW104" s="289"/>
      <c r="DX104" s="289"/>
      <c r="DY104" s="291"/>
      <c r="DZ104" s="291"/>
      <c r="EA104" s="289"/>
      <c r="EB104" s="289"/>
      <c r="EC104" s="289"/>
      <c r="ED104" s="290"/>
      <c r="EE104" s="289"/>
      <c r="EF104" s="289"/>
      <c r="EG104" s="291"/>
      <c r="EH104" s="291"/>
      <c r="EI104" s="289"/>
      <c r="EJ104" s="289"/>
      <c r="EK104" s="289"/>
      <c r="EL104" s="290"/>
      <c r="EM104" s="289"/>
      <c r="EN104" s="289"/>
      <c r="EO104" s="291"/>
      <c r="EP104" s="291"/>
      <c r="EQ104" s="289"/>
      <c r="ER104" s="289"/>
      <c r="ES104" s="289"/>
      <c r="ET104" s="290"/>
      <c r="EU104" s="289"/>
      <c r="EV104" s="289"/>
      <c r="EW104" s="291"/>
      <c r="EX104" s="291"/>
      <c r="EY104" s="289"/>
      <c r="EZ104" s="289"/>
      <c r="FA104" s="289"/>
      <c r="FB104" s="290"/>
      <c r="FC104" s="289"/>
      <c r="FD104" s="289"/>
      <c r="FE104" s="291"/>
      <c r="FF104" s="291"/>
    </row>
    <row r="105" spans="1:162" ht="11.25" customHeight="1" x14ac:dyDescent="0.2">
      <c r="A105" s="4" t="s">
        <v>303</v>
      </c>
      <c r="C105" s="288"/>
      <c r="D105" s="289"/>
      <c r="E105" s="289"/>
      <c r="F105" s="290"/>
      <c r="G105" s="289"/>
      <c r="H105" s="289"/>
      <c r="I105" s="291"/>
      <c r="J105" s="291"/>
      <c r="K105" s="288"/>
      <c r="L105" s="289"/>
      <c r="M105" s="289"/>
      <c r="N105" s="290"/>
      <c r="O105" s="289"/>
      <c r="P105" s="289"/>
      <c r="Q105" s="291"/>
      <c r="R105" s="291"/>
      <c r="S105" s="288"/>
      <c r="T105" s="289"/>
      <c r="U105" s="289"/>
      <c r="V105" s="290"/>
      <c r="W105" s="289"/>
      <c r="X105" s="289"/>
      <c r="Y105" s="291"/>
      <c r="Z105" s="291"/>
      <c r="AA105" s="288"/>
      <c r="AB105" s="289"/>
      <c r="AC105" s="289"/>
      <c r="AD105" s="290"/>
      <c r="AE105" s="289"/>
      <c r="AF105" s="289"/>
      <c r="AG105" s="291"/>
      <c r="AH105" s="291">
        <v>117</v>
      </c>
      <c r="AI105" s="288"/>
      <c r="AJ105" s="289"/>
      <c r="AK105" s="289"/>
      <c r="AL105" s="290"/>
      <c r="AM105" s="289">
        <v>765</v>
      </c>
      <c r="AN105" s="289">
        <f>+AP105-AM105</f>
        <v>-766</v>
      </c>
      <c r="AO105" s="291"/>
      <c r="AP105" s="291">
        <f>IS!O37</f>
        <v>-1</v>
      </c>
      <c r="AQ105" s="288"/>
      <c r="AR105" s="289"/>
      <c r="AS105" s="289"/>
      <c r="AT105" s="290"/>
      <c r="AU105" s="289">
        <v>773</v>
      </c>
      <c r="AV105" s="289"/>
      <c r="AW105" s="291"/>
      <c r="AX105" s="291"/>
      <c r="AY105" s="288"/>
      <c r="AZ105" s="289"/>
      <c r="BA105" s="289"/>
      <c r="BB105" s="290"/>
      <c r="BC105" s="289">
        <v>0</v>
      </c>
      <c r="BD105" s="289">
        <f>+BF105-BC105</f>
        <v>0</v>
      </c>
      <c r="BE105" s="291"/>
      <c r="BF105" s="291">
        <f>IS!P37</f>
        <v>0</v>
      </c>
      <c r="BG105" s="288"/>
      <c r="BH105" s="289"/>
      <c r="BI105" s="289"/>
      <c r="BJ105" s="290"/>
      <c r="BK105" s="289"/>
      <c r="BL105" s="289"/>
      <c r="BM105" s="291"/>
      <c r="BN105" s="291"/>
      <c r="BO105" s="288"/>
      <c r="BP105" s="289"/>
      <c r="BQ105" s="289"/>
      <c r="BR105" s="290"/>
      <c r="BS105" s="289">
        <v>0</v>
      </c>
      <c r="BT105" s="289">
        <f>+BV105-BS105</f>
        <v>0</v>
      </c>
      <c r="BU105" s="291"/>
      <c r="BV105" s="291">
        <f>IS!Q37</f>
        <v>0</v>
      </c>
      <c r="BW105" s="288"/>
      <c r="BX105" s="289"/>
      <c r="BY105" s="289"/>
      <c r="BZ105" s="290"/>
      <c r="CA105" s="289">
        <v>0</v>
      </c>
      <c r="CB105" s="289">
        <f>+CD105-CA105</f>
        <v>0</v>
      </c>
      <c r="CC105" s="291"/>
      <c r="CD105" s="291">
        <f>IS!R37</f>
        <v>0</v>
      </c>
      <c r="CE105" s="288"/>
      <c r="CF105" s="289"/>
      <c r="CG105" s="289"/>
      <c r="CH105" s="290"/>
      <c r="CI105" s="289">
        <v>0</v>
      </c>
      <c r="CJ105" s="289">
        <f>+CL105-CI105</f>
        <v>0</v>
      </c>
      <c r="CK105" s="291"/>
      <c r="CL105" s="291">
        <f>IS!S37</f>
        <v>0</v>
      </c>
      <c r="CM105" s="288"/>
      <c r="CN105" s="289"/>
      <c r="CO105" s="289"/>
      <c r="CP105" s="290"/>
      <c r="CQ105" s="289">
        <v>0</v>
      </c>
      <c r="CR105" s="289">
        <f>+CT105-CQ105</f>
        <v>0</v>
      </c>
      <c r="CS105" s="291"/>
      <c r="CT105" s="291">
        <f>IS!T37</f>
        <v>0</v>
      </c>
      <c r="CU105" s="289"/>
      <c r="CV105" s="289"/>
      <c r="CW105" s="289"/>
      <c r="CX105" s="290"/>
      <c r="CY105" s="289">
        <v>0</v>
      </c>
      <c r="CZ105" s="289">
        <f>+DB105-CY105</f>
        <v>0</v>
      </c>
      <c r="DA105" s="291"/>
      <c r="DB105" s="291">
        <f>IS!U37</f>
        <v>0</v>
      </c>
      <c r="DC105" s="289"/>
      <c r="DD105" s="289"/>
      <c r="DE105" s="289"/>
      <c r="DF105" s="290"/>
      <c r="DG105" s="289">
        <v>0</v>
      </c>
      <c r="DH105" s="289">
        <f>+DJ105-DG105</f>
        <v>0</v>
      </c>
      <c r="DI105" s="291"/>
      <c r="DJ105" s="291">
        <f>IS!V37</f>
        <v>0</v>
      </c>
      <c r="DK105" s="289"/>
      <c r="DL105" s="289"/>
      <c r="DM105" s="289"/>
      <c r="DN105" s="290"/>
      <c r="DO105" s="289">
        <v>0</v>
      </c>
      <c r="DP105" s="289">
        <f>+DR105-DO105</f>
        <v>0</v>
      </c>
      <c r="DQ105" s="291"/>
      <c r="DR105" s="291">
        <f>IS!W37</f>
        <v>0</v>
      </c>
      <c r="DS105" s="289"/>
      <c r="DT105" s="289"/>
      <c r="DU105" s="289"/>
      <c r="DV105" s="290"/>
      <c r="DW105" s="289">
        <v>0</v>
      </c>
      <c r="DX105" s="280">
        <f>DZ105-DW105</f>
        <v>0</v>
      </c>
      <c r="DY105" s="291"/>
      <c r="DZ105" s="287">
        <f>IS!X37</f>
        <v>0</v>
      </c>
      <c r="EA105" s="289"/>
      <c r="EB105" s="289"/>
      <c r="EC105" s="289"/>
      <c r="ED105" s="290"/>
      <c r="EE105" s="280">
        <f>EH105/2</f>
        <v>0</v>
      </c>
      <c r="EF105" s="280">
        <f>EH105-EE105</f>
        <v>0</v>
      </c>
      <c r="EG105" s="291"/>
      <c r="EH105" s="287">
        <f>IS!Y37</f>
        <v>0</v>
      </c>
      <c r="EI105" s="289"/>
      <c r="EJ105" s="289"/>
      <c r="EK105" s="289"/>
      <c r="EL105" s="290"/>
      <c r="EM105" s="280">
        <f>EP105/2</f>
        <v>0</v>
      </c>
      <c r="EN105" s="280">
        <f>EP105-EM105</f>
        <v>0</v>
      </c>
      <c r="EO105" s="291"/>
      <c r="EP105" s="287">
        <f>IS!Z37</f>
        <v>0</v>
      </c>
      <c r="EQ105" s="289"/>
      <c r="ER105" s="289"/>
      <c r="ES105" s="289"/>
      <c r="ET105" s="290"/>
      <c r="EU105" s="280">
        <f>EX105/2</f>
        <v>0</v>
      </c>
      <c r="EV105" s="280">
        <f>EX105-EU105</f>
        <v>0</v>
      </c>
      <c r="EW105" s="291"/>
      <c r="EX105" s="287">
        <f>IS!AA37</f>
        <v>0</v>
      </c>
      <c r="EY105" s="289"/>
      <c r="EZ105" s="289"/>
      <c r="FA105" s="289"/>
      <c r="FB105" s="290"/>
      <c r="FC105" s="280">
        <f>FF105/2</f>
        <v>0</v>
      </c>
      <c r="FD105" s="280">
        <f>FF105-FC105</f>
        <v>0</v>
      </c>
      <c r="FE105" s="291"/>
      <c r="FF105" s="287">
        <f>IS!AB37</f>
        <v>0</v>
      </c>
    </row>
    <row r="106" spans="1:162" ht="11.25" customHeight="1" outlineLevel="1" x14ac:dyDescent="0.2">
      <c r="B106" s="197" t="s">
        <v>279</v>
      </c>
      <c r="C106" s="288"/>
      <c r="D106" s="289"/>
      <c r="E106" s="289"/>
      <c r="F106" s="290"/>
      <c r="G106" s="289"/>
      <c r="H106" s="289"/>
      <c r="I106" s="291"/>
      <c r="J106" s="291"/>
      <c r="K106" s="288"/>
      <c r="L106" s="289"/>
      <c r="M106" s="289"/>
      <c r="N106" s="290"/>
      <c r="O106" s="289"/>
      <c r="P106" s="289"/>
      <c r="Q106" s="291"/>
      <c r="R106" s="291"/>
      <c r="S106" s="288"/>
      <c r="T106" s="289"/>
      <c r="U106" s="289"/>
      <c r="V106" s="290"/>
      <c r="W106" s="289"/>
      <c r="X106" s="289"/>
      <c r="Y106" s="291"/>
      <c r="Z106" s="291"/>
      <c r="AA106" s="288"/>
      <c r="AB106" s="289"/>
      <c r="AC106" s="289"/>
      <c r="AD106" s="290"/>
      <c r="AE106" s="289"/>
      <c r="AF106" s="289"/>
      <c r="AG106" s="291"/>
      <c r="AH106" s="291">
        <v>-43</v>
      </c>
      <c r="AI106" s="288"/>
      <c r="AJ106" s="289"/>
      <c r="AK106" s="289"/>
      <c r="AL106" s="290"/>
      <c r="AM106" s="289">
        <v>0</v>
      </c>
      <c r="AN106" s="289"/>
      <c r="AO106" s="291"/>
      <c r="AP106" s="291"/>
      <c r="AQ106" s="288"/>
      <c r="AR106" s="289"/>
      <c r="AS106" s="289"/>
      <c r="AT106" s="290"/>
      <c r="AU106" s="289"/>
      <c r="AV106" s="289"/>
      <c r="AW106" s="291"/>
      <c r="AX106" s="291"/>
      <c r="AY106" s="288"/>
      <c r="AZ106" s="289"/>
      <c r="BA106" s="289"/>
      <c r="BB106" s="290"/>
      <c r="BC106" s="289"/>
      <c r="BD106" s="289">
        <f>+BF106-BC106</f>
        <v>0</v>
      </c>
      <c r="BE106" s="291"/>
      <c r="BF106" s="291"/>
      <c r="BG106" s="288"/>
      <c r="BH106" s="289"/>
      <c r="BI106" s="289"/>
      <c r="BJ106" s="290"/>
      <c r="BK106" s="289"/>
      <c r="BL106" s="289"/>
      <c r="BM106" s="291"/>
      <c r="BN106" s="291"/>
      <c r="BO106" s="288"/>
      <c r="BP106" s="289"/>
      <c r="BQ106" s="289"/>
      <c r="BR106" s="290"/>
      <c r="BS106" s="289"/>
      <c r="BT106" s="289">
        <f>+BV106-BS106</f>
        <v>0</v>
      </c>
      <c r="BU106" s="291"/>
      <c r="BV106" s="291"/>
      <c r="BW106" s="288"/>
      <c r="BX106" s="289"/>
      <c r="BY106" s="289"/>
      <c r="BZ106" s="290"/>
      <c r="CA106" s="289"/>
      <c r="CB106" s="289">
        <f>+CD106-CA106</f>
        <v>0</v>
      </c>
      <c r="CC106" s="291"/>
      <c r="CD106" s="291"/>
      <c r="CE106" s="288"/>
      <c r="CF106" s="289"/>
      <c r="CG106" s="289"/>
      <c r="CH106" s="290"/>
      <c r="CI106" s="289"/>
      <c r="CJ106" s="289">
        <f>+CL106-CI106</f>
        <v>0</v>
      </c>
      <c r="CK106" s="291"/>
      <c r="CL106" s="291"/>
      <c r="CM106" s="288"/>
      <c r="CN106" s="289"/>
      <c r="CO106" s="289"/>
      <c r="CP106" s="290"/>
      <c r="CQ106" s="289"/>
      <c r="CR106" s="289">
        <f>+CT106-CQ106</f>
        <v>0</v>
      </c>
      <c r="CS106" s="291"/>
      <c r="CT106" s="291"/>
      <c r="CU106" s="289"/>
      <c r="CV106" s="289"/>
      <c r="CW106" s="289"/>
      <c r="CX106" s="290"/>
      <c r="CY106" s="289"/>
      <c r="CZ106" s="289">
        <f>+DB106-CY106</f>
        <v>0</v>
      </c>
      <c r="DA106" s="291"/>
      <c r="DB106" s="291"/>
      <c r="DC106" s="289"/>
      <c r="DD106" s="289"/>
      <c r="DE106" s="289"/>
      <c r="DF106" s="290"/>
      <c r="DG106" s="289"/>
      <c r="DH106" s="289">
        <f>+DJ106-DG106</f>
        <v>0</v>
      </c>
      <c r="DI106" s="291"/>
      <c r="DJ106" s="291"/>
      <c r="DK106" s="289"/>
      <c r="DL106" s="289"/>
      <c r="DM106" s="289"/>
      <c r="DN106" s="290"/>
      <c r="DO106" s="289"/>
      <c r="DP106" s="289">
        <f>+DR106-DO106</f>
        <v>0</v>
      </c>
      <c r="DQ106" s="291"/>
      <c r="DR106" s="291"/>
      <c r="DS106" s="289"/>
      <c r="DT106" s="289"/>
      <c r="DU106" s="289"/>
      <c r="DV106" s="290"/>
      <c r="DW106" s="289"/>
      <c r="DX106" s="289"/>
      <c r="DY106" s="291"/>
      <c r="DZ106" s="291"/>
      <c r="EA106" s="289"/>
      <c r="EB106" s="289"/>
      <c r="EC106" s="289"/>
      <c r="ED106" s="290"/>
      <c r="EE106" s="289"/>
      <c r="EF106" s="289"/>
      <c r="EG106" s="291"/>
      <c r="EH106" s="291"/>
      <c r="EI106" s="289"/>
      <c r="EJ106" s="289"/>
      <c r="EK106" s="289"/>
      <c r="EL106" s="290"/>
      <c r="EM106" s="289"/>
      <c r="EN106" s="289"/>
      <c r="EO106" s="291"/>
      <c r="EP106" s="291"/>
      <c r="EQ106" s="289"/>
      <c r="ER106" s="289"/>
      <c r="ES106" s="289"/>
      <c r="ET106" s="290"/>
      <c r="EU106" s="289"/>
      <c r="EV106" s="289"/>
      <c r="EW106" s="291"/>
      <c r="EX106" s="291"/>
      <c r="EY106" s="289"/>
      <c r="EZ106" s="289"/>
      <c r="FA106" s="289"/>
      <c r="FB106" s="290"/>
      <c r="FC106" s="289"/>
      <c r="FD106" s="289"/>
      <c r="FE106" s="291"/>
      <c r="FF106" s="291"/>
    </row>
    <row r="107" spans="1:162" ht="11.25" customHeight="1" x14ac:dyDescent="0.2">
      <c r="A107" s="4" t="s">
        <v>304</v>
      </c>
      <c r="C107" s="288"/>
      <c r="D107" s="289"/>
      <c r="E107" s="289"/>
      <c r="F107" s="290"/>
      <c r="G107" s="289"/>
      <c r="H107" s="289"/>
      <c r="I107" s="291"/>
      <c r="J107" s="291"/>
      <c r="K107" s="288"/>
      <c r="L107" s="289"/>
      <c r="M107" s="289"/>
      <c r="N107" s="290"/>
      <c r="O107" s="289"/>
      <c r="P107" s="289"/>
      <c r="Q107" s="291"/>
      <c r="R107" s="291"/>
      <c r="S107" s="288"/>
      <c r="T107" s="289"/>
      <c r="U107" s="289"/>
      <c r="V107" s="290"/>
      <c r="W107" s="289"/>
      <c r="X107" s="289"/>
      <c r="Y107" s="291"/>
      <c r="Z107" s="291"/>
      <c r="AA107" s="288"/>
      <c r="AB107" s="289"/>
      <c r="AC107" s="289"/>
      <c r="AD107" s="290"/>
      <c r="AE107" s="289"/>
      <c r="AF107" s="289"/>
      <c r="AG107" s="291"/>
      <c r="AH107" s="291">
        <f>AH105+AH106</f>
        <v>74</v>
      </c>
      <c r="AI107" s="288"/>
      <c r="AJ107" s="289"/>
      <c r="AK107" s="289"/>
      <c r="AL107" s="290"/>
      <c r="AM107" s="289">
        <v>765</v>
      </c>
      <c r="AN107" s="289"/>
      <c r="AO107" s="291"/>
      <c r="AP107" s="291">
        <f>IS!O86</f>
        <v>-1</v>
      </c>
      <c r="AQ107" s="288"/>
      <c r="AR107" s="289"/>
      <c r="AS107" s="289"/>
      <c r="AT107" s="290"/>
      <c r="AU107" s="289">
        <v>773</v>
      </c>
      <c r="AV107" s="289"/>
      <c r="AW107" s="291"/>
      <c r="AX107" s="291"/>
      <c r="AY107" s="288"/>
      <c r="AZ107" s="289"/>
      <c r="BA107" s="289"/>
      <c r="BB107" s="290"/>
      <c r="BC107" s="289">
        <v>0</v>
      </c>
      <c r="BD107" s="289">
        <f>+BF107-BC107</f>
        <v>0</v>
      </c>
      <c r="BE107" s="291"/>
      <c r="BF107" s="291">
        <f>IS!P86</f>
        <v>0</v>
      </c>
      <c r="BG107" s="288"/>
      <c r="BH107" s="289"/>
      <c r="BI107" s="289"/>
      <c r="BJ107" s="290"/>
      <c r="BK107" s="289"/>
      <c r="BL107" s="289"/>
      <c r="BM107" s="291"/>
      <c r="BN107" s="291"/>
      <c r="BO107" s="288"/>
      <c r="BP107" s="289"/>
      <c r="BQ107" s="289"/>
      <c r="BR107" s="290"/>
      <c r="BS107" s="289">
        <v>0</v>
      </c>
      <c r="BT107" s="289">
        <f>+BV107-BS107</f>
        <v>0</v>
      </c>
      <c r="BU107" s="291"/>
      <c r="BV107" s="291">
        <f>IS!Q86</f>
        <v>0</v>
      </c>
      <c r="BW107" s="288"/>
      <c r="BX107" s="289"/>
      <c r="BY107" s="289"/>
      <c r="BZ107" s="290"/>
      <c r="CA107" s="289">
        <v>0</v>
      </c>
      <c r="CB107" s="289">
        <f>+CD107-CA107</f>
        <v>0</v>
      </c>
      <c r="CC107" s="291"/>
      <c r="CD107" s="291">
        <f>IS!R86</f>
        <v>0</v>
      </c>
      <c r="CE107" s="288"/>
      <c r="CF107" s="289"/>
      <c r="CG107" s="289"/>
      <c r="CH107" s="290"/>
      <c r="CI107" s="289">
        <v>0</v>
      </c>
      <c r="CJ107" s="289">
        <f>+CL107-CI107</f>
        <v>0</v>
      </c>
      <c r="CK107" s="291"/>
      <c r="CL107" s="291">
        <f>IS!S86</f>
        <v>0</v>
      </c>
      <c r="CM107" s="288"/>
      <c r="CN107" s="289"/>
      <c r="CO107" s="289"/>
      <c r="CP107" s="290"/>
      <c r="CQ107" s="289">
        <v>0</v>
      </c>
      <c r="CR107" s="289">
        <f>+CT107-CQ107</f>
        <v>0</v>
      </c>
      <c r="CS107" s="291"/>
      <c r="CT107" s="291">
        <f>IS!T86</f>
        <v>0</v>
      </c>
      <c r="CU107" s="289"/>
      <c r="CV107" s="289"/>
      <c r="CW107" s="289"/>
      <c r="CX107" s="290"/>
      <c r="CY107" s="289">
        <v>0</v>
      </c>
      <c r="CZ107" s="289">
        <f>+DB107-CY107</f>
        <v>0</v>
      </c>
      <c r="DA107" s="291"/>
      <c r="DB107" s="291">
        <f>IS!U86</f>
        <v>0</v>
      </c>
      <c r="DC107" s="289"/>
      <c r="DD107" s="289"/>
      <c r="DE107" s="289"/>
      <c r="DF107" s="290"/>
      <c r="DG107" s="289">
        <v>0</v>
      </c>
      <c r="DH107" s="289">
        <f>+DJ107-DG107</f>
        <v>0</v>
      </c>
      <c r="DI107" s="291"/>
      <c r="DJ107" s="291">
        <f>IS!V86</f>
        <v>0</v>
      </c>
      <c r="DK107" s="289"/>
      <c r="DL107" s="289"/>
      <c r="DM107" s="289"/>
      <c r="DN107" s="290"/>
      <c r="DO107" s="289">
        <v>0</v>
      </c>
      <c r="DP107" s="289">
        <f>+DR107-DO107</f>
        <v>0</v>
      </c>
      <c r="DQ107" s="291"/>
      <c r="DR107" s="291">
        <f>IS!W86</f>
        <v>0</v>
      </c>
      <c r="DS107" s="289"/>
      <c r="DT107" s="289"/>
      <c r="DU107" s="289"/>
      <c r="DV107" s="290"/>
      <c r="DW107" s="289">
        <v>0</v>
      </c>
      <c r="DX107" s="280">
        <f>DZ107-DW107</f>
        <v>0</v>
      </c>
      <c r="DY107" s="291"/>
      <c r="DZ107" s="287">
        <f>IS!X86</f>
        <v>0</v>
      </c>
      <c r="EA107" s="289"/>
      <c r="EB107" s="289"/>
      <c r="EC107" s="289"/>
      <c r="ED107" s="290"/>
      <c r="EE107" s="280">
        <f>EH107/2</f>
        <v>0</v>
      </c>
      <c r="EF107" s="280">
        <f>EH107-EE107</f>
        <v>0</v>
      </c>
      <c r="EG107" s="291"/>
      <c r="EH107" s="287">
        <f>IS!Y86</f>
        <v>0</v>
      </c>
      <c r="EI107" s="289"/>
      <c r="EJ107" s="289"/>
      <c r="EK107" s="289"/>
      <c r="EL107" s="290"/>
      <c r="EM107" s="280">
        <f>EP107/2</f>
        <v>0</v>
      </c>
      <c r="EN107" s="280">
        <f>EP107-EM107</f>
        <v>0</v>
      </c>
      <c r="EO107" s="291"/>
      <c r="EP107" s="287">
        <f>IS!Z86</f>
        <v>0</v>
      </c>
      <c r="EQ107" s="289"/>
      <c r="ER107" s="289"/>
      <c r="ES107" s="289"/>
      <c r="ET107" s="290"/>
      <c r="EU107" s="280">
        <f>EX107/2</f>
        <v>0</v>
      </c>
      <c r="EV107" s="280">
        <f>EX107-EU107</f>
        <v>0</v>
      </c>
      <c r="EW107" s="291"/>
      <c r="EX107" s="287">
        <f>IS!AA86</f>
        <v>0</v>
      </c>
      <c r="EY107" s="289"/>
      <c r="EZ107" s="289"/>
      <c r="FA107" s="289"/>
      <c r="FB107" s="290"/>
      <c r="FC107" s="280">
        <f>FF107/2</f>
        <v>0</v>
      </c>
      <c r="FD107" s="280">
        <f>FF107-FC107</f>
        <v>0</v>
      </c>
      <c r="FE107" s="291"/>
      <c r="FF107" s="287">
        <f>IS!AB86</f>
        <v>0</v>
      </c>
    </row>
    <row r="108" spans="1:162" ht="11.25" customHeight="1" x14ac:dyDescent="0.2">
      <c r="C108" s="288"/>
      <c r="D108" s="289"/>
      <c r="E108" s="289"/>
      <c r="F108" s="290"/>
      <c r="G108" s="289"/>
      <c r="H108" s="289"/>
      <c r="I108" s="291"/>
      <c r="J108" s="291"/>
      <c r="K108" s="288"/>
      <c r="L108" s="289"/>
      <c r="M108" s="289"/>
      <c r="N108" s="290"/>
      <c r="O108" s="289"/>
      <c r="P108" s="289"/>
      <c r="Q108" s="291"/>
      <c r="R108" s="291"/>
      <c r="S108" s="288"/>
      <c r="T108" s="289"/>
      <c r="U108" s="289"/>
      <c r="V108" s="290"/>
      <c r="W108" s="289"/>
      <c r="X108" s="289"/>
      <c r="Y108" s="291"/>
      <c r="Z108" s="291"/>
      <c r="AA108" s="288"/>
      <c r="AB108" s="289"/>
      <c r="AC108" s="289"/>
      <c r="AD108" s="290"/>
      <c r="AE108" s="289"/>
      <c r="AF108" s="289"/>
      <c r="AG108" s="291"/>
      <c r="AH108" s="291"/>
      <c r="AI108" s="288"/>
      <c r="AJ108" s="289"/>
      <c r="AK108" s="289"/>
      <c r="AL108" s="290"/>
      <c r="AM108" s="289"/>
      <c r="AN108" s="289"/>
      <c r="AO108" s="291"/>
      <c r="AP108" s="291"/>
      <c r="AQ108" s="288"/>
      <c r="AR108" s="289"/>
      <c r="AS108" s="289"/>
      <c r="AT108" s="290"/>
      <c r="AU108" s="289"/>
      <c r="AV108" s="289"/>
      <c r="AW108" s="291"/>
      <c r="AX108" s="291"/>
      <c r="AY108" s="288"/>
      <c r="AZ108" s="289"/>
      <c r="BA108" s="289"/>
      <c r="BB108" s="290"/>
      <c r="BC108" s="289"/>
      <c r="BD108" s="289"/>
      <c r="BE108" s="291"/>
      <c r="BF108" s="291"/>
      <c r="BG108" s="288"/>
      <c r="BH108" s="289"/>
      <c r="BI108" s="289"/>
      <c r="BJ108" s="290"/>
      <c r="BK108" s="289"/>
      <c r="BL108" s="289"/>
      <c r="BM108" s="291"/>
      <c r="BN108" s="291"/>
      <c r="BO108" s="288"/>
      <c r="BP108" s="289"/>
      <c r="BQ108" s="289"/>
      <c r="BR108" s="290"/>
      <c r="BS108" s="289"/>
      <c r="BT108" s="289"/>
      <c r="BU108" s="291"/>
      <c r="BV108" s="291"/>
      <c r="BW108" s="288"/>
      <c r="BX108" s="289"/>
      <c r="BY108" s="289"/>
      <c r="BZ108" s="290"/>
      <c r="CA108" s="289"/>
      <c r="CB108" s="289"/>
      <c r="CC108" s="291"/>
      <c r="CD108" s="291"/>
      <c r="CE108" s="288"/>
      <c r="CF108" s="289"/>
      <c r="CG108" s="289"/>
      <c r="CH108" s="290"/>
      <c r="CI108" s="289"/>
      <c r="CJ108" s="289"/>
      <c r="CK108" s="291"/>
      <c r="CL108" s="291"/>
      <c r="CM108" s="288"/>
      <c r="CN108" s="289"/>
      <c r="CO108" s="289"/>
      <c r="CP108" s="290"/>
      <c r="CQ108" s="289"/>
      <c r="CR108" s="289"/>
      <c r="CS108" s="291"/>
      <c r="CT108" s="291"/>
      <c r="CU108" s="289"/>
      <c r="CV108" s="289"/>
      <c r="CW108" s="289"/>
      <c r="CX108" s="290"/>
      <c r="CY108" s="289"/>
      <c r="CZ108" s="289"/>
      <c r="DA108" s="291"/>
      <c r="DB108" s="291"/>
      <c r="DC108" s="289"/>
      <c r="DD108" s="289"/>
      <c r="DE108" s="289"/>
      <c r="DF108" s="290"/>
      <c r="DG108" s="289"/>
      <c r="DH108" s="289"/>
      <c r="DI108" s="291"/>
      <c r="DJ108" s="291"/>
      <c r="DK108" s="289"/>
      <c r="DL108" s="289"/>
      <c r="DM108" s="289"/>
      <c r="DN108" s="290"/>
      <c r="DO108" s="289"/>
      <c r="DP108" s="289"/>
      <c r="DQ108" s="291"/>
      <c r="DR108" s="291"/>
      <c r="DS108" s="289"/>
      <c r="DT108" s="289"/>
      <c r="DU108" s="289"/>
      <c r="DV108" s="290"/>
      <c r="DW108" s="289"/>
      <c r="DX108" s="289"/>
      <c r="DY108" s="291"/>
      <c r="DZ108" s="291"/>
      <c r="EA108" s="289"/>
      <c r="EB108" s="289"/>
      <c r="EC108" s="289"/>
      <c r="ED108" s="290"/>
      <c r="EE108" s="289"/>
      <c r="EF108" s="289"/>
      <c r="EG108" s="291"/>
      <c r="EH108" s="291"/>
      <c r="EI108" s="289"/>
      <c r="EJ108" s="289"/>
      <c r="EK108" s="289"/>
      <c r="EL108" s="290"/>
      <c r="EM108" s="289"/>
      <c r="EN108" s="289"/>
      <c r="EO108" s="291"/>
      <c r="EP108" s="291"/>
      <c r="EQ108" s="289"/>
      <c r="ER108" s="289"/>
      <c r="ES108" s="289"/>
      <c r="ET108" s="290"/>
      <c r="EU108" s="289"/>
      <c r="EV108" s="289"/>
      <c r="EW108" s="291"/>
      <c r="EX108" s="291"/>
      <c r="EY108" s="289"/>
      <c r="EZ108" s="289"/>
      <c r="FA108" s="289"/>
      <c r="FB108" s="290"/>
      <c r="FC108" s="289"/>
      <c r="FD108" s="289"/>
      <c r="FE108" s="291"/>
      <c r="FF108" s="291"/>
    </row>
    <row r="109" spans="1:162" ht="11.25" customHeight="1" x14ac:dyDescent="0.2">
      <c r="A109" s="4" t="s">
        <v>305</v>
      </c>
      <c r="C109" s="288"/>
      <c r="D109" s="289"/>
      <c r="E109" s="289"/>
      <c r="F109" s="290"/>
      <c r="G109" s="289">
        <v>-9</v>
      </c>
      <c r="H109" s="289">
        <f>J109-G109</f>
        <v>-23</v>
      </c>
      <c r="I109" s="291"/>
      <c r="J109" s="291">
        <v>-32</v>
      </c>
      <c r="K109" s="288"/>
      <c r="L109" s="289"/>
      <c r="M109" s="289"/>
      <c r="N109" s="290"/>
      <c r="O109" s="289">
        <v>-22</v>
      </c>
      <c r="P109" s="289">
        <f>R109-O109</f>
        <v>-43</v>
      </c>
      <c r="Q109" s="291"/>
      <c r="R109" s="291">
        <v>-65</v>
      </c>
      <c r="S109" s="288"/>
      <c r="T109" s="289"/>
      <c r="U109" s="289"/>
      <c r="V109" s="290"/>
      <c r="W109" s="289">
        <v>-34</v>
      </c>
      <c r="X109" s="289">
        <f>Z109-W109</f>
        <v>-16</v>
      </c>
      <c r="Y109" s="291"/>
      <c r="Z109" s="291">
        <f>IS!M40</f>
        <v>-50</v>
      </c>
      <c r="AA109" s="288"/>
      <c r="AB109" s="289"/>
      <c r="AC109" s="289"/>
      <c r="AD109" s="290"/>
      <c r="AE109" s="289">
        <v>-33</v>
      </c>
      <c r="AF109" s="289">
        <f>+AH109-AE109</f>
        <v>-22</v>
      </c>
      <c r="AG109" s="291"/>
      <c r="AH109" s="291">
        <f>IS!N40</f>
        <v>-55</v>
      </c>
      <c r="AI109" s="288"/>
      <c r="AJ109" s="289"/>
      <c r="AK109" s="289"/>
      <c r="AL109" s="290"/>
      <c r="AM109" s="289">
        <v>-31</v>
      </c>
      <c r="AN109" s="289">
        <f>+AP109-AM109</f>
        <v>-32</v>
      </c>
      <c r="AO109" s="291"/>
      <c r="AP109" s="291">
        <f>IS!O40</f>
        <v>-63</v>
      </c>
      <c r="AQ109" s="288"/>
      <c r="AR109" s="289"/>
      <c r="AS109" s="289"/>
      <c r="AT109" s="290"/>
      <c r="AU109" s="289">
        <v>-30</v>
      </c>
      <c r="AV109" s="289"/>
      <c r="AW109" s="291"/>
      <c r="AX109" s="291"/>
      <c r="AY109" s="288"/>
      <c r="AZ109" s="289"/>
      <c r="BA109" s="289"/>
      <c r="BB109" s="290"/>
      <c r="BC109" s="289">
        <v>-42</v>
      </c>
      <c r="BD109" s="289">
        <f>+BF109-BC109</f>
        <v>-36</v>
      </c>
      <c r="BE109" s="291"/>
      <c r="BF109" s="291">
        <f>IS!P40</f>
        <v>-78</v>
      </c>
      <c r="BG109" s="288"/>
      <c r="BH109" s="289"/>
      <c r="BI109" s="289"/>
      <c r="BJ109" s="290"/>
      <c r="BK109" s="289">
        <f t="shared" ref="BK109:BL119" si="108">BC109</f>
        <v>-42</v>
      </c>
      <c r="BL109" s="289">
        <f t="shared" si="108"/>
        <v>-36</v>
      </c>
      <c r="BM109" s="291"/>
      <c r="BN109" s="291">
        <f t="shared" ref="BN109:BN119" si="109">BF109</f>
        <v>-78</v>
      </c>
      <c r="BO109" s="288"/>
      <c r="BP109" s="289"/>
      <c r="BQ109" s="289"/>
      <c r="BR109" s="290"/>
      <c r="BS109" s="289">
        <v>-34</v>
      </c>
      <c r="BT109" s="289">
        <f>+BV109-BS109</f>
        <v>-33</v>
      </c>
      <c r="BU109" s="291"/>
      <c r="BV109" s="291">
        <f>IS!Q40</f>
        <v>-67</v>
      </c>
      <c r="BW109" s="288"/>
      <c r="BX109" s="289"/>
      <c r="BY109" s="289"/>
      <c r="BZ109" s="290"/>
      <c r="CA109" s="289">
        <v>-16</v>
      </c>
      <c r="CB109" s="289">
        <f>+CD109-CA109</f>
        <v>-19</v>
      </c>
      <c r="CC109" s="291"/>
      <c r="CD109" s="291">
        <f>IS!R40</f>
        <v>-35</v>
      </c>
      <c r="CE109" s="288"/>
      <c r="CF109" s="289"/>
      <c r="CG109" s="289"/>
      <c r="CH109" s="290"/>
      <c r="CI109" s="289">
        <v>-11</v>
      </c>
      <c r="CJ109" s="289">
        <f>+CL109-CI109</f>
        <v>-13</v>
      </c>
      <c r="CK109" s="291"/>
      <c r="CL109" s="291">
        <f>IS!S40</f>
        <v>-24</v>
      </c>
      <c r="CM109" s="288"/>
      <c r="CN109" s="289"/>
      <c r="CO109" s="289"/>
      <c r="CP109" s="290"/>
      <c r="CQ109" s="289">
        <v>-15</v>
      </c>
      <c r="CR109" s="289">
        <f>+CT109-CQ109</f>
        <v>-22</v>
      </c>
      <c r="CS109" s="291"/>
      <c r="CT109" s="291">
        <f>IS!T40</f>
        <v>-37</v>
      </c>
      <c r="CU109" s="289"/>
      <c r="CV109" s="289"/>
      <c r="CW109" s="289"/>
      <c r="CX109" s="290"/>
      <c r="CY109" s="289">
        <v>-42</v>
      </c>
      <c r="CZ109" s="289">
        <f>+DB109-CY109</f>
        <v>-35</v>
      </c>
      <c r="DA109" s="291"/>
      <c r="DB109" s="291">
        <f>IS!U40</f>
        <v>-77</v>
      </c>
      <c r="DC109" s="289"/>
      <c r="DD109" s="289"/>
      <c r="DE109" s="289"/>
      <c r="DF109" s="290"/>
      <c r="DG109" s="289">
        <v>-49</v>
      </c>
      <c r="DH109" s="289">
        <f>+DJ109-DG109</f>
        <v>-44</v>
      </c>
      <c r="DI109" s="291"/>
      <c r="DJ109" s="291">
        <f>IS!V40</f>
        <v>-93</v>
      </c>
      <c r="DK109" s="289"/>
      <c r="DL109" s="289"/>
      <c r="DM109" s="289"/>
      <c r="DN109" s="290"/>
      <c r="DO109" s="289">
        <v>-67</v>
      </c>
      <c r="DP109" s="289">
        <f>+DR109-DO109</f>
        <v>-45</v>
      </c>
      <c r="DQ109" s="291"/>
      <c r="DR109" s="291">
        <f>IS!W40</f>
        <v>-112</v>
      </c>
      <c r="DS109" s="289"/>
      <c r="DT109" s="289"/>
      <c r="DU109" s="289"/>
      <c r="DV109" s="290"/>
      <c r="DW109" s="289">
        <v>-52</v>
      </c>
      <c r="DX109" s="280">
        <f>DZ109-DW109</f>
        <v>-65.600000000000009</v>
      </c>
      <c r="DY109" s="291"/>
      <c r="DZ109" s="287">
        <f>IS!X40</f>
        <v>-117.60000000000001</v>
      </c>
      <c r="EA109" s="289"/>
      <c r="EB109" s="289"/>
      <c r="EC109" s="289"/>
      <c r="ED109" s="290"/>
      <c r="EE109" s="280">
        <f>EH109/2</f>
        <v>-61.740000000000009</v>
      </c>
      <c r="EF109" s="280">
        <f>EH109-EE109</f>
        <v>-61.740000000000009</v>
      </c>
      <c r="EG109" s="291"/>
      <c r="EH109" s="287">
        <f>IS!Y40</f>
        <v>-123.48000000000002</v>
      </c>
      <c r="EI109" s="289"/>
      <c r="EJ109" s="289"/>
      <c r="EK109" s="289"/>
      <c r="EL109" s="290"/>
      <c r="EM109" s="280">
        <f>EP109/2</f>
        <v>-64.827000000000012</v>
      </c>
      <c r="EN109" s="280">
        <f>EP109-EM109</f>
        <v>-64.827000000000012</v>
      </c>
      <c r="EO109" s="291"/>
      <c r="EP109" s="287">
        <f>IS!Z40</f>
        <v>-129.65400000000002</v>
      </c>
      <c r="EQ109" s="289"/>
      <c r="ER109" s="289"/>
      <c r="ES109" s="289"/>
      <c r="ET109" s="290"/>
      <c r="EU109" s="280">
        <f>EX109/2</f>
        <v>-68.068350000000009</v>
      </c>
      <c r="EV109" s="280">
        <f>EX109-EU109</f>
        <v>-68.068350000000009</v>
      </c>
      <c r="EW109" s="291"/>
      <c r="EX109" s="287">
        <f>IS!AA40</f>
        <v>-136.13670000000002</v>
      </c>
      <c r="EY109" s="289"/>
      <c r="EZ109" s="289"/>
      <c r="FA109" s="289"/>
      <c r="FB109" s="290"/>
      <c r="FC109" s="280">
        <f>FF109/2</f>
        <v>-71.471767500000013</v>
      </c>
      <c r="FD109" s="280">
        <f>FF109-FC109</f>
        <v>-71.471767500000013</v>
      </c>
      <c r="FE109" s="291"/>
      <c r="FF109" s="287">
        <f>IS!AB40</f>
        <v>-142.94353500000003</v>
      </c>
    </row>
    <row r="110" spans="1:162" ht="11.25" customHeight="1" outlineLevel="1" x14ac:dyDescent="0.2">
      <c r="B110" s="197" t="s">
        <v>277</v>
      </c>
      <c r="C110" s="288"/>
      <c r="D110" s="289"/>
      <c r="E110" s="289"/>
      <c r="F110" s="290"/>
      <c r="G110" s="289"/>
      <c r="H110" s="289"/>
      <c r="I110" s="291"/>
      <c r="J110" s="291">
        <v>1</v>
      </c>
      <c r="K110" s="288"/>
      <c r="L110" s="289"/>
      <c r="M110" s="289"/>
      <c r="N110" s="290"/>
      <c r="O110" s="289">
        <v>3</v>
      </c>
      <c r="P110" s="289">
        <f>R110-O110</f>
        <v>2</v>
      </c>
      <c r="Q110" s="291"/>
      <c r="R110" s="291">
        <v>5</v>
      </c>
      <c r="S110" s="288"/>
      <c r="T110" s="289"/>
      <c r="U110" s="289"/>
      <c r="V110" s="290"/>
      <c r="W110" s="289">
        <v>1</v>
      </c>
      <c r="X110" s="289">
        <f>Z110-W110</f>
        <v>-1</v>
      </c>
      <c r="Y110" s="291"/>
      <c r="Z110" s="291">
        <v>0</v>
      </c>
      <c r="AA110" s="288"/>
      <c r="AB110" s="289"/>
      <c r="AC110" s="289"/>
      <c r="AD110" s="290"/>
      <c r="AE110" s="289">
        <v>0</v>
      </c>
      <c r="AF110" s="289"/>
      <c r="AG110" s="291"/>
      <c r="AH110" s="291"/>
      <c r="AI110" s="288"/>
      <c r="AJ110" s="289"/>
      <c r="AK110" s="289"/>
      <c r="AL110" s="290"/>
      <c r="AM110" s="289">
        <v>1</v>
      </c>
      <c r="AN110" s="289"/>
      <c r="AO110" s="291"/>
      <c r="AP110" s="291"/>
      <c r="AQ110" s="288"/>
      <c r="AR110" s="289"/>
      <c r="AS110" s="289"/>
      <c r="AT110" s="290"/>
      <c r="AU110" s="289"/>
      <c r="AV110" s="289"/>
      <c r="AW110" s="291"/>
      <c r="AX110" s="291"/>
      <c r="AY110" s="288"/>
      <c r="AZ110" s="289"/>
      <c r="BA110" s="289"/>
      <c r="BB110" s="290"/>
      <c r="BC110" s="289"/>
      <c r="BD110" s="289"/>
      <c r="BE110" s="291"/>
      <c r="BF110" s="291"/>
      <c r="BG110" s="288"/>
      <c r="BH110" s="289"/>
      <c r="BI110" s="289"/>
      <c r="BJ110" s="290"/>
      <c r="BK110" s="289">
        <f t="shared" si="108"/>
        <v>0</v>
      </c>
      <c r="BL110" s="289">
        <f t="shared" si="108"/>
        <v>0</v>
      </c>
      <c r="BM110" s="291"/>
      <c r="BN110" s="291">
        <f t="shared" si="109"/>
        <v>0</v>
      </c>
      <c r="BO110" s="288"/>
      <c r="BP110" s="289"/>
      <c r="BQ110" s="289"/>
      <c r="BR110" s="290"/>
      <c r="BS110" s="289">
        <f>BC110</f>
        <v>0</v>
      </c>
      <c r="BT110" s="289"/>
      <c r="BU110" s="291"/>
      <c r="BV110" s="291"/>
      <c r="BW110" s="288"/>
      <c r="BX110" s="289"/>
      <c r="BY110" s="289"/>
      <c r="BZ110" s="290"/>
      <c r="CA110" s="289"/>
      <c r="CB110" s="289"/>
      <c r="CC110" s="291"/>
      <c r="CD110" s="291"/>
      <c r="CE110" s="288"/>
      <c r="CF110" s="289"/>
      <c r="CG110" s="289"/>
      <c r="CH110" s="290"/>
      <c r="CI110" s="289"/>
      <c r="CJ110" s="289"/>
      <c r="CK110" s="291"/>
      <c r="CL110" s="291"/>
      <c r="CM110" s="288"/>
      <c r="CN110" s="289"/>
      <c r="CO110" s="289"/>
      <c r="CP110" s="290"/>
      <c r="CQ110" s="289">
        <v>0</v>
      </c>
      <c r="CR110" s="289">
        <f>+CT110-CQ110</f>
        <v>-4</v>
      </c>
      <c r="CS110" s="291"/>
      <c r="CT110" s="291">
        <v>-4</v>
      </c>
      <c r="CU110" s="289"/>
      <c r="CV110" s="289"/>
      <c r="CW110" s="289"/>
      <c r="CX110" s="290"/>
      <c r="CY110" s="289">
        <v>0</v>
      </c>
      <c r="CZ110" s="289">
        <f>+DB110-CY110</f>
        <v>-1</v>
      </c>
      <c r="DA110" s="291"/>
      <c r="DB110" s="291">
        <v>-1</v>
      </c>
      <c r="DC110" s="289"/>
      <c r="DD110" s="289"/>
      <c r="DE110" s="289"/>
      <c r="DF110" s="290"/>
      <c r="DG110" s="289">
        <v>0</v>
      </c>
      <c r="DH110" s="289">
        <f>+DJ110-DG110</f>
        <v>-1</v>
      </c>
      <c r="DI110" s="291"/>
      <c r="DJ110" s="291">
        <v>-1</v>
      </c>
      <c r="DK110" s="289"/>
      <c r="DL110" s="289"/>
      <c r="DM110" s="289"/>
      <c r="DN110" s="290"/>
      <c r="DO110" s="289">
        <v>0</v>
      </c>
      <c r="DP110" s="289">
        <f>+DR110-DO110</f>
        <v>-3</v>
      </c>
      <c r="DQ110" s="291"/>
      <c r="DR110" s="291">
        <v>-3</v>
      </c>
      <c r="DS110" s="289"/>
      <c r="DT110" s="289"/>
      <c r="DU110" s="289"/>
      <c r="DV110" s="290"/>
      <c r="DW110" s="289">
        <v>-2</v>
      </c>
      <c r="DX110" s="289"/>
      <c r="DY110" s="291"/>
      <c r="DZ110" s="291"/>
      <c r="EA110" s="289"/>
      <c r="EB110" s="289"/>
      <c r="EC110" s="289"/>
      <c r="ED110" s="290"/>
      <c r="EE110" s="289"/>
      <c r="EF110" s="289"/>
      <c r="EG110" s="291"/>
      <c r="EH110" s="291"/>
      <c r="EI110" s="289"/>
      <c r="EJ110" s="289"/>
      <c r="EK110" s="289"/>
      <c r="EL110" s="290"/>
      <c r="EM110" s="289"/>
      <c r="EN110" s="289"/>
      <c r="EO110" s="291"/>
      <c r="EP110" s="291"/>
      <c r="EQ110" s="289"/>
      <c r="ER110" s="289"/>
      <c r="ES110" s="289"/>
      <c r="ET110" s="290"/>
      <c r="EU110" s="289"/>
      <c r="EV110" s="289"/>
      <c r="EW110" s="291"/>
      <c r="EX110" s="291"/>
      <c r="EY110" s="289"/>
      <c r="EZ110" s="289"/>
      <c r="FA110" s="289"/>
      <c r="FB110" s="290"/>
      <c r="FC110" s="289"/>
      <c r="FD110" s="289"/>
      <c r="FE110" s="291"/>
      <c r="FF110" s="291"/>
    </row>
    <row r="111" spans="1:162" ht="11.25" customHeight="1" outlineLevel="1" x14ac:dyDescent="0.2">
      <c r="B111" s="197" t="s">
        <v>278</v>
      </c>
      <c r="C111" s="288"/>
      <c r="D111" s="289"/>
      <c r="E111" s="289"/>
      <c r="F111" s="290"/>
      <c r="G111" s="289"/>
      <c r="H111" s="289"/>
      <c r="I111" s="291"/>
      <c r="J111" s="291">
        <v>2</v>
      </c>
      <c r="K111" s="288"/>
      <c r="L111" s="289"/>
      <c r="M111" s="289"/>
      <c r="N111" s="290"/>
      <c r="O111" s="289">
        <v>1</v>
      </c>
      <c r="P111" s="289">
        <f>R111-O111</f>
        <v>1</v>
      </c>
      <c r="Q111" s="291"/>
      <c r="R111" s="291">
        <v>2</v>
      </c>
      <c r="S111" s="288"/>
      <c r="T111" s="289"/>
      <c r="U111" s="289"/>
      <c r="V111" s="290"/>
      <c r="W111" s="289">
        <v>1</v>
      </c>
      <c r="X111" s="289">
        <f>Z111-W111</f>
        <v>2</v>
      </c>
      <c r="Y111" s="291"/>
      <c r="Z111" s="291">
        <v>3</v>
      </c>
      <c r="AA111" s="288"/>
      <c r="AB111" s="289"/>
      <c r="AC111" s="289"/>
      <c r="AD111" s="290"/>
      <c r="AE111" s="289">
        <v>1</v>
      </c>
      <c r="AF111" s="289">
        <f>+AH111-AE111</f>
        <v>-1</v>
      </c>
      <c r="AG111" s="291"/>
      <c r="AH111" s="291"/>
      <c r="AI111" s="288"/>
      <c r="AJ111" s="289"/>
      <c r="AK111" s="289"/>
      <c r="AL111" s="290"/>
      <c r="AM111" s="289">
        <v>0</v>
      </c>
      <c r="AN111" s="289"/>
      <c r="AO111" s="291"/>
      <c r="AP111" s="291"/>
      <c r="AQ111" s="288"/>
      <c r="AR111" s="289"/>
      <c r="AS111" s="289"/>
      <c r="AT111" s="290"/>
      <c r="AU111" s="289"/>
      <c r="AV111" s="289"/>
      <c r="AW111" s="291"/>
      <c r="AX111" s="291"/>
      <c r="AY111" s="288"/>
      <c r="AZ111" s="289"/>
      <c r="BA111" s="289"/>
      <c r="BB111" s="290"/>
      <c r="BC111" s="289"/>
      <c r="BD111" s="289"/>
      <c r="BE111" s="291"/>
      <c r="BF111" s="291"/>
      <c r="BG111" s="288"/>
      <c r="BH111" s="289"/>
      <c r="BI111" s="289"/>
      <c r="BJ111" s="290"/>
      <c r="BK111" s="289">
        <f t="shared" si="108"/>
        <v>0</v>
      </c>
      <c r="BL111" s="289">
        <f t="shared" si="108"/>
        <v>0</v>
      </c>
      <c r="BM111" s="291"/>
      <c r="BN111" s="291">
        <f t="shared" si="109"/>
        <v>0</v>
      </c>
      <c r="BO111" s="288"/>
      <c r="BP111" s="289"/>
      <c r="BQ111" s="289"/>
      <c r="BR111" s="290"/>
      <c r="BS111" s="289">
        <f>BC111</f>
        <v>0</v>
      </c>
      <c r="BT111" s="289"/>
      <c r="BU111" s="291"/>
      <c r="BV111" s="291"/>
      <c r="BW111" s="288"/>
      <c r="BX111" s="289"/>
      <c r="BY111" s="289"/>
      <c r="BZ111" s="290"/>
      <c r="CA111" s="289"/>
      <c r="CB111" s="289"/>
      <c r="CC111" s="291"/>
      <c r="CD111" s="291"/>
      <c r="CE111" s="288"/>
      <c r="CF111" s="289"/>
      <c r="CG111" s="289"/>
      <c r="CH111" s="290"/>
      <c r="CI111" s="289"/>
      <c r="CJ111" s="289"/>
      <c r="CK111" s="291"/>
      <c r="CL111" s="291"/>
      <c r="CM111" s="288"/>
      <c r="CN111" s="289"/>
      <c r="CO111" s="289"/>
      <c r="CP111" s="290"/>
      <c r="CQ111" s="289">
        <v>0</v>
      </c>
      <c r="CR111" s="289">
        <f>+CT111-CQ111</f>
        <v>0</v>
      </c>
      <c r="CS111" s="291"/>
      <c r="CT111" s="291">
        <v>0</v>
      </c>
      <c r="CU111" s="289"/>
      <c r="CV111" s="289"/>
      <c r="CW111" s="289"/>
      <c r="CX111" s="290"/>
      <c r="CY111" s="289">
        <v>0</v>
      </c>
      <c r="CZ111" s="289">
        <f>+DB111-CY111</f>
        <v>0</v>
      </c>
      <c r="DA111" s="291"/>
      <c r="DB111" s="291">
        <v>0</v>
      </c>
      <c r="DC111" s="289"/>
      <c r="DD111" s="289"/>
      <c r="DE111" s="289"/>
      <c r="DF111" s="290"/>
      <c r="DG111" s="289">
        <v>0</v>
      </c>
      <c r="DH111" s="289">
        <f>+DJ111-DG111</f>
        <v>0</v>
      </c>
      <c r="DI111" s="291"/>
      <c r="DJ111" s="291">
        <v>0</v>
      </c>
      <c r="DK111" s="289"/>
      <c r="DL111" s="289"/>
      <c r="DM111" s="289"/>
      <c r="DN111" s="290"/>
      <c r="DO111" s="289">
        <v>0</v>
      </c>
      <c r="DP111" s="289">
        <f>+DR111-DO111</f>
        <v>0</v>
      </c>
      <c r="DQ111" s="291"/>
      <c r="DR111" s="291">
        <v>0</v>
      </c>
      <c r="DS111" s="289"/>
      <c r="DT111" s="289"/>
      <c r="DU111" s="289"/>
      <c r="DV111" s="290"/>
      <c r="DW111" s="289"/>
      <c r="DX111" s="289"/>
      <c r="DY111" s="291"/>
      <c r="DZ111" s="291"/>
      <c r="EA111" s="289"/>
      <c r="EB111" s="289"/>
      <c r="EC111" s="289"/>
      <c r="ED111" s="290"/>
      <c r="EE111" s="289"/>
      <c r="EF111" s="289"/>
      <c r="EG111" s="291"/>
      <c r="EH111" s="291"/>
      <c r="EI111" s="289"/>
      <c r="EJ111" s="289"/>
      <c r="EK111" s="289"/>
      <c r="EL111" s="290"/>
      <c r="EM111" s="289"/>
      <c r="EN111" s="289"/>
      <c r="EO111" s="291"/>
      <c r="EP111" s="291"/>
      <c r="EQ111" s="289"/>
      <c r="ER111" s="289"/>
      <c r="ES111" s="289"/>
      <c r="ET111" s="290"/>
      <c r="EU111" s="289"/>
      <c r="EV111" s="289"/>
      <c r="EW111" s="291"/>
      <c r="EX111" s="291"/>
      <c r="EY111" s="289"/>
      <c r="EZ111" s="289"/>
      <c r="FA111" s="289"/>
      <c r="FB111" s="290"/>
      <c r="FC111" s="289"/>
      <c r="FD111" s="289"/>
      <c r="FE111" s="291"/>
      <c r="FF111" s="291"/>
    </row>
    <row r="112" spans="1:162" ht="11.25" customHeight="1" x14ac:dyDescent="0.2">
      <c r="A112" s="4" t="s">
        <v>306</v>
      </c>
      <c r="C112" s="288"/>
      <c r="D112" s="289"/>
      <c r="E112" s="289"/>
      <c r="F112" s="290"/>
      <c r="G112" s="289">
        <v>-7</v>
      </c>
      <c r="H112" s="289">
        <f>J112-G112</f>
        <v>-22</v>
      </c>
      <c r="I112" s="291"/>
      <c r="J112" s="291">
        <f>J109+J110+J111</f>
        <v>-29</v>
      </c>
      <c r="K112" s="288"/>
      <c r="L112" s="289"/>
      <c r="M112" s="289"/>
      <c r="N112" s="290"/>
      <c r="O112" s="289">
        <f>O109+O110+O111</f>
        <v>-18</v>
      </c>
      <c r="P112" s="289">
        <f>P109+P110+P111</f>
        <v>-40</v>
      </c>
      <c r="Q112" s="291"/>
      <c r="R112" s="291">
        <f>R109+R110+R111</f>
        <v>-58</v>
      </c>
      <c r="S112" s="288"/>
      <c r="T112" s="289"/>
      <c r="U112" s="289"/>
      <c r="V112" s="290"/>
      <c r="W112" s="289">
        <f>W109+W110+W111</f>
        <v>-32</v>
      </c>
      <c r="X112" s="289">
        <f>X109+X110+X111</f>
        <v>-15</v>
      </c>
      <c r="Y112" s="291"/>
      <c r="Z112" s="291">
        <f>Z109+Z110+Z111</f>
        <v>-47</v>
      </c>
      <c r="AA112" s="288"/>
      <c r="AB112" s="289"/>
      <c r="AC112" s="289"/>
      <c r="AD112" s="290"/>
      <c r="AE112" s="289">
        <f>AE109+AE110+AE111</f>
        <v>-32</v>
      </c>
      <c r="AF112" s="289">
        <f>+AH112-AE112</f>
        <v>-23</v>
      </c>
      <c r="AG112" s="291"/>
      <c r="AH112" s="291">
        <f>IS!N88</f>
        <v>-55</v>
      </c>
      <c r="AI112" s="288"/>
      <c r="AJ112" s="289"/>
      <c r="AK112" s="289"/>
      <c r="AL112" s="290"/>
      <c r="AM112" s="289">
        <f>AM109+AM110+AM111</f>
        <v>-30</v>
      </c>
      <c r="AN112" s="289">
        <f>+AP112-AM112</f>
        <v>-32</v>
      </c>
      <c r="AO112" s="291"/>
      <c r="AP112" s="291">
        <f>IS!O88</f>
        <v>-62</v>
      </c>
      <c r="AQ112" s="288"/>
      <c r="AR112" s="289"/>
      <c r="AS112" s="289"/>
      <c r="AT112" s="290"/>
      <c r="AU112" s="289">
        <v>-29</v>
      </c>
      <c r="AV112" s="289"/>
      <c r="AW112" s="291"/>
      <c r="AX112" s="291"/>
      <c r="AY112" s="288"/>
      <c r="AZ112" s="289"/>
      <c r="BA112" s="289"/>
      <c r="BB112" s="290"/>
      <c r="BC112" s="289">
        <v>-31</v>
      </c>
      <c r="BD112" s="289">
        <f>+BF112-BC112</f>
        <v>-27</v>
      </c>
      <c r="BE112" s="291"/>
      <c r="BF112" s="291">
        <f>IS!P88</f>
        <v>-58</v>
      </c>
      <c r="BG112" s="288"/>
      <c r="BH112" s="289"/>
      <c r="BI112" s="289"/>
      <c r="BJ112" s="290"/>
      <c r="BK112" s="289">
        <f t="shared" si="108"/>
        <v>-31</v>
      </c>
      <c r="BL112" s="289">
        <f t="shared" si="108"/>
        <v>-27</v>
      </c>
      <c r="BM112" s="291"/>
      <c r="BN112" s="291">
        <f t="shared" si="109"/>
        <v>-58</v>
      </c>
      <c r="BO112" s="288"/>
      <c r="BP112" s="289"/>
      <c r="BQ112" s="289"/>
      <c r="BR112" s="290"/>
      <c r="BS112" s="289">
        <v>-33</v>
      </c>
      <c r="BT112" s="289">
        <f>+BV112-BS112</f>
        <v>-32</v>
      </c>
      <c r="BU112" s="291"/>
      <c r="BV112" s="291">
        <f>IS!Q88</f>
        <v>-65</v>
      </c>
      <c r="BW112" s="288"/>
      <c r="BX112" s="289"/>
      <c r="BY112" s="289"/>
      <c r="BZ112" s="290"/>
      <c r="CA112" s="289">
        <v>-15</v>
      </c>
      <c r="CB112" s="289">
        <f>+CD112-CA112</f>
        <v>-19</v>
      </c>
      <c r="CC112" s="291"/>
      <c r="CD112" s="291">
        <f>IS!R88</f>
        <v>-34</v>
      </c>
      <c r="CE112" s="288"/>
      <c r="CF112" s="289"/>
      <c r="CG112" s="289"/>
      <c r="CH112" s="290"/>
      <c r="CI112" s="289">
        <v>-13</v>
      </c>
      <c r="CJ112" s="289">
        <f>+CL112-CI112</f>
        <v>-12</v>
      </c>
      <c r="CK112" s="291"/>
      <c r="CL112" s="291">
        <f>IS!S88</f>
        <v>-25</v>
      </c>
      <c r="CM112" s="288"/>
      <c r="CN112" s="289"/>
      <c r="CO112" s="289"/>
      <c r="CP112" s="290"/>
      <c r="CQ112" s="289">
        <f>CQ109-CQ110-CQ111</f>
        <v>-15</v>
      </c>
      <c r="CR112" s="289">
        <f>+CT112-CQ112</f>
        <v>-18</v>
      </c>
      <c r="CS112" s="291"/>
      <c r="CT112" s="291">
        <f>CT109-CT110-CT111</f>
        <v>-33</v>
      </c>
      <c r="CU112" s="289"/>
      <c r="CV112" s="289"/>
      <c r="CW112" s="289"/>
      <c r="CX112" s="290"/>
      <c r="CY112" s="289">
        <f>CY109-CY110-CY111</f>
        <v>-42</v>
      </c>
      <c r="CZ112" s="289">
        <f>+DB112-CY112</f>
        <v>-34</v>
      </c>
      <c r="DA112" s="291"/>
      <c r="DB112" s="291">
        <f>DB109-DB110-DB111</f>
        <v>-76</v>
      </c>
      <c r="DC112" s="289"/>
      <c r="DD112" s="289"/>
      <c r="DE112" s="289"/>
      <c r="DF112" s="290"/>
      <c r="DG112" s="289">
        <f>DG109-DG110-DG111</f>
        <v>-49</v>
      </c>
      <c r="DH112" s="289">
        <f>+DJ112-DG112</f>
        <v>-43</v>
      </c>
      <c r="DI112" s="291"/>
      <c r="DJ112" s="291">
        <f>DJ109-DJ110-DJ111</f>
        <v>-92</v>
      </c>
      <c r="DK112" s="289"/>
      <c r="DL112" s="289"/>
      <c r="DM112" s="289"/>
      <c r="DN112" s="290"/>
      <c r="DO112" s="289">
        <f>DO109-DO110-DO111</f>
        <v>-67</v>
      </c>
      <c r="DP112" s="289">
        <f>+DR112-DO112</f>
        <v>-42</v>
      </c>
      <c r="DQ112" s="291"/>
      <c r="DR112" s="291">
        <f>DR109-DR110-DR111</f>
        <v>-109</v>
      </c>
      <c r="DS112" s="289"/>
      <c r="DT112" s="289"/>
      <c r="DU112" s="289"/>
      <c r="DV112" s="290"/>
      <c r="DW112" s="289">
        <f>DW109-DW110-DW111</f>
        <v>-50</v>
      </c>
      <c r="DX112" s="280">
        <f>DZ112-DW112</f>
        <v>-59</v>
      </c>
      <c r="DY112" s="291"/>
      <c r="DZ112" s="287">
        <f>IS!X88</f>
        <v>-109</v>
      </c>
      <c r="EA112" s="289"/>
      <c r="EB112" s="289"/>
      <c r="EC112" s="289"/>
      <c r="ED112" s="290"/>
      <c r="EE112" s="280">
        <f>EH112/2</f>
        <v>-54.5</v>
      </c>
      <c r="EF112" s="280">
        <f>EH112-EE112</f>
        <v>-54.5</v>
      </c>
      <c r="EG112" s="291"/>
      <c r="EH112" s="287">
        <f>IS!Y88</f>
        <v>-109</v>
      </c>
      <c r="EI112" s="289"/>
      <c r="EJ112" s="289"/>
      <c r="EK112" s="289"/>
      <c r="EL112" s="290"/>
      <c r="EM112" s="280">
        <f>EP112/2</f>
        <v>-54.5</v>
      </c>
      <c r="EN112" s="280">
        <f>EP112-EM112</f>
        <v>-54.5</v>
      </c>
      <c r="EO112" s="291"/>
      <c r="EP112" s="287">
        <f>IS!Z88</f>
        <v>-109</v>
      </c>
      <c r="EQ112" s="289"/>
      <c r="ER112" s="289"/>
      <c r="ES112" s="289"/>
      <c r="ET112" s="290"/>
      <c r="EU112" s="280">
        <f>EX112/2</f>
        <v>-54.5</v>
      </c>
      <c r="EV112" s="280">
        <f>EX112-EU112</f>
        <v>-54.5</v>
      </c>
      <c r="EW112" s="291"/>
      <c r="EX112" s="287">
        <f>IS!AA88</f>
        <v>-109</v>
      </c>
      <c r="EY112" s="289"/>
      <c r="EZ112" s="289"/>
      <c r="FA112" s="289"/>
      <c r="FB112" s="290"/>
      <c r="FC112" s="280">
        <f>FF112/2</f>
        <v>-54.5</v>
      </c>
      <c r="FD112" s="280">
        <f>FF112-FC112</f>
        <v>-54.5</v>
      </c>
      <c r="FE112" s="291"/>
      <c r="FF112" s="287">
        <f>IS!AB88</f>
        <v>-109</v>
      </c>
    </row>
    <row r="113" spans="1:162" ht="11.25" customHeight="1" x14ac:dyDescent="0.2">
      <c r="C113" s="288"/>
      <c r="D113" s="289"/>
      <c r="E113" s="289"/>
      <c r="F113" s="290"/>
      <c r="G113" s="289"/>
      <c r="H113" s="289"/>
      <c r="I113" s="291"/>
      <c r="J113" s="291"/>
      <c r="K113" s="288"/>
      <c r="L113" s="289"/>
      <c r="M113" s="289"/>
      <c r="N113" s="290"/>
      <c r="O113" s="289"/>
      <c r="P113" s="289"/>
      <c r="Q113" s="291"/>
      <c r="R113" s="291"/>
      <c r="S113" s="288"/>
      <c r="T113" s="289"/>
      <c r="U113" s="289"/>
      <c r="V113" s="290"/>
      <c r="W113" s="289"/>
      <c r="X113" s="289"/>
      <c r="Y113" s="291"/>
      <c r="Z113" s="291"/>
      <c r="AA113" s="288"/>
      <c r="AB113" s="289"/>
      <c r="AC113" s="289"/>
      <c r="AD113" s="290"/>
      <c r="AE113" s="289"/>
      <c r="AF113" s="289"/>
      <c r="AG113" s="291"/>
      <c r="AH113" s="291"/>
      <c r="AI113" s="288"/>
      <c r="AJ113" s="289"/>
      <c r="AK113" s="289"/>
      <c r="AL113" s="290"/>
      <c r="AM113" s="289"/>
      <c r="AN113" s="289"/>
      <c r="AO113" s="291"/>
      <c r="AP113" s="291"/>
      <c r="AQ113" s="288"/>
      <c r="AR113" s="289"/>
      <c r="AS113" s="289"/>
      <c r="AT113" s="290"/>
      <c r="AU113" s="289"/>
      <c r="AV113" s="289"/>
      <c r="AW113" s="291"/>
      <c r="AX113" s="291"/>
      <c r="AY113" s="288"/>
      <c r="AZ113" s="289"/>
      <c r="BA113" s="289"/>
      <c r="BB113" s="290"/>
      <c r="BC113" s="289"/>
      <c r="BD113" s="289"/>
      <c r="BE113" s="291"/>
      <c r="BF113" s="291"/>
      <c r="BG113" s="288"/>
      <c r="BH113" s="289"/>
      <c r="BI113" s="289"/>
      <c r="BJ113" s="290"/>
      <c r="BK113" s="289"/>
      <c r="BL113" s="289"/>
      <c r="BM113" s="291"/>
      <c r="BN113" s="291"/>
      <c r="BO113" s="288"/>
      <c r="BP113" s="289"/>
      <c r="BQ113" s="289"/>
      <c r="BR113" s="290"/>
      <c r="BS113" s="289"/>
      <c r="BT113" s="289"/>
      <c r="BU113" s="291"/>
      <c r="BV113" s="291"/>
      <c r="BW113" s="288"/>
      <c r="BX113" s="289"/>
      <c r="BY113" s="289"/>
      <c r="BZ113" s="290"/>
      <c r="CA113" s="289"/>
      <c r="CB113" s="289"/>
      <c r="CC113" s="291"/>
      <c r="CD113" s="291"/>
      <c r="CE113" s="288"/>
      <c r="CF113" s="289"/>
      <c r="CG113" s="289"/>
      <c r="CH113" s="290"/>
      <c r="CI113" s="289"/>
      <c r="CJ113" s="289"/>
      <c r="CK113" s="291"/>
      <c r="CL113" s="291"/>
      <c r="CM113" s="288"/>
      <c r="CN113" s="289"/>
      <c r="CO113" s="289"/>
      <c r="CP113" s="290"/>
      <c r="CQ113" s="289"/>
      <c r="CR113" s="289"/>
      <c r="CS113" s="291"/>
      <c r="CT113" s="291"/>
      <c r="CU113" s="289"/>
      <c r="CV113" s="289"/>
      <c r="CW113" s="289"/>
      <c r="CX113" s="290"/>
      <c r="CY113" s="289"/>
      <c r="CZ113" s="289"/>
      <c r="DA113" s="291"/>
      <c r="DB113" s="291"/>
      <c r="DC113" s="289"/>
      <c r="DD113" s="289"/>
      <c r="DE113" s="289"/>
      <c r="DF113" s="290"/>
      <c r="DG113" s="289"/>
      <c r="DH113" s="289"/>
      <c r="DI113" s="291"/>
      <c r="DJ113" s="291"/>
      <c r="DK113" s="289"/>
      <c r="DL113" s="289"/>
      <c r="DM113" s="289"/>
      <c r="DN113" s="290"/>
      <c r="DO113" s="289"/>
      <c r="DP113" s="289"/>
      <c r="DQ113" s="291"/>
      <c r="DR113" s="291"/>
      <c r="DS113" s="289"/>
      <c r="DT113" s="289"/>
      <c r="DU113" s="289"/>
      <c r="DV113" s="290"/>
      <c r="DW113" s="289"/>
      <c r="DX113" s="289"/>
      <c r="DY113" s="291"/>
      <c r="DZ113" s="291"/>
      <c r="EA113" s="289"/>
      <c r="EB113" s="289"/>
      <c r="EC113" s="289"/>
      <c r="ED113" s="290"/>
      <c r="EE113" s="289"/>
      <c r="EF113" s="289"/>
      <c r="EG113" s="291"/>
      <c r="EH113" s="291"/>
      <c r="EI113" s="289"/>
      <c r="EJ113" s="289"/>
      <c r="EK113" s="289"/>
      <c r="EL113" s="290"/>
      <c r="EM113" s="289"/>
      <c r="EN113" s="289"/>
      <c r="EO113" s="291"/>
      <c r="EP113" s="291"/>
      <c r="EQ113" s="289"/>
      <c r="ER113" s="289"/>
      <c r="ES113" s="289"/>
      <c r="ET113" s="290"/>
      <c r="EU113" s="289"/>
      <c r="EV113" s="289"/>
      <c r="EW113" s="291"/>
      <c r="EX113" s="291"/>
      <c r="EY113" s="289"/>
      <c r="EZ113" s="289"/>
      <c r="FA113" s="289"/>
      <c r="FB113" s="290"/>
      <c r="FC113" s="289"/>
      <c r="FD113" s="289"/>
      <c r="FE113" s="291"/>
      <c r="FF113" s="291"/>
    </row>
    <row r="114" spans="1:162" ht="11.25" customHeight="1" x14ac:dyDescent="0.2">
      <c r="A114" s="186" t="s">
        <v>307</v>
      </c>
      <c r="C114" s="282"/>
      <c r="D114" s="186"/>
      <c r="E114" s="186"/>
      <c r="F114" s="283"/>
      <c r="G114" s="186">
        <f>G91+G94+G102+G103+G109</f>
        <v>658</v>
      </c>
      <c r="H114" s="186">
        <f>H91+H94+H102+H103+H109</f>
        <v>535</v>
      </c>
      <c r="I114" s="284"/>
      <c r="J114" s="284">
        <f>J91+J94+J102+J103+J109</f>
        <v>1193</v>
      </c>
      <c r="K114" s="282"/>
      <c r="L114" s="186"/>
      <c r="M114" s="186"/>
      <c r="N114" s="283"/>
      <c r="O114" s="186">
        <f>O91+O94+O102+O103+O109</f>
        <v>616</v>
      </c>
      <c r="P114" s="186">
        <f>P91+P94+P102+P103+P109</f>
        <v>632</v>
      </c>
      <c r="Q114" s="284"/>
      <c r="R114" s="284">
        <f>R91+R94+R102+R103+R109</f>
        <v>1248</v>
      </c>
      <c r="S114" s="282"/>
      <c r="T114" s="186"/>
      <c r="U114" s="186"/>
      <c r="V114" s="283"/>
      <c r="W114" s="186">
        <f>W91+W94+W102+W103+W109</f>
        <v>1164</v>
      </c>
      <c r="X114" s="186">
        <f>X91+X94+X102+X103+X109</f>
        <v>318</v>
      </c>
      <c r="Y114" s="284"/>
      <c r="Z114" s="284">
        <f>Z91+Z94+Z102+Z103+Z109</f>
        <v>1482</v>
      </c>
      <c r="AA114" s="282"/>
      <c r="AB114" s="186"/>
      <c r="AC114" s="186"/>
      <c r="AD114" s="283"/>
      <c r="AE114" s="186">
        <f>AE91+AE94+AE102+AE103+AE109</f>
        <v>862</v>
      </c>
      <c r="AF114" s="186">
        <f>+AH114-AE114</f>
        <v>944</v>
      </c>
      <c r="AG114" s="284"/>
      <c r="AH114" s="284">
        <f>AH91+AH94+AH102+AH103+AH109+AH105</f>
        <v>1806</v>
      </c>
      <c r="AI114" s="282"/>
      <c r="AJ114" s="186"/>
      <c r="AK114" s="186"/>
      <c r="AL114" s="283"/>
      <c r="AM114" s="186">
        <f>AM91+AM94+AM102+AM103+AM105+AM109</f>
        <v>1606</v>
      </c>
      <c r="AN114" s="186">
        <f>+AP114-AM114</f>
        <v>1018</v>
      </c>
      <c r="AO114" s="284"/>
      <c r="AP114" s="284">
        <f>AP91+AP94+AP102+AP103+AP109+AP105</f>
        <v>2624</v>
      </c>
      <c r="AQ114" s="282"/>
      <c r="AR114" s="186"/>
      <c r="AS114" s="186"/>
      <c r="AT114" s="283"/>
      <c r="AU114" s="186">
        <f>AU91+AU94+AU102+AU103+AU109+AU105</f>
        <v>1488</v>
      </c>
      <c r="AV114" s="186"/>
      <c r="AW114" s="284"/>
      <c r="AX114" s="284"/>
      <c r="AY114" s="282"/>
      <c r="AZ114" s="186"/>
      <c r="BA114" s="186"/>
      <c r="BB114" s="283"/>
      <c r="BC114" s="186">
        <f>BC91+BC94+BC102+BC103+BC109+BC105</f>
        <v>932</v>
      </c>
      <c r="BD114" s="186">
        <f>+BF114-BC114</f>
        <v>1049</v>
      </c>
      <c r="BE114" s="284"/>
      <c r="BF114" s="284">
        <f>BF91+BF94+BF102+BF103+BF109+BF105</f>
        <v>1981</v>
      </c>
      <c r="BG114" s="282"/>
      <c r="BH114" s="186"/>
      <c r="BI114" s="186"/>
      <c r="BJ114" s="283"/>
      <c r="BK114" s="186">
        <f t="shared" si="108"/>
        <v>932</v>
      </c>
      <c r="BL114" s="186">
        <f t="shared" si="108"/>
        <v>1049</v>
      </c>
      <c r="BM114" s="284"/>
      <c r="BN114" s="284">
        <f t="shared" si="109"/>
        <v>1981</v>
      </c>
      <c r="BO114" s="282"/>
      <c r="BP114" s="186"/>
      <c r="BQ114" s="186"/>
      <c r="BR114" s="283"/>
      <c r="BS114" s="186">
        <f>BS91+BS94+BS102+BS103+BS109+BS105</f>
        <v>1353</v>
      </c>
      <c r="BT114" s="186">
        <f>BT91+BT94+BT102+BT103+BT109+BT105</f>
        <v>1312</v>
      </c>
      <c r="BU114" s="284"/>
      <c r="BV114" s="284">
        <f>BV91+BV94+BV102+BV103+BV109+BV105</f>
        <v>2665</v>
      </c>
      <c r="BW114" s="282"/>
      <c r="BX114" s="186"/>
      <c r="BY114" s="186"/>
      <c r="BZ114" s="283"/>
      <c r="CA114" s="186">
        <f>CA91+CA94+CA102+CA103+CA109+CA105</f>
        <v>501</v>
      </c>
      <c r="CB114" s="186">
        <f>CD114-CA114</f>
        <v>343</v>
      </c>
      <c r="CC114" s="284"/>
      <c r="CD114" s="284">
        <f>CD91+CD94+CD102+CD103+CD109+CD105</f>
        <v>844</v>
      </c>
      <c r="CE114" s="282"/>
      <c r="CF114" s="186"/>
      <c r="CG114" s="186"/>
      <c r="CH114" s="283"/>
      <c r="CI114" s="186">
        <f>CI91+CI94+CI102+CI103+CI109+CI105</f>
        <v>269</v>
      </c>
      <c r="CJ114" s="186">
        <f>CL114-CI114</f>
        <v>491</v>
      </c>
      <c r="CK114" s="284"/>
      <c r="CL114" s="284">
        <f>CL91+CL94+CL102+CL103+CL109+CL105</f>
        <v>760</v>
      </c>
      <c r="CM114" s="282"/>
      <c r="CN114" s="186"/>
      <c r="CO114" s="186"/>
      <c r="CP114" s="283"/>
      <c r="CQ114" s="186">
        <f>CQ91+CQ94+CQ102+CQ103+CQ109+CQ105</f>
        <v>536</v>
      </c>
      <c r="CR114" s="186">
        <f>CT114-CQ114</f>
        <v>642</v>
      </c>
      <c r="CS114" s="284"/>
      <c r="CT114" s="284">
        <f>CT91+CT94+CT102+CT103+CT109+CT105</f>
        <v>1178</v>
      </c>
      <c r="CU114" s="186"/>
      <c r="CV114" s="186"/>
      <c r="CW114" s="186"/>
      <c r="CX114" s="283"/>
      <c r="CY114" s="186">
        <f>CY91+CY94+CY102+CY103+CY109+CY105</f>
        <v>1043</v>
      </c>
      <c r="CZ114" s="186">
        <f>CZ91+CZ94+CZ102+CZ103+CZ109+CZ105</f>
        <v>985</v>
      </c>
      <c r="DA114" s="284"/>
      <c r="DB114" s="284">
        <f>DB91+DB94+DB102+DB103+DB109+DB105</f>
        <v>2028</v>
      </c>
      <c r="DC114" s="186"/>
      <c r="DD114" s="186"/>
      <c r="DE114" s="186"/>
      <c r="DF114" s="283"/>
      <c r="DG114" s="186">
        <f>DG91+DG94+DG102+DG103+DG109+DG105</f>
        <v>1432</v>
      </c>
      <c r="DH114" s="186">
        <f>DH91+DH94+DH102+DH103+DH109+DH105</f>
        <v>1636</v>
      </c>
      <c r="DI114" s="186"/>
      <c r="DJ114" s="341">
        <f>DJ91+DJ94+DJ102+DJ103+DJ109+DJ105</f>
        <v>3068</v>
      </c>
      <c r="DK114" s="186"/>
      <c r="DL114" s="186"/>
      <c r="DM114" s="186"/>
      <c r="DN114" s="283"/>
      <c r="DO114" s="186">
        <f>DO91+DO94+DO102+DO103+DO109+DO105</f>
        <v>1587</v>
      </c>
      <c r="DP114" s="186">
        <f>DP91+DP94+DP102+DP103+DP109+DP105</f>
        <v>1587.0000000000005</v>
      </c>
      <c r="DQ114" s="186"/>
      <c r="DR114" s="341">
        <f>DR91+DR94+DR102+DR103+DR109+DR105</f>
        <v>3174</v>
      </c>
      <c r="DS114" s="186"/>
      <c r="DT114" s="186"/>
      <c r="DU114" s="186"/>
      <c r="DV114" s="283"/>
      <c r="DW114" s="186">
        <f>DW91+DW94+DW102+DW103+DW109+DW105</f>
        <v>1924</v>
      </c>
      <c r="DX114" s="285">
        <f>DX91+DX94+DX102+DX103+DX109+DX105</f>
        <v>2387.8502545571055</v>
      </c>
      <c r="DY114" s="186"/>
      <c r="DZ114" s="301">
        <f>DZ91+DZ94+DZ102+DZ103+DZ109+DZ105</f>
        <v>4315.2738817892559</v>
      </c>
      <c r="EA114" s="186"/>
      <c r="EB114" s="186"/>
      <c r="EC114" s="186"/>
      <c r="ED114" s="283"/>
      <c r="EE114" s="285">
        <f>EE91+EE94+EE102+EE103+EE109+EE105</f>
        <v>1333.8830281227954</v>
      </c>
      <c r="EF114" s="285">
        <f>EF91+EF94+EF102+EF103+EF109+EF105</f>
        <v>4410.0931960622966</v>
      </c>
      <c r="EG114" s="186"/>
      <c r="EH114" s="301">
        <f>EH91+EH94+EH102+EH103+EH109+EH105</f>
        <v>5743.9762241850894</v>
      </c>
      <c r="EI114" s="186"/>
      <c r="EJ114" s="186"/>
      <c r="EK114" s="186"/>
      <c r="EL114" s="283"/>
      <c r="EM114" s="285">
        <f>EM91+EM94+EM102+EM103+EM109+EM105</f>
        <v>1534.6617466119201</v>
      </c>
      <c r="EN114" s="285">
        <f>EN91+EN94+EN102+EN103+EN109+EN105</f>
        <v>4807.1688628344118</v>
      </c>
      <c r="EO114" s="186"/>
      <c r="EP114" s="301">
        <f>EP91+EP94+EP102+EP103+EP109+EP105</f>
        <v>6341.8306094463242</v>
      </c>
      <c r="EQ114" s="186"/>
      <c r="ER114" s="186"/>
      <c r="ES114" s="186"/>
      <c r="ET114" s="283"/>
      <c r="EU114" s="285">
        <f>EU91+EU94+EU102+EU103+EU109+EU105</f>
        <v>1671.2782105667861</v>
      </c>
      <c r="EV114" s="285">
        <f>EV91+EV94+EV102+EV103+EV109+EV105</f>
        <v>5141.660005505546</v>
      </c>
      <c r="EW114" s="186"/>
      <c r="EX114" s="301">
        <f>EX91+EX94+EX102+EX103+EX109+EX105</f>
        <v>6812.9382160723253</v>
      </c>
      <c r="EY114" s="186"/>
      <c r="EZ114" s="186"/>
      <c r="FA114" s="186"/>
      <c r="FB114" s="283"/>
      <c r="FC114" s="285">
        <f>FC91+FC94+FC102+FC103+FC109+FC105</f>
        <v>1813.9741538360918</v>
      </c>
      <c r="FD114" s="285">
        <f>FD91+FD94+FD102+FD103+FD109+FD105</f>
        <v>5357.2728199426465</v>
      </c>
      <c r="FE114" s="186"/>
      <c r="FF114" s="301">
        <f>FF91+FF94+FF102+FF103+FF109+FF105</f>
        <v>7171.2469737787342</v>
      </c>
    </row>
    <row r="115" spans="1:162" ht="11.25" customHeight="1" x14ac:dyDescent="0.2">
      <c r="A115" s="186" t="s">
        <v>308</v>
      </c>
      <c r="C115" s="190"/>
      <c r="D115" s="191"/>
      <c r="E115" s="191"/>
      <c r="F115" s="192"/>
      <c r="G115" s="191">
        <f>G92+G98+G102+G103+G112</f>
        <v>470</v>
      </c>
      <c r="H115" s="191">
        <f>H92+H98+H102+H103+H112</f>
        <v>916</v>
      </c>
      <c r="I115" s="193"/>
      <c r="J115" s="193">
        <f>J92+J98+J102+J103+J112</f>
        <v>1386</v>
      </c>
      <c r="K115" s="190"/>
      <c r="L115" s="191"/>
      <c r="M115" s="191"/>
      <c r="N115" s="192"/>
      <c r="O115" s="191">
        <f>O92+O98+O102+O103+O112</f>
        <v>634</v>
      </c>
      <c r="P115" s="191">
        <f>P92+P98+P102+P103+P112</f>
        <v>-760</v>
      </c>
      <c r="Q115" s="193"/>
      <c r="R115" s="193">
        <f>R92+R98+R102+R103+R112</f>
        <v>-126</v>
      </c>
      <c r="S115" s="190"/>
      <c r="T115" s="191"/>
      <c r="U115" s="191"/>
      <c r="V115" s="192"/>
      <c r="W115" s="191">
        <f>W92+W98+W102+W103+W112</f>
        <v>-193</v>
      </c>
      <c r="X115" s="191">
        <f>X92+X98+X102+X103+X112</f>
        <v>-231</v>
      </c>
      <c r="Y115" s="193"/>
      <c r="Z115" s="193">
        <f>Z92+Z98+Z102+Z103+Z112</f>
        <v>-424</v>
      </c>
      <c r="AA115" s="190"/>
      <c r="AB115" s="191"/>
      <c r="AC115" s="191"/>
      <c r="AD115" s="192"/>
      <c r="AE115" s="191">
        <f>AE92+AE98+AE102+AE103+AE112</f>
        <v>1818</v>
      </c>
      <c r="AF115" s="191">
        <f>+AH115-AE115</f>
        <v>90</v>
      </c>
      <c r="AG115" s="193"/>
      <c r="AH115" s="193">
        <f>AH92+AH98+AH102+AH103+AH112+AH107</f>
        <v>1908</v>
      </c>
      <c r="AI115" s="190"/>
      <c r="AJ115" s="191"/>
      <c r="AK115" s="191"/>
      <c r="AL115" s="192"/>
      <c r="AM115" s="191">
        <f>AM92+AM98+AM102+AM103+AM107+AM112</f>
        <v>3348</v>
      </c>
      <c r="AN115" s="191">
        <f>+AP115-AM115</f>
        <v>1442</v>
      </c>
      <c r="AO115" s="193"/>
      <c r="AP115" s="193">
        <f>AP92+AP98+AP102+AP103+AP112+AP107</f>
        <v>4790</v>
      </c>
      <c r="AQ115" s="190"/>
      <c r="AR115" s="191"/>
      <c r="AS115" s="191"/>
      <c r="AT115" s="192"/>
      <c r="AU115" s="191">
        <f>AU92+AU98+AU102+AU103+AU112+AU107</f>
        <v>3221</v>
      </c>
      <c r="AV115" s="191"/>
      <c r="AW115" s="193"/>
      <c r="AX115" s="193"/>
      <c r="AY115" s="190"/>
      <c r="AZ115" s="191"/>
      <c r="BA115" s="191"/>
      <c r="BB115" s="192"/>
      <c r="BC115" s="191">
        <f>BC92+BC98+BC102+BC103+BC112+BC107</f>
        <v>535</v>
      </c>
      <c r="BD115" s="191">
        <f>+BF115-BC115</f>
        <v>748</v>
      </c>
      <c r="BE115" s="193"/>
      <c r="BF115" s="193">
        <f>BF92+BF98+BF102+BF103+BF112+BF107</f>
        <v>1283</v>
      </c>
      <c r="BG115" s="190"/>
      <c r="BH115" s="191"/>
      <c r="BI115" s="191"/>
      <c r="BJ115" s="192"/>
      <c r="BK115" s="191">
        <f t="shared" si="108"/>
        <v>535</v>
      </c>
      <c r="BL115" s="191">
        <f t="shared" si="108"/>
        <v>748</v>
      </c>
      <c r="BM115" s="193"/>
      <c r="BN115" s="193">
        <f t="shared" si="109"/>
        <v>1283</v>
      </c>
      <c r="BO115" s="190"/>
      <c r="BP115" s="191"/>
      <c r="BQ115" s="191"/>
      <c r="BR115" s="192"/>
      <c r="BS115" s="191">
        <f>BS92+BS98+BS102+BS103+BS112+BS107</f>
        <v>1432</v>
      </c>
      <c r="BT115" s="191">
        <f>BT92+BT98+BT102+BT103+BT112+BT107</f>
        <v>1015</v>
      </c>
      <c r="BU115" s="193"/>
      <c r="BV115" s="193">
        <f>BV92+BV98+BV102+BV103+BV112+BV107</f>
        <v>2447</v>
      </c>
      <c r="BW115" s="190"/>
      <c r="BX115" s="191"/>
      <c r="BY115" s="191"/>
      <c r="BZ115" s="192"/>
      <c r="CA115" s="191">
        <f>CA92+CA98+CA102+CA103+CA112+CA107</f>
        <v>-340</v>
      </c>
      <c r="CB115" s="191">
        <f>CD115-CA115</f>
        <v>692</v>
      </c>
      <c r="CC115" s="193"/>
      <c r="CD115" s="193">
        <f>CD92+CD98+CD102+CD103+CD112+CD107</f>
        <v>352</v>
      </c>
      <c r="CE115" s="190"/>
      <c r="CF115" s="191"/>
      <c r="CG115" s="191"/>
      <c r="CH115" s="192"/>
      <c r="CI115" s="191">
        <f>CI92+CI98+CI102+CI103+CI112+CI107</f>
        <v>674</v>
      </c>
      <c r="CJ115" s="191">
        <f>CL115-CI115</f>
        <v>-631</v>
      </c>
      <c r="CK115" s="193"/>
      <c r="CL115" s="193">
        <f>CL92+CL98+CL102+CL103+CL112+CL107</f>
        <v>43</v>
      </c>
      <c r="CM115" s="190"/>
      <c r="CN115" s="191"/>
      <c r="CO115" s="191"/>
      <c r="CP115" s="192"/>
      <c r="CQ115" s="191">
        <f>CQ92+CQ98+CQ102+CQ103+CQ112+CQ107</f>
        <v>-3762</v>
      </c>
      <c r="CR115" s="191">
        <f>CT115-CQ115</f>
        <v>1303</v>
      </c>
      <c r="CS115" s="193"/>
      <c r="CT115" s="193">
        <f>CT92+CT98+CT102+CT103+CT112+CT107</f>
        <v>-2459</v>
      </c>
      <c r="CU115" s="191"/>
      <c r="CV115" s="191"/>
      <c r="CW115" s="191"/>
      <c r="CX115" s="192"/>
      <c r="CY115" s="191">
        <f>CY92+CY98+CY102+CY103+CY112+CY107</f>
        <v>1863</v>
      </c>
      <c r="CZ115" s="191">
        <f>CZ92+CZ98+CZ102+CZ103+CZ112+CZ107</f>
        <v>1581</v>
      </c>
      <c r="DA115" s="193"/>
      <c r="DB115" s="193">
        <f>DB92+DB98+DB102+DB103+DB112+DB107</f>
        <v>3444</v>
      </c>
      <c r="DC115" s="191"/>
      <c r="DD115" s="191"/>
      <c r="DE115" s="191"/>
      <c r="DF115" s="192"/>
      <c r="DG115" s="191">
        <f>DG92+DG98+DG102+DG103+DG112+DG107</f>
        <v>57</v>
      </c>
      <c r="DH115" s="191">
        <f>DH92+DH98+DH102+DH103+DH112+DH107</f>
        <v>-724</v>
      </c>
      <c r="DI115" s="191"/>
      <c r="DJ115" s="1578">
        <f>DJ92+DJ98+DJ102+DJ103+DJ112+DJ107</f>
        <v>-667</v>
      </c>
      <c r="DK115" s="191"/>
      <c r="DL115" s="191"/>
      <c r="DM115" s="191"/>
      <c r="DN115" s="192"/>
      <c r="DO115" s="191">
        <f>DO92+DO98+DO102+DO103+DO112+DO107</f>
        <v>5045</v>
      </c>
      <c r="DP115" s="191">
        <f>DP92+DP98+DP102+DP103+DP112+DP107</f>
        <v>2132</v>
      </c>
      <c r="DQ115" s="191"/>
      <c r="DR115" s="1578">
        <f>DR92+DR98+DR102+DR103+DR112+DR107</f>
        <v>7177</v>
      </c>
      <c r="DS115" s="191"/>
      <c r="DT115" s="191"/>
      <c r="DU115" s="191"/>
      <c r="DV115" s="192"/>
      <c r="DW115" s="191">
        <f>DW92+DW98+DW102+DW103+DW112+DW107</f>
        <v>1750</v>
      </c>
      <c r="DX115" s="195">
        <f>DX92+DX98+DX102+DX103+DX112+DX107</f>
        <v>2683.4102545571059</v>
      </c>
      <c r="DY115" s="191"/>
      <c r="DZ115" s="302">
        <f>DZ92+DZ98+DZ102+DZ103+DZ112+DZ107</f>
        <v>4436.8338817892563</v>
      </c>
      <c r="EA115" s="191"/>
      <c r="EB115" s="191"/>
      <c r="EC115" s="191"/>
      <c r="ED115" s="192"/>
      <c r="EE115" s="195">
        <f>EE92+EE98+EE102+EE103+EE112+EE107</f>
        <v>1253.6230281227954</v>
      </c>
      <c r="EF115" s="195">
        <f>EF92+EF98+EF102+EF103+EF112+EF107</f>
        <v>4329.8331960622963</v>
      </c>
      <c r="EG115" s="191"/>
      <c r="EH115" s="302">
        <f>EH92+EH98+EH102+EH103+EH112+EH107</f>
        <v>5583.456224185089</v>
      </c>
      <c r="EI115" s="191"/>
      <c r="EJ115" s="191"/>
      <c r="EK115" s="191"/>
      <c r="EL115" s="192"/>
      <c r="EM115" s="195">
        <f>EM92+EM98+EM102+EM103+EM112+EM107</f>
        <v>1457.4887466119201</v>
      </c>
      <c r="EN115" s="195">
        <f>EN92+EN98+EN102+EN103+EN112+EN107</f>
        <v>4729.995862834412</v>
      </c>
      <c r="EO115" s="191"/>
      <c r="EP115" s="302">
        <f>EP92+EP98+EP102+EP103+EP112+EP107</f>
        <v>6187.4846094463246</v>
      </c>
      <c r="EQ115" s="191"/>
      <c r="ER115" s="191"/>
      <c r="ES115" s="191"/>
      <c r="ET115" s="192"/>
      <c r="EU115" s="195">
        <f>EU92+EU98+EU102+EU103+EU112+EU107</f>
        <v>1597.3465605667825</v>
      </c>
      <c r="EV115" s="195">
        <f>EV92+EV98+EV102+EV103+EV112+EV107</f>
        <v>5067.7283555055419</v>
      </c>
      <c r="EW115" s="191"/>
      <c r="EX115" s="302">
        <f>EX92+EX98+EX102+EX103+EX112+EX107</f>
        <v>6665.074916072318</v>
      </c>
      <c r="EY115" s="191"/>
      <c r="EZ115" s="191"/>
      <c r="FA115" s="191"/>
      <c r="FB115" s="192"/>
      <c r="FC115" s="195">
        <f>FC92+FC98+FC102+FC103+FC112+FC107</f>
        <v>1743.4459213360917</v>
      </c>
      <c r="FD115" s="195">
        <f>FD92+FD98+FD102+FD103+FD112+FD107</f>
        <v>5286.7445874426467</v>
      </c>
      <c r="FE115" s="191"/>
      <c r="FF115" s="302">
        <f>FF92+FF98+FF102+FF103+FF112+FF107</f>
        <v>7030.1905087787345</v>
      </c>
    </row>
    <row r="116" spans="1:162" ht="11.25" customHeight="1" x14ac:dyDescent="0.2">
      <c r="C116" s="288"/>
      <c r="D116" s="289"/>
      <c r="E116" s="289"/>
      <c r="F116" s="290"/>
      <c r="G116" s="289"/>
      <c r="H116" s="289"/>
      <c r="I116" s="291"/>
      <c r="J116" s="291"/>
      <c r="K116" s="288"/>
      <c r="L116" s="289"/>
      <c r="M116" s="289"/>
      <c r="N116" s="290"/>
      <c r="O116" s="289"/>
      <c r="P116" s="289"/>
      <c r="Q116" s="291"/>
      <c r="R116" s="291"/>
      <c r="S116" s="288"/>
      <c r="T116" s="289"/>
      <c r="U116" s="289"/>
      <c r="V116" s="290"/>
      <c r="W116" s="289"/>
      <c r="X116" s="289"/>
      <c r="Y116" s="291"/>
      <c r="Z116" s="291"/>
      <c r="AA116" s="288"/>
      <c r="AB116" s="289"/>
      <c r="AC116" s="289"/>
      <c r="AD116" s="290"/>
      <c r="AE116" s="289"/>
      <c r="AF116" s="289"/>
      <c r="AG116" s="291"/>
      <c r="AH116" s="291"/>
      <c r="AI116" s="288"/>
      <c r="AJ116" s="289"/>
      <c r="AK116" s="289"/>
      <c r="AL116" s="290"/>
      <c r="AM116" s="289"/>
      <c r="AN116" s="289"/>
      <c r="AO116" s="291"/>
      <c r="AP116" s="291"/>
      <c r="AQ116" s="288"/>
      <c r="AR116" s="289"/>
      <c r="AS116" s="289"/>
      <c r="AT116" s="290"/>
      <c r="AU116" s="289"/>
      <c r="AV116" s="289"/>
      <c r="AW116" s="291"/>
      <c r="AX116" s="291"/>
      <c r="AY116" s="288"/>
      <c r="AZ116" s="289"/>
      <c r="BA116" s="289"/>
      <c r="BB116" s="290"/>
      <c r="BC116" s="289"/>
      <c r="BD116" s="289"/>
      <c r="BE116" s="291"/>
      <c r="BF116" s="291"/>
      <c r="BG116" s="288"/>
      <c r="BH116" s="289"/>
      <c r="BI116" s="289"/>
      <c r="BJ116" s="290"/>
      <c r="BK116" s="289"/>
      <c r="BL116" s="289"/>
      <c r="BM116" s="291"/>
      <c r="BN116" s="291"/>
      <c r="BO116" s="288"/>
      <c r="BP116" s="289"/>
      <c r="BQ116" s="289"/>
      <c r="BR116" s="290"/>
      <c r="BS116" s="289"/>
      <c r="BT116" s="289"/>
      <c r="BU116" s="291"/>
      <c r="BV116" s="291"/>
      <c r="BW116" s="288"/>
      <c r="BX116" s="289"/>
      <c r="BY116" s="289"/>
      <c r="BZ116" s="290"/>
      <c r="CA116" s="289"/>
      <c r="CB116" s="289"/>
      <c r="CC116" s="291"/>
      <c r="CD116" s="291"/>
      <c r="CE116" s="288"/>
      <c r="CF116" s="289"/>
      <c r="CG116" s="289"/>
      <c r="CH116" s="290"/>
      <c r="CI116" s="289"/>
      <c r="CJ116" s="289"/>
      <c r="CK116" s="291"/>
      <c r="CL116" s="291"/>
      <c r="CM116" s="288"/>
      <c r="CN116" s="289"/>
      <c r="CO116" s="289"/>
      <c r="CP116" s="290"/>
      <c r="CQ116" s="289"/>
      <c r="CR116" s="289"/>
      <c r="CS116" s="291"/>
      <c r="CT116" s="291"/>
      <c r="CU116" s="289"/>
      <c r="CV116" s="289"/>
      <c r="CW116" s="289"/>
      <c r="CX116" s="290"/>
      <c r="CY116" s="289"/>
      <c r="CZ116" s="289"/>
      <c r="DA116" s="289"/>
      <c r="DB116" s="303"/>
      <c r="DC116" s="289"/>
      <c r="DD116" s="289"/>
      <c r="DE116" s="289"/>
      <c r="DF116" s="290"/>
      <c r="DG116" s="289"/>
      <c r="DH116" s="289"/>
      <c r="DI116" s="289"/>
      <c r="DJ116" s="303"/>
      <c r="DK116" s="289"/>
      <c r="DL116" s="289"/>
      <c r="DM116" s="289"/>
      <c r="DN116" s="290"/>
      <c r="DO116" s="289"/>
      <c r="DP116" s="289"/>
      <c r="DQ116" s="289"/>
      <c r="DR116" s="303"/>
      <c r="DS116" s="289"/>
      <c r="DT116" s="289"/>
      <c r="DU116" s="289"/>
      <c r="DV116" s="290"/>
      <c r="DW116" s="289"/>
      <c r="DX116" s="289"/>
      <c r="DY116" s="289"/>
      <c r="DZ116" s="303"/>
      <c r="EA116" s="289"/>
      <c r="EB116" s="289"/>
      <c r="EC116" s="289"/>
      <c r="ED116" s="290"/>
      <c r="EE116" s="289"/>
      <c r="EF116" s="289"/>
      <c r="EG116" s="289"/>
      <c r="EH116" s="303"/>
      <c r="EI116" s="289"/>
      <c r="EJ116" s="289"/>
      <c r="EK116" s="289"/>
      <c r="EL116" s="290"/>
      <c r="EM116" s="289"/>
      <c r="EN116" s="289"/>
      <c r="EO116" s="289"/>
      <c r="EP116" s="303"/>
      <c r="EQ116" s="289"/>
      <c r="ER116" s="289"/>
      <c r="ES116" s="289"/>
      <c r="ET116" s="290"/>
      <c r="EU116" s="289"/>
      <c r="EV116" s="289"/>
      <c r="EW116" s="289"/>
      <c r="EX116" s="303"/>
      <c r="EY116" s="289"/>
      <c r="EZ116" s="289"/>
      <c r="FA116" s="289"/>
      <c r="FB116" s="290"/>
      <c r="FC116" s="289"/>
      <c r="FD116" s="289"/>
      <c r="FE116" s="289"/>
      <c r="FF116" s="303"/>
    </row>
    <row r="117" spans="1:162" ht="11.25" customHeight="1" x14ac:dyDescent="0.2">
      <c r="A117" s="4" t="s">
        <v>309</v>
      </c>
      <c r="C117" s="304"/>
      <c r="D117" s="8"/>
      <c r="E117" s="8"/>
      <c r="F117" s="305"/>
      <c r="G117" s="8">
        <v>416.151726</v>
      </c>
      <c r="H117" s="8"/>
      <c r="I117" s="306"/>
      <c r="J117" s="306">
        <v>416.29273599999999</v>
      </c>
      <c r="K117" s="304"/>
      <c r="L117" s="8"/>
      <c r="M117" s="8"/>
      <c r="N117" s="305"/>
      <c r="O117" s="8">
        <v>416.440876</v>
      </c>
      <c r="P117" s="8"/>
      <c r="Q117" s="306"/>
      <c r="R117" s="306">
        <v>416.41336799999999</v>
      </c>
      <c r="S117" s="304"/>
      <c r="T117" s="8"/>
      <c r="U117" s="8"/>
      <c r="V117" s="305"/>
      <c r="W117" s="8">
        <v>416.432773</v>
      </c>
      <c r="X117" s="8"/>
      <c r="Y117" s="306"/>
      <c r="Z117" s="306">
        <f>IS!M94</f>
        <v>417.569031</v>
      </c>
      <c r="AA117" s="304"/>
      <c r="AB117" s="8"/>
      <c r="AC117" s="8"/>
      <c r="AD117" s="305"/>
      <c r="AE117" s="8">
        <v>416.388893</v>
      </c>
      <c r="AF117" s="8"/>
      <c r="AG117" s="306"/>
      <c r="AH117" s="306">
        <f>IS!N94</f>
        <v>416.32511799999997</v>
      </c>
      <c r="AI117" s="304"/>
      <c r="AJ117" s="8"/>
      <c r="AK117" s="8"/>
      <c r="AL117" s="305"/>
      <c r="AM117" s="8">
        <v>411.22485799999998</v>
      </c>
      <c r="AN117" s="8"/>
      <c r="AO117" s="306"/>
      <c r="AP117" s="306">
        <f>IS!O94</f>
        <v>410.24104299999999</v>
      </c>
      <c r="AQ117" s="304"/>
      <c r="AR117" s="8"/>
      <c r="AS117" s="8"/>
      <c r="AT117" s="305"/>
      <c r="AU117" s="8">
        <v>411.22485799999998</v>
      </c>
      <c r="AV117" s="8"/>
      <c r="AW117" s="306"/>
      <c r="AX117" s="306"/>
      <c r="AY117" s="304"/>
      <c r="AZ117" s="8"/>
      <c r="BA117" s="8"/>
      <c r="BB117" s="305"/>
      <c r="BC117" s="8">
        <v>428.93556999999998</v>
      </c>
      <c r="BD117" s="8"/>
      <c r="BE117" s="306"/>
      <c r="BF117" s="306">
        <f>IS!P94</f>
        <v>430.91181</v>
      </c>
      <c r="BG117" s="304"/>
      <c r="BH117" s="8"/>
      <c r="BI117" s="8"/>
      <c r="BJ117" s="305"/>
      <c r="BK117" s="8">
        <f t="shared" si="108"/>
        <v>428.93556999999998</v>
      </c>
      <c r="BL117" s="8"/>
      <c r="BM117" s="306"/>
      <c r="BN117" s="306">
        <f t="shared" si="109"/>
        <v>430.91181</v>
      </c>
      <c r="BO117" s="304"/>
      <c r="BP117" s="8"/>
      <c r="BQ117" s="8"/>
      <c r="BR117" s="305"/>
      <c r="BS117" s="8">
        <v>432.21825899999999</v>
      </c>
      <c r="BT117" s="8"/>
      <c r="BU117" s="306"/>
      <c r="BV117" s="306">
        <f>IS!Q94</f>
        <v>429.72337199999998</v>
      </c>
      <c r="BW117" s="304"/>
      <c r="BX117" s="8"/>
      <c r="BY117" s="8"/>
      <c r="BZ117" s="305"/>
      <c r="CA117" s="8">
        <v>425.15517999999997</v>
      </c>
      <c r="CB117" s="8"/>
      <c r="CC117" s="306"/>
      <c r="CD117" s="306">
        <f>IS!R94</f>
        <v>426.035732</v>
      </c>
      <c r="CE117" s="304"/>
      <c r="CF117" s="8"/>
      <c r="CG117" s="8"/>
      <c r="CH117" s="305"/>
      <c r="CI117" s="8">
        <v>426.622547</v>
      </c>
      <c r="CJ117" s="8"/>
      <c r="CK117" s="306"/>
      <c r="CL117" s="306">
        <f>IS!S94</f>
        <v>426.65042499999998</v>
      </c>
      <c r="CM117" s="304"/>
      <c r="CN117" s="8"/>
      <c r="CO117" s="8"/>
      <c r="CP117" s="305"/>
      <c r="CQ117" s="8">
        <v>426.622547</v>
      </c>
      <c r="CR117" s="8">
        <f>CT117*2-CQ117</f>
        <v>426.738767</v>
      </c>
      <c r="CS117" s="306"/>
      <c r="CT117" s="306">
        <f>IS!T94</f>
        <v>426.680657</v>
      </c>
      <c r="CU117" s="8"/>
      <c r="CV117" s="8"/>
      <c r="CW117" s="8"/>
      <c r="CX117" s="305"/>
      <c r="CY117" s="8">
        <v>420.44786499999998</v>
      </c>
      <c r="CZ117" s="8">
        <f>DB117*2-CY117</f>
        <v>415.14311900000007</v>
      </c>
      <c r="DA117" s="8"/>
      <c r="DB117" s="1232">
        <f>IS!U94</f>
        <v>417.79549200000002</v>
      </c>
      <c r="DC117" s="8"/>
      <c r="DD117" s="8"/>
      <c r="DE117" s="8"/>
      <c r="DF117" s="305"/>
      <c r="DG117" s="8">
        <v>424.91398299999997</v>
      </c>
      <c r="DH117" s="8">
        <f>DJ117*2-DG117</f>
        <v>407.38507700000008</v>
      </c>
      <c r="DI117" s="8"/>
      <c r="DJ117" s="1232">
        <f>IS!V94</f>
        <v>416.14953000000003</v>
      </c>
      <c r="DK117" s="8"/>
      <c r="DL117" s="8"/>
      <c r="DM117" s="8"/>
      <c r="DN117" s="305"/>
      <c r="DO117" s="8">
        <v>417.934731</v>
      </c>
      <c r="DP117" s="8">
        <f>DR117*2-DO117</f>
        <v>417.83144099999998</v>
      </c>
      <c r="DQ117" s="8"/>
      <c r="DR117" s="1232">
        <f>IS!W94</f>
        <v>417.88308599999999</v>
      </c>
      <c r="DS117" s="8"/>
      <c r="DT117" s="8"/>
      <c r="DU117" s="8"/>
      <c r="DV117" s="305"/>
      <c r="DW117" s="8">
        <v>415.527491</v>
      </c>
      <c r="DX117" s="10">
        <f>DZ117</f>
        <v>415.09841523532828</v>
      </c>
      <c r="DY117" s="8"/>
      <c r="DZ117" s="307">
        <f>IS!X94</f>
        <v>415.09841523532828</v>
      </c>
      <c r="EA117" s="8"/>
      <c r="EB117" s="8"/>
      <c r="EC117" s="8"/>
      <c r="ED117" s="305"/>
      <c r="EE117" s="10">
        <f>EH117</f>
        <v>411.46680570598494</v>
      </c>
      <c r="EF117" s="10">
        <f>EH117</f>
        <v>411.46680570598494</v>
      </c>
      <c r="EG117" s="8"/>
      <c r="EH117" s="307">
        <f>IS!Y94</f>
        <v>411.46680570598494</v>
      </c>
      <c r="EI117" s="8"/>
      <c r="EJ117" s="8"/>
      <c r="EK117" s="8"/>
      <c r="EL117" s="305"/>
      <c r="EM117" s="10">
        <f>EP117</f>
        <v>407.83519617664149</v>
      </c>
      <c r="EN117" s="10">
        <f>EP117</f>
        <v>407.83519617664149</v>
      </c>
      <c r="EO117" s="8"/>
      <c r="EP117" s="307">
        <f>IS!Z94</f>
        <v>407.83519617664149</v>
      </c>
      <c r="EQ117" s="8"/>
      <c r="ER117" s="8"/>
      <c r="ES117" s="8"/>
      <c r="ET117" s="305"/>
      <c r="EU117" s="10">
        <f>EX117</f>
        <v>406.01939141196982</v>
      </c>
      <c r="EV117" s="10">
        <f>EX117</f>
        <v>406.01939141196982</v>
      </c>
      <c r="EW117" s="8"/>
      <c r="EX117" s="307">
        <f>IS!AA94</f>
        <v>406.01939141196982</v>
      </c>
      <c r="EY117" s="8"/>
      <c r="EZ117" s="8"/>
      <c r="FA117" s="8"/>
      <c r="FB117" s="305"/>
      <c r="FC117" s="10">
        <f>FF117</f>
        <v>406.01939141196982</v>
      </c>
      <c r="FD117" s="10">
        <f>FF117</f>
        <v>406.01939141196982</v>
      </c>
      <c r="FE117" s="8"/>
      <c r="FF117" s="307">
        <f>IS!AB94</f>
        <v>406.01939141196982</v>
      </c>
    </row>
    <row r="118" spans="1:162" ht="11.25" customHeight="1" x14ac:dyDescent="0.2">
      <c r="A118" s="186" t="s">
        <v>310</v>
      </c>
      <c r="C118" s="308"/>
      <c r="D118" s="309"/>
      <c r="E118" s="309"/>
      <c r="F118" s="310"/>
      <c r="G118" s="309">
        <f>G114/G117</f>
        <v>1.5811540812881311</v>
      </c>
      <c r="H118" s="309">
        <f>J118-G118</f>
        <v>1.2846177586509642</v>
      </c>
      <c r="I118" s="311"/>
      <c r="J118" s="311">
        <f>J114/J117</f>
        <v>2.8657718399390952</v>
      </c>
      <c r="K118" s="308"/>
      <c r="L118" s="309"/>
      <c r="M118" s="309"/>
      <c r="N118" s="310"/>
      <c r="O118" s="309">
        <f>O114/O117</f>
        <v>1.4792015757838335</v>
      </c>
      <c r="P118" s="309">
        <f>R118-O118</f>
        <v>1.5178203642034533</v>
      </c>
      <c r="Q118" s="311"/>
      <c r="R118" s="311">
        <f>R114/R117</f>
        <v>2.9970219399872868</v>
      </c>
      <c r="S118" s="308"/>
      <c r="T118" s="309"/>
      <c r="U118" s="309"/>
      <c r="V118" s="310"/>
      <c r="W118" s="309">
        <f>W114/W117</f>
        <v>2.7951690536133666</v>
      </c>
      <c r="X118" s="309">
        <f>Z118-W118</f>
        <v>0.75394472154109415</v>
      </c>
      <c r="Y118" s="311"/>
      <c r="Z118" s="311">
        <f>Z114/Z117</f>
        <v>3.5491137751544608</v>
      </c>
      <c r="AA118" s="308"/>
      <c r="AB118" s="309"/>
      <c r="AC118" s="309"/>
      <c r="AD118" s="310"/>
      <c r="AE118" s="309">
        <f>AE114/AE117</f>
        <v>2.0701800996406501</v>
      </c>
      <c r="AF118" s="309">
        <f>+AH118-AE118</f>
        <v>2.2677757956844076</v>
      </c>
      <c r="AG118" s="311"/>
      <c r="AH118" s="311">
        <f>AH114/AH117</f>
        <v>4.3379558953250577</v>
      </c>
      <c r="AI118" s="308"/>
      <c r="AJ118" s="309"/>
      <c r="AK118" s="309"/>
      <c r="AL118" s="310"/>
      <c r="AM118" s="309">
        <f>AM114/AM117</f>
        <v>3.9054059324400083</v>
      </c>
      <c r="AN118" s="309">
        <f>+AP118-AM118</f>
        <v>2.4908336559036672</v>
      </c>
      <c r="AO118" s="311"/>
      <c r="AP118" s="311">
        <f>AP114/AP117</f>
        <v>6.3962395883436756</v>
      </c>
      <c r="AQ118" s="308"/>
      <c r="AR118" s="309"/>
      <c r="AS118" s="309"/>
      <c r="AT118" s="310"/>
      <c r="AU118" s="309">
        <f>AU114/AU117</f>
        <v>3.6184582985496467</v>
      </c>
      <c r="AV118" s="309"/>
      <c r="AW118" s="311"/>
      <c r="AX118" s="311"/>
      <c r="AY118" s="308"/>
      <c r="AZ118" s="309"/>
      <c r="BA118" s="309"/>
      <c r="BB118" s="310"/>
      <c r="BC118" s="309">
        <f>BC114/BC117</f>
        <v>2.1728205007572585</v>
      </c>
      <c r="BD118" s="309">
        <f>+BF118-BC118</f>
        <v>2.4244078741160129</v>
      </c>
      <c r="BE118" s="311"/>
      <c r="BF118" s="311">
        <f>BF114/BF117</f>
        <v>4.5972283748732714</v>
      </c>
      <c r="BG118" s="308"/>
      <c r="BH118" s="309"/>
      <c r="BI118" s="309"/>
      <c r="BJ118" s="310"/>
      <c r="BK118" s="309">
        <f t="shared" si="108"/>
        <v>2.1728205007572585</v>
      </c>
      <c r="BL118" s="309">
        <f t="shared" si="108"/>
        <v>2.4244078741160129</v>
      </c>
      <c r="BM118" s="311"/>
      <c r="BN118" s="311">
        <f t="shared" si="109"/>
        <v>4.5972283748732714</v>
      </c>
      <c r="BO118" s="308"/>
      <c r="BP118" s="309"/>
      <c r="BQ118" s="309"/>
      <c r="BR118" s="310"/>
      <c r="BS118" s="309">
        <f>BS114/BS117</f>
        <v>3.1303628938082415</v>
      </c>
      <c r="BT118" s="309">
        <f>BV118-BS118</f>
        <v>3.0713011851006433</v>
      </c>
      <c r="BU118" s="311"/>
      <c r="BV118" s="311">
        <f>BV114/BV117</f>
        <v>6.2016640789088848</v>
      </c>
      <c r="BW118" s="308"/>
      <c r="BX118" s="309"/>
      <c r="BY118" s="309"/>
      <c r="BZ118" s="310"/>
      <c r="CA118" s="309">
        <f>CA114/CA117</f>
        <v>1.1783932633726821</v>
      </c>
      <c r="CB118" s="309">
        <f>CD118-CA118</f>
        <v>0.80266122714596766</v>
      </c>
      <c r="CC118" s="311"/>
      <c r="CD118" s="311">
        <f>CD114/CD117</f>
        <v>1.9810544905186498</v>
      </c>
      <c r="CE118" s="308"/>
      <c r="CF118" s="309"/>
      <c r="CG118" s="309"/>
      <c r="CH118" s="310"/>
      <c r="CI118" s="309">
        <f>CI114/CI117</f>
        <v>0.63053395065873064</v>
      </c>
      <c r="CJ118" s="309">
        <f>CL118-CI118</f>
        <v>1.1507838577086231</v>
      </c>
      <c r="CK118" s="311"/>
      <c r="CL118" s="311">
        <f>CL114/CL117</f>
        <v>1.7813178083673538</v>
      </c>
      <c r="CM118" s="308"/>
      <c r="CN118" s="309"/>
      <c r="CO118" s="309"/>
      <c r="CP118" s="310"/>
      <c r="CQ118" s="309">
        <f>CQ114/CQ117</f>
        <v>1.2563799165541993</v>
      </c>
      <c r="CR118" s="309">
        <f>CT118-CQ118</f>
        <v>1.5044670557049626</v>
      </c>
      <c r="CS118" s="311"/>
      <c r="CT118" s="311">
        <f>CT114/CT117</f>
        <v>2.760846972259162</v>
      </c>
      <c r="CU118" s="309"/>
      <c r="CV118" s="309"/>
      <c r="CW118" s="309"/>
      <c r="CX118" s="310"/>
      <c r="CY118" s="309">
        <f>CY114/CY117</f>
        <v>2.4806880634296955</v>
      </c>
      <c r="CZ118" s="309">
        <f>CZ114/CZ117</f>
        <v>2.3726757229474873</v>
      </c>
      <c r="DA118" s="309"/>
      <c r="DB118" s="1476">
        <f>DB114/DB117</f>
        <v>4.8540495022861565</v>
      </c>
      <c r="DC118" s="309"/>
      <c r="DD118" s="309"/>
      <c r="DE118" s="309"/>
      <c r="DF118" s="310"/>
      <c r="DG118" s="309">
        <f>DG114/DG117</f>
        <v>3.3700938479118023</v>
      </c>
      <c r="DH118" s="309">
        <f>DH114/DH117</f>
        <v>4.0158564767457099</v>
      </c>
      <c r="DI118" s="309"/>
      <c r="DJ118" s="1476">
        <f>DJ114/DJ117</f>
        <v>7.3723500300480929</v>
      </c>
      <c r="DK118" s="309"/>
      <c r="DL118" s="309"/>
      <c r="DM118" s="309"/>
      <c r="DN118" s="310"/>
      <c r="DO118" s="309">
        <f>DO114/DO117</f>
        <v>3.7972436418546893</v>
      </c>
      <c r="DP118" s="309">
        <f>DP114/DP117</f>
        <v>3.7981823392749434</v>
      </c>
      <c r="DQ118" s="309"/>
      <c r="DR118" s="1476">
        <f>DR114/DR117</f>
        <v>7.5954258651186475</v>
      </c>
      <c r="DS118" s="309"/>
      <c r="DT118" s="309"/>
      <c r="DU118" s="309"/>
      <c r="DV118" s="310"/>
      <c r="DW118" s="309">
        <f>DW114/DW117</f>
        <v>4.630259228744988</v>
      </c>
      <c r="DX118" s="312">
        <f>DX114/DX117</f>
        <v>5.7524918595590915</v>
      </c>
      <c r="DY118" s="309"/>
      <c r="DZ118" s="313">
        <f>DZ114/DZ117</f>
        <v>10.395785007617611</v>
      </c>
      <c r="EA118" s="309"/>
      <c r="EB118" s="309"/>
      <c r="EC118" s="309"/>
      <c r="ED118" s="310"/>
      <c r="EE118" s="312">
        <f>EE114/EE117</f>
        <v>3.2417755445281928</v>
      </c>
      <c r="EF118" s="312">
        <f>EF114/EF117</f>
        <v>10.717980490541791</v>
      </c>
      <c r="EG118" s="309"/>
      <c r="EH118" s="313">
        <f>EH114/EH117</f>
        <v>13.959756035069978</v>
      </c>
      <c r="EI118" s="309"/>
      <c r="EJ118" s="309"/>
      <c r="EK118" s="309"/>
      <c r="EL118" s="310"/>
      <c r="EM118" s="312">
        <f>EM114/EM117</f>
        <v>3.762945819779683</v>
      </c>
      <c r="EN118" s="312">
        <f>EN114/EN117</f>
        <v>11.787037773837282</v>
      </c>
      <c r="EO118" s="309"/>
      <c r="EP118" s="313">
        <f>EP114/EP117</f>
        <v>15.549983593616947</v>
      </c>
      <c r="EQ118" s="309"/>
      <c r="ER118" s="309"/>
      <c r="ES118" s="309"/>
      <c r="ET118" s="310"/>
      <c r="EU118" s="312">
        <f>EU114/EU117</f>
        <v>4.1162521936569636</v>
      </c>
      <c r="EV118" s="312">
        <f>EV114/EV117</f>
        <v>12.663582366410997</v>
      </c>
      <c r="EW118" s="309"/>
      <c r="EX118" s="313">
        <f>EX114/EX117</f>
        <v>16.779834560067943</v>
      </c>
      <c r="EY118" s="309"/>
      <c r="EZ118" s="309"/>
      <c r="FA118" s="309"/>
      <c r="FB118" s="310"/>
      <c r="FC118" s="312">
        <f>FC114/FC117</f>
        <v>4.4677032481818904</v>
      </c>
      <c r="FD118" s="312">
        <f>FD114/FD117</f>
        <v>13.194623048205251</v>
      </c>
      <c r="FE118" s="309"/>
      <c r="FF118" s="313">
        <f>FF114/FF117</f>
        <v>17.662326296387132</v>
      </c>
    </row>
    <row r="119" spans="1:162" ht="11.25" customHeight="1" x14ac:dyDescent="0.2">
      <c r="A119" s="186" t="s">
        <v>311</v>
      </c>
      <c r="C119" s="308"/>
      <c r="D119" s="309"/>
      <c r="E119" s="309"/>
      <c r="F119" s="310"/>
      <c r="G119" s="309">
        <f>G115/G117</f>
        <v>1.129395772348665</v>
      </c>
      <c r="H119" s="309">
        <f>J119-G119</f>
        <v>2.1999921322243328</v>
      </c>
      <c r="I119" s="311"/>
      <c r="J119" s="311">
        <f>J115/J117</f>
        <v>3.3293879045729975</v>
      </c>
      <c r="K119" s="308"/>
      <c r="L119" s="309"/>
      <c r="M119" s="309"/>
      <c r="N119" s="310"/>
      <c r="O119" s="309">
        <f>O115/O117</f>
        <v>1.5224249984528415</v>
      </c>
      <c r="P119" s="309">
        <f>R119-O119</f>
        <v>-1.8250089443169426</v>
      </c>
      <c r="Q119" s="311"/>
      <c r="R119" s="311">
        <f>R115/R117</f>
        <v>-0.30258394586410109</v>
      </c>
      <c r="S119" s="308"/>
      <c r="T119" s="309"/>
      <c r="U119" s="309"/>
      <c r="V119" s="310"/>
      <c r="W119" s="309">
        <f>W115/W117</f>
        <v>-0.46346016095135723</v>
      </c>
      <c r="X119" s="309">
        <f>Z119-W119</f>
        <v>-0.55194081115761129</v>
      </c>
      <c r="Y119" s="311"/>
      <c r="Z119" s="311">
        <f>Z115/Z117</f>
        <v>-1.0154009721089685</v>
      </c>
      <c r="AA119" s="308"/>
      <c r="AB119" s="309"/>
      <c r="AC119" s="309"/>
      <c r="AD119" s="310"/>
      <c r="AE119" s="309">
        <f>AE115/AE117</f>
        <v>4.3661106973859649</v>
      </c>
      <c r="AF119" s="309">
        <f>+AH119-AE119</f>
        <v>0.21684602923652108</v>
      </c>
      <c r="AG119" s="311"/>
      <c r="AH119" s="311">
        <f>AH115/AH117</f>
        <v>4.582956726622486</v>
      </c>
      <c r="AI119" s="308"/>
      <c r="AJ119" s="309"/>
      <c r="AK119" s="309"/>
      <c r="AL119" s="310"/>
      <c r="AM119" s="309">
        <f>AM115/AM117</f>
        <v>8.1415311717367054</v>
      </c>
      <c r="AN119" s="309">
        <f>+AP119-AM119</f>
        <v>3.5345311865583433</v>
      </c>
      <c r="AO119" s="311"/>
      <c r="AP119" s="311">
        <f>AP115/AP117</f>
        <v>11.676062358295049</v>
      </c>
      <c r="AQ119" s="308"/>
      <c r="AR119" s="309"/>
      <c r="AS119" s="309"/>
      <c r="AT119" s="310"/>
      <c r="AU119" s="309">
        <f>AU115/AU117</f>
        <v>7.8326977013631804</v>
      </c>
      <c r="AV119" s="309"/>
      <c r="AW119" s="311"/>
      <c r="AX119" s="311"/>
      <c r="AY119" s="308"/>
      <c r="AZ119" s="309"/>
      <c r="BA119" s="309"/>
      <c r="BB119" s="310"/>
      <c r="BC119" s="309">
        <f>BC115/BC117</f>
        <v>1.2472735707136622</v>
      </c>
      <c r="BD119" s="309">
        <f>+BF119-BC119</f>
        <v>1.7301338018064831</v>
      </c>
      <c r="BE119" s="311"/>
      <c r="BF119" s="311">
        <f>BF115/BF117</f>
        <v>2.9774073725201453</v>
      </c>
      <c r="BG119" s="308"/>
      <c r="BH119" s="309"/>
      <c r="BI119" s="309"/>
      <c r="BJ119" s="310"/>
      <c r="BK119" s="309">
        <f t="shared" si="108"/>
        <v>1.2472735707136622</v>
      </c>
      <c r="BL119" s="309">
        <f t="shared" si="108"/>
        <v>1.7301338018064831</v>
      </c>
      <c r="BM119" s="311"/>
      <c r="BN119" s="311">
        <f t="shared" si="109"/>
        <v>2.9774073725201453</v>
      </c>
      <c r="BO119" s="308"/>
      <c r="BP119" s="309"/>
      <c r="BQ119" s="309"/>
      <c r="BR119" s="310"/>
      <c r="BS119" s="309">
        <f>BS115/BS117</f>
        <v>3.3131409193890629</v>
      </c>
      <c r="BT119" s="309">
        <f>BV119-BS119</f>
        <v>2.3812200566297146</v>
      </c>
      <c r="BU119" s="311"/>
      <c r="BV119" s="311">
        <f>BV115/BV117</f>
        <v>5.6943609760187774</v>
      </c>
      <c r="BW119" s="308"/>
      <c r="BX119" s="309"/>
      <c r="BY119" s="309"/>
      <c r="BZ119" s="310"/>
      <c r="CA119" s="309">
        <f>CA115/CA117</f>
        <v>-0.79970800308724932</v>
      </c>
      <c r="CB119" s="309">
        <f>CD119-CA119</f>
        <v>1.6259297811234634</v>
      </c>
      <c r="CC119" s="311"/>
      <c r="CD119" s="311">
        <f>CD115/CD117</f>
        <v>0.82622177803621411</v>
      </c>
      <c r="CE119" s="308"/>
      <c r="CF119" s="309"/>
      <c r="CG119" s="309"/>
      <c r="CH119" s="310"/>
      <c r="CI119" s="309">
        <f>CI115/CI117</f>
        <v>1.5798508652192731</v>
      </c>
      <c r="CJ119" s="309">
        <f>CL119-CI119</f>
        <v>-1.4790657786932255</v>
      </c>
      <c r="CK119" s="311"/>
      <c r="CL119" s="311">
        <f>CL115/CL117</f>
        <v>0.10078508652604765</v>
      </c>
      <c r="CM119" s="308"/>
      <c r="CN119" s="309"/>
      <c r="CO119" s="309"/>
      <c r="CP119" s="310"/>
      <c r="CQ119" s="309">
        <f>CQ115/CQ117</f>
        <v>-8.8180993396957046</v>
      </c>
      <c r="CR119" s="309">
        <f>CT119-CQ119</f>
        <v>3.0550070605910529</v>
      </c>
      <c r="CS119" s="311"/>
      <c r="CT119" s="311">
        <f>CT115/CT117</f>
        <v>-5.7630922791046517</v>
      </c>
      <c r="CU119" s="309"/>
      <c r="CV119" s="309"/>
      <c r="CW119" s="309"/>
      <c r="CX119" s="310"/>
      <c r="CY119" s="309">
        <f>CY115/CY117</f>
        <v>4.4309893213514124</v>
      </c>
      <c r="CZ119" s="309">
        <f>CZ115/CZ117</f>
        <v>3.808325195918759</v>
      </c>
      <c r="DA119" s="309"/>
      <c r="DB119" s="1476">
        <f>DB115/DB117</f>
        <v>8.2432674979652472</v>
      </c>
      <c r="DC119" s="309"/>
      <c r="DD119" s="309"/>
      <c r="DE119" s="309"/>
      <c r="DF119" s="310"/>
      <c r="DG119" s="309">
        <f>DG115/DG117</f>
        <v>0.13414479701883569</v>
      </c>
      <c r="DH119" s="309">
        <f>DH115/DH117</f>
        <v>-1.7771883185598374</v>
      </c>
      <c r="DI119" s="309"/>
      <c r="DJ119" s="1476">
        <f>DJ115/DJ117</f>
        <v>-1.6027892666369223</v>
      </c>
      <c r="DK119" s="309"/>
      <c r="DL119" s="309"/>
      <c r="DM119" s="309"/>
      <c r="DN119" s="310"/>
      <c r="DO119" s="309">
        <f>DO115/DO117</f>
        <v>12.071262869033969</v>
      </c>
      <c r="DP119" s="309">
        <f>DP115/DP117</f>
        <v>5.1025360726743401</v>
      </c>
      <c r="DQ119" s="309"/>
      <c r="DR119" s="1476">
        <f>DR115/DR117</f>
        <v>17.174660187131863</v>
      </c>
      <c r="DS119" s="309"/>
      <c r="DT119" s="309"/>
      <c r="DU119" s="309"/>
      <c r="DV119" s="310"/>
      <c r="DW119" s="309">
        <f>DW115/DW117</f>
        <v>4.2115143712597343</v>
      </c>
      <c r="DX119" s="312">
        <f>DX115/DX117</f>
        <v>6.4645157776278728</v>
      </c>
      <c r="DY119" s="309"/>
      <c r="DZ119" s="313">
        <f>DZ115/DZ117</f>
        <v>10.688631223209848</v>
      </c>
      <c r="EA119" s="309"/>
      <c r="EB119" s="309"/>
      <c r="EC119" s="309"/>
      <c r="ED119" s="310"/>
      <c r="EE119" s="312">
        <f>EE115/EE117</f>
        <v>3.0467172825080238</v>
      </c>
      <c r="EF119" s="312">
        <f>EF115/EF117</f>
        <v>10.522922228521622</v>
      </c>
      <c r="EG119" s="309"/>
      <c r="EH119" s="313">
        <f>EH115/EH117</f>
        <v>13.569639511029639</v>
      </c>
      <c r="EI119" s="309"/>
      <c r="EJ119" s="309"/>
      <c r="EK119" s="309"/>
      <c r="EL119" s="310"/>
      <c r="EM119" s="312">
        <f>EM115/EM117</f>
        <v>3.5737198757623969</v>
      </c>
      <c r="EN119" s="312">
        <f>EN115/EN117</f>
        <v>11.597811829819998</v>
      </c>
      <c r="EO119" s="309"/>
      <c r="EP119" s="313">
        <f>EP115/EP117</f>
        <v>15.171531705582376</v>
      </c>
      <c r="EQ119" s="309"/>
      <c r="ER119" s="309"/>
      <c r="ES119" s="309"/>
      <c r="ET119" s="310"/>
      <c r="EU119" s="312">
        <f>EU115/EU117</f>
        <v>3.9341632305094167</v>
      </c>
      <c r="EV119" s="312">
        <f>EV115/EV117</f>
        <v>12.48149340326345</v>
      </c>
      <c r="EW119" s="309"/>
      <c r="EX119" s="313">
        <f>EX115/EX117</f>
        <v>16.415656633772851</v>
      </c>
      <c r="EY119" s="309"/>
      <c r="EZ119" s="309"/>
      <c r="FA119" s="309"/>
      <c r="FB119" s="310"/>
      <c r="FC119" s="312">
        <f>FC115/FC117</f>
        <v>4.2939966863974108</v>
      </c>
      <c r="FD119" s="312">
        <f>FD115/FD117</f>
        <v>13.020916486420774</v>
      </c>
      <c r="FE119" s="309"/>
      <c r="FF119" s="313">
        <f>FF115/FF117</f>
        <v>17.314913172818173</v>
      </c>
    </row>
    <row r="120" spans="1:162" ht="11.25" customHeight="1" x14ac:dyDescent="0.2">
      <c r="A120" s="4" t="s">
        <v>18</v>
      </c>
      <c r="C120" s="38"/>
      <c r="F120" s="179"/>
      <c r="I120" s="180"/>
      <c r="J120" s="180">
        <v>1.1200000000000001</v>
      </c>
      <c r="K120" s="38"/>
      <c r="N120" s="179"/>
      <c r="Q120" s="180"/>
      <c r="R120" s="180">
        <v>1.2</v>
      </c>
      <c r="S120" s="38"/>
      <c r="V120" s="179"/>
      <c r="Y120" s="180"/>
      <c r="Z120" s="180">
        <f>IS!M102</f>
        <v>1.38</v>
      </c>
      <c r="AA120" s="38"/>
      <c r="AD120" s="179"/>
      <c r="AG120" s="180"/>
      <c r="AH120" s="180">
        <f>IS!N102</f>
        <v>1.52</v>
      </c>
      <c r="AI120" s="38"/>
      <c r="AL120" s="179"/>
      <c r="AO120" s="180"/>
      <c r="AP120" s="180">
        <f>IS!O102</f>
        <v>1.6</v>
      </c>
      <c r="AQ120" s="38"/>
      <c r="AT120" s="179"/>
      <c r="AW120" s="180"/>
      <c r="AX120" s="180"/>
      <c r="AY120" s="38"/>
      <c r="BB120" s="179"/>
      <c r="BE120" s="180"/>
      <c r="BF120" s="180"/>
      <c r="BG120" s="38"/>
      <c r="BJ120" s="179"/>
      <c r="BM120" s="180"/>
      <c r="BN120" s="180"/>
      <c r="BO120" s="38"/>
      <c r="BR120" s="179"/>
      <c r="BU120" s="180"/>
      <c r="BV120" s="180"/>
      <c r="BW120" s="38"/>
      <c r="BZ120" s="179"/>
      <c r="CC120" s="180"/>
      <c r="CD120" s="180"/>
      <c r="CE120" s="38"/>
      <c r="CH120" s="179"/>
      <c r="CK120" s="180"/>
      <c r="CL120" s="180"/>
      <c r="CM120" s="38"/>
      <c r="CP120" s="179"/>
      <c r="CS120" s="180"/>
      <c r="CT120" s="180"/>
      <c r="CX120" s="179"/>
      <c r="DB120" s="314"/>
      <c r="DF120" s="179"/>
      <c r="DG120" s="1342"/>
      <c r="DJ120" s="314"/>
      <c r="DN120" s="179"/>
      <c r="DR120" s="314"/>
      <c r="DV120" s="179"/>
      <c r="DZ120" s="314"/>
      <c r="ED120" s="179"/>
      <c r="EH120" s="314"/>
      <c r="EL120" s="179"/>
      <c r="EP120" s="314"/>
      <c r="ET120" s="179"/>
      <c r="EX120" s="314"/>
      <c r="FB120" s="179"/>
      <c r="FF120" s="314"/>
    </row>
    <row r="121" spans="1:162" ht="11.25" customHeight="1" x14ac:dyDescent="0.2">
      <c r="C121" s="38"/>
      <c r="F121" s="179"/>
      <c r="I121" s="180"/>
      <c r="J121" s="180"/>
      <c r="K121" s="38"/>
      <c r="N121" s="179"/>
      <c r="Q121" s="180"/>
      <c r="R121" s="180"/>
      <c r="S121" s="38"/>
      <c r="V121" s="179"/>
      <c r="Y121" s="180"/>
      <c r="Z121" s="180"/>
      <c r="AA121" s="38"/>
      <c r="AD121" s="179"/>
      <c r="AG121" s="180"/>
      <c r="AH121" s="180"/>
      <c r="AI121" s="38"/>
      <c r="AL121" s="179"/>
      <c r="AO121" s="180"/>
      <c r="AP121" s="180"/>
      <c r="AQ121" s="38"/>
      <c r="AT121" s="179"/>
      <c r="AW121" s="180"/>
      <c r="AX121" s="180"/>
      <c r="AY121" s="38"/>
      <c r="BB121" s="179"/>
      <c r="BE121" s="180"/>
      <c r="BF121" s="180"/>
      <c r="BG121" s="38"/>
      <c r="BJ121" s="179"/>
      <c r="BM121" s="180"/>
      <c r="BN121" s="180"/>
      <c r="BO121" s="38"/>
      <c r="BR121" s="179"/>
      <c r="BU121" s="180"/>
      <c r="BV121" s="180"/>
      <c r="BW121" s="38"/>
      <c r="BZ121" s="179"/>
      <c r="CC121" s="180"/>
      <c r="CD121" s="180"/>
      <c r="CE121" s="38"/>
      <c r="CH121" s="179"/>
      <c r="CK121" s="180"/>
      <c r="CL121" s="180"/>
      <c r="CM121" s="38"/>
      <c r="CP121" s="179"/>
      <c r="CS121" s="180"/>
      <c r="CT121" s="180"/>
      <c r="CX121" s="179"/>
      <c r="DB121" s="314"/>
      <c r="DF121" s="179"/>
      <c r="DJ121" s="314"/>
      <c r="DN121" s="179"/>
      <c r="DR121" s="314"/>
      <c r="DV121" s="179"/>
      <c r="DZ121" s="314"/>
      <c r="ED121" s="179"/>
      <c r="EH121" s="314"/>
      <c r="EL121" s="179"/>
      <c r="EP121" s="314"/>
      <c r="ET121" s="179"/>
      <c r="EX121" s="314"/>
      <c r="FB121" s="179"/>
      <c r="FF121" s="314"/>
    </row>
    <row r="122" spans="1:162" ht="11.25" customHeight="1" x14ac:dyDescent="0.2">
      <c r="A122" s="219" t="s">
        <v>312</v>
      </c>
      <c r="C122" s="38"/>
      <c r="F122" s="179"/>
      <c r="I122" s="180"/>
      <c r="J122" s="180"/>
      <c r="K122" s="38"/>
      <c r="N122" s="179"/>
      <c r="Q122" s="180"/>
      <c r="R122" s="180"/>
      <c r="S122" s="38"/>
      <c r="V122" s="179"/>
      <c r="Y122" s="180"/>
      <c r="Z122" s="180"/>
      <c r="AA122" s="38"/>
      <c r="AD122" s="179"/>
      <c r="AG122" s="180"/>
      <c r="AH122" s="180"/>
      <c r="AI122" s="38"/>
      <c r="AL122" s="179"/>
      <c r="AO122" s="180"/>
      <c r="AP122" s="180"/>
      <c r="AQ122" s="38"/>
      <c r="AT122" s="179"/>
      <c r="AW122" s="180"/>
      <c r="AX122" s="180"/>
      <c r="AY122" s="38"/>
      <c r="BB122" s="179"/>
      <c r="BE122" s="180"/>
      <c r="BF122" s="180"/>
      <c r="BG122" s="38"/>
      <c r="BJ122" s="179"/>
      <c r="BM122" s="180"/>
      <c r="BN122" s="180"/>
      <c r="BO122" s="38"/>
      <c r="BR122" s="179"/>
      <c r="BU122" s="180"/>
      <c r="BV122" s="180"/>
      <c r="BW122" s="38"/>
      <c r="BZ122" s="179"/>
      <c r="CC122" s="180"/>
      <c r="CD122" s="180"/>
      <c r="CE122" s="38"/>
      <c r="CH122" s="179"/>
      <c r="CK122" s="180"/>
      <c r="CL122" s="180"/>
      <c r="CM122" s="38"/>
      <c r="CP122" s="179"/>
      <c r="CS122" s="180"/>
      <c r="CT122" s="180"/>
      <c r="CX122" s="179"/>
      <c r="DB122" s="314"/>
      <c r="DF122" s="179"/>
      <c r="DJ122" s="314"/>
      <c r="DN122" s="179"/>
      <c r="DR122" s="314"/>
      <c r="DV122" s="179"/>
      <c r="DZ122" s="314"/>
      <c r="ED122" s="179"/>
      <c r="EH122" s="314"/>
      <c r="EL122" s="179"/>
      <c r="EP122" s="314"/>
      <c r="ET122" s="179"/>
      <c r="EX122" s="314"/>
      <c r="FB122" s="179"/>
      <c r="FF122" s="314"/>
    </row>
    <row r="123" spans="1:162" ht="11.25" customHeight="1" x14ac:dyDescent="0.2">
      <c r="A123" s="4" t="s">
        <v>313</v>
      </c>
      <c r="C123" s="315">
        <v>1.32</v>
      </c>
      <c r="D123" s="316"/>
      <c r="E123" s="316">
        <v>1.32</v>
      </c>
      <c r="F123" s="317"/>
      <c r="G123" s="316">
        <v>1.31</v>
      </c>
      <c r="H123" s="316"/>
      <c r="I123" s="318">
        <v>1.32</v>
      </c>
      <c r="J123" s="318">
        <v>1.33</v>
      </c>
      <c r="K123" s="315">
        <v>1.37</v>
      </c>
      <c r="L123" s="316"/>
      <c r="M123" s="316">
        <v>1.33</v>
      </c>
      <c r="N123" s="317"/>
      <c r="O123" s="316">
        <v>1.37</v>
      </c>
      <c r="P123" s="316"/>
      <c r="Q123" s="318">
        <v>1.36</v>
      </c>
      <c r="R123" s="318">
        <v>1.33</v>
      </c>
      <c r="S123" s="315">
        <v>1.1299999999999999</v>
      </c>
      <c r="T123" s="316"/>
      <c r="U123" s="316">
        <v>1.1100000000000001</v>
      </c>
      <c r="V123" s="317"/>
      <c r="W123" s="316">
        <v>1.1200000000000001</v>
      </c>
      <c r="X123" s="316"/>
      <c r="Y123" s="318">
        <v>1.1100000000000001</v>
      </c>
      <c r="Z123" s="318">
        <v>1.1100000000000001</v>
      </c>
      <c r="AA123" s="315">
        <v>1.1000000000000001</v>
      </c>
      <c r="AB123" s="316"/>
      <c r="AC123" s="316">
        <v>1.1155591666666671</v>
      </c>
      <c r="AD123" s="317"/>
      <c r="AE123" s="316">
        <v>1.1200000000000001</v>
      </c>
      <c r="AF123" s="316">
        <f>0.45*AC123+0.55*AD123</f>
        <v>0.50200162500000023</v>
      </c>
      <c r="AG123" s="318">
        <v>1.1155591666666671</v>
      </c>
      <c r="AH123" s="318">
        <v>1.1100000000000001</v>
      </c>
      <c r="AI123" s="315">
        <v>1.06</v>
      </c>
      <c r="AJ123" s="316">
        <v>1.1000000000000001</v>
      </c>
      <c r="AK123" s="316">
        <v>1.17</v>
      </c>
      <c r="AL123" s="317">
        <v>1.18</v>
      </c>
      <c r="AM123" s="316">
        <v>1.08</v>
      </c>
      <c r="AN123" s="316">
        <f>0.45*AK123+0.55*AL123</f>
        <v>1.1755</v>
      </c>
      <c r="AO123" s="318">
        <v>1.1100000000000001</v>
      </c>
      <c r="AP123" s="318">
        <v>1.1299999999999999</v>
      </c>
      <c r="AQ123" s="315">
        <f>AI123</f>
        <v>1.06</v>
      </c>
      <c r="AR123" s="316">
        <f t="shared" ref="AR123:AX125" si="110">AJ123</f>
        <v>1.1000000000000001</v>
      </c>
      <c r="AS123" s="316">
        <f t="shared" si="110"/>
        <v>1.17</v>
      </c>
      <c r="AT123" s="317">
        <f>AL123</f>
        <v>1.18</v>
      </c>
      <c r="AU123" s="316">
        <f t="shared" si="110"/>
        <v>1.08</v>
      </c>
      <c r="AV123" s="316">
        <f>0.45*AS123+0.55*AT123</f>
        <v>1.1755</v>
      </c>
      <c r="AW123" s="318">
        <f t="shared" si="110"/>
        <v>1.1100000000000001</v>
      </c>
      <c r="AX123" s="318">
        <f t="shared" si="110"/>
        <v>1.1299999999999999</v>
      </c>
      <c r="AY123" s="315">
        <v>1.23</v>
      </c>
      <c r="AZ123" s="316">
        <v>1.19</v>
      </c>
      <c r="BA123" s="316">
        <v>1.1599999999999999</v>
      </c>
      <c r="BB123" s="317">
        <f>+BA123</f>
        <v>1.1599999999999999</v>
      </c>
      <c r="BC123" s="316">
        <v>1.21</v>
      </c>
      <c r="BD123" s="316">
        <f>+AVERAGE(BB123,BC123)</f>
        <v>1.1850000000000001</v>
      </c>
      <c r="BE123" s="318">
        <v>1.2</v>
      </c>
      <c r="BF123" s="318">
        <v>1.18</v>
      </c>
      <c r="BG123" s="315">
        <f t="shared" ref="BG123:BN125" si="111">AY123</f>
        <v>1.23</v>
      </c>
      <c r="BH123" s="316">
        <f t="shared" si="111"/>
        <v>1.19</v>
      </c>
      <c r="BI123" s="316">
        <f t="shared" si="111"/>
        <v>1.1599999999999999</v>
      </c>
      <c r="BJ123" s="317">
        <f t="shared" si="111"/>
        <v>1.1599999999999999</v>
      </c>
      <c r="BK123" s="316">
        <f t="shared" si="111"/>
        <v>1.21</v>
      </c>
      <c r="BL123" s="316">
        <f t="shared" si="111"/>
        <v>1.1850000000000001</v>
      </c>
      <c r="BM123" s="318">
        <f t="shared" si="111"/>
        <v>1.2</v>
      </c>
      <c r="BN123" s="318">
        <f t="shared" si="111"/>
        <v>1.18</v>
      </c>
      <c r="BO123" s="315">
        <v>1.1399999999999999</v>
      </c>
      <c r="BP123" s="316">
        <v>1.1200000000000001</v>
      </c>
      <c r="BQ123" s="316">
        <v>1.1100000000000001</v>
      </c>
      <c r="BR123" s="317">
        <f>BQ123</f>
        <v>1.1100000000000001</v>
      </c>
      <c r="BS123" s="316">
        <f>AVERAGE(BO123,BP123)</f>
        <v>1.1299999999999999</v>
      </c>
      <c r="BT123" s="316">
        <f>AVERAGE(BQ123:BR123)</f>
        <v>1.1100000000000001</v>
      </c>
      <c r="BU123" s="318">
        <v>1.1200000000000001</v>
      </c>
      <c r="BV123" s="318">
        <f>Propulsion!U262</f>
        <v>1.1200000000000001</v>
      </c>
      <c r="BW123" s="315">
        <v>1.1000000000000001</v>
      </c>
      <c r="BX123" s="316">
        <f>CA123*2-BW123</f>
        <v>1.1000000000000001</v>
      </c>
      <c r="BY123" s="316">
        <v>1.17</v>
      </c>
      <c r="BZ123" s="317">
        <v>1.19</v>
      </c>
      <c r="CA123" s="316">
        <v>1.1000000000000001</v>
      </c>
      <c r="CB123" s="316">
        <f>+AVERAGE(BY123:BZ123)</f>
        <v>1.18</v>
      </c>
      <c r="CC123" s="318">
        <f>+AVERAGE(BW123:BY123)</f>
        <v>1.1233333333333333</v>
      </c>
      <c r="CD123" s="318">
        <f>+AVERAGE(CA123:CB123)</f>
        <v>1.1400000000000001</v>
      </c>
      <c r="CE123" s="315">
        <v>1.2</v>
      </c>
      <c r="CF123" s="316">
        <v>1.22</v>
      </c>
      <c r="CG123" s="316">
        <v>1.18</v>
      </c>
      <c r="CH123" s="317">
        <v>1.2</v>
      </c>
      <c r="CI123" s="316">
        <v>1.21</v>
      </c>
      <c r="CJ123" s="316">
        <f>CL123</f>
        <v>1.18</v>
      </c>
      <c r="CK123" s="318">
        <v>1.2</v>
      </c>
      <c r="CL123" s="318">
        <f>+Propulsion!W262</f>
        <v>1.18</v>
      </c>
      <c r="CM123" s="315">
        <v>1.1200000000000001</v>
      </c>
      <c r="CN123" s="316">
        <v>1.06</v>
      </c>
      <c r="CO123" s="316">
        <v>1.02</v>
      </c>
      <c r="CP123" s="317">
        <v>1.02</v>
      </c>
      <c r="CQ123" s="316">
        <v>1.0900000000000001</v>
      </c>
      <c r="CR123" s="316">
        <v>1.02</v>
      </c>
      <c r="CS123" s="318">
        <f>+AVERAGE(CM123:CO123)</f>
        <v>1.0666666666666667</v>
      </c>
      <c r="CT123" s="318">
        <f>+AVERAGE(CQ123:CR123)</f>
        <v>1.0550000000000002</v>
      </c>
      <c r="CU123" s="315">
        <v>1.07</v>
      </c>
      <c r="CV123" s="316">
        <f>+Propulsion!Z262</f>
        <v>1.0900000000000001</v>
      </c>
      <c r="CW123" s="316">
        <v>1.0900000000000001</v>
      </c>
      <c r="CX123" s="317">
        <f>+Propulsion!AB262</f>
        <v>1.07</v>
      </c>
      <c r="CY123" s="316">
        <v>1.08</v>
      </c>
      <c r="CZ123" s="316">
        <f>+Propulsion!AD262</f>
        <v>1.08</v>
      </c>
      <c r="DA123" s="316">
        <v>1.08</v>
      </c>
      <c r="DB123" s="1477">
        <f>+Propulsion!AF262</f>
        <v>1.08</v>
      </c>
      <c r="DC123" s="315">
        <v>1.0900000000000001</v>
      </c>
      <c r="DD123" s="316">
        <f>+Propulsion!AH262</f>
        <v>1.07</v>
      </c>
      <c r="DE123" s="316">
        <f>+Propulsion!AI262</f>
        <v>1.1000000000000001</v>
      </c>
      <c r="DF123" s="317">
        <f>+Propulsion!AJ262</f>
        <v>1.06</v>
      </c>
      <c r="DG123" s="316">
        <v>1.08</v>
      </c>
      <c r="DH123" s="316">
        <f>+Propulsion!AL262</f>
        <v>1.08</v>
      </c>
      <c r="DI123" s="316">
        <f>+Propulsion!AM262</f>
        <v>1.0900000000000001</v>
      </c>
      <c r="DJ123" s="1477">
        <f>+Propulsion!AN262</f>
        <v>1.08</v>
      </c>
      <c r="DK123" s="315">
        <v>1.05</v>
      </c>
      <c r="DL123" s="316">
        <f>+Propulsion!AP262</f>
        <v>1.1300000000000001</v>
      </c>
      <c r="DM123" s="316">
        <f>+Propulsion!AQ262</f>
        <v>1.17</v>
      </c>
      <c r="DN123" s="317"/>
      <c r="DO123" s="316">
        <v>1.0900000000000001</v>
      </c>
      <c r="DP123" s="316">
        <f>+Propulsion!AT262</f>
        <v>1.1699999999999997</v>
      </c>
      <c r="DQ123" s="316">
        <f>+Propulsion!AU262</f>
        <v>1.1200000000000001</v>
      </c>
      <c r="DR123" s="1477">
        <f>+Propulsion!AV262</f>
        <v>1.1299999999999999</v>
      </c>
      <c r="DS123" s="316">
        <v>1.17</v>
      </c>
      <c r="DT123" s="316"/>
      <c r="DU123" s="316"/>
      <c r="DV123" s="317"/>
      <c r="DW123" s="316">
        <v>1.17</v>
      </c>
      <c r="DX123" s="319">
        <f>+Propulsion!BB262</f>
        <v>1.17</v>
      </c>
      <c r="DY123" s="316"/>
      <c r="DZ123" s="320">
        <f>+Propulsion!BD262</f>
        <v>1.17</v>
      </c>
      <c r="EA123" s="316"/>
      <c r="EB123" s="316"/>
      <c r="EC123" s="316"/>
      <c r="ED123" s="317"/>
      <c r="EE123" s="319">
        <f>+Propulsion!BI262</f>
        <v>1.19</v>
      </c>
      <c r="EF123" s="319">
        <f>+Propulsion!BJ262</f>
        <v>1.19</v>
      </c>
      <c r="EG123" s="316"/>
      <c r="EH123" s="320">
        <f>+Propulsion!BL262</f>
        <v>1.19</v>
      </c>
      <c r="EI123" s="316"/>
      <c r="EJ123" s="316"/>
      <c r="EK123" s="316"/>
      <c r="EL123" s="317"/>
      <c r="EM123" s="319">
        <f>+Propulsion!BQ262</f>
        <v>1.2</v>
      </c>
      <c r="EN123" s="319">
        <f>+Propulsion!BR262</f>
        <v>1.2</v>
      </c>
      <c r="EO123" s="316"/>
      <c r="EP123" s="320">
        <f>+Propulsion!BT262</f>
        <v>1.2</v>
      </c>
      <c r="EQ123" s="316"/>
      <c r="ER123" s="316"/>
      <c r="ES123" s="316"/>
      <c r="ET123" s="317"/>
      <c r="EU123" s="319">
        <f>+Propulsion!BY262</f>
        <v>1.22</v>
      </c>
      <c r="EV123" s="319">
        <f>+Propulsion!BZ262</f>
        <v>1.22</v>
      </c>
      <c r="EW123" s="316"/>
      <c r="EX123" s="320">
        <f>+Propulsion!CB262</f>
        <v>1.22</v>
      </c>
      <c r="EY123" s="316"/>
      <c r="EZ123" s="316"/>
      <c r="FA123" s="316"/>
      <c r="FB123" s="317"/>
      <c r="FC123" s="319">
        <f>+Propulsion!CG262</f>
        <v>1.23</v>
      </c>
      <c r="FD123" s="319">
        <f>+Propulsion!CH262</f>
        <v>1.23</v>
      </c>
      <c r="FE123" s="316"/>
      <c r="FF123" s="320">
        <f>+Propulsion!CJ262</f>
        <v>1.23</v>
      </c>
    </row>
    <row r="124" spans="1:162" ht="11.25" customHeight="1" x14ac:dyDescent="0.2">
      <c r="A124" s="4" t="s">
        <v>314</v>
      </c>
      <c r="C124" s="315">
        <v>1.28</v>
      </c>
      <c r="D124" s="316"/>
      <c r="E124" s="316">
        <v>1.35</v>
      </c>
      <c r="F124" s="317"/>
      <c r="G124" s="316">
        <v>1.31</v>
      </c>
      <c r="H124" s="316"/>
      <c r="I124" s="318">
        <v>1.35</v>
      </c>
      <c r="J124" s="318">
        <v>1.38</v>
      </c>
      <c r="K124" s="315">
        <v>1.38</v>
      </c>
      <c r="L124" s="316"/>
      <c r="M124" s="316">
        <v>1.26</v>
      </c>
      <c r="N124" s="317"/>
      <c r="O124" s="316">
        <v>1.37</v>
      </c>
      <c r="P124" s="316"/>
      <c r="Q124" s="318">
        <v>1.26</v>
      </c>
      <c r="R124" s="318">
        <v>1.21</v>
      </c>
      <c r="S124" s="315">
        <v>1.08</v>
      </c>
      <c r="T124" s="316"/>
      <c r="U124" s="316">
        <v>1.1200000000000001</v>
      </c>
      <c r="V124" s="317"/>
      <c r="W124" s="316">
        <v>1.1200000000000001</v>
      </c>
      <c r="X124" s="316"/>
      <c r="Y124" s="318">
        <v>1.1200000000000001</v>
      </c>
      <c r="Z124" s="318">
        <v>1.0900000000000001</v>
      </c>
      <c r="AA124" s="315">
        <v>1.1399999999999999</v>
      </c>
      <c r="AB124" s="316"/>
      <c r="AC124" s="316">
        <v>1.1200000000000001</v>
      </c>
      <c r="AD124" s="317"/>
      <c r="AE124" s="316">
        <v>1.1100000000000001</v>
      </c>
      <c r="AF124" s="316">
        <f>0.45*AC124+0.55*AD124</f>
        <v>0.50400000000000011</v>
      </c>
      <c r="AG124" s="318">
        <v>1.1200000000000001</v>
      </c>
      <c r="AH124" s="318">
        <v>1.05</v>
      </c>
      <c r="AI124" s="315">
        <v>1.07</v>
      </c>
      <c r="AJ124" s="316">
        <v>1.1200000000000001</v>
      </c>
      <c r="AK124" s="316">
        <f>+AK123</f>
        <v>1.17</v>
      </c>
      <c r="AL124" s="317">
        <f>+AL123</f>
        <v>1.18</v>
      </c>
      <c r="AM124" s="316">
        <v>1.1399999999999999</v>
      </c>
      <c r="AN124" s="316">
        <f>0.45*AK124+0.55*AL124</f>
        <v>1.1755</v>
      </c>
      <c r="AO124" s="318">
        <f>+AO123</f>
        <v>1.1100000000000001</v>
      </c>
      <c r="AP124" s="318"/>
      <c r="AQ124" s="315">
        <f>AI124</f>
        <v>1.07</v>
      </c>
      <c r="AR124" s="316">
        <f t="shared" si="110"/>
        <v>1.1200000000000001</v>
      </c>
      <c r="AS124" s="316">
        <f t="shared" si="110"/>
        <v>1.17</v>
      </c>
      <c r="AT124" s="317">
        <f t="shared" si="110"/>
        <v>1.18</v>
      </c>
      <c r="AU124" s="316">
        <f t="shared" si="110"/>
        <v>1.1399999999999999</v>
      </c>
      <c r="AV124" s="316">
        <f>0.45*AS124+0.55*AT124</f>
        <v>1.1755</v>
      </c>
      <c r="AW124" s="318">
        <f t="shared" si="110"/>
        <v>1.1100000000000001</v>
      </c>
      <c r="AX124" s="318"/>
      <c r="AY124" s="315">
        <v>1.23</v>
      </c>
      <c r="AZ124" s="316">
        <v>1.17</v>
      </c>
      <c r="BA124" s="316">
        <v>1.1599999999999999</v>
      </c>
      <c r="BB124" s="317">
        <f>+BA124</f>
        <v>1.1599999999999999</v>
      </c>
      <c r="BC124" s="316">
        <v>1.17</v>
      </c>
      <c r="BD124" s="316">
        <f>+BC124</f>
        <v>1.17</v>
      </c>
      <c r="BE124" s="318">
        <v>1.1599999999999999</v>
      </c>
      <c r="BF124" s="318">
        <v>1.1499999999999999</v>
      </c>
      <c r="BG124" s="315">
        <f t="shared" si="111"/>
        <v>1.23</v>
      </c>
      <c r="BH124" s="316">
        <f t="shared" si="111"/>
        <v>1.17</v>
      </c>
      <c r="BI124" s="316">
        <f t="shared" si="111"/>
        <v>1.1599999999999999</v>
      </c>
      <c r="BJ124" s="317">
        <f t="shared" si="111"/>
        <v>1.1599999999999999</v>
      </c>
      <c r="BK124" s="316">
        <f t="shared" si="111"/>
        <v>1.17</v>
      </c>
      <c r="BL124" s="316">
        <f t="shared" si="111"/>
        <v>1.17</v>
      </c>
      <c r="BM124" s="318">
        <f t="shared" si="111"/>
        <v>1.1599999999999999</v>
      </c>
      <c r="BN124" s="318">
        <f t="shared" si="111"/>
        <v>1.1499999999999999</v>
      </c>
      <c r="BO124" s="315">
        <v>1.1200000000000001</v>
      </c>
      <c r="BP124" s="316">
        <v>1.1399999999999999</v>
      </c>
      <c r="BQ124" s="316">
        <v>1.0900000000000001</v>
      </c>
      <c r="BR124" s="317">
        <v>1.1200000000000001</v>
      </c>
      <c r="BS124" s="316">
        <f>BP124</f>
        <v>1.1399999999999999</v>
      </c>
      <c r="BT124" s="316">
        <f>BV124</f>
        <v>1.1200000000000001</v>
      </c>
      <c r="BU124" s="318">
        <v>1.0900000000000001</v>
      </c>
      <c r="BV124" s="318">
        <v>1.1200000000000001</v>
      </c>
      <c r="BW124" s="315">
        <f>CD124</f>
        <v>1.22</v>
      </c>
      <c r="BX124" s="316">
        <v>1.1200000000000001</v>
      </c>
      <c r="BY124" s="316">
        <v>1.17</v>
      </c>
      <c r="BZ124" s="317">
        <v>1.22</v>
      </c>
      <c r="CA124" s="316">
        <f>BX124</f>
        <v>1.1200000000000001</v>
      </c>
      <c r="CB124" s="316">
        <f>CD124</f>
        <v>1.22</v>
      </c>
      <c r="CC124" s="318">
        <f>CD124</f>
        <v>1.22</v>
      </c>
      <c r="CD124" s="318">
        <f>BZ124</f>
        <v>1.22</v>
      </c>
      <c r="CE124" s="315">
        <v>1.21</v>
      </c>
      <c r="CF124" s="316">
        <f>CI124</f>
        <v>1.19</v>
      </c>
      <c r="CG124" s="316">
        <f>CL124</f>
        <v>1.1299999999999999</v>
      </c>
      <c r="CH124" s="317">
        <f>CL124</f>
        <v>1.1299999999999999</v>
      </c>
      <c r="CI124" s="316">
        <v>1.19</v>
      </c>
      <c r="CJ124" s="316">
        <f>CL124</f>
        <v>1.1299999999999999</v>
      </c>
      <c r="CK124" s="318">
        <f>CL124</f>
        <v>1.1299999999999999</v>
      </c>
      <c r="CL124" s="318">
        <v>1.1299999999999999</v>
      </c>
      <c r="CM124" s="315">
        <v>1.1100000000000001</v>
      </c>
      <c r="CN124" s="316">
        <f>+CQ124</f>
        <v>1.04</v>
      </c>
      <c r="CO124" s="316">
        <v>1.02</v>
      </c>
      <c r="CP124" s="317">
        <v>1.02</v>
      </c>
      <c r="CQ124" s="316">
        <v>1.04</v>
      </c>
      <c r="CR124" s="316">
        <v>1.1000000000000001</v>
      </c>
      <c r="CS124" s="318">
        <v>1.1000000000000001</v>
      </c>
      <c r="CT124" s="318">
        <v>1.1000000000000001</v>
      </c>
      <c r="CU124" s="316">
        <v>1.0900000000000001</v>
      </c>
      <c r="CV124" s="316">
        <f t="shared" ref="CV124" si="112">CV123</f>
        <v>1.0900000000000001</v>
      </c>
      <c r="CW124" s="316">
        <v>1.06</v>
      </c>
      <c r="CX124" s="317">
        <f>CZ124*2-CW124</f>
        <v>1.2000000000000002</v>
      </c>
      <c r="CY124" s="316">
        <v>1.0900000000000001</v>
      </c>
      <c r="CZ124" s="316">
        <f>DB124*2-CY124</f>
        <v>1.1300000000000001</v>
      </c>
      <c r="DA124" s="316">
        <v>1.06</v>
      </c>
      <c r="DB124" s="1477">
        <v>1.1100000000000001</v>
      </c>
      <c r="DC124" s="316">
        <v>1.08</v>
      </c>
      <c r="DD124" s="316">
        <f t="shared" ref="DD124" si="113">DD123</f>
        <v>1.07</v>
      </c>
      <c r="DE124" s="316">
        <v>1.1200000000000001</v>
      </c>
      <c r="DF124" s="317">
        <f>DH124*2-DE124</f>
        <v>0.89999999999999991</v>
      </c>
      <c r="DG124" s="316">
        <v>1.07</v>
      </c>
      <c r="DH124" s="316">
        <f>DJ124*2-DG124</f>
        <v>1.01</v>
      </c>
      <c r="DI124" s="316">
        <v>1.1200000000000001</v>
      </c>
      <c r="DJ124" s="1477">
        <v>1.04</v>
      </c>
      <c r="DK124" s="316">
        <v>1.08</v>
      </c>
      <c r="DL124" s="316">
        <f t="shared" ref="DL124" si="114">DL123</f>
        <v>1.1300000000000001</v>
      </c>
      <c r="DM124" s="316">
        <v>1.175</v>
      </c>
      <c r="DN124" s="317"/>
      <c r="DO124" s="316">
        <v>1.17</v>
      </c>
      <c r="DP124" s="316">
        <f>DR124*2-DO124</f>
        <v>1.19</v>
      </c>
      <c r="DQ124" s="316">
        <v>1.1200000000000001</v>
      </c>
      <c r="DR124" s="1477">
        <v>1.18</v>
      </c>
      <c r="DS124" s="316">
        <v>1.1499999999999999</v>
      </c>
      <c r="DT124" s="316"/>
      <c r="DU124" s="316"/>
      <c r="DV124" s="317"/>
      <c r="DW124" s="316">
        <v>1.1399999999999999</v>
      </c>
      <c r="DX124" s="319">
        <f>DX123</f>
        <v>1.17</v>
      </c>
      <c r="DY124" s="316"/>
      <c r="DZ124" s="320">
        <f>DZ123</f>
        <v>1.17</v>
      </c>
      <c r="EA124" s="316"/>
      <c r="EB124" s="316"/>
      <c r="EC124" s="316"/>
      <c r="ED124" s="317"/>
      <c r="EE124" s="319">
        <f>EE123</f>
        <v>1.19</v>
      </c>
      <c r="EF124" s="319">
        <f>EF123</f>
        <v>1.19</v>
      </c>
      <c r="EG124" s="316"/>
      <c r="EH124" s="320">
        <f>EH123</f>
        <v>1.19</v>
      </c>
      <c r="EI124" s="316"/>
      <c r="EJ124" s="316"/>
      <c r="EK124" s="316"/>
      <c r="EL124" s="317"/>
      <c r="EM124" s="319">
        <f>EM123</f>
        <v>1.2</v>
      </c>
      <c r="EN124" s="319">
        <f>EN123</f>
        <v>1.2</v>
      </c>
      <c r="EO124" s="316"/>
      <c r="EP124" s="320">
        <f>EP123</f>
        <v>1.2</v>
      </c>
      <c r="EQ124" s="316"/>
      <c r="ER124" s="316"/>
      <c r="ES124" s="316"/>
      <c r="ET124" s="317"/>
      <c r="EU124" s="319">
        <f>EU123</f>
        <v>1.22</v>
      </c>
      <c r="EV124" s="319">
        <f>EV123</f>
        <v>1.22</v>
      </c>
      <c r="EW124" s="316"/>
      <c r="EX124" s="320">
        <f>EX123</f>
        <v>1.22</v>
      </c>
      <c r="EY124" s="316"/>
      <c r="EZ124" s="316"/>
      <c r="FA124" s="316"/>
      <c r="FB124" s="317"/>
      <c r="FC124" s="319">
        <f>FC123</f>
        <v>1.23</v>
      </c>
      <c r="FD124" s="319">
        <f>FD123</f>
        <v>1.23</v>
      </c>
      <c r="FE124" s="316"/>
      <c r="FF124" s="320">
        <f>FF123</f>
        <v>1.23</v>
      </c>
    </row>
    <row r="125" spans="1:162" ht="11.25" customHeight="1" x14ac:dyDescent="0.2">
      <c r="A125" s="4" t="s">
        <v>315</v>
      </c>
      <c r="C125" s="315">
        <v>1.29</v>
      </c>
      <c r="D125" s="316"/>
      <c r="E125" s="316">
        <v>1.29</v>
      </c>
      <c r="F125" s="317"/>
      <c r="G125" s="316">
        <v>1.29</v>
      </c>
      <c r="H125" s="316"/>
      <c r="I125" s="318">
        <v>1.29</v>
      </c>
      <c r="J125" s="318">
        <v>1.28</v>
      </c>
      <c r="K125" s="315">
        <v>1.27</v>
      </c>
      <c r="L125" s="316"/>
      <c r="M125" s="316">
        <v>1.26</v>
      </c>
      <c r="N125" s="317"/>
      <c r="O125" s="316">
        <v>1.26</v>
      </c>
      <c r="P125" s="316"/>
      <c r="Q125" s="318">
        <v>1.26</v>
      </c>
      <c r="R125" s="318">
        <v>1.26</v>
      </c>
      <c r="S125" s="315">
        <v>1.25</v>
      </c>
      <c r="T125" s="316"/>
      <c r="U125" s="316">
        <v>1.25</v>
      </c>
      <c r="V125" s="317"/>
      <c r="W125" s="316">
        <v>1.25</v>
      </c>
      <c r="X125" s="316"/>
      <c r="Y125" s="318">
        <v>1.25</v>
      </c>
      <c r="Z125" s="318">
        <v>1.25</v>
      </c>
      <c r="AA125" s="315">
        <v>1.24</v>
      </c>
      <c r="AB125" s="316"/>
      <c r="AC125" s="316">
        <v>1.24</v>
      </c>
      <c r="AD125" s="317"/>
      <c r="AE125" s="316">
        <v>1.24</v>
      </c>
      <c r="AF125" s="316">
        <f>0.45*AC125+0.55*AD125</f>
        <v>0.55800000000000005</v>
      </c>
      <c r="AG125" s="318">
        <v>1.24</v>
      </c>
      <c r="AH125" s="318">
        <v>1.24</v>
      </c>
      <c r="AI125" s="315">
        <v>1.21</v>
      </c>
      <c r="AJ125" s="316">
        <v>1.21</v>
      </c>
      <c r="AK125" s="316">
        <v>1.21</v>
      </c>
      <c r="AL125" s="317">
        <f>+AL124</f>
        <v>1.18</v>
      </c>
      <c r="AM125" s="316">
        <v>1.21</v>
      </c>
      <c r="AN125" s="316">
        <f>0.45*AK125+0.55*AL125</f>
        <v>1.1935</v>
      </c>
      <c r="AO125" s="318">
        <v>1.21</v>
      </c>
      <c r="AP125" s="318">
        <v>1.21</v>
      </c>
      <c r="AQ125" s="315">
        <f>AI125</f>
        <v>1.21</v>
      </c>
      <c r="AR125" s="316">
        <f t="shared" si="110"/>
        <v>1.21</v>
      </c>
      <c r="AS125" s="316">
        <f t="shared" si="110"/>
        <v>1.21</v>
      </c>
      <c r="AT125" s="317">
        <f t="shared" si="110"/>
        <v>1.18</v>
      </c>
      <c r="AU125" s="316">
        <f t="shared" si="110"/>
        <v>1.21</v>
      </c>
      <c r="AV125" s="316">
        <f>0.45*AS125+0.55*AT125</f>
        <v>1.1935</v>
      </c>
      <c r="AW125" s="318">
        <f t="shared" si="110"/>
        <v>1.21</v>
      </c>
      <c r="AX125" s="318">
        <f t="shared" si="110"/>
        <v>1.21</v>
      </c>
      <c r="AY125" s="315">
        <v>1.18</v>
      </c>
      <c r="AZ125" s="316">
        <v>1.18</v>
      </c>
      <c r="BA125" s="316">
        <f t="shared" ref="BA125:BF125" si="115">+AZ125</f>
        <v>1.18</v>
      </c>
      <c r="BB125" s="317">
        <f t="shared" si="115"/>
        <v>1.18</v>
      </c>
      <c r="BC125" s="316">
        <v>1.18</v>
      </c>
      <c r="BD125" s="316">
        <f t="shared" si="115"/>
        <v>1.18</v>
      </c>
      <c r="BE125" s="318">
        <f t="shared" si="115"/>
        <v>1.18</v>
      </c>
      <c r="BF125" s="318">
        <f t="shared" si="115"/>
        <v>1.18</v>
      </c>
      <c r="BG125" s="315">
        <f t="shared" si="111"/>
        <v>1.18</v>
      </c>
      <c r="BH125" s="316">
        <f t="shared" si="111"/>
        <v>1.18</v>
      </c>
      <c r="BI125" s="316">
        <f t="shared" si="111"/>
        <v>1.18</v>
      </c>
      <c r="BJ125" s="317">
        <f t="shared" si="111"/>
        <v>1.18</v>
      </c>
      <c r="BK125" s="316">
        <f t="shared" si="111"/>
        <v>1.18</v>
      </c>
      <c r="BL125" s="316">
        <f t="shared" si="111"/>
        <v>1.18</v>
      </c>
      <c r="BM125" s="318">
        <f t="shared" si="111"/>
        <v>1.18</v>
      </c>
      <c r="BN125" s="318">
        <f t="shared" si="111"/>
        <v>1.18</v>
      </c>
      <c r="BO125" s="315">
        <v>1.18</v>
      </c>
      <c r="BP125" s="316">
        <f>BO125</f>
        <v>1.18</v>
      </c>
      <c r="BQ125" s="316">
        <f>BP125</f>
        <v>1.18</v>
      </c>
      <c r="BR125" s="317">
        <f>BQ125</f>
        <v>1.18</v>
      </c>
      <c r="BS125" s="316">
        <f>BR125</f>
        <v>1.18</v>
      </c>
      <c r="BT125" s="316">
        <v>1.18</v>
      </c>
      <c r="BU125" s="318">
        <v>1.18</v>
      </c>
      <c r="BV125" s="318">
        <f>Propulsion!U261</f>
        <v>1.18</v>
      </c>
      <c r="BW125" s="315">
        <v>1.2</v>
      </c>
      <c r="BX125" s="316">
        <v>1.1200000000000001</v>
      </c>
      <c r="BY125" s="316">
        <v>1.1599999999999999</v>
      </c>
      <c r="BZ125" s="317">
        <v>1.1599999999999999</v>
      </c>
      <c r="CA125" s="316">
        <v>1.1599999999999999</v>
      </c>
      <c r="CB125" s="316">
        <f>CD125</f>
        <v>1.1599999999999999</v>
      </c>
      <c r="CC125" s="318">
        <f>CD125</f>
        <v>1.1599999999999999</v>
      </c>
      <c r="CD125" s="318">
        <f>Propulsion!V261</f>
        <v>1.1599999999999999</v>
      </c>
      <c r="CE125" s="315">
        <v>1.21</v>
      </c>
      <c r="CF125" s="316">
        <v>1.1100000000000001</v>
      </c>
      <c r="CG125" s="316">
        <v>1.1599999999999999</v>
      </c>
      <c r="CH125" s="317">
        <f>CL125</f>
        <v>1.1599999999999999</v>
      </c>
      <c r="CI125" s="316">
        <v>1.1599999999999999</v>
      </c>
      <c r="CJ125" s="316">
        <f>CL125</f>
        <v>1.1599999999999999</v>
      </c>
      <c r="CK125" s="318">
        <f>CL125</f>
        <v>1.1599999999999999</v>
      </c>
      <c r="CL125" s="318">
        <f>Propulsion!W261</f>
        <v>1.1599999999999999</v>
      </c>
      <c r="CM125" s="315">
        <v>1.1499999999999999</v>
      </c>
      <c r="CN125" s="316">
        <v>1.1499999999999999</v>
      </c>
      <c r="CO125" s="316">
        <v>1.18</v>
      </c>
      <c r="CP125" s="317">
        <v>1.1499999999999999</v>
      </c>
      <c r="CQ125" s="316">
        <v>1.1499999999999999</v>
      </c>
      <c r="CR125" s="316">
        <f>CT125</f>
        <v>1.1499999999999999</v>
      </c>
      <c r="CS125" s="318">
        <f>CT125</f>
        <v>1.1499999999999999</v>
      </c>
      <c r="CT125" s="318">
        <f>Propulsion!X261</f>
        <v>1.1499999999999999</v>
      </c>
      <c r="CU125" s="316">
        <v>1.1299999999999999</v>
      </c>
      <c r="CV125" s="316">
        <f>Propulsion!Z261</f>
        <v>1.1299999999999999</v>
      </c>
      <c r="CW125" s="316">
        <v>1.1299999999999999</v>
      </c>
      <c r="CX125" s="317">
        <f>Propulsion!AB261</f>
        <v>1.1299999999999999</v>
      </c>
      <c r="CY125" s="316">
        <v>1.1299999999999999</v>
      </c>
      <c r="CZ125" s="316">
        <f>Propulsion!AD261</f>
        <v>1.1299999999999999</v>
      </c>
      <c r="DA125" s="316">
        <v>1.1299999999999999</v>
      </c>
      <c r="DB125" s="1477">
        <f>Propulsion!AF261</f>
        <v>1.1299999999999999</v>
      </c>
      <c r="DC125" s="316">
        <v>1.1200000000000001</v>
      </c>
      <c r="DD125" s="316">
        <f>Propulsion!AH261</f>
        <v>1.1200000000000001</v>
      </c>
      <c r="DE125" s="316">
        <f>Propulsion!AI261</f>
        <v>1.1200000000000001</v>
      </c>
      <c r="DF125" s="317">
        <f>Propulsion!AJ261</f>
        <v>1.1200000000000001</v>
      </c>
      <c r="DG125" s="316">
        <v>1.1200000000000001</v>
      </c>
      <c r="DH125" s="316">
        <f>Propulsion!AL261</f>
        <v>1.1200000000000001</v>
      </c>
      <c r="DI125" s="316">
        <f>Propulsion!AM261</f>
        <v>1.1200000000000001</v>
      </c>
      <c r="DJ125" s="1477">
        <f>Propulsion!AN261</f>
        <v>1.1200000000000001</v>
      </c>
      <c r="DK125" s="316">
        <v>1.1200000000000001</v>
      </c>
      <c r="DL125" s="316">
        <f>Propulsion!AP261</f>
        <v>1.1200000000000001</v>
      </c>
      <c r="DM125" s="316">
        <f>Propulsion!AQ261</f>
        <v>1.1200000000000001</v>
      </c>
      <c r="DN125" s="317"/>
      <c r="DO125" s="316">
        <v>1.1200000000000001</v>
      </c>
      <c r="DP125" s="316">
        <f>Propulsion!AT261</f>
        <v>1.1200000000000001</v>
      </c>
      <c r="DQ125" s="316">
        <f>Propulsion!AU261</f>
        <v>1.1200000000000001</v>
      </c>
      <c r="DR125" s="1477">
        <f>Propulsion!AV261</f>
        <v>1.1200000000000001</v>
      </c>
      <c r="DS125" s="316">
        <v>1.1200000000000001</v>
      </c>
      <c r="DT125" s="316"/>
      <c r="DU125" s="316"/>
      <c r="DV125" s="317"/>
      <c r="DW125" s="316">
        <v>1.1200000000000001</v>
      </c>
      <c r="DX125" s="319">
        <f>Propulsion!BB261</f>
        <v>1.1200000000000001</v>
      </c>
      <c r="DY125" s="316"/>
      <c r="DZ125" s="320">
        <f>Propulsion!BD261</f>
        <v>1.1200000000000001</v>
      </c>
      <c r="EA125" s="316"/>
      <c r="EB125" s="316"/>
      <c r="EC125" s="316"/>
      <c r="ED125" s="317"/>
      <c r="EE125" s="319">
        <f>Propulsion!BI261</f>
        <v>1.1200000000000001</v>
      </c>
      <c r="EF125" s="319">
        <f>Propulsion!BJ261</f>
        <v>1.1200000000000001</v>
      </c>
      <c r="EG125" s="316"/>
      <c r="EH125" s="320">
        <f>Propulsion!BL261</f>
        <v>1.1200000000000001</v>
      </c>
      <c r="EI125" s="316"/>
      <c r="EJ125" s="316"/>
      <c r="EK125" s="316"/>
      <c r="EL125" s="317"/>
      <c r="EM125" s="319">
        <f>Propulsion!BQ261</f>
        <v>1.1200000000000001</v>
      </c>
      <c r="EN125" s="319">
        <f>Propulsion!BR261</f>
        <v>1.1200000000000001</v>
      </c>
      <c r="EO125" s="316"/>
      <c r="EP125" s="320">
        <f>Propulsion!BT261</f>
        <v>1.1200000000000001</v>
      </c>
      <c r="EQ125" s="316"/>
      <c r="ER125" s="316"/>
      <c r="ES125" s="316"/>
      <c r="ET125" s="317"/>
      <c r="EU125" s="319">
        <f>Propulsion!BY261</f>
        <v>1.1299999999999999</v>
      </c>
      <c r="EV125" s="319">
        <f>Propulsion!BZ261</f>
        <v>1.1299999999999999</v>
      </c>
      <c r="EW125" s="316"/>
      <c r="EX125" s="320">
        <f>Propulsion!CB261</f>
        <v>1.1299999999999999</v>
      </c>
      <c r="EY125" s="316"/>
      <c r="EZ125" s="316"/>
      <c r="FA125" s="316"/>
      <c r="FB125" s="317"/>
      <c r="FC125" s="319">
        <f>Propulsion!CG261</f>
        <v>1.2205882352941178</v>
      </c>
      <c r="FD125" s="319">
        <f>Propulsion!CH261</f>
        <v>1.2205882352941178</v>
      </c>
      <c r="FE125" s="316"/>
      <c r="FF125" s="320">
        <f>Propulsion!CJ261</f>
        <v>1.2205882352941178</v>
      </c>
    </row>
    <row r="126" spans="1:162" ht="11.25" customHeight="1" x14ac:dyDescent="0.2">
      <c r="C126" s="315"/>
      <c r="D126" s="316"/>
      <c r="E126" s="316"/>
      <c r="F126" s="317"/>
      <c r="G126" s="316"/>
      <c r="H126" s="316"/>
      <c r="I126" s="318"/>
      <c r="J126" s="318"/>
      <c r="K126" s="315"/>
      <c r="L126" s="316"/>
      <c r="M126" s="316"/>
      <c r="N126" s="317"/>
      <c r="O126" s="316"/>
      <c r="P126" s="316"/>
      <c r="Q126" s="318"/>
      <c r="R126" s="318"/>
      <c r="S126" s="315"/>
      <c r="T126" s="316"/>
      <c r="U126" s="316"/>
      <c r="V126" s="317"/>
      <c r="W126" s="316"/>
      <c r="X126" s="316"/>
      <c r="Y126" s="318"/>
      <c r="Z126" s="318"/>
      <c r="AA126" s="315"/>
      <c r="AB126" s="316"/>
      <c r="AC126" s="316"/>
      <c r="AD126" s="317"/>
      <c r="AE126" s="316"/>
      <c r="AF126" s="316"/>
      <c r="AG126" s="318"/>
      <c r="AH126" s="318"/>
      <c r="AI126" s="315"/>
      <c r="AJ126" s="316"/>
      <c r="AK126" s="316"/>
      <c r="AL126" s="317"/>
      <c r="AM126" s="316"/>
      <c r="AN126" s="316"/>
      <c r="AO126" s="318"/>
      <c r="AP126" s="318"/>
      <c r="AQ126" s="315"/>
      <c r="AR126" s="316"/>
      <c r="AS126" s="316"/>
      <c r="AT126" s="317"/>
      <c r="AU126" s="316"/>
      <c r="AV126" s="316"/>
      <c r="AW126" s="318"/>
      <c r="AX126" s="318"/>
      <c r="AY126" s="315"/>
      <c r="AZ126" s="316"/>
      <c r="BA126" s="316"/>
      <c r="BB126" s="317"/>
      <c r="BC126" s="316"/>
      <c r="BD126" s="316"/>
      <c r="BE126" s="318"/>
      <c r="BF126" s="318"/>
      <c r="BG126" s="315"/>
      <c r="BH126" s="316"/>
      <c r="BI126" s="316"/>
      <c r="BJ126" s="317"/>
      <c r="BK126" s="316"/>
      <c r="BL126" s="316"/>
      <c r="BM126" s="318"/>
      <c r="BN126" s="318"/>
      <c r="BO126" s="315"/>
      <c r="BP126" s="316"/>
      <c r="BQ126" s="316"/>
      <c r="BR126" s="317"/>
      <c r="BS126" s="316"/>
      <c r="BT126" s="316"/>
      <c r="BU126" s="318"/>
      <c r="BV126" s="318"/>
      <c r="BW126" s="315"/>
      <c r="BX126" s="316"/>
      <c r="BY126" s="316"/>
      <c r="BZ126" s="317"/>
      <c r="CA126" s="316"/>
      <c r="CB126" s="316"/>
      <c r="CC126" s="318"/>
      <c r="CD126" s="318"/>
      <c r="CE126" s="315"/>
      <c r="CF126" s="316"/>
      <c r="CG126" s="316"/>
      <c r="CH126" s="317"/>
      <c r="CI126" s="316"/>
      <c r="CJ126" s="316"/>
      <c r="CK126" s="318"/>
      <c r="CL126" s="318"/>
      <c r="CM126" s="315"/>
      <c r="CN126" s="316"/>
      <c r="CO126" s="316"/>
      <c r="CP126" s="317"/>
      <c r="CQ126" s="316"/>
      <c r="CR126" s="316"/>
      <c r="CS126" s="318"/>
      <c r="CT126" s="318"/>
      <c r="CU126" s="321"/>
      <c r="CV126" s="321"/>
      <c r="CW126" s="321"/>
      <c r="CX126" s="322"/>
      <c r="CY126" s="316"/>
      <c r="CZ126" s="321"/>
      <c r="DA126" s="319"/>
      <c r="DB126" s="323"/>
      <c r="DC126" s="321"/>
      <c r="DD126" s="321"/>
      <c r="DE126" s="321"/>
      <c r="DF126" s="322"/>
      <c r="DG126" s="321"/>
      <c r="DH126" s="321"/>
      <c r="DI126" s="321"/>
      <c r="DJ126" s="323"/>
      <c r="DK126" s="321"/>
      <c r="DL126" s="321"/>
      <c r="DM126" s="321"/>
      <c r="DN126" s="322"/>
      <c r="DO126" s="321"/>
      <c r="DP126" s="321"/>
      <c r="DQ126" s="321"/>
      <c r="DR126" s="323"/>
      <c r="DS126" s="321"/>
      <c r="DT126" s="321"/>
      <c r="DU126" s="321"/>
      <c r="DV126" s="322"/>
      <c r="DW126" s="321"/>
      <c r="DX126" s="321"/>
      <c r="DY126" s="321"/>
      <c r="DZ126" s="323"/>
      <c r="EA126" s="321"/>
      <c r="EB126" s="321"/>
      <c r="EC126" s="321"/>
      <c r="ED126" s="322"/>
      <c r="EE126" s="321"/>
      <c r="EF126" s="321"/>
      <c r="EG126" s="321"/>
      <c r="EH126" s="323"/>
      <c r="EI126" s="321"/>
      <c r="EJ126" s="321"/>
      <c r="EK126" s="321"/>
      <c r="EL126" s="322"/>
      <c r="EM126" s="321"/>
      <c r="EN126" s="321"/>
      <c r="EO126" s="321"/>
      <c r="EP126" s="323"/>
      <c r="EQ126" s="321"/>
      <c r="ER126" s="321"/>
      <c r="ES126" s="321"/>
      <c r="ET126" s="322"/>
      <c r="EU126" s="321"/>
      <c r="EV126" s="321"/>
      <c r="EW126" s="321"/>
      <c r="EX126" s="323"/>
      <c r="EY126" s="321"/>
      <c r="EZ126" s="321"/>
      <c r="FA126" s="321"/>
      <c r="FB126" s="322"/>
      <c r="FC126" s="321"/>
      <c r="FD126" s="321"/>
      <c r="FE126" s="321"/>
      <c r="FF126" s="323"/>
    </row>
    <row r="127" spans="1:162" ht="11.25" customHeight="1" x14ac:dyDescent="0.2">
      <c r="A127" s="4" t="s">
        <v>316</v>
      </c>
      <c r="C127" s="324"/>
      <c r="D127" s="15"/>
      <c r="E127" s="15"/>
      <c r="F127" s="325"/>
      <c r="G127" s="15"/>
      <c r="H127" s="15"/>
      <c r="I127" s="326"/>
      <c r="J127" s="326"/>
      <c r="K127" s="324"/>
      <c r="L127" s="15"/>
      <c r="M127" s="15"/>
      <c r="N127" s="325"/>
      <c r="O127" s="15"/>
      <c r="P127" s="15"/>
      <c r="Q127" s="326"/>
      <c r="R127" s="326"/>
      <c r="S127" s="324"/>
      <c r="T127" s="15"/>
      <c r="U127" s="15">
        <f>(55%*U125)+(45%*U123)</f>
        <v>1.1870000000000001</v>
      </c>
      <c r="V127" s="325"/>
      <c r="W127" s="15"/>
      <c r="X127" s="15"/>
      <c r="Y127" s="326"/>
      <c r="Z127" s="326"/>
      <c r="AA127" s="324"/>
      <c r="AB127" s="15"/>
      <c r="AC127" s="15"/>
      <c r="AD127" s="325"/>
      <c r="AE127" s="15"/>
      <c r="AF127" s="15"/>
      <c r="AG127" s="326"/>
      <c r="AH127" s="326"/>
      <c r="AI127" s="324">
        <f t="shared" ref="AI127:AP127" si="116">(AI123*45%)+(AI125*55%)</f>
        <v>1.1425000000000001</v>
      </c>
      <c r="AJ127" s="15">
        <f t="shared" si="116"/>
        <v>1.1605000000000001</v>
      </c>
      <c r="AK127" s="15">
        <f t="shared" si="116"/>
        <v>1.1919999999999999</v>
      </c>
      <c r="AL127" s="325">
        <f t="shared" si="116"/>
        <v>1.1800000000000002</v>
      </c>
      <c r="AM127" s="15">
        <f t="shared" si="116"/>
        <v>1.1515</v>
      </c>
      <c r="AN127" s="15">
        <f t="shared" si="116"/>
        <v>1.1854</v>
      </c>
      <c r="AO127" s="326">
        <f t="shared" si="116"/>
        <v>1.165</v>
      </c>
      <c r="AP127" s="326">
        <f t="shared" si="116"/>
        <v>1.1739999999999999</v>
      </c>
      <c r="AQ127" s="324"/>
      <c r="AR127" s="15"/>
      <c r="AS127" s="15"/>
      <c r="AT127" s="325"/>
      <c r="AU127" s="15"/>
      <c r="AV127" s="15"/>
      <c r="AW127" s="326"/>
      <c r="AX127" s="326"/>
      <c r="AY127" s="324">
        <f t="shared" ref="AY127:BF127" si="117">(AY123*45%)+(AY125*55%)</f>
        <v>1.2025000000000001</v>
      </c>
      <c r="AZ127" s="15">
        <f t="shared" si="117"/>
        <v>1.1844999999999999</v>
      </c>
      <c r="BA127" s="15">
        <f t="shared" si="117"/>
        <v>1.171</v>
      </c>
      <c r="BB127" s="325">
        <f>(BB123*45%)+(BB125*55%)</f>
        <v>1.171</v>
      </c>
      <c r="BC127" s="15">
        <f t="shared" si="117"/>
        <v>1.1935</v>
      </c>
      <c r="BD127" s="15">
        <f t="shared" si="117"/>
        <v>1.18225</v>
      </c>
      <c r="BE127" s="326">
        <f t="shared" si="117"/>
        <v>1.1890000000000001</v>
      </c>
      <c r="BF127" s="326">
        <f t="shared" si="117"/>
        <v>1.1800000000000002</v>
      </c>
      <c r="BG127" s="324">
        <f t="shared" ref="BG127:BN129" si="118">AY127</f>
        <v>1.2025000000000001</v>
      </c>
      <c r="BH127" s="15">
        <f t="shared" si="118"/>
        <v>1.1844999999999999</v>
      </c>
      <c r="BI127" s="15">
        <f t="shared" si="118"/>
        <v>1.171</v>
      </c>
      <c r="BJ127" s="325">
        <f t="shared" si="118"/>
        <v>1.171</v>
      </c>
      <c r="BK127" s="15">
        <f t="shared" si="118"/>
        <v>1.1935</v>
      </c>
      <c r="BL127" s="15">
        <f t="shared" si="118"/>
        <v>1.18225</v>
      </c>
      <c r="BM127" s="326">
        <f t="shared" si="118"/>
        <v>1.1890000000000001</v>
      </c>
      <c r="BN127" s="326">
        <f t="shared" si="118"/>
        <v>1.1800000000000002</v>
      </c>
      <c r="BO127" s="324">
        <f t="shared" ref="BO127:CK127" si="119">(BO123*45%)+(BO125*55%)</f>
        <v>1.1619999999999999</v>
      </c>
      <c r="BP127" s="15">
        <f t="shared" si="119"/>
        <v>1.153</v>
      </c>
      <c r="BQ127" s="15">
        <f t="shared" si="119"/>
        <v>1.1485000000000001</v>
      </c>
      <c r="BR127" s="325">
        <f t="shared" si="119"/>
        <v>1.1485000000000001</v>
      </c>
      <c r="BS127" s="15">
        <f t="shared" si="119"/>
        <v>1.1575</v>
      </c>
      <c r="BT127" s="15">
        <f t="shared" si="119"/>
        <v>1.1485000000000001</v>
      </c>
      <c r="BU127" s="326">
        <f t="shared" si="119"/>
        <v>1.153</v>
      </c>
      <c r="BV127" s="326">
        <f t="shared" si="119"/>
        <v>1.153</v>
      </c>
      <c r="BW127" s="324">
        <f t="shared" si="119"/>
        <v>1.155</v>
      </c>
      <c r="BX127" s="15">
        <f t="shared" si="119"/>
        <v>1.1110000000000002</v>
      </c>
      <c r="BY127" s="15">
        <f t="shared" si="119"/>
        <v>1.1644999999999999</v>
      </c>
      <c r="BZ127" s="325">
        <f t="shared" si="119"/>
        <v>1.1735</v>
      </c>
      <c r="CA127" s="15">
        <f t="shared" si="119"/>
        <v>1.133</v>
      </c>
      <c r="CB127" s="15">
        <f t="shared" si="119"/>
        <v>1.169</v>
      </c>
      <c r="CC127" s="326">
        <f t="shared" si="119"/>
        <v>1.1435</v>
      </c>
      <c r="CD127" s="326">
        <f t="shared" si="119"/>
        <v>1.1510000000000002</v>
      </c>
      <c r="CE127" s="324">
        <f t="shared" si="119"/>
        <v>1.2055</v>
      </c>
      <c r="CF127" s="15">
        <f t="shared" si="119"/>
        <v>1.1595000000000002</v>
      </c>
      <c r="CG127" s="15">
        <f t="shared" si="119"/>
        <v>1.169</v>
      </c>
      <c r="CH127" s="325">
        <f t="shared" si="119"/>
        <v>1.1779999999999999</v>
      </c>
      <c r="CI127" s="15">
        <f t="shared" si="119"/>
        <v>1.1825000000000001</v>
      </c>
      <c r="CJ127" s="15">
        <f t="shared" si="119"/>
        <v>1.169</v>
      </c>
      <c r="CK127" s="326">
        <f t="shared" si="119"/>
        <v>1.1779999999999999</v>
      </c>
      <c r="CL127" s="326">
        <f>(CL123*45%)+(CL125*55%)</f>
        <v>1.169</v>
      </c>
      <c r="CM127" s="324">
        <f>(CM123*45%)+(CM125*55%)</f>
        <v>1.1365000000000001</v>
      </c>
      <c r="CN127" s="15">
        <f t="shared" ref="CN127:CS127" si="120">(CN123*45%)+(CN125*55%)</f>
        <v>1.1094999999999999</v>
      </c>
      <c r="CO127" s="15">
        <f t="shared" si="120"/>
        <v>1.1080000000000001</v>
      </c>
      <c r="CP127" s="325">
        <f>(CP123*45%)+(CP125*55%)</f>
        <v>1.0914999999999999</v>
      </c>
      <c r="CQ127" s="15">
        <f t="shared" si="120"/>
        <v>1.123</v>
      </c>
      <c r="CR127" s="15">
        <f t="shared" si="120"/>
        <v>1.0914999999999999</v>
      </c>
      <c r="CS127" s="326">
        <f t="shared" si="120"/>
        <v>1.1124999999999998</v>
      </c>
      <c r="CT127" s="326">
        <f>(CT123*45%)+(CT125*55%)</f>
        <v>1.1072500000000001</v>
      </c>
      <c r="CU127" s="324">
        <f>(CU123*45%)+(CU125*55%)</f>
        <v>1.103</v>
      </c>
      <c r="CV127" s="15">
        <f t="shared" ref="CV127:DA127" si="121">(CV123*45%)+(CV125*55%)</f>
        <v>1.1120000000000001</v>
      </c>
      <c r="CW127" s="15">
        <f>(CW123*45%)+(CW125*55%)</f>
        <v>1.1120000000000001</v>
      </c>
      <c r="CX127" s="325">
        <f t="shared" si="121"/>
        <v>1.103</v>
      </c>
      <c r="CY127" s="15">
        <f t="shared" si="121"/>
        <v>1.1074999999999999</v>
      </c>
      <c r="CZ127" s="15">
        <f t="shared" si="121"/>
        <v>1.1074999999999999</v>
      </c>
      <c r="DA127" s="326">
        <f t="shared" si="121"/>
        <v>1.1074999999999999</v>
      </c>
      <c r="DB127" s="326">
        <f>(DB123*45%)+(DB125*55%)</f>
        <v>1.1074999999999999</v>
      </c>
      <c r="DC127" s="324">
        <f>(DC123*45%)+(DC125*55%)</f>
        <v>1.1065</v>
      </c>
      <c r="DD127" s="15">
        <f t="shared" ref="DD127" si="122">(DD123*45%)+(DD125*55%)</f>
        <v>1.0975000000000001</v>
      </c>
      <c r="DE127" s="15">
        <f>(DE123*45%)+(DE125*55%)</f>
        <v>1.1110000000000002</v>
      </c>
      <c r="DF127" s="325">
        <f t="shared" ref="DF127" si="123">(DF123*45%)+(DF125*55%)</f>
        <v>1.0930000000000002</v>
      </c>
      <c r="DG127" s="15">
        <f t="shared" ref="DG127:DH127" si="124">(DG123*45%)+(DG125*55%)</f>
        <v>1.1020000000000001</v>
      </c>
      <c r="DH127" s="15">
        <f t="shared" si="124"/>
        <v>1.1020000000000001</v>
      </c>
      <c r="DI127" s="326">
        <f t="shared" ref="DI127" si="125">(DI123*45%)+(DI125*55%)</f>
        <v>1.1065</v>
      </c>
      <c r="DJ127" s="326">
        <f>(DJ123*45%)+(DJ125*55%)</f>
        <v>1.1020000000000001</v>
      </c>
      <c r="DK127" s="324">
        <f>(DK123*45%)+(DK125*55%)</f>
        <v>1.0885000000000002</v>
      </c>
      <c r="DL127" s="15">
        <f t="shared" ref="DL127" si="126">(DL123*45%)+(DL125*55%)</f>
        <v>1.1245000000000003</v>
      </c>
      <c r="DM127" s="15">
        <f>(DM123*45%)+(DM125*55%)</f>
        <v>1.1425000000000001</v>
      </c>
      <c r="DN127" s="325"/>
      <c r="DO127" s="15">
        <f t="shared" ref="DO127:DP127" si="127">(DO123*45%)+(DO125*55%)</f>
        <v>1.1065</v>
      </c>
      <c r="DP127" s="15">
        <f t="shared" si="127"/>
        <v>1.1425000000000001</v>
      </c>
      <c r="DQ127" s="326">
        <f t="shared" ref="DQ127" si="128">(DQ123*45%)+(DQ125*55%)</f>
        <v>1.1200000000000001</v>
      </c>
      <c r="DR127" s="326">
        <f>(DR123*45%)+(DR125*55%)</f>
        <v>1.1245000000000001</v>
      </c>
      <c r="DS127" s="324">
        <f>(DS123*45%)+(DS125*55%)</f>
        <v>1.1425000000000001</v>
      </c>
      <c r="DT127" s="15"/>
      <c r="DU127" s="15"/>
      <c r="DV127" s="325"/>
      <c r="DW127" s="15">
        <f t="shared" ref="DW127:DX127" si="129">(DW123*45%)+(DW125*55%)</f>
        <v>1.1425000000000001</v>
      </c>
      <c r="DX127" s="16">
        <f t="shared" si="129"/>
        <v>1.1425000000000001</v>
      </c>
      <c r="DY127" s="326"/>
      <c r="DZ127" s="328">
        <f>(DZ123*45%)+(DZ125*55%)</f>
        <v>1.1425000000000001</v>
      </c>
      <c r="EA127" s="15"/>
      <c r="EB127" s="15"/>
      <c r="EC127" s="15"/>
      <c r="ED127" s="325"/>
      <c r="EE127" s="15"/>
      <c r="EF127" s="15"/>
      <c r="EG127" s="326"/>
      <c r="EH127" s="328">
        <f>(EH123*45%)+(EH125*55%)</f>
        <v>1.1515</v>
      </c>
      <c r="EI127" s="15"/>
      <c r="EJ127" s="15"/>
      <c r="EK127" s="15"/>
      <c r="EL127" s="325"/>
      <c r="EM127" s="15"/>
      <c r="EN127" s="15"/>
      <c r="EO127" s="326"/>
      <c r="EP127" s="328">
        <f>(EP123*45%)+(EP125*55%)</f>
        <v>1.1560000000000001</v>
      </c>
      <c r="EQ127" s="15"/>
      <c r="ER127" s="15"/>
      <c r="ES127" s="15"/>
      <c r="ET127" s="325"/>
      <c r="EU127" s="15"/>
      <c r="EV127" s="15"/>
      <c r="EW127" s="326"/>
      <c r="EX127" s="328">
        <f>(EX123*45%)+(EX125*55%)</f>
        <v>1.1705000000000001</v>
      </c>
      <c r="EY127" s="15"/>
      <c r="EZ127" s="15"/>
      <c r="FA127" s="15"/>
      <c r="FB127" s="325"/>
      <c r="FC127" s="15"/>
      <c r="FD127" s="15"/>
      <c r="FE127" s="326"/>
      <c r="FF127" s="328">
        <f>(FF123*45%)+(FF125*55%)</f>
        <v>1.2248235294117649</v>
      </c>
    </row>
    <row r="128" spans="1:162" ht="11.25" customHeight="1" x14ac:dyDescent="0.2">
      <c r="A128" s="4" t="s">
        <v>317</v>
      </c>
      <c r="C128" s="324"/>
      <c r="D128" s="15"/>
      <c r="E128" s="15"/>
      <c r="F128" s="325"/>
      <c r="G128" s="15"/>
      <c r="H128" s="15"/>
      <c r="I128" s="326"/>
      <c r="J128" s="326"/>
      <c r="K128" s="324"/>
      <c r="L128" s="15"/>
      <c r="M128" s="15"/>
      <c r="N128" s="325"/>
      <c r="O128" s="15"/>
      <c r="P128" s="15"/>
      <c r="Q128" s="326"/>
      <c r="R128" s="326"/>
      <c r="S128" s="324"/>
      <c r="T128" s="15"/>
      <c r="U128" s="15">
        <f>1/U127</f>
        <v>0.84245998315080028</v>
      </c>
      <c r="V128" s="325"/>
      <c r="W128" s="15"/>
      <c r="X128" s="15"/>
      <c r="Y128" s="326"/>
      <c r="Z128" s="326"/>
      <c r="AA128" s="324"/>
      <c r="AB128" s="15"/>
      <c r="AC128" s="15"/>
      <c r="AD128" s="325"/>
      <c r="AE128" s="15"/>
      <c r="AF128" s="15"/>
      <c r="AG128" s="326"/>
      <c r="AH128" s="326"/>
      <c r="AI128" s="324">
        <f t="shared" ref="AI128:AP128" si="130">1/AI127</f>
        <v>0.87527352297592997</v>
      </c>
      <c r="AJ128" s="15">
        <f t="shared" si="130"/>
        <v>0.86169754416199906</v>
      </c>
      <c r="AK128" s="15">
        <f t="shared" si="130"/>
        <v>0.83892617449664431</v>
      </c>
      <c r="AL128" s="325">
        <f t="shared" si="130"/>
        <v>0.84745762711864392</v>
      </c>
      <c r="AM128" s="15">
        <f t="shared" si="130"/>
        <v>0.86843247937472867</v>
      </c>
      <c r="AN128" s="15">
        <f t="shared" si="130"/>
        <v>0.84359709802598282</v>
      </c>
      <c r="AO128" s="326">
        <f t="shared" si="130"/>
        <v>0.85836909871244638</v>
      </c>
      <c r="AP128" s="326">
        <f t="shared" si="130"/>
        <v>0.85178875638841567</v>
      </c>
      <c r="AQ128" s="324"/>
      <c r="AR128" s="15"/>
      <c r="AS128" s="15"/>
      <c r="AT128" s="325"/>
      <c r="AU128" s="15"/>
      <c r="AV128" s="15"/>
      <c r="AW128" s="326"/>
      <c r="AX128" s="326"/>
      <c r="AY128" s="324">
        <f>((1/AY123)*45%)+((1/AY125)*55%)</f>
        <v>0.83195535345183969</v>
      </c>
      <c r="AZ128" s="15">
        <f t="shared" ref="AZ128:BF128" si="131">((1/AZ123)*45%)+((1/AZ125)*55%)</f>
        <v>0.844252955419456</v>
      </c>
      <c r="BA128" s="15">
        <f t="shared" si="131"/>
        <v>0.854032729398013</v>
      </c>
      <c r="BB128" s="325">
        <f t="shared" si="131"/>
        <v>0.854032729398013</v>
      </c>
      <c r="BC128" s="15">
        <f t="shared" si="131"/>
        <v>0.83800252136153541</v>
      </c>
      <c r="BD128" s="15">
        <f t="shared" si="131"/>
        <v>0.84584853035829233</v>
      </c>
      <c r="BE128" s="326">
        <f t="shared" si="131"/>
        <v>0.84110169491525433</v>
      </c>
      <c r="BF128" s="326">
        <f t="shared" si="131"/>
        <v>0.84745762711864425</v>
      </c>
      <c r="BG128" s="324">
        <f t="shared" si="118"/>
        <v>0.83195535345183969</v>
      </c>
      <c r="BH128" s="15">
        <f t="shared" si="118"/>
        <v>0.844252955419456</v>
      </c>
      <c r="BI128" s="15">
        <f t="shared" si="118"/>
        <v>0.854032729398013</v>
      </c>
      <c r="BJ128" s="325">
        <f t="shared" si="118"/>
        <v>0.854032729398013</v>
      </c>
      <c r="BK128" s="15">
        <f t="shared" si="118"/>
        <v>0.83800252136153541</v>
      </c>
      <c r="BL128" s="15">
        <f t="shared" si="118"/>
        <v>0.84584853035829233</v>
      </c>
      <c r="BM128" s="326">
        <f t="shared" si="118"/>
        <v>0.84110169491525433</v>
      </c>
      <c r="BN128" s="326">
        <f t="shared" si="118"/>
        <v>0.84745762711864425</v>
      </c>
      <c r="BO128" s="324">
        <f>((1/BO123)*45%)+((1/BO125)*55%)</f>
        <v>0.8608385370205176</v>
      </c>
      <c r="BP128" s="15">
        <f t="shared" ref="BP128:BV128" si="132">((1/BP123)*45%)+((1/BP125)*55%)</f>
        <v>0.86788740920096852</v>
      </c>
      <c r="BQ128" s="15">
        <f t="shared" si="132"/>
        <v>0.8715071003206597</v>
      </c>
      <c r="BR128" s="325">
        <f t="shared" si="132"/>
        <v>0.8715071003206597</v>
      </c>
      <c r="BS128" s="15">
        <f t="shared" si="132"/>
        <v>0.8643317834108295</v>
      </c>
      <c r="BT128" s="15">
        <f t="shared" si="132"/>
        <v>0.8715071003206597</v>
      </c>
      <c r="BU128" s="326">
        <f t="shared" si="132"/>
        <v>0.86788740920096852</v>
      </c>
      <c r="BV128" s="326">
        <f t="shared" si="132"/>
        <v>0.86788740920096852</v>
      </c>
      <c r="BW128" s="324">
        <f>((1/BW123)*45%)+((1/BW125)*55%)</f>
        <v>0.86742424242424243</v>
      </c>
      <c r="BX128" s="15">
        <f t="shared" ref="BX128:CD128" si="133">((1/BX123)*45%)+((1/BX125)*55%)</f>
        <v>0.90016233766233766</v>
      </c>
      <c r="BY128" s="15">
        <f t="shared" si="133"/>
        <v>0.85875331564986745</v>
      </c>
      <c r="BZ128" s="325">
        <f t="shared" si="133"/>
        <v>0.85228919153868454</v>
      </c>
      <c r="CA128" s="15">
        <f t="shared" si="133"/>
        <v>0.88322884012539182</v>
      </c>
      <c r="CB128" s="15">
        <f t="shared" si="133"/>
        <v>0.85549386323787269</v>
      </c>
      <c r="CC128" s="326">
        <f t="shared" si="133"/>
        <v>0.87473140284457185</v>
      </c>
      <c r="CD128" s="326">
        <f t="shared" si="133"/>
        <v>0.86887477313974593</v>
      </c>
      <c r="CE128" s="324">
        <f>((1/CE123)*45%)+((1/CE125)*55%)</f>
        <v>0.82954545454545459</v>
      </c>
      <c r="CF128" s="15">
        <f t="shared" ref="CF128:CK128" si="134">((1/CF123)*45%)+((1/CF125)*55%)</f>
        <v>0.86434795451188895</v>
      </c>
      <c r="CG128" s="15">
        <f t="shared" si="134"/>
        <v>0.85549386323787269</v>
      </c>
      <c r="CH128" s="325">
        <f t="shared" si="134"/>
        <v>0.84913793103448287</v>
      </c>
      <c r="CI128" s="15">
        <f t="shared" si="134"/>
        <v>0.84603875748076385</v>
      </c>
      <c r="CJ128" s="15">
        <f t="shared" si="134"/>
        <v>0.85549386323787269</v>
      </c>
      <c r="CK128" s="326">
        <f t="shared" si="134"/>
        <v>0.84913793103448287</v>
      </c>
      <c r="CL128" s="326">
        <f>((1/CL123)*45%)+((1/CL125)*55%)</f>
        <v>0.85549386323787269</v>
      </c>
      <c r="CM128" s="324">
        <f>((1/CM123)*45%)+((1/CM125)*55%)</f>
        <v>0.88004658385093171</v>
      </c>
      <c r="CN128" s="15">
        <f t="shared" ref="CN128:CS128" si="135">((1/CN123)*45%)+((1/CN125)*55%)</f>
        <v>0.90278917145200988</v>
      </c>
      <c r="CO128" s="15">
        <f t="shared" si="135"/>
        <v>0.90727816550348961</v>
      </c>
      <c r="CP128" s="325">
        <f t="shared" si="135"/>
        <v>0.9194373401534528</v>
      </c>
      <c r="CQ128" s="15">
        <f t="shared" si="135"/>
        <v>0.89110490626246519</v>
      </c>
      <c r="CR128" s="15">
        <f t="shared" si="135"/>
        <v>0.9194373401534528</v>
      </c>
      <c r="CS128" s="326">
        <f t="shared" si="135"/>
        <v>0.90013586956521752</v>
      </c>
      <c r="CT128" s="326">
        <f>((1/CT123)*45%)+((1/CT125)*55%)</f>
        <v>0.90480115392540705</v>
      </c>
      <c r="CU128" s="324">
        <f>((1/CU123)*45%)+((1/CU125)*55%)</f>
        <v>0.90728641138036559</v>
      </c>
      <c r="CV128" s="15">
        <f t="shared" ref="CV128:DA128" si="136">((1/CV123)*45%)+((1/CV125)*55%)</f>
        <v>0.89956970041406192</v>
      </c>
      <c r="CW128" s="15">
        <f>((1/CW123)*45%)+((1/CW125)*55%)</f>
        <v>0.89956970041406192</v>
      </c>
      <c r="CX128" s="325">
        <f t="shared" si="136"/>
        <v>0.90728641138036559</v>
      </c>
      <c r="CY128" s="15">
        <f t="shared" si="136"/>
        <v>0.90339233038348088</v>
      </c>
      <c r="CZ128" s="15">
        <f t="shared" si="136"/>
        <v>0.90339233038348088</v>
      </c>
      <c r="DA128" s="326">
        <f t="shared" si="136"/>
        <v>0.90339233038348088</v>
      </c>
      <c r="DB128" s="326">
        <f>((1/DB123)*45%)+((1/DB125)*55%)</f>
        <v>0.90339233038348088</v>
      </c>
      <c r="DC128" s="324">
        <f>((1/DC123)*45%)+((1/DC125)*55%)</f>
        <v>0.90391546526867628</v>
      </c>
      <c r="DD128" s="15">
        <f t="shared" ref="DD128" si="137">((1/DD123)*45%)+((1/DD125)*55%)</f>
        <v>0.91163217623497994</v>
      </c>
      <c r="DE128" s="15">
        <f>((1/DE123)*45%)+((1/DE125)*55%)</f>
        <v>0.90016233766233766</v>
      </c>
      <c r="DF128" s="325">
        <f t="shared" ref="DF128" si="138">((1/DF123)*45%)+((1/DF125)*55%)</f>
        <v>0.91559973045822107</v>
      </c>
      <c r="DG128" s="15">
        <f t="shared" ref="DG128:DH128" si="139">((1/DG123)*45%)+((1/DG125)*55%)</f>
        <v>0.90773809523809523</v>
      </c>
      <c r="DH128" s="15">
        <f t="shared" si="139"/>
        <v>0.90773809523809523</v>
      </c>
      <c r="DI128" s="326">
        <f t="shared" ref="DI128" si="140">((1/DI123)*45%)+((1/DI125)*55%)</f>
        <v>0.90391546526867628</v>
      </c>
      <c r="DJ128" s="326">
        <f>((1/DJ123)*45%)+((1/DJ125)*55%)</f>
        <v>0.90773809523809523</v>
      </c>
      <c r="DK128" s="324">
        <f>((1/DK123)*45%)+((1/DK125)*55%)</f>
        <v>0.91964285714285721</v>
      </c>
      <c r="DL128" s="15">
        <f t="shared" ref="DL128" si="141">((1/DL123)*45%)+((1/DL125)*55%)</f>
        <v>0.88930151706700378</v>
      </c>
      <c r="DM128" s="15">
        <f>((1/DM123)*45%)+((1/DM125)*55%)</f>
        <v>0.87568681318681318</v>
      </c>
      <c r="DN128" s="325"/>
      <c r="DO128" s="15">
        <f t="shared" ref="DO128:DP128" si="142">((1/DO123)*45%)+((1/DO125)*55%)</f>
        <v>0.90391546526867628</v>
      </c>
      <c r="DP128" s="15">
        <f t="shared" si="142"/>
        <v>0.8756868131868133</v>
      </c>
      <c r="DQ128" s="326">
        <f t="shared" ref="DQ128" si="143">((1/DQ123)*45%)+((1/DQ125)*55%)</f>
        <v>0.89285714285714279</v>
      </c>
      <c r="DR128" s="326">
        <f>((1/DR123)*45%)+((1/DR125)*55%)</f>
        <v>0.88930151706700378</v>
      </c>
      <c r="DS128" s="324">
        <f>((1/DS123)*45%)+((1/DS125)*55%)</f>
        <v>0.87568681318681318</v>
      </c>
      <c r="DT128" s="15"/>
      <c r="DU128" s="15"/>
      <c r="DV128" s="325"/>
      <c r="DW128" s="15">
        <f t="shared" ref="DW128:DX128" si="144">((1/DW123)*45%)+((1/DW125)*55%)</f>
        <v>0.87568681318681318</v>
      </c>
      <c r="DX128" s="16">
        <f t="shared" si="144"/>
        <v>0.87568681318681318</v>
      </c>
      <c r="DY128" s="326"/>
      <c r="DZ128" s="328">
        <f>((1/DZ123)*45%)+((1/DZ125)*55%)</f>
        <v>0.87568681318681318</v>
      </c>
      <c r="EA128" s="15"/>
      <c r="EB128" s="15"/>
      <c r="EC128" s="15"/>
      <c r="ED128" s="325"/>
      <c r="EE128" s="15"/>
      <c r="EF128" s="15"/>
      <c r="EG128" s="326"/>
      <c r="EH128" s="328">
        <f>((1/EH123)*45%)+((1/EH125)*55%)</f>
        <v>0.86922268907563027</v>
      </c>
      <c r="EI128" s="15"/>
      <c r="EJ128" s="15"/>
      <c r="EK128" s="15"/>
      <c r="EL128" s="325"/>
      <c r="EM128" s="15"/>
      <c r="EN128" s="15"/>
      <c r="EO128" s="326"/>
      <c r="EP128" s="328">
        <f>((1/EP123)*45%)+((1/EP125)*55%)</f>
        <v>0.8660714285714286</v>
      </c>
      <c r="EQ128" s="15"/>
      <c r="ER128" s="15"/>
      <c r="ES128" s="15"/>
      <c r="ET128" s="325"/>
      <c r="EU128" s="15"/>
      <c r="EV128" s="15"/>
      <c r="EW128" s="326"/>
      <c r="EX128" s="328">
        <f>((1/EX123)*45%)+((1/EX125)*55%)</f>
        <v>0.85557812273320777</v>
      </c>
      <c r="EY128" s="15"/>
      <c r="EZ128" s="15"/>
      <c r="FA128" s="15"/>
      <c r="FB128" s="325"/>
      <c r="FC128" s="15"/>
      <c r="FD128" s="15"/>
      <c r="FE128" s="326"/>
      <c r="FF128" s="328">
        <f>((1/FF123)*45%)+((1/FF125)*55%)</f>
        <v>0.8164560681751396</v>
      </c>
    </row>
    <row r="129" spans="1:162" ht="11.25" customHeight="1" x14ac:dyDescent="0.25">
      <c r="A129" s="197" t="s">
        <v>318</v>
      </c>
      <c r="C129" s="113"/>
      <c r="D129" s="83"/>
      <c r="E129" s="151"/>
      <c r="F129" s="329"/>
      <c r="G129" s="83"/>
      <c r="H129" s="83"/>
      <c r="I129" s="85"/>
      <c r="J129" s="85"/>
      <c r="K129" s="113"/>
      <c r="L129" s="83"/>
      <c r="M129" s="151"/>
      <c r="N129" s="329"/>
      <c r="O129" s="83"/>
      <c r="P129" s="83"/>
      <c r="Q129" s="85"/>
      <c r="R129" s="85"/>
      <c r="S129" s="113"/>
      <c r="T129" s="83"/>
      <c r="U129" s="151"/>
      <c r="V129" s="329"/>
      <c r="W129" s="83"/>
      <c r="X129" s="83"/>
      <c r="Y129" s="85"/>
      <c r="Z129" s="85"/>
      <c r="AA129" s="113"/>
      <c r="AB129" s="83"/>
      <c r="AC129" s="151"/>
      <c r="AD129" s="329"/>
      <c r="AE129" s="83"/>
      <c r="AF129" s="83"/>
      <c r="AG129" s="85"/>
      <c r="AH129" s="85"/>
      <c r="AI129" s="113"/>
      <c r="AJ129" s="83"/>
      <c r="AK129" s="151"/>
      <c r="AL129" s="329"/>
      <c r="AM129" s="83"/>
      <c r="AN129" s="83"/>
      <c r="AO129" s="85"/>
      <c r="AP129" s="85"/>
      <c r="AQ129" s="113"/>
      <c r="AR129" s="83"/>
      <c r="AS129" s="151"/>
      <c r="AT129" s="329"/>
      <c r="AU129" s="83"/>
      <c r="AV129" s="83"/>
      <c r="AW129" s="85"/>
      <c r="AX129" s="85"/>
      <c r="AY129" s="113">
        <f>+AY142-AY144</f>
        <v>-0.11825434583714553</v>
      </c>
      <c r="AZ129" s="83">
        <f>AZ128/AJ128-1</f>
        <v>-2.024444523572122E-2</v>
      </c>
      <c r="BA129" s="151">
        <f>BA128/AK128-1</f>
        <v>1.8007013442431496E-2</v>
      </c>
      <c r="BB129" s="329">
        <f>BB128/AL128-1</f>
        <v>7.7586206896556043E-3</v>
      </c>
      <c r="BC129" s="83">
        <f>+AVERAGE(AY129,AZ129)</f>
        <v>-6.9249395536433375E-2</v>
      </c>
      <c r="BD129" s="83">
        <f>BD128/AN128-1</f>
        <v>2.6688478867196164E-3</v>
      </c>
      <c r="BE129" s="85">
        <f>BE128/AO128-1</f>
        <v>-2.0116525423728771E-2</v>
      </c>
      <c r="BF129" s="85">
        <f>BF128/AP128-1</f>
        <v>-5.0847457627116732E-3</v>
      </c>
      <c r="BG129" s="113">
        <f t="shared" si="118"/>
        <v>-0.11825434583714553</v>
      </c>
      <c r="BH129" s="83">
        <f t="shared" si="118"/>
        <v>-2.024444523572122E-2</v>
      </c>
      <c r="BI129" s="151">
        <f t="shared" si="118"/>
        <v>1.8007013442431496E-2</v>
      </c>
      <c r="BJ129" s="329">
        <f>BB129</f>
        <v>7.7586206896556043E-3</v>
      </c>
      <c r="BK129" s="83">
        <f t="shared" si="118"/>
        <v>-6.9249395536433375E-2</v>
      </c>
      <c r="BL129" s="83">
        <f t="shared" si="118"/>
        <v>2.6688478867196164E-3</v>
      </c>
      <c r="BM129" s="85">
        <f t="shared" si="118"/>
        <v>-2.0116525423728771E-2</v>
      </c>
      <c r="BN129" s="85">
        <f t="shared" si="118"/>
        <v>-5.0847457627116732E-3</v>
      </c>
      <c r="BO129" s="113">
        <f t="shared" ref="BO129:CD129" si="145">BO128/AY128-1</f>
        <v>3.4717227852239407E-2</v>
      </c>
      <c r="BP129" s="83">
        <f t="shared" si="145"/>
        <v>2.7994517081400216E-2</v>
      </c>
      <c r="BQ129" s="151">
        <f t="shared" si="145"/>
        <v>2.0461008484960574E-2</v>
      </c>
      <c r="BR129" s="329">
        <f t="shared" si="145"/>
        <v>2.0461008484960574E-2</v>
      </c>
      <c r="BS129" s="83">
        <f t="shared" si="145"/>
        <v>3.1419072590039399E-2</v>
      </c>
      <c r="BT129" s="83">
        <f t="shared" si="145"/>
        <v>3.0334710106428409E-2</v>
      </c>
      <c r="BU129" s="85">
        <f t="shared" si="145"/>
        <v>3.1845987765383166E-2</v>
      </c>
      <c r="BV129" s="85">
        <f t="shared" si="145"/>
        <v>2.410714285714266E-2</v>
      </c>
      <c r="BW129" s="113">
        <f t="shared" si="145"/>
        <v>4.2633163937511709E-2</v>
      </c>
      <c r="BX129" s="83">
        <f t="shared" si="145"/>
        <v>6.622349603159372E-2</v>
      </c>
      <c r="BY129" s="151">
        <f t="shared" si="145"/>
        <v>5.5274067250115078E-3</v>
      </c>
      <c r="BZ129" s="329">
        <f t="shared" si="145"/>
        <v>-2.0415351769450529E-3</v>
      </c>
      <c r="CA129" s="83">
        <f t="shared" si="145"/>
        <v>5.396919175180459E-2</v>
      </c>
      <c r="CB129" s="83">
        <f t="shared" si="145"/>
        <v>1.1403144337786664E-2</v>
      </c>
      <c r="CC129" s="85">
        <f t="shared" si="145"/>
        <v>3.9982927311430494E-2</v>
      </c>
      <c r="CD129" s="85">
        <f t="shared" si="145"/>
        <v>2.5272232304899944E-2</v>
      </c>
      <c r="CE129" s="113">
        <f>CE128/BW128-1</f>
        <v>-4.3668122270742349E-2</v>
      </c>
      <c r="CF129" s="83">
        <f t="shared" ref="CF129:DF129" si="146">CF128/BX128-1</f>
        <v>-3.9786582544051208E-2</v>
      </c>
      <c r="CG129" s="151">
        <f t="shared" si="146"/>
        <v>-3.7955631175969895E-3</v>
      </c>
      <c r="CH129" s="329">
        <f t="shared" si="146"/>
        <v>-3.6974075648108506E-3</v>
      </c>
      <c r="CI129" s="83">
        <f t="shared" si="146"/>
        <v>-4.2106961361619621E-2</v>
      </c>
      <c r="CJ129" s="83">
        <f t="shared" si="146"/>
        <v>0</v>
      </c>
      <c r="CK129" s="85">
        <f t="shared" si="146"/>
        <v>-2.9258663547302222E-2</v>
      </c>
      <c r="CL129" s="85">
        <f t="shared" si="146"/>
        <v>-1.5400274372704192E-2</v>
      </c>
      <c r="CM129" s="113">
        <f t="shared" si="146"/>
        <v>6.0878073683314993E-2</v>
      </c>
      <c r="CN129" s="83">
        <f t="shared" si="146"/>
        <v>4.447423834285491E-2</v>
      </c>
      <c r="CO129" s="151">
        <f t="shared" si="146"/>
        <v>6.0531471341739085E-2</v>
      </c>
      <c r="CP129" s="329">
        <f t="shared" si="146"/>
        <v>8.2789151855842791E-2</v>
      </c>
      <c r="CQ129" s="83">
        <f t="shared" si="146"/>
        <v>5.326723909894393E-2</v>
      </c>
      <c r="CR129" s="83">
        <f t="shared" si="146"/>
        <v>7.4744518532917192E-2</v>
      </c>
      <c r="CS129" s="85">
        <f t="shared" si="146"/>
        <v>6.0058485985433618E-2</v>
      </c>
      <c r="CT129" s="85">
        <f t="shared" si="146"/>
        <v>5.7636054221261279E-2</v>
      </c>
      <c r="CU129" s="113">
        <f t="shared" si="146"/>
        <v>3.0952710946546835E-2</v>
      </c>
      <c r="CV129" s="1440">
        <f t="shared" si="146"/>
        <v>-3.5661382964639055E-3</v>
      </c>
      <c r="CW129" s="83">
        <f t="shared" si="146"/>
        <v>-8.4962532798856794E-3</v>
      </c>
      <c r="CX129" s="329">
        <f t="shared" si="146"/>
        <v>-1.3215613769894552E-2</v>
      </c>
      <c r="CY129" s="83">
        <f t="shared" si="146"/>
        <v>1.3788975949591054E-2</v>
      </c>
      <c r="CZ129" s="83">
        <f t="shared" si="146"/>
        <v>-1.7450900751207254E-2</v>
      </c>
      <c r="DA129" s="1439">
        <f t="shared" si="146"/>
        <v>3.617743641119775E-3</v>
      </c>
      <c r="DB129" s="85">
        <f>DB128/CT128-1</f>
        <v>-1.5570532108785118E-3</v>
      </c>
      <c r="DC129" s="113">
        <f t="shared" si="146"/>
        <v>-3.7154156277516837E-3</v>
      </c>
      <c r="DD129" s="1440">
        <f t="shared" si="146"/>
        <v>1.340916197529296E-2</v>
      </c>
      <c r="DE129" s="83">
        <f t="shared" si="146"/>
        <v>6.5880081110214483E-4</v>
      </c>
      <c r="DF129" s="329">
        <f t="shared" si="146"/>
        <v>9.1628387393209998E-3</v>
      </c>
      <c r="DG129" s="83">
        <f t="shared" ref="DG129:DH129" si="147">DG128/CY128-1</f>
        <v>4.8104956268220089E-3</v>
      </c>
      <c r="DH129" s="83">
        <f t="shared" si="147"/>
        <v>4.8104956268220089E-3</v>
      </c>
      <c r="DI129" s="1439">
        <f t="shared" ref="DI129" si="148">DI128/DA128-1</f>
        <v>5.7907828924497196E-4</v>
      </c>
      <c r="DJ129" s="85">
        <f>DJ128/DB128-1</f>
        <v>4.8104956268220089E-3</v>
      </c>
      <c r="DK129" s="113">
        <f t="shared" ref="DK129:DM129" si="149">DK128/DC128-1</f>
        <v>1.7399184413230628E-2</v>
      </c>
      <c r="DL129" s="1440">
        <f t="shared" si="149"/>
        <v>-2.4495251209979529E-2</v>
      </c>
      <c r="DM129" s="83">
        <f t="shared" si="149"/>
        <v>-2.7190122771727832E-2</v>
      </c>
      <c r="DN129" s="334"/>
      <c r="DO129" s="83">
        <f t="shared" ref="DO129:DP129" si="150">DO128/DG128-1</f>
        <v>-4.2111595728681062E-3</v>
      </c>
      <c r="DP129" s="83">
        <f t="shared" si="150"/>
        <v>-3.5308953341740112E-2</v>
      </c>
      <c r="DQ129" s="1439">
        <f t="shared" ref="DQ129" si="151">DQ128/DI128-1</f>
        <v>-1.2233801540552869E-2</v>
      </c>
      <c r="DR129" s="85">
        <f>DR128/DJ128-1</f>
        <v>-2.031045988684177E-2</v>
      </c>
      <c r="DS129" s="113">
        <f t="shared" ref="DS129" si="152">DS128/DK128-1</f>
        <v>-4.7796863330843986E-2</v>
      </c>
      <c r="DT129" s="330"/>
      <c r="DU129" s="330"/>
      <c r="DV129" s="334"/>
      <c r="DW129" s="83">
        <f t="shared" ref="DW129:DX129" si="153">DW128/DO128-1</f>
        <v>-3.1229305357080572E-2</v>
      </c>
      <c r="DX129" s="97">
        <f t="shared" si="153"/>
        <v>0</v>
      </c>
      <c r="DY129" s="332"/>
      <c r="DZ129" s="333">
        <f>DZ128/DR128-1</f>
        <v>-1.5309435122851323E-2</v>
      </c>
      <c r="EA129" s="330"/>
      <c r="EB129" s="330"/>
      <c r="EC129" s="330"/>
      <c r="ED129" s="334"/>
      <c r="EE129" s="330"/>
      <c r="EF129" s="330"/>
      <c r="EG129" s="332"/>
      <c r="EH129" s="333">
        <f>EH128/DZ128-1</f>
        <v>-7.3817762399076559E-3</v>
      </c>
      <c r="EI129" s="330"/>
      <c r="EJ129" s="330"/>
      <c r="EK129" s="330"/>
      <c r="EL129" s="334"/>
      <c r="EM129" s="330"/>
      <c r="EN129" s="330"/>
      <c r="EO129" s="332"/>
      <c r="EP129" s="333">
        <f>EP128/EH128-1</f>
        <v>-3.6253776435045681E-3</v>
      </c>
      <c r="EQ129" s="330"/>
      <c r="ER129" s="330"/>
      <c r="ES129" s="330"/>
      <c r="ET129" s="334"/>
      <c r="EU129" s="330"/>
      <c r="EV129" s="330"/>
      <c r="EW129" s="332"/>
      <c r="EX129" s="333">
        <f>EX128/EP128-1</f>
        <v>-1.2115981998770398E-2</v>
      </c>
      <c r="EY129" s="330"/>
      <c r="EZ129" s="330"/>
      <c r="FA129" s="330"/>
      <c r="FB129" s="334"/>
      <c r="FC129" s="330"/>
      <c r="FD129" s="330"/>
      <c r="FE129" s="332"/>
      <c r="FF129" s="333">
        <f>FF128/EX128-1</f>
        <v>-4.5725870634805266E-2</v>
      </c>
    </row>
    <row r="130" spans="1:162" ht="11.25" customHeight="1" x14ac:dyDescent="0.2">
      <c r="A130" s="197"/>
      <c r="C130" s="38"/>
      <c r="F130" s="179"/>
      <c r="I130" s="180"/>
      <c r="J130" s="180"/>
      <c r="K130" s="38"/>
      <c r="N130" s="179"/>
      <c r="Q130" s="180"/>
      <c r="R130" s="180"/>
      <c r="S130" s="38"/>
      <c r="V130" s="179"/>
      <c r="Y130" s="180"/>
      <c r="Z130" s="180"/>
      <c r="AA130" s="38"/>
      <c r="AD130" s="179"/>
      <c r="AG130" s="180"/>
      <c r="AH130" s="180"/>
      <c r="AI130" s="38"/>
      <c r="AL130" s="179"/>
      <c r="AO130" s="180"/>
      <c r="AP130" s="180"/>
      <c r="AQ130" s="38"/>
      <c r="AT130" s="179"/>
      <c r="AW130" s="180"/>
      <c r="AX130" s="180"/>
      <c r="AY130" s="38"/>
      <c r="BB130" s="179"/>
      <c r="BE130" s="180"/>
      <c r="BF130" s="180"/>
      <c r="BG130" s="38"/>
      <c r="BJ130" s="179"/>
      <c r="BM130" s="180"/>
      <c r="BN130" s="180"/>
      <c r="BO130" s="38"/>
      <c r="BR130" s="179"/>
      <c r="BU130" s="180"/>
      <c r="BV130" s="180"/>
      <c r="BW130" s="38"/>
      <c r="BZ130" s="179"/>
      <c r="CC130" s="180"/>
      <c r="CD130" s="180"/>
      <c r="CE130" s="38"/>
      <c r="CH130" s="179"/>
      <c r="CK130" s="180"/>
      <c r="CL130" s="180"/>
      <c r="CM130" s="38"/>
      <c r="CP130" s="179"/>
      <c r="CS130" s="180"/>
      <c r="CT130" s="180"/>
      <c r="CX130" s="179"/>
      <c r="DB130" s="314"/>
      <c r="DF130" s="179"/>
      <c r="DJ130" s="314"/>
      <c r="DN130" s="179"/>
      <c r="DR130" s="314"/>
      <c r="DV130" s="179"/>
      <c r="DZ130" s="314"/>
      <c r="ED130" s="179"/>
      <c r="EH130" s="314"/>
      <c r="EL130" s="179"/>
      <c r="EP130" s="314"/>
      <c r="ET130" s="179"/>
      <c r="EX130" s="314"/>
      <c r="FB130" s="179"/>
      <c r="FF130" s="314"/>
    </row>
    <row r="131" spans="1:162" ht="11.25" customHeight="1" x14ac:dyDescent="0.2">
      <c r="A131" s="4" t="s">
        <v>319</v>
      </c>
      <c r="C131" s="324"/>
      <c r="D131" s="15"/>
      <c r="E131" s="15"/>
      <c r="F131" s="325"/>
      <c r="G131" s="15"/>
      <c r="H131" s="15"/>
      <c r="I131" s="326"/>
      <c r="J131" s="326"/>
      <c r="K131" s="324"/>
      <c r="L131" s="15"/>
      <c r="M131" s="15"/>
      <c r="N131" s="325"/>
      <c r="O131" s="15"/>
      <c r="P131" s="15"/>
      <c r="Q131" s="326"/>
      <c r="R131" s="326"/>
      <c r="S131" s="324"/>
      <c r="T131" s="15"/>
      <c r="U131" s="15">
        <f>1/U123</f>
        <v>0.9009009009009008</v>
      </c>
      <c r="V131" s="325"/>
      <c r="W131" s="15"/>
      <c r="X131" s="15"/>
      <c r="Y131" s="326"/>
      <c r="Z131" s="326"/>
      <c r="AA131" s="324"/>
      <c r="AB131" s="15"/>
      <c r="AC131" s="15"/>
      <c r="AD131" s="325"/>
      <c r="AE131" s="15"/>
      <c r="AF131" s="15"/>
      <c r="AG131" s="326"/>
      <c r="AH131" s="326"/>
      <c r="AI131" s="324">
        <f>1/AI123</f>
        <v>0.94339622641509424</v>
      </c>
      <c r="AJ131" s="15">
        <f>1/AJ123</f>
        <v>0.90909090909090906</v>
      </c>
      <c r="AK131" s="15">
        <f>1/AK123</f>
        <v>0.85470085470085477</v>
      </c>
      <c r="AL131" s="325">
        <f>1/AL123</f>
        <v>0.84745762711864414</v>
      </c>
      <c r="AM131" s="15">
        <f>1/AM123</f>
        <v>0.92592592592592582</v>
      </c>
      <c r="AN131" s="15">
        <f>+AVERAGE(AK131:AL131)</f>
        <v>0.8510792409097494</v>
      </c>
      <c r="AO131" s="326">
        <f>1/AO123</f>
        <v>0.9009009009009008</v>
      </c>
      <c r="AP131" s="326">
        <f>1/AP123</f>
        <v>0.88495575221238942</v>
      </c>
      <c r="AQ131" s="324"/>
      <c r="AR131" s="15"/>
      <c r="AS131" s="15"/>
      <c r="AT131" s="325"/>
      <c r="AU131" s="15"/>
      <c r="AV131" s="15"/>
      <c r="AW131" s="326"/>
      <c r="AX131" s="326"/>
      <c r="AY131" s="324">
        <f t="shared" ref="AY131:CK131" si="154">1/AY123</f>
        <v>0.81300813008130079</v>
      </c>
      <c r="AZ131" s="15">
        <f t="shared" si="154"/>
        <v>0.84033613445378152</v>
      </c>
      <c r="BA131" s="15">
        <f t="shared" si="154"/>
        <v>0.86206896551724144</v>
      </c>
      <c r="BB131" s="325">
        <f t="shared" si="154"/>
        <v>0.86206896551724144</v>
      </c>
      <c r="BC131" s="15">
        <f t="shared" si="154"/>
        <v>0.82644628099173556</v>
      </c>
      <c r="BD131" s="15">
        <f t="shared" si="154"/>
        <v>0.8438818565400843</v>
      </c>
      <c r="BE131" s="326">
        <f t="shared" si="154"/>
        <v>0.83333333333333337</v>
      </c>
      <c r="BF131" s="326">
        <f t="shared" si="154"/>
        <v>0.84745762711864414</v>
      </c>
      <c r="BG131" s="324">
        <f t="shared" ref="BG131:BN132" si="155">AY131</f>
        <v>0.81300813008130079</v>
      </c>
      <c r="BH131" s="15">
        <f t="shared" si="155"/>
        <v>0.84033613445378152</v>
      </c>
      <c r="BI131" s="15">
        <f t="shared" si="155"/>
        <v>0.86206896551724144</v>
      </c>
      <c r="BJ131" s="325">
        <f t="shared" si="155"/>
        <v>0.86206896551724144</v>
      </c>
      <c r="BK131" s="15">
        <f t="shared" si="155"/>
        <v>0.82644628099173556</v>
      </c>
      <c r="BL131" s="15">
        <f t="shared" si="155"/>
        <v>0.8438818565400843</v>
      </c>
      <c r="BM131" s="326">
        <f t="shared" si="155"/>
        <v>0.83333333333333337</v>
      </c>
      <c r="BN131" s="326">
        <f t="shared" si="155"/>
        <v>0.84745762711864414</v>
      </c>
      <c r="BO131" s="324">
        <f t="shared" si="154"/>
        <v>0.87719298245614041</v>
      </c>
      <c r="BP131" s="15">
        <f t="shared" si="154"/>
        <v>0.89285714285714279</v>
      </c>
      <c r="BQ131" s="15">
        <f t="shared" si="154"/>
        <v>0.9009009009009008</v>
      </c>
      <c r="BR131" s="325">
        <f t="shared" si="154"/>
        <v>0.9009009009009008</v>
      </c>
      <c r="BS131" s="15">
        <f t="shared" si="154"/>
        <v>0.88495575221238942</v>
      </c>
      <c r="BT131" s="15">
        <f t="shared" si="154"/>
        <v>0.9009009009009008</v>
      </c>
      <c r="BU131" s="326">
        <f t="shared" si="154"/>
        <v>0.89285714285714279</v>
      </c>
      <c r="BV131" s="326">
        <f t="shared" si="154"/>
        <v>0.89285714285714279</v>
      </c>
      <c r="BW131" s="324">
        <f t="shared" si="154"/>
        <v>0.90909090909090906</v>
      </c>
      <c r="BX131" s="15">
        <f t="shared" si="154"/>
        <v>0.90909090909090906</v>
      </c>
      <c r="BY131" s="15">
        <f t="shared" si="154"/>
        <v>0.85470085470085477</v>
      </c>
      <c r="BZ131" s="325">
        <f t="shared" si="154"/>
        <v>0.84033613445378152</v>
      </c>
      <c r="CA131" s="15">
        <f t="shared" si="154"/>
        <v>0.90909090909090906</v>
      </c>
      <c r="CB131" s="15">
        <f t="shared" si="154"/>
        <v>0.84745762711864414</v>
      </c>
      <c r="CC131" s="326">
        <f t="shared" si="154"/>
        <v>0.89020771513353114</v>
      </c>
      <c r="CD131" s="326">
        <f t="shared" si="154"/>
        <v>0.8771929824561403</v>
      </c>
      <c r="CE131" s="324">
        <f t="shared" si="154"/>
        <v>0.83333333333333337</v>
      </c>
      <c r="CF131" s="15">
        <f t="shared" si="154"/>
        <v>0.81967213114754101</v>
      </c>
      <c r="CG131" s="15">
        <f t="shared" si="154"/>
        <v>0.84745762711864414</v>
      </c>
      <c r="CH131" s="325">
        <f t="shared" si="154"/>
        <v>0.83333333333333337</v>
      </c>
      <c r="CI131" s="15">
        <f t="shared" si="154"/>
        <v>0.82644628099173556</v>
      </c>
      <c r="CJ131" s="15">
        <f t="shared" si="154"/>
        <v>0.84745762711864414</v>
      </c>
      <c r="CK131" s="326">
        <f t="shared" si="154"/>
        <v>0.83333333333333337</v>
      </c>
      <c r="CL131" s="326">
        <f>1/CL123</f>
        <v>0.84745762711864414</v>
      </c>
      <c r="CM131" s="324">
        <f t="shared" ref="CM131:CS131" si="156">1/CM123</f>
        <v>0.89285714285714279</v>
      </c>
      <c r="CN131" s="15">
        <f t="shared" si="156"/>
        <v>0.94339622641509424</v>
      </c>
      <c r="CO131" s="15">
        <f t="shared" si="156"/>
        <v>0.98039215686274506</v>
      </c>
      <c r="CP131" s="325">
        <f>1/CP123</f>
        <v>0.98039215686274506</v>
      </c>
      <c r="CQ131" s="15">
        <f t="shared" si="156"/>
        <v>0.9174311926605504</v>
      </c>
      <c r="CR131" s="15">
        <f t="shared" si="156"/>
        <v>0.98039215686274506</v>
      </c>
      <c r="CS131" s="326">
        <f t="shared" si="156"/>
        <v>0.9375</v>
      </c>
      <c r="CT131" s="326">
        <f>1/CT123</f>
        <v>0.94786729857819896</v>
      </c>
      <c r="CU131" s="324">
        <f t="shared" ref="CU131:FF131" si="157">1/CU123</f>
        <v>0.93457943925233644</v>
      </c>
      <c r="CV131" s="15">
        <f t="shared" si="157"/>
        <v>0.9174311926605504</v>
      </c>
      <c r="CW131" s="15">
        <f t="shared" si="157"/>
        <v>0.9174311926605504</v>
      </c>
      <c r="CX131" s="325">
        <f t="shared" si="157"/>
        <v>0.93457943925233644</v>
      </c>
      <c r="CY131" s="15">
        <f t="shared" si="157"/>
        <v>0.92592592592592582</v>
      </c>
      <c r="CZ131" s="15">
        <f t="shared" si="157"/>
        <v>0.92592592592592582</v>
      </c>
      <c r="DA131" s="15">
        <f>1/DA123</f>
        <v>0.92592592592592582</v>
      </c>
      <c r="DB131" s="1366">
        <f t="shared" si="157"/>
        <v>0.92592592592592582</v>
      </c>
      <c r="DC131" s="324">
        <f t="shared" ref="DC131:DF131" si="158">1/DC123</f>
        <v>0.9174311926605504</v>
      </c>
      <c r="DD131" s="15">
        <f t="shared" si="158"/>
        <v>0.93457943925233644</v>
      </c>
      <c r="DE131" s="15">
        <f t="shared" si="158"/>
        <v>0.90909090909090906</v>
      </c>
      <c r="DF131" s="325">
        <f t="shared" si="158"/>
        <v>0.94339622641509424</v>
      </c>
      <c r="DG131" s="15">
        <f t="shared" ref="DG131:DH131" si="159">1/DG123</f>
        <v>0.92592592592592582</v>
      </c>
      <c r="DH131" s="15">
        <f t="shared" si="159"/>
        <v>0.92592592592592582</v>
      </c>
      <c r="DI131" s="15">
        <f>1/DI123</f>
        <v>0.9174311926605504</v>
      </c>
      <c r="DJ131" s="1366">
        <f t="shared" ref="DJ131:DM131" si="160">1/DJ123</f>
        <v>0.92592592592592582</v>
      </c>
      <c r="DK131" s="324">
        <f t="shared" si="160"/>
        <v>0.95238095238095233</v>
      </c>
      <c r="DL131" s="15">
        <f t="shared" si="160"/>
        <v>0.88495575221238931</v>
      </c>
      <c r="DM131" s="15">
        <f t="shared" si="160"/>
        <v>0.85470085470085477</v>
      </c>
      <c r="DN131" s="327"/>
      <c r="DO131" s="15">
        <f t="shared" ref="DO131:DP131" si="161">1/DO123</f>
        <v>0.9174311926605504</v>
      </c>
      <c r="DP131" s="15">
        <f t="shared" si="161"/>
        <v>0.85470085470085488</v>
      </c>
      <c r="DQ131" s="15">
        <f>1/DQ123</f>
        <v>0.89285714285714279</v>
      </c>
      <c r="DR131" s="1366">
        <f t="shared" ref="DR131:DS131" si="162">1/DR123</f>
        <v>0.88495575221238942</v>
      </c>
      <c r="DS131" s="324">
        <f t="shared" si="162"/>
        <v>0.85470085470085477</v>
      </c>
      <c r="DT131" s="16"/>
      <c r="DU131" s="16"/>
      <c r="DV131" s="327"/>
      <c r="DW131" s="15">
        <f t="shared" ref="DW131" si="163">1/DW123</f>
        <v>0.85470085470085477</v>
      </c>
      <c r="DX131" s="16">
        <f t="shared" si="157"/>
        <v>0.85470085470085477</v>
      </c>
      <c r="DY131" s="16"/>
      <c r="DZ131" s="335">
        <f t="shared" si="157"/>
        <v>0.85470085470085477</v>
      </c>
      <c r="EA131" s="16"/>
      <c r="EB131" s="16"/>
      <c r="EC131" s="16"/>
      <c r="ED131" s="327"/>
      <c r="EE131" s="16">
        <f t="shared" si="157"/>
        <v>0.84033613445378152</v>
      </c>
      <c r="EF131" s="16">
        <f t="shared" si="157"/>
        <v>0.84033613445378152</v>
      </c>
      <c r="EG131" s="16"/>
      <c r="EH131" s="335">
        <f t="shared" si="157"/>
        <v>0.84033613445378152</v>
      </c>
      <c r="EI131" s="16"/>
      <c r="EJ131" s="16"/>
      <c r="EK131" s="16"/>
      <c r="EL131" s="327"/>
      <c r="EM131" s="16">
        <f t="shared" si="157"/>
        <v>0.83333333333333337</v>
      </c>
      <c r="EN131" s="16">
        <f t="shared" si="157"/>
        <v>0.83333333333333337</v>
      </c>
      <c r="EO131" s="16"/>
      <c r="EP131" s="335">
        <f t="shared" si="157"/>
        <v>0.83333333333333337</v>
      </c>
      <c r="EQ131" s="16"/>
      <c r="ER131" s="16"/>
      <c r="ES131" s="16"/>
      <c r="ET131" s="327"/>
      <c r="EU131" s="16">
        <f t="shared" si="157"/>
        <v>0.81967213114754101</v>
      </c>
      <c r="EV131" s="16">
        <f t="shared" si="157"/>
        <v>0.81967213114754101</v>
      </c>
      <c r="EW131" s="16"/>
      <c r="EX131" s="335">
        <f t="shared" si="157"/>
        <v>0.81967213114754101</v>
      </c>
      <c r="EY131" s="16"/>
      <c r="EZ131" s="16"/>
      <c r="FA131" s="16"/>
      <c r="FB131" s="327"/>
      <c r="FC131" s="16">
        <f t="shared" si="157"/>
        <v>0.81300813008130079</v>
      </c>
      <c r="FD131" s="16">
        <f t="shared" si="157"/>
        <v>0.81300813008130079</v>
      </c>
      <c r="FE131" s="16"/>
      <c r="FF131" s="335">
        <f t="shared" si="157"/>
        <v>0.81300813008130079</v>
      </c>
    </row>
    <row r="132" spans="1:162" ht="11.25" customHeight="1" x14ac:dyDescent="0.2">
      <c r="A132" s="197" t="s">
        <v>320</v>
      </c>
      <c r="C132" s="113"/>
      <c r="D132" s="83"/>
      <c r="E132" s="151"/>
      <c r="F132" s="329"/>
      <c r="G132" s="83"/>
      <c r="H132" s="83"/>
      <c r="I132" s="85"/>
      <c r="J132" s="85"/>
      <c r="K132" s="113"/>
      <c r="L132" s="83"/>
      <c r="M132" s="151"/>
      <c r="N132" s="329"/>
      <c r="O132" s="83"/>
      <c r="P132" s="83"/>
      <c r="Q132" s="85"/>
      <c r="R132" s="85"/>
      <c r="S132" s="113"/>
      <c r="T132" s="83"/>
      <c r="U132" s="151"/>
      <c r="V132" s="329"/>
      <c r="W132" s="83"/>
      <c r="X132" s="83"/>
      <c r="Y132" s="85"/>
      <c r="Z132" s="85"/>
      <c r="AA132" s="113"/>
      <c r="AB132" s="83"/>
      <c r="AC132" s="151"/>
      <c r="AD132" s="329"/>
      <c r="AE132" s="83"/>
      <c r="AF132" s="83"/>
      <c r="AG132" s="85"/>
      <c r="AH132" s="85"/>
      <c r="AI132" s="113"/>
      <c r="AJ132" s="83"/>
      <c r="AK132" s="151"/>
      <c r="AL132" s="329"/>
      <c r="AM132" s="83"/>
      <c r="AN132" s="83"/>
      <c r="AO132" s="85"/>
      <c r="AP132" s="85"/>
      <c r="AQ132" s="113"/>
      <c r="AR132" s="83"/>
      <c r="AS132" s="151"/>
      <c r="AT132" s="329"/>
      <c r="AU132" s="83"/>
      <c r="AV132" s="83"/>
      <c r="AW132" s="85"/>
      <c r="AX132" s="85"/>
      <c r="AY132" s="113">
        <f t="shared" ref="AY132:BF132" si="164">AY131/AI131-1</f>
        <v>-0.13821138211382111</v>
      </c>
      <c r="AZ132" s="83">
        <f t="shared" si="164"/>
        <v>-7.5630252100840289E-2</v>
      </c>
      <c r="BA132" s="151">
        <f t="shared" si="164"/>
        <v>8.6206896551723755E-3</v>
      </c>
      <c r="BB132" s="329">
        <f t="shared" si="164"/>
        <v>1.7241379310344751E-2</v>
      </c>
      <c r="BC132" s="83">
        <f t="shared" si="164"/>
        <v>-0.10743801652892548</v>
      </c>
      <c r="BD132" s="83">
        <f t="shared" si="164"/>
        <v>-8.4567734985188103E-3</v>
      </c>
      <c r="BE132" s="85">
        <f t="shared" si="164"/>
        <v>-7.4999999999999845E-2</v>
      </c>
      <c r="BF132" s="85">
        <f t="shared" si="164"/>
        <v>-4.2372881355932202E-2</v>
      </c>
      <c r="BG132" s="113">
        <f t="shared" si="155"/>
        <v>-0.13821138211382111</v>
      </c>
      <c r="BH132" s="83">
        <f t="shared" si="155"/>
        <v>-7.5630252100840289E-2</v>
      </c>
      <c r="BI132" s="151">
        <f t="shared" si="155"/>
        <v>8.6206896551723755E-3</v>
      </c>
      <c r="BJ132" s="329">
        <f t="shared" si="155"/>
        <v>1.7241379310344751E-2</v>
      </c>
      <c r="BK132" s="83">
        <f t="shared" si="155"/>
        <v>-0.10743801652892548</v>
      </c>
      <c r="BL132" s="83">
        <f t="shared" si="155"/>
        <v>-8.4567734985188103E-3</v>
      </c>
      <c r="BM132" s="85">
        <f t="shared" si="155"/>
        <v>-7.4999999999999845E-2</v>
      </c>
      <c r="BN132" s="85">
        <f t="shared" si="155"/>
        <v>-4.2372881355932202E-2</v>
      </c>
      <c r="BO132" s="113">
        <f t="shared" ref="BO132:CL132" si="165">BO131/AY131-1</f>
        <v>7.8947368421052655E-2</v>
      </c>
      <c r="BP132" s="83">
        <f t="shared" si="165"/>
        <v>6.25E-2</v>
      </c>
      <c r="BQ132" s="151">
        <f t="shared" si="165"/>
        <v>4.5045045045044807E-2</v>
      </c>
      <c r="BR132" s="329">
        <f t="shared" si="165"/>
        <v>4.5045045045044807E-2</v>
      </c>
      <c r="BS132" s="83">
        <f t="shared" si="165"/>
        <v>7.079646017699126E-2</v>
      </c>
      <c r="BT132" s="83">
        <f t="shared" si="165"/>
        <v>6.7567567567567544E-2</v>
      </c>
      <c r="BU132" s="85">
        <f t="shared" si="165"/>
        <v>7.1428571428571397E-2</v>
      </c>
      <c r="BV132" s="85">
        <f t="shared" si="165"/>
        <v>5.3571428571428381E-2</v>
      </c>
      <c r="BW132" s="113">
        <f t="shared" si="165"/>
        <v>0.11818181818181817</v>
      </c>
      <c r="BX132" s="83">
        <f t="shared" si="165"/>
        <v>8.181818181818179E-2</v>
      </c>
      <c r="BY132" s="151">
        <f t="shared" si="165"/>
        <v>-8.5470085470085166E-3</v>
      </c>
      <c r="BZ132" s="329">
        <f t="shared" si="165"/>
        <v>-2.5210084033613467E-2</v>
      </c>
      <c r="CA132" s="83">
        <f t="shared" si="165"/>
        <v>9.9999999999999867E-2</v>
      </c>
      <c r="CB132" s="83">
        <f t="shared" si="165"/>
        <v>4.2372881355934311E-3</v>
      </c>
      <c r="CC132" s="85">
        <f t="shared" si="165"/>
        <v>6.8249258160237414E-2</v>
      </c>
      <c r="CD132" s="85">
        <f t="shared" si="165"/>
        <v>3.5087719298245501E-2</v>
      </c>
      <c r="CE132" s="113">
        <f t="shared" si="165"/>
        <v>-5.0000000000000044E-2</v>
      </c>
      <c r="CF132" s="83">
        <f t="shared" si="165"/>
        <v>-8.1967213114753967E-2</v>
      </c>
      <c r="CG132" s="151">
        <f t="shared" si="165"/>
        <v>-5.9322033898304927E-2</v>
      </c>
      <c r="CH132" s="329">
        <f t="shared" si="165"/>
        <v>-7.4999999999999845E-2</v>
      </c>
      <c r="CI132" s="83">
        <f t="shared" si="165"/>
        <v>-6.6115702479338845E-2</v>
      </c>
      <c r="CJ132" s="83">
        <f t="shared" si="165"/>
        <v>-5.9322033898304927E-2</v>
      </c>
      <c r="CK132" s="85">
        <f t="shared" si="165"/>
        <v>-6.6666666666666541E-2</v>
      </c>
      <c r="CL132" s="85">
        <f t="shared" si="165"/>
        <v>-5.0847457627118509E-2</v>
      </c>
      <c r="CM132" s="113">
        <f>CM131/CE131-1</f>
        <v>7.1428571428571397E-2</v>
      </c>
      <c r="CN132" s="83">
        <f t="shared" ref="CN132:CT132" si="166">CN131/CF131-1</f>
        <v>0.15094339622641484</v>
      </c>
      <c r="CO132" s="151">
        <f t="shared" si="166"/>
        <v>0.1568627450980391</v>
      </c>
      <c r="CP132" s="329">
        <f t="shared" si="166"/>
        <v>0.17647058823529393</v>
      </c>
      <c r="CQ132" s="83">
        <f t="shared" si="166"/>
        <v>0.11009174311926606</v>
      </c>
      <c r="CR132" s="83">
        <f t="shared" si="166"/>
        <v>0.1568627450980391</v>
      </c>
      <c r="CS132" s="85">
        <f t="shared" si="166"/>
        <v>0.125</v>
      </c>
      <c r="CT132" s="85">
        <f t="shared" si="166"/>
        <v>0.11848341232227466</v>
      </c>
      <c r="CU132" s="113">
        <f>CU131/CM131-1</f>
        <v>4.6728971962616939E-2</v>
      </c>
      <c r="CV132" s="83">
        <f t="shared" ref="CV132:FF132" si="167">CV131/CN131-1</f>
        <v>-2.752293577981646E-2</v>
      </c>
      <c r="CW132" s="83">
        <f>CW131/CO131-1</f>
        <v>-6.4220183486238591E-2</v>
      </c>
      <c r="CX132" s="329">
        <f t="shared" si="167"/>
        <v>-4.6728971962616828E-2</v>
      </c>
      <c r="CY132" s="83">
        <f t="shared" si="167"/>
        <v>9.2592592592593004E-3</v>
      </c>
      <c r="CZ132" s="83">
        <f t="shared" si="167"/>
        <v>-5.555555555555558E-2</v>
      </c>
      <c r="DA132" s="1440">
        <f t="shared" si="167"/>
        <v>-1.2345679012345845E-2</v>
      </c>
      <c r="DB132" s="1478">
        <f t="shared" si="167"/>
        <v>-2.314814814814814E-2</v>
      </c>
      <c r="DC132" s="113">
        <f>DC131/CU131-1</f>
        <v>-1.8348623853211121E-2</v>
      </c>
      <c r="DD132" s="83">
        <f t="shared" si="167"/>
        <v>1.8691588785046731E-2</v>
      </c>
      <c r="DE132" s="83">
        <f>DE131/CW131-1</f>
        <v>-9.0909090909090384E-3</v>
      </c>
      <c r="DF132" s="329">
        <f t="shared" si="167"/>
        <v>9.4339622641508303E-3</v>
      </c>
      <c r="DG132" s="83">
        <f t="shared" si="167"/>
        <v>0</v>
      </c>
      <c r="DH132" s="83">
        <f t="shared" si="167"/>
        <v>0</v>
      </c>
      <c r="DI132" s="1440">
        <f t="shared" si="167"/>
        <v>-9.1743119266054496E-3</v>
      </c>
      <c r="DJ132" s="1478">
        <f t="shared" si="167"/>
        <v>0</v>
      </c>
      <c r="DK132" s="113">
        <f>DK131/DC131-1</f>
        <v>3.8095238095238182E-2</v>
      </c>
      <c r="DL132" s="83">
        <f t="shared" si="167"/>
        <v>-5.3097345132743445E-2</v>
      </c>
      <c r="DM132" s="83">
        <f>DM131/DE131-1</f>
        <v>-5.9829059829059728E-2</v>
      </c>
      <c r="DN132" s="331"/>
      <c r="DO132" s="83">
        <f t="shared" si="167"/>
        <v>-9.1743119266054496E-3</v>
      </c>
      <c r="DP132" s="83">
        <f t="shared" si="167"/>
        <v>-7.692307692307665E-2</v>
      </c>
      <c r="DQ132" s="1440">
        <f t="shared" si="167"/>
        <v>-2.6785714285714302E-2</v>
      </c>
      <c r="DR132" s="1478">
        <f t="shared" si="167"/>
        <v>-4.4247787610619316E-2</v>
      </c>
      <c r="DS132" s="113">
        <f>DS131/DK131-1</f>
        <v>-0.10256410256410242</v>
      </c>
      <c r="DT132" s="97"/>
      <c r="DU132" s="97"/>
      <c r="DV132" s="331"/>
      <c r="DW132" s="83">
        <f t="shared" si="167"/>
        <v>-6.8376068376068244E-2</v>
      </c>
      <c r="DX132" s="97">
        <f t="shared" si="167"/>
        <v>0</v>
      </c>
      <c r="DY132" s="97"/>
      <c r="DZ132" s="336">
        <f t="shared" si="167"/>
        <v>-3.4188034188034178E-2</v>
      </c>
      <c r="EA132" s="97"/>
      <c r="EB132" s="97"/>
      <c r="EC132" s="97"/>
      <c r="ED132" s="331"/>
      <c r="EE132" s="97">
        <f t="shared" si="167"/>
        <v>-1.6806722689075682E-2</v>
      </c>
      <c r="EF132" s="97">
        <f t="shared" si="167"/>
        <v>-1.6806722689075682E-2</v>
      </c>
      <c r="EG132" s="97"/>
      <c r="EH132" s="336">
        <f t="shared" si="167"/>
        <v>-1.6806722689075682E-2</v>
      </c>
      <c r="EI132" s="97"/>
      <c r="EJ132" s="97"/>
      <c r="EK132" s="97"/>
      <c r="EL132" s="331"/>
      <c r="EM132" s="97">
        <f t="shared" si="167"/>
        <v>-8.3333333333333037E-3</v>
      </c>
      <c r="EN132" s="97">
        <f t="shared" si="167"/>
        <v>-8.3333333333333037E-3</v>
      </c>
      <c r="EO132" s="97"/>
      <c r="EP132" s="336">
        <f t="shared" si="167"/>
        <v>-8.3333333333333037E-3</v>
      </c>
      <c r="EQ132" s="97"/>
      <c r="ER132" s="97"/>
      <c r="ES132" s="97"/>
      <c r="ET132" s="331"/>
      <c r="EU132" s="97">
        <f t="shared" si="167"/>
        <v>-1.6393442622950838E-2</v>
      </c>
      <c r="EV132" s="97">
        <f t="shared" si="167"/>
        <v>-1.6393442622950838E-2</v>
      </c>
      <c r="EW132" s="97"/>
      <c r="EX132" s="336">
        <f t="shared" si="167"/>
        <v>-1.6393442622950838E-2</v>
      </c>
      <c r="EY132" s="97"/>
      <c r="EZ132" s="97"/>
      <c r="FA132" s="97"/>
      <c r="FB132" s="331"/>
      <c r="FC132" s="97">
        <f t="shared" si="167"/>
        <v>-8.1300813008130524E-3</v>
      </c>
      <c r="FD132" s="97">
        <f t="shared" si="167"/>
        <v>-8.1300813008130524E-3</v>
      </c>
      <c r="FE132" s="97"/>
      <c r="FF132" s="336">
        <f t="shared" si="167"/>
        <v>-8.1300813008130524E-3</v>
      </c>
    </row>
    <row r="133" spans="1:162" ht="11.25" customHeight="1" x14ac:dyDescent="0.2">
      <c r="A133" s="197"/>
      <c r="C133" s="38"/>
      <c r="F133" s="179"/>
      <c r="I133" s="180"/>
      <c r="J133" s="180"/>
      <c r="K133" s="38"/>
      <c r="N133" s="179"/>
      <c r="Q133" s="180"/>
      <c r="R133" s="180"/>
      <c r="S133" s="38"/>
      <c r="V133" s="179"/>
      <c r="Y133" s="180"/>
      <c r="Z133" s="180"/>
      <c r="AA133" s="38"/>
      <c r="AD133" s="179"/>
      <c r="AG133" s="180"/>
      <c r="AH133" s="180"/>
      <c r="AI133" s="38"/>
      <c r="AL133" s="179"/>
      <c r="AO133" s="180"/>
      <c r="AP133" s="180"/>
      <c r="AQ133" s="38"/>
      <c r="AT133" s="179"/>
      <c r="AW133" s="180"/>
      <c r="AX133" s="180"/>
      <c r="AY133" s="38"/>
      <c r="BB133" s="179"/>
      <c r="BE133" s="180"/>
      <c r="BF133" s="180"/>
      <c r="BG133" s="38"/>
      <c r="BJ133" s="179"/>
      <c r="BM133" s="180"/>
      <c r="BN133" s="180"/>
      <c r="BO133" s="38"/>
      <c r="BR133" s="179"/>
      <c r="BU133" s="180"/>
      <c r="BV133" s="180"/>
      <c r="BW133" s="38"/>
      <c r="BZ133" s="179"/>
      <c r="CC133" s="180"/>
      <c r="CD133" s="180"/>
      <c r="CE133" s="38"/>
      <c r="CH133" s="179"/>
      <c r="CK133" s="180"/>
      <c r="CL133" s="180"/>
      <c r="CM133" s="38"/>
      <c r="CP133" s="179"/>
      <c r="CS133" s="180"/>
      <c r="CT133" s="180"/>
      <c r="CX133" s="179"/>
      <c r="DB133" s="314"/>
      <c r="DF133" s="179"/>
      <c r="DJ133" s="314"/>
      <c r="DN133" s="179"/>
      <c r="DR133" s="314"/>
      <c r="DV133" s="179"/>
      <c r="DZ133" s="314"/>
      <c r="ED133" s="179"/>
      <c r="EH133" s="314"/>
      <c r="EL133" s="179"/>
      <c r="EP133" s="314"/>
      <c r="ET133" s="179"/>
      <c r="EX133" s="314"/>
      <c r="FB133" s="179"/>
      <c r="FF133" s="314"/>
    </row>
    <row r="134" spans="1:162" ht="11.25" customHeight="1" x14ac:dyDescent="0.2">
      <c r="A134" s="186" t="s">
        <v>321</v>
      </c>
      <c r="C134" s="38"/>
      <c r="F134" s="179"/>
      <c r="I134" s="180"/>
      <c r="J134" s="180"/>
      <c r="K134" s="38"/>
      <c r="N134" s="179"/>
      <c r="Q134" s="180"/>
      <c r="R134" s="180"/>
      <c r="S134" s="38"/>
      <c r="V134" s="179"/>
      <c r="Y134" s="180"/>
      <c r="Z134" s="180"/>
      <c r="AA134" s="38"/>
      <c r="AD134" s="179"/>
      <c r="AG134" s="180"/>
      <c r="AH134" s="180"/>
      <c r="AI134" s="38"/>
      <c r="AL134" s="179"/>
      <c r="AO134" s="180"/>
      <c r="AP134" s="180"/>
      <c r="AQ134" s="38"/>
      <c r="AT134" s="179"/>
      <c r="AW134" s="180"/>
      <c r="AX134" s="180"/>
      <c r="AY134" s="38"/>
      <c r="BB134" s="179"/>
      <c r="BE134" s="180"/>
      <c r="BF134" s="180"/>
      <c r="BG134" s="38"/>
      <c r="BJ134" s="179"/>
      <c r="BM134" s="180"/>
      <c r="BN134" s="180"/>
      <c r="BO134" s="38"/>
      <c r="BR134" s="179"/>
      <c r="BU134" s="180"/>
      <c r="BV134" s="180"/>
      <c r="BW134" s="38"/>
      <c r="BZ134" s="179"/>
      <c r="CC134" s="180"/>
      <c r="CD134" s="180"/>
      <c r="CE134" s="38"/>
      <c r="CH134" s="179"/>
      <c r="CK134" s="180"/>
      <c r="CL134" s="180"/>
      <c r="CM134" s="38"/>
      <c r="CP134" s="179"/>
      <c r="CS134" s="180"/>
      <c r="CT134" s="180"/>
      <c r="CX134" s="179"/>
      <c r="DB134" s="314"/>
      <c r="DF134" s="179"/>
      <c r="DJ134" s="314"/>
      <c r="DN134" s="179"/>
      <c r="DR134" s="314"/>
      <c r="DV134" s="179"/>
      <c r="DZ134" s="314"/>
      <c r="ED134" s="179"/>
      <c r="EH134" s="314"/>
      <c r="EL134" s="179"/>
      <c r="EP134" s="314"/>
      <c r="ET134" s="179"/>
      <c r="EX134" s="314"/>
      <c r="FB134" s="179"/>
      <c r="FF134" s="314"/>
    </row>
    <row r="135" spans="1:162" ht="11.25" customHeight="1" outlineLevel="2" x14ac:dyDescent="0.2">
      <c r="A135" s="219" t="s">
        <v>322</v>
      </c>
      <c r="C135" s="198"/>
      <c r="D135" s="199"/>
      <c r="E135" s="199"/>
      <c r="F135" s="200"/>
      <c r="G135" s="199"/>
      <c r="H135" s="199"/>
      <c r="I135" s="201"/>
      <c r="J135" s="180"/>
      <c r="K135" s="198"/>
      <c r="L135" s="199"/>
      <c r="M135" s="199"/>
      <c r="N135" s="200"/>
      <c r="O135" s="199"/>
      <c r="P135" s="199"/>
      <c r="Q135" s="201"/>
      <c r="R135" s="180"/>
      <c r="S135" s="198"/>
      <c r="T135" s="199"/>
      <c r="U135" s="199"/>
      <c r="V135" s="200"/>
      <c r="W135" s="199"/>
      <c r="X135" s="199"/>
      <c r="Y135" s="201"/>
      <c r="Z135" s="180"/>
      <c r="AA135" s="198"/>
      <c r="AB135" s="199"/>
      <c r="AC135" s="199"/>
      <c r="AD135" s="200"/>
      <c r="AE135" s="199"/>
      <c r="AF135" s="199"/>
      <c r="AG135" s="201"/>
      <c r="AH135" s="180"/>
      <c r="AI135" s="198"/>
      <c r="AJ135" s="199"/>
      <c r="AK135" s="199"/>
      <c r="AL135" s="200"/>
      <c r="AM135" s="199"/>
      <c r="AN135" s="199"/>
      <c r="AO135" s="201"/>
      <c r="AP135" s="180"/>
      <c r="AQ135" s="198"/>
      <c r="AR135" s="199"/>
      <c r="AS135" s="199"/>
      <c r="AT135" s="200"/>
      <c r="AU135" s="199"/>
      <c r="AV135" s="199"/>
      <c r="AW135" s="201"/>
      <c r="AX135" s="180"/>
      <c r="AY135" s="198"/>
      <c r="AZ135" s="199"/>
      <c r="BA135" s="199"/>
      <c r="BB135" s="200"/>
      <c r="BC135" s="199"/>
      <c r="BD135" s="199"/>
      <c r="BE135" s="201"/>
      <c r="BF135" s="180"/>
      <c r="BG135" s="198"/>
      <c r="BH135" s="199"/>
      <c r="BI135" s="199"/>
      <c r="BJ135" s="200"/>
      <c r="BK135" s="199"/>
      <c r="BL135" s="199"/>
      <c r="BM135" s="201"/>
      <c r="BN135" s="180"/>
      <c r="BO135" s="198"/>
      <c r="BP135" s="199"/>
      <c r="BQ135" s="199"/>
      <c r="BR135" s="200"/>
      <c r="BS135" s="199"/>
      <c r="BT135" s="199"/>
      <c r="BU135" s="201"/>
      <c r="BV135" s="180"/>
      <c r="BW135" s="198"/>
      <c r="BX135" s="199"/>
      <c r="BY135" s="199"/>
      <c r="BZ135" s="200"/>
      <c r="CA135" s="199"/>
      <c r="CB135" s="199"/>
      <c r="CC135" s="201"/>
      <c r="CD135" s="180"/>
      <c r="CE135" s="198"/>
      <c r="CF135" s="199"/>
      <c r="CG135" s="199"/>
      <c r="CH135" s="200"/>
      <c r="CI135" s="199"/>
      <c r="CJ135" s="199"/>
      <c r="CK135" s="201"/>
      <c r="CL135" s="180"/>
      <c r="CM135" s="198"/>
      <c r="CN135" s="199"/>
      <c r="CO135" s="199"/>
      <c r="CP135" s="200"/>
      <c r="CQ135" s="199"/>
      <c r="CR135" s="199"/>
      <c r="CS135" s="201"/>
      <c r="CT135" s="180"/>
      <c r="CX135" s="179"/>
      <c r="DB135" s="314"/>
      <c r="DF135" s="179"/>
      <c r="DJ135" s="314"/>
      <c r="DN135" s="179"/>
      <c r="DR135" s="314"/>
      <c r="DV135" s="179"/>
      <c r="DZ135" s="314"/>
      <c r="ED135" s="179"/>
      <c r="EH135" s="314"/>
      <c r="EL135" s="179"/>
      <c r="EP135" s="314"/>
      <c r="ET135" s="179"/>
      <c r="EX135" s="314"/>
      <c r="FB135" s="179"/>
      <c r="FF135" s="314"/>
    </row>
    <row r="136" spans="1:162" ht="11.25" customHeight="1" outlineLevel="2" x14ac:dyDescent="0.2">
      <c r="A136" s="4" t="s">
        <v>323</v>
      </c>
      <c r="C136" s="198"/>
      <c r="D136" s="199"/>
      <c r="E136" s="199"/>
      <c r="F136" s="200"/>
      <c r="G136" s="199"/>
      <c r="H136" s="199"/>
      <c r="I136" s="201"/>
      <c r="J136" s="180"/>
      <c r="K136" s="198">
        <v>902</v>
      </c>
      <c r="L136" s="199">
        <f>O136-K136</f>
        <v>997</v>
      </c>
      <c r="M136" s="199">
        <v>921</v>
      </c>
      <c r="N136" s="200">
        <f>R136-Q136</f>
        <v>1253</v>
      </c>
      <c r="O136" s="199">
        <v>1899</v>
      </c>
      <c r="P136" s="199">
        <f>R136-O136</f>
        <v>2174</v>
      </c>
      <c r="Q136" s="201">
        <f>M136+O136</f>
        <v>2820</v>
      </c>
      <c r="R136" s="180">
        <v>4073</v>
      </c>
      <c r="S136" s="198">
        <v>911</v>
      </c>
      <c r="T136" s="199">
        <f>W136-S136</f>
        <v>1136</v>
      </c>
      <c r="U136" s="199">
        <v>1003</v>
      </c>
      <c r="V136" s="200">
        <f>Z136-Y136</f>
        <v>1284</v>
      </c>
      <c r="W136" s="199">
        <v>2047</v>
      </c>
      <c r="X136" s="199">
        <f>Z136-W136</f>
        <v>2287</v>
      </c>
      <c r="Y136" s="201">
        <f>U136+W136</f>
        <v>3050</v>
      </c>
      <c r="Z136" s="180">
        <v>4334</v>
      </c>
      <c r="AA136" s="198">
        <v>1047</v>
      </c>
      <c r="AB136" s="199">
        <f>AE136-AA136</f>
        <v>1133</v>
      </c>
      <c r="AC136" s="199">
        <v>854</v>
      </c>
      <c r="AD136" s="200">
        <f>AH136-AG136</f>
        <v>1007</v>
      </c>
      <c r="AE136" s="199">
        <v>2180</v>
      </c>
      <c r="AF136" s="199">
        <f>AH136-AE136</f>
        <v>1861</v>
      </c>
      <c r="AG136" s="201">
        <f>AC136+AE136</f>
        <v>3034</v>
      </c>
      <c r="AH136" s="180">
        <v>4041</v>
      </c>
      <c r="AI136" s="198">
        <v>907</v>
      </c>
      <c r="AJ136" s="199">
        <f>AM136-AI136</f>
        <v>906</v>
      </c>
      <c r="AK136" s="199">
        <f>+AO136-AM136</f>
        <v>968</v>
      </c>
      <c r="AL136" s="200">
        <f>+AP136-AO136</f>
        <v>1234</v>
      </c>
      <c r="AM136" s="199">
        <v>1813</v>
      </c>
      <c r="AN136" s="199">
        <f>+AP136-AM136</f>
        <v>2202</v>
      </c>
      <c r="AO136" s="201">
        <v>2781</v>
      </c>
      <c r="AP136" s="180">
        <f>+Propulsion!Q74</f>
        <v>4015</v>
      </c>
      <c r="AQ136" s="198">
        <v>888</v>
      </c>
      <c r="AR136" s="199">
        <f>AU136-AQ136</f>
        <v>885</v>
      </c>
      <c r="AS136" s="199">
        <v>950</v>
      </c>
      <c r="AT136" s="200">
        <f>+AX136-AS136-AR136-AQ136</f>
        <v>1181</v>
      </c>
      <c r="AU136" s="199">
        <v>1773</v>
      </c>
      <c r="AV136" s="199">
        <f>+AS136+AT136</f>
        <v>2131</v>
      </c>
      <c r="AW136" s="201">
        <f>+AU136+AS136</f>
        <v>2723</v>
      </c>
      <c r="AX136" s="180">
        <f>+AX138-AX137</f>
        <v>3904</v>
      </c>
      <c r="AY136" s="198">
        <v>949</v>
      </c>
      <c r="AZ136" s="199">
        <f>BC136-AY136</f>
        <v>1074</v>
      </c>
      <c r="BA136" s="199">
        <v>1088</v>
      </c>
      <c r="BB136" s="200">
        <f>+BF136-BA136-AZ136-AY136</f>
        <v>1356</v>
      </c>
      <c r="BC136" s="199">
        <v>2023</v>
      </c>
      <c r="BD136" s="199">
        <f>+BA136+BB136</f>
        <v>2444</v>
      </c>
      <c r="BE136" s="201">
        <f>+BF136-BB136</f>
        <v>3111</v>
      </c>
      <c r="BF136" s="180">
        <f>+BF138-BF137</f>
        <v>4467</v>
      </c>
      <c r="BG136" s="198"/>
      <c r="BH136" s="199"/>
      <c r="BI136" s="199"/>
      <c r="BJ136" s="200"/>
      <c r="BK136" s="199"/>
      <c r="BL136" s="199"/>
      <c r="BM136" s="201"/>
      <c r="BN136" s="180"/>
      <c r="BO136" s="198">
        <v>1135</v>
      </c>
      <c r="BP136" s="199"/>
      <c r="BQ136" s="199"/>
      <c r="BR136" s="200"/>
      <c r="BS136" s="199"/>
      <c r="BT136" s="199"/>
      <c r="BU136" s="201"/>
      <c r="BV136" s="180"/>
      <c r="BW136" s="198"/>
      <c r="BX136" s="199"/>
      <c r="BY136" s="199"/>
      <c r="BZ136" s="200"/>
      <c r="CA136" s="199"/>
      <c r="CB136" s="199"/>
      <c r="CC136" s="201"/>
      <c r="CD136" s="180"/>
      <c r="CE136" s="198"/>
      <c r="CF136" s="199"/>
      <c r="CG136" s="199"/>
      <c r="CH136" s="200"/>
      <c r="CI136" s="199"/>
      <c r="CJ136" s="199"/>
      <c r="CK136" s="201"/>
      <c r="CL136" s="180"/>
      <c r="CM136" s="198"/>
      <c r="CN136" s="199"/>
      <c r="CO136" s="199"/>
      <c r="CP136" s="200"/>
      <c r="CQ136" s="199"/>
      <c r="CR136" s="199"/>
      <c r="CS136" s="201"/>
      <c r="CT136" s="180"/>
      <c r="CX136" s="179"/>
      <c r="DB136" s="314"/>
      <c r="DF136" s="179"/>
      <c r="DJ136" s="314"/>
      <c r="DN136" s="179"/>
      <c r="DR136" s="314"/>
      <c r="DV136" s="179"/>
      <c r="DZ136" s="314"/>
      <c r="ED136" s="179"/>
      <c r="EH136" s="314"/>
      <c r="EL136" s="179"/>
      <c r="EP136" s="314"/>
      <c r="ET136" s="179"/>
      <c r="EX136" s="314"/>
      <c r="FB136" s="179"/>
      <c r="FF136" s="314"/>
    </row>
    <row r="137" spans="1:162" ht="11.25" customHeight="1" outlineLevel="2" x14ac:dyDescent="0.2">
      <c r="A137" s="4" t="s">
        <v>324</v>
      </c>
      <c r="C137" s="198"/>
      <c r="D137" s="199"/>
      <c r="E137" s="199"/>
      <c r="F137" s="200"/>
      <c r="G137" s="199"/>
      <c r="H137" s="199"/>
      <c r="I137" s="201"/>
      <c r="J137" s="180"/>
      <c r="K137" s="198">
        <v>923</v>
      </c>
      <c r="L137" s="199">
        <f>O137-K137</f>
        <v>941</v>
      </c>
      <c r="M137" s="199">
        <v>1023</v>
      </c>
      <c r="N137" s="200">
        <f>R137-Q137</f>
        <v>1193</v>
      </c>
      <c r="O137" s="199">
        <v>1864</v>
      </c>
      <c r="P137" s="199">
        <f>R137-O137</f>
        <v>2216</v>
      </c>
      <c r="Q137" s="201">
        <f>M137+O137</f>
        <v>2887</v>
      </c>
      <c r="R137" s="180">
        <v>4080</v>
      </c>
      <c r="S137" s="198">
        <v>1159</v>
      </c>
      <c r="T137" s="199">
        <f>W137-S137</f>
        <v>1280</v>
      </c>
      <c r="U137" s="199">
        <v>1217</v>
      </c>
      <c r="V137" s="200">
        <f>Z137-Y137</f>
        <v>1329</v>
      </c>
      <c r="W137" s="199">
        <v>2439</v>
      </c>
      <c r="X137" s="199">
        <f>Z137-W137</f>
        <v>2546</v>
      </c>
      <c r="Y137" s="201">
        <f>U137+W137</f>
        <v>3656</v>
      </c>
      <c r="Z137" s="180">
        <v>4985</v>
      </c>
      <c r="AA137" s="198">
        <v>1254</v>
      </c>
      <c r="AB137" s="199">
        <f>AE137-AA137</f>
        <v>1423</v>
      </c>
      <c r="AC137" s="199">
        <v>1202</v>
      </c>
      <c r="AD137" s="200">
        <f>AH137-AG137</f>
        <v>1471</v>
      </c>
      <c r="AE137" s="199">
        <v>2677</v>
      </c>
      <c r="AF137" s="199">
        <f>AH137-AE137</f>
        <v>2673</v>
      </c>
      <c r="AG137" s="201">
        <f>AC137+AE137</f>
        <v>3879</v>
      </c>
      <c r="AH137" s="180">
        <v>5350</v>
      </c>
      <c r="AI137" s="198">
        <v>1453</v>
      </c>
      <c r="AJ137" s="199">
        <f>AM137-AI137</f>
        <v>1425</v>
      </c>
      <c r="AK137" s="199">
        <f>+AO137-AM137</f>
        <v>1335</v>
      </c>
      <c r="AL137" s="200">
        <f>+AP137-AO137</f>
        <v>1513</v>
      </c>
      <c r="AM137" s="199">
        <v>2878</v>
      </c>
      <c r="AN137" s="199">
        <f>+AP137-AM137</f>
        <v>2848</v>
      </c>
      <c r="AO137" s="201">
        <v>4213</v>
      </c>
      <c r="AP137" s="180">
        <f>+Propulsion!Q75</f>
        <v>5726</v>
      </c>
      <c r="AQ137" s="198">
        <v>1298</v>
      </c>
      <c r="AR137" s="199">
        <f>AU137-AQ137</f>
        <v>1343</v>
      </c>
      <c r="AS137" s="199">
        <v>1246</v>
      </c>
      <c r="AT137" s="200">
        <f>+AX137-AS137-AR137-AQ137</f>
        <v>1566</v>
      </c>
      <c r="AU137" s="199">
        <v>2641</v>
      </c>
      <c r="AV137" s="199">
        <f>+AS137+AT137</f>
        <v>2812</v>
      </c>
      <c r="AW137" s="201">
        <f>+AU137+AS137</f>
        <v>3887</v>
      </c>
      <c r="AX137" s="180">
        <f>+Propulsion!R75</f>
        <v>5453</v>
      </c>
      <c r="AY137" s="198">
        <v>1337</v>
      </c>
      <c r="AZ137" s="199">
        <f>BC137-AY137</f>
        <v>1384</v>
      </c>
      <c r="BA137" s="199">
        <v>1403</v>
      </c>
      <c r="BB137" s="200">
        <f>+BF137-BA137-AZ137-AY137</f>
        <v>1861</v>
      </c>
      <c r="BC137" s="199">
        <v>2721</v>
      </c>
      <c r="BD137" s="199">
        <f>+BA137+BB137</f>
        <v>3264</v>
      </c>
      <c r="BE137" s="201">
        <f>+BC137+BA137</f>
        <v>4124</v>
      </c>
      <c r="BF137" s="180">
        <f>+Propulsion!S75</f>
        <v>5985</v>
      </c>
      <c r="BG137" s="198"/>
      <c r="BH137" s="199"/>
      <c r="BI137" s="199"/>
      <c r="BJ137" s="200"/>
      <c r="BK137" s="199"/>
      <c r="BL137" s="199"/>
      <c r="BM137" s="201"/>
      <c r="BN137" s="180"/>
      <c r="BO137" s="198">
        <v>1600</v>
      </c>
      <c r="BP137" s="199"/>
      <c r="BQ137" s="199"/>
      <c r="BR137" s="200"/>
      <c r="BS137" s="199"/>
      <c r="BT137" s="199"/>
      <c r="BU137" s="201"/>
      <c r="BV137" s="180"/>
      <c r="BW137" s="198"/>
      <c r="BX137" s="199"/>
      <c r="BY137" s="199"/>
      <c r="BZ137" s="200"/>
      <c r="CA137" s="199"/>
      <c r="CB137" s="199"/>
      <c r="CC137" s="201"/>
      <c r="CD137" s="180"/>
      <c r="CE137" s="198"/>
      <c r="CF137" s="199"/>
      <c r="CG137" s="199"/>
      <c r="CH137" s="200"/>
      <c r="CI137" s="199"/>
      <c r="CJ137" s="199"/>
      <c r="CK137" s="201"/>
      <c r="CL137" s="180"/>
      <c r="CM137" s="198"/>
      <c r="CN137" s="199"/>
      <c r="CO137" s="199"/>
      <c r="CP137" s="200"/>
      <c r="CQ137" s="199"/>
      <c r="CR137" s="199"/>
      <c r="CS137" s="201"/>
      <c r="CT137" s="180"/>
      <c r="CX137" s="179"/>
      <c r="DB137" s="314"/>
      <c r="DF137" s="179"/>
      <c r="DJ137" s="314"/>
      <c r="DN137" s="179"/>
      <c r="DR137" s="314"/>
      <c r="DV137" s="179"/>
      <c r="DZ137" s="314"/>
      <c r="ED137" s="179"/>
      <c r="EH137" s="314"/>
      <c r="EL137" s="179"/>
      <c r="EP137" s="314"/>
      <c r="ET137" s="179"/>
      <c r="EX137" s="314"/>
      <c r="FB137" s="179"/>
      <c r="FF137" s="314"/>
    </row>
    <row r="138" spans="1:162" s="186" customFormat="1" ht="11.25" customHeight="1" outlineLevel="2" x14ac:dyDescent="0.2">
      <c r="A138" s="186" t="s">
        <v>325</v>
      </c>
      <c r="C138" s="337"/>
      <c r="D138" s="338"/>
      <c r="E138" s="338"/>
      <c r="F138" s="339"/>
      <c r="G138" s="338"/>
      <c r="H138" s="338"/>
      <c r="I138" s="340"/>
      <c r="J138" s="284"/>
      <c r="K138" s="337">
        <f t="shared" ref="K138:AJ138" si="168">K136+K137</f>
        <v>1825</v>
      </c>
      <c r="L138" s="338">
        <f t="shared" si="168"/>
        <v>1938</v>
      </c>
      <c r="M138" s="338">
        <f t="shared" si="168"/>
        <v>1944</v>
      </c>
      <c r="N138" s="339">
        <f t="shared" si="168"/>
        <v>2446</v>
      </c>
      <c r="O138" s="338">
        <f t="shared" si="168"/>
        <v>3763</v>
      </c>
      <c r="P138" s="338">
        <f t="shared" si="168"/>
        <v>4390</v>
      </c>
      <c r="Q138" s="340">
        <f t="shared" si="168"/>
        <v>5707</v>
      </c>
      <c r="R138" s="284">
        <f t="shared" si="168"/>
        <v>8153</v>
      </c>
      <c r="S138" s="337">
        <f t="shared" si="168"/>
        <v>2070</v>
      </c>
      <c r="T138" s="338">
        <f t="shared" si="168"/>
        <v>2416</v>
      </c>
      <c r="U138" s="338">
        <f t="shared" si="168"/>
        <v>2220</v>
      </c>
      <c r="V138" s="339">
        <f t="shared" si="168"/>
        <v>2613</v>
      </c>
      <c r="W138" s="338">
        <f t="shared" si="168"/>
        <v>4486</v>
      </c>
      <c r="X138" s="338">
        <f t="shared" si="168"/>
        <v>4833</v>
      </c>
      <c r="Y138" s="340">
        <f t="shared" si="168"/>
        <v>6706</v>
      </c>
      <c r="Z138" s="284">
        <f t="shared" si="168"/>
        <v>9319</v>
      </c>
      <c r="AA138" s="337">
        <f t="shared" si="168"/>
        <v>2301</v>
      </c>
      <c r="AB138" s="338">
        <f t="shared" si="168"/>
        <v>2556</v>
      </c>
      <c r="AC138" s="338">
        <f t="shared" si="168"/>
        <v>2056</v>
      </c>
      <c r="AD138" s="339">
        <f t="shared" si="168"/>
        <v>2478</v>
      </c>
      <c r="AE138" s="338">
        <f t="shared" si="168"/>
        <v>4857</v>
      </c>
      <c r="AF138" s="338">
        <f t="shared" si="168"/>
        <v>4534</v>
      </c>
      <c r="AG138" s="340">
        <f t="shared" si="168"/>
        <v>6913</v>
      </c>
      <c r="AH138" s="284">
        <f t="shared" si="168"/>
        <v>9391</v>
      </c>
      <c r="AI138" s="337">
        <f t="shared" si="168"/>
        <v>2360</v>
      </c>
      <c r="AJ138" s="338">
        <f t="shared" si="168"/>
        <v>2331</v>
      </c>
      <c r="AK138" s="338">
        <f>+AO138-AM138</f>
        <v>2303</v>
      </c>
      <c r="AL138" s="339">
        <f>+AP138-AO138</f>
        <v>2747</v>
      </c>
      <c r="AM138" s="338">
        <f>AM136+AM137</f>
        <v>4691</v>
      </c>
      <c r="AN138" s="338">
        <f>+AP138-AM138</f>
        <v>5050</v>
      </c>
      <c r="AO138" s="340">
        <f>+AO136+AO137</f>
        <v>6994</v>
      </c>
      <c r="AP138" s="284">
        <f>+Divisional!O4</f>
        <v>9741</v>
      </c>
      <c r="AQ138" s="337">
        <f>AQ136+AQ137</f>
        <v>2186</v>
      </c>
      <c r="AR138" s="338">
        <f t="shared" ref="AR138:AW138" si="169">AR136+AR137</f>
        <v>2228</v>
      </c>
      <c r="AS138" s="338">
        <f t="shared" si="169"/>
        <v>2196</v>
      </c>
      <c r="AT138" s="339">
        <f t="shared" si="169"/>
        <v>2747</v>
      </c>
      <c r="AU138" s="338">
        <f>SUM(AU136:AU137)</f>
        <v>4414</v>
      </c>
      <c r="AV138" s="338">
        <f t="shared" si="169"/>
        <v>4943</v>
      </c>
      <c r="AW138" s="340">
        <f t="shared" si="169"/>
        <v>6610</v>
      </c>
      <c r="AX138" s="284">
        <f>+Propulsion!R9</f>
        <v>9357</v>
      </c>
      <c r="AY138" s="337">
        <f>AY136+AY137</f>
        <v>2286</v>
      </c>
      <c r="AZ138" s="338">
        <f>+AZ136+AZ137</f>
        <v>2458</v>
      </c>
      <c r="BA138" s="338">
        <f>+BA136+BA137</f>
        <v>2491</v>
      </c>
      <c r="BB138" s="339">
        <f>+BB136+BB137</f>
        <v>3217</v>
      </c>
      <c r="BC138" s="338">
        <f>SUM(BC136:BC137)</f>
        <v>4744</v>
      </c>
      <c r="BD138" s="338">
        <f>+BA138+BB138</f>
        <v>5708</v>
      </c>
      <c r="BE138" s="340">
        <f>+BF138-BB138</f>
        <v>7235</v>
      </c>
      <c r="BF138" s="284">
        <f>+Propulsion!S9</f>
        <v>10452</v>
      </c>
      <c r="BG138" s="337"/>
      <c r="BH138" s="338"/>
      <c r="BI138" s="338"/>
      <c r="BJ138" s="339"/>
      <c r="BK138" s="338"/>
      <c r="BL138" s="338"/>
      <c r="BM138" s="340"/>
      <c r="BN138" s="284"/>
      <c r="BO138" s="337">
        <f>SUM(BO136:BO137)</f>
        <v>2735</v>
      </c>
      <c r="BP138" s="338"/>
      <c r="BQ138" s="338"/>
      <c r="BR138" s="339"/>
      <c r="BS138" s="338"/>
      <c r="BT138" s="338"/>
      <c r="BU138" s="340"/>
      <c r="BV138" s="284"/>
      <c r="BW138" s="337"/>
      <c r="BX138" s="338"/>
      <c r="BY138" s="338"/>
      <c r="BZ138" s="339"/>
      <c r="CA138" s="338"/>
      <c r="CB138" s="338"/>
      <c r="CC138" s="340"/>
      <c r="CD138" s="284"/>
      <c r="CE138" s="337"/>
      <c r="CF138" s="338"/>
      <c r="CG138" s="338"/>
      <c r="CH138" s="339"/>
      <c r="CI138" s="338"/>
      <c r="CJ138" s="338"/>
      <c r="CK138" s="340"/>
      <c r="CL138" s="284"/>
      <c r="CM138" s="337"/>
      <c r="CN138" s="338"/>
      <c r="CO138" s="338"/>
      <c r="CP138" s="339"/>
      <c r="CQ138" s="338"/>
      <c r="CR138" s="338"/>
      <c r="CS138" s="340"/>
      <c r="CT138" s="284"/>
      <c r="CX138" s="283"/>
      <c r="DB138" s="341"/>
      <c r="DF138" s="283"/>
      <c r="DJ138" s="341"/>
      <c r="DN138" s="283"/>
      <c r="DR138" s="341"/>
      <c r="DV138" s="283"/>
      <c r="DZ138" s="341"/>
      <c r="ED138" s="283"/>
      <c r="EH138" s="341"/>
      <c r="EL138" s="283"/>
      <c r="EP138" s="341"/>
      <c r="ET138" s="283"/>
      <c r="EX138" s="341"/>
      <c r="FB138" s="283"/>
      <c r="FF138" s="341"/>
    </row>
    <row r="139" spans="1:162" ht="11.25" customHeight="1" outlineLevel="2" x14ac:dyDescent="0.2">
      <c r="A139" s="186"/>
      <c r="C139" s="198"/>
      <c r="D139" s="199"/>
      <c r="E139" s="199"/>
      <c r="F139" s="200"/>
      <c r="G139" s="199"/>
      <c r="H139" s="199"/>
      <c r="I139" s="201"/>
      <c r="J139" s="180"/>
      <c r="K139" s="198"/>
      <c r="L139" s="199"/>
      <c r="M139" s="199"/>
      <c r="N139" s="200"/>
      <c r="O139" s="199"/>
      <c r="P139" s="199"/>
      <c r="Q139" s="201"/>
      <c r="R139" s="180"/>
      <c r="S139" s="198"/>
      <c r="T139" s="199"/>
      <c r="U139" s="199"/>
      <c r="V139" s="200"/>
      <c r="W139" s="199"/>
      <c r="X139" s="199"/>
      <c r="Y139" s="201"/>
      <c r="Z139" s="180"/>
      <c r="AA139" s="198"/>
      <c r="AB139" s="199"/>
      <c r="AC139" s="199"/>
      <c r="AD139" s="200"/>
      <c r="AE139" s="199"/>
      <c r="AF139" s="199"/>
      <c r="AG139" s="201"/>
      <c r="AH139" s="180"/>
      <c r="AI139" s="198"/>
      <c r="AJ139" s="199"/>
      <c r="AK139" s="199"/>
      <c r="AL139" s="200"/>
      <c r="AM139" s="199"/>
      <c r="AN139" s="199"/>
      <c r="AO139" s="201"/>
      <c r="AP139" s="180"/>
      <c r="AQ139" s="198"/>
      <c r="AR139" s="199"/>
      <c r="AS139" s="199"/>
      <c r="AT139" s="200"/>
      <c r="AU139" s="199"/>
      <c r="AV139" s="199"/>
      <c r="AW139" s="201"/>
      <c r="AX139" s="180"/>
      <c r="AY139" s="198"/>
      <c r="AZ139" s="199"/>
      <c r="BA139" s="199"/>
      <c r="BB139" s="200"/>
      <c r="BC139" s="199"/>
      <c r="BD139" s="199"/>
      <c r="BE139" s="201"/>
      <c r="BF139" s="180"/>
      <c r="BG139" s="198"/>
      <c r="BH139" s="199"/>
      <c r="BI139" s="199"/>
      <c r="BJ139" s="200"/>
      <c r="BK139" s="199"/>
      <c r="BL139" s="199"/>
      <c r="BM139" s="201"/>
      <c r="BN139" s="180"/>
      <c r="BO139" s="198"/>
      <c r="BP139" s="199"/>
      <c r="BQ139" s="199"/>
      <c r="BR139" s="200"/>
      <c r="BS139" s="199"/>
      <c r="BT139" s="199"/>
      <c r="BU139" s="201"/>
      <c r="BV139" s="180"/>
      <c r="BW139" s="198"/>
      <c r="BX139" s="199"/>
      <c r="BY139" s="199"/>
      <c r="BZ139" s="200"/>
      <c r="CA139" s="199"/>
      <c r="CB139" s="199"/>
      <c r="CC139" s="201"/>
      <c r="CD139" s="180"/>
      <c r="CE139" s="198"/>
      <c r="CF139" s="199"/>
      <c r="CG139" s="199"/>
      <c r="CH139" s="200"/>
      <c r="CI139" s="199"/>
      <c r="CJ139" s="199"/>
      <c r="CK139" s="201"/>
      <c r="CL139" s="180"/>
      <c r="CM139" s="198"/>
      <c r="CN139" s="199"/>
      <c r="CO139" s="199"/>
      <c r="CP139" s="200"/>
      <c r="CQ139" s="199"/>
      <c r="CR139" s="199"/>
      <c r="CS139" s="201"/>
      <c r="CT139" s="180"/>
      <c r="CX139" s="179"/>
      <c r="DB139" s="314"/>
      <c r="DF139" s="179"/>
      <c r="DJ139" s="314"/>
      <c r="DN139" s="179"/>
      <c r="DR139" s="314"/>
      <c r="DV139" s="179"/>
      <c r="DZ139" s="314"/>
      <c r="ED139" s="179"/>
      <c r="EH139" s="314"/>
      <c r="EL139" s="179"/>
      <c r="EP139" s="314"/>
      <c r="ET139" s="179"/>
      <c r="EX139" s="314"/>
      <c r="FB139" s="179"/>
      <c r="FF139" s="314"/>
    </row>
    <row r="140" spans="1:162" ht="11.25" customHeight="1" outlineLevel="2" x14ac:dyDescent="0.2">
      <c r="A140" s="197" t="s">
        <v>326</v>
      </c>
      <c r="B140" s="197"/>
      <c r="C140" s="198"/>
      <c r="D140" s="199"/>
      <c r="E140" s="199"/>
      <c r="F140" s="200"/>
      <c r="G140" s="199"/>
      <c r="H140" s="199"/>
      <c r="I140" s="201"/>
      <c r="J140" s="180"/>
      <c r="K140" s="198"/>
      <c r="L140" s="199"/>
      <c r="M140" s="199"/>
      <c r="N140" s="200"/>
      <c r="O140" s="199"/>
      <c r="P140" s="199"/>
      <c r="Q140" s="201"/>
      <c r="R140" s="180"/>
      <c r="S140" s="198">
        <f t="shared" ref="S140:AD142" si="170">S136/K136-1</f>
        <v>9.9778270509978118E-3</v>
      </c>
      <c r="T140" s="199">
        <f t="shared" si="170"/>
        <v>0.13941825476429281</v>
      </c>
      <c r="U140" s="199">
        <f t="shared" si="170"/>
        <v>8.9033659066232396E-2</v>
      </c>
      <c r="V140" s="200">
        <f t="shared" si="170"/>
        <v>2.4740622505985632E-2</v>
      </c>
      <c r="W140" s="199">
        <f t="shared" si="170"/>
        <v>7.7935755660874184E-2</v>
      </c>
      <c r="X140" s="199">
        <f t="shared" si="170"/>
        <v>5.1977920883164774E-2</v>
      </c>
      <c r="Y140" s="201">
        <f t="shared" si="170"/>
        <v>8.1560283687943214E-2</v>
      </c>
      <c r="Z140" s="180">
        <f t="shared" si="170"/>
        <v>6.4080530321630302E-2</v>
      </c>
      <c r="AA140" s="198">
        <f t="shared" si="170"/>
        <v>0.14928649835345764</v>
      </c>
      <c r="AB140" s="199">
        <f t="shared" si="170"/>
        <v>-2.6408450704225039E-3</v>
      </c>
      <c r="AC140" s="199">
        <f>AC136/U136-1</f>
        <v>-0.14855433698903286</v>
      </c>
      <c r="AD140" s="200">
        <f>AD136/V136-1</f>
        <v>-0.21573208722741433</v>
      </c>
      <c r="AE140" s="199">
        <f t="shared" ref="AE140:AP142" si="171">AE136/W136-1</f>
        <v>6.497313141182226E-2</v>
      </c>
      <c r="AF140" s="199">
        <f t="shared" si="171"/>
        <v>-0.18627022299956275</v>
      </c>
      <c r="AG140" s="201">
        <f t="shared" si="171"/>
        <v>-5.2459016393442415E-3</v>
      </c>
      <c r="AH140" s="180">
        <f t="shared" si="171"/>
        <v>-6.7604983848638667E-2</v>
      </c>
      <c r="AI140" s="198">
        <f t="shared" si="171"/>
        <v>-0.13371537726838589</v>
      </c>
      <c r="AJ140" s="199">
        <f t="shared" si="171"/>
        <v>-0.20035304501323914</v>
      </c>
      <c r="AK140" s="199">
        <f t="shared" si="171"/>
        <v>0.13348946135831374</v>
      </c>
      <c r="AL140" s="200">
        <f t="shared" si="171"/>
        <v>0.22542204568023827</v>
      </c>
      <c r="AM140" s="199">
        <f t="shared" si="171"/>
        <v>-0.16834862385321103</v>
      </c>
      <c r="AN140" s="199">
        <f t="shared" si="171"/>
        <v>0.18323481998925306</v>
      </c>
      <c r="AO140" s="201">
        <f t="shared" si="171"/>
        <v>-8.3388266315095549E-2</v>
      </c>
      <c r="AP140" s="180">
        <f t="shared" si="171"/>
        <v>-6.434050977480843E-3</v>
      </c>
      <c r="AQ140" s="198"/>
      <c r="AR140" s="199"/>
      <c r="AS140" s="199"/>
      <c r="AT140" s="200"/>
      <c r="AU140" s="199"/>
      <c r="AV140" s="199"/>
      <c r="AW140" s="201"/>
      <c r="AX140" s="180"/>
      <c r="AY140" s="198">
        <f>AY136/AQ136-1</f>
        <v>6.8693693693693714E-2</v>
      </c>
      <c r="AZ140" s="199">
        <f>AZ136/AR136-1</f>
        <v>0.21355932203389827</v>
      </c>
      <c r="BA140" s="199">
        <f>BA136/AS136-1</f>
        <v>0.14526315789473676</v>
      </c>
      <c r="BB140" s="200">
        <f t="shared" ref="AZ140:BF142" si="172">BB136/AT136-1</f>
        <v>0.14817950889077047</v>
      </c>
      <c r="BC140" s="199">
        <f t="shared" si="172"/>
        <v>0.14100394811054717</v>
      </c>
      <c r="BD140" s="199">
        <f>BD136/AV136-1</f>
        <v>0.14687939934303151</v>
      </c>
      <c r="BE140" s="201">
        <f t="shared" si="172"/>
        <v>0.14248990084465674</v>
      </c>
      <c r="BF140" s="180">
        <f>BF136/AX136-1</f>
        <v>0.1442110655737705</v>
      </c>
      <c r="BG140" s="198"/>
      <c r="BH140" s="199"/>
      <c r="BI140" s="199"/>
      <c r="BJ140" s="200"/>
      <c r="BK140" s="199"/>
      <c r="BL140" s="199"/>
      <c r="BM140" s="201"/>
      <c r="BN140" s="180"/>
      <c r="BO140" s="198">
        <f>BO136/AY136-1</f>
        <v>0.19599578503688098</v>
      </c>
      <c r="BP140" s="199"/>
      <c r="BQ140" s="199"/>
      <c r="BR140" s="200"/>
      <c r="BS140" s="199"/>
      <c r="BT140" s="199"/>
      <c r="BU140" s="201"/>
      <c r="BV140" s="180"/>
      <c r="BW140" s="198"/>
      <c r="BX140" s="199"/>
      <c r="BY140" s="199"/>
      <c r="BZ140" s="200"/>
      <c r="CA140" s="199"/>
      <c r="CB140" s="199"/>
      <c r="CC140" s="201"/>
      <c r="CD140" s="180"/>
      <c r="CE140" s="198"/>
      <c r="CF140" s="199"/>
      <c r="CG140" s="199"/>
      <c r="CH140" s="200"/>
      <c r="CI140" s="199"/>
      <c r="CJ140" s="199"/>
      <c r="CK140" s="201"/>
      <c r="CL140" s="180"/>
      <c r="CM140" s="198"/>
      <c r="CN140" s="199"/>
      <c r="CO140" s="199"/>
      <c r="CP140" s="200"/>
      <c r="CQ140" s="199"/>
      <c r="CR140" s="199"/>
      <c r="CS140" s="201"/>
      <c r="CT140" s="180"/>
      <c r="CX140" s="179"/>
      <c r="DB140" s="314"/>
      <c r="DF140" s="179"/>
      <c r="DJ140" s="314"/>
      <c r="DN140" s="179"/>
      <c r="DR140" s="314"/>
      <c r="DV140" s="179"/>
      <c r="DZ140" s="314"/>
      <c r="ED140" s="179"/>
      <c r="EH140" s="314"/>
      <c r="EL140" s="179"/>
      <c r="EP140" s="314"/>
      <c r="ET140" s="179"/>
      <c r="EX140" s="314"/>
      <c r="FB140" s="179"/>
      <c r="FF140" s="314"/>
    </row>
    <row r="141" spans="1:162" ht="11.25" customHeight="1" outlineLevel="2" x14ac:dyDescent="0.2">
      <c r="A141" s="197" t="s">
        <v>324</v>
      </c>
      <c r="B141" s="197"/>
      <c r="C141" s="198"/>
      <c r="D141" s="199"/>
      <c r="E141" s="199"/>
      <c r="F141" s="200"/>
      <c r="G141" s="199"/>
      <c r="H141" s="199"/>
      <c r="I141" s="201"/>
      <c r="J141" s="180"/>
      <c r="K141" s="198"/>
      <c r="L141" s="199"/>
      <c r="M141" s="199"/>
      <c r="N141" s="200"/>
      <c r="O141" s="199"/>
      <c r="P141" s="199"/>
      <c r="Q141" s="201"/>
      <c r="R141" s="180"/>
      <c r="S141" s="198">
        <f t="shared" si="170"/>
        <v>0.25568797399783305</v>
      </c>
      <c r="T141" s="199">
        <f t="shared" si="170"/>
        <v>0.36025504782146656</v>
      </c>
      <c r="U141" s="199">
        <f t="shared" si="170"/>
        <v>0.18963831867057679</v>
      </c>
      <c r="V141" s="200">
        <f t="shared" si="170"/>
        <v>0.11399832355406536</v>
      </c>
      <c r="W141" s="199">
        <f t="shared" si="170"/>
        <v>0.30847639484978551</v>
      </c>
      <c r="X141" s="199">
        <f t="shared" si="170"/>
        <v>0.14891696750902517</v>
      </c>
      <c r="Y141" s="201">
        <f t="shared" si="170"/>
        <v>0.26636647038448213</v>
      </c>
      <c r="Z141" s="180">
        <f t="shared" si="170"/>
        <v>0.22181372549019618</v>
      </c>
      <c r="AA141" s="198">
        <f t="shared" si="170"/>
        <v>8.1967213114754189E-2</v>
      </c>
      <c r="AB141" s="199">
        <f t="shared" si="170"/>
        <v>0.11171875000000009</v>
      </c>
      <c r="AC141" s="199">
        <f t="shared" si="170"/>
        <v>-1.232539030402624E-2</v>
      </c>
      <c r="AD141" s="200">
        <f t="shared" si="170"/>
        <v>0.10684725357411584</v>
      </c>
      <c r="AE141" s="199">
        <f t="shared" si="171"/>
        <v>9.7580975809758108E-2</v>
      </c>
      <c r="AF141" s="199">
        <f t="shared" si="171"/>
        <v>4.9882168106834213E-2</v>
      </c>
      <c r="AG141" s="201">
        <f t="shared" si="171"/>
        <v>6.0995623632385199E-2</v>
      </c>
      <c r="AH141" s="180">
        <f t="shared" si="171"/>
        <v>7.3219658976930724E-2</v>
      </c>
      <c r="AI141" s="198">
        <f>AI137/AA137-1</f>
        <v>0.15869218500797455</v>
      </c>
      <c r="AJ141" s="199">
        <f t="shared" si="171"/>
        <v>1.4054813773718422E-3</v>
      </c>
      <c r="AK141" s="199">
        <f t="shared" si="171"/>
        <v>0.11064891846921787</v>
      </c>
      <c r="AL141" s="200">
        <f t="shared" si="171"/>
        <v>2.8552005438477135E-2</v>
      </c>
      <c r="AM141" s="199">
        <f t="shared" si="171"/>
        <v>7.508404930892798E-2</v>
      </c>
      <c r="AN141" s="199">
        <f t="shared" si="171"/>
        <v>6.5469509913954393E-2</v>
      </c>
      <c r="AO141" s="201">
        <f t="shared" si="171"/>
        <v>8.610466615106982E-2</v>
      </c>
      <c r="AP141" s="180">
        <f t="shared" si="171"/>
        <v>7.0280373831775655E-2</v>
      </c>
      <c r="AQ141" s="198"/>
      <c r="AR141" s="199"/>
      <c r="AS141" s="199"/>
      <c r="AT141" s="200"/>
      <c r="AU141" s="199"/>
      <c r="AV141" s="199"/>
      <c r="AW141" s="201"/>
      <c r="AX141" s="180"/>
      <c r="AY141" s="198">
        <f>AY137/AQ137-1</f>
        <v>3.004622496147924E-2</v>
      </c>
      <c r="AZ141" s="199">
        <f t="shared" si="172"/>
        <v>3.0528667163067791E-2</v>
      </c>
      <c r="BA141" s="199">
        <f t="shared" si="172"/>
        <v>0.1260032102728732</v>
      </c>
      <c r="BB141" s="200">
        <f>BB137/AT137-1</f>
        <v>0.18837803320561952</v>
      </c>
      <c r="BC141" s="199">
        <f t="shared" si="172"/>
        <v>3.0291556228701166E-2</v>
      </c>
      <c r="BD141" s="199">
        <f t="shared" si="172"/>
        <v>0.16073968705547648</v>
      </c>
      <c r="BE141" s="201">
        <f t="shared" si="172"/>
        <v>6.0972472343709727E-2</v>
      </c>
      <c r="BF141" s="180">
        <f>BF137/AX137-1</f>
        <v>9.7560975609756184E-2</v>
      </c>
      <c r="BG141" s="198"/>
      <c r="BH141" s="199"/>
      <c r="BI141" s="199"/>
      <c r="BJ141" s="200"/>
      <c r="BK141" s="199"/>
      <c r="BL141" s="199"/>
      <c r="BM141" s="201"/>
      <c r="BN141" s="180"/>
      <c r="BO141" s="198">
        <f>BO137/AY137-1</f>
        <v>0.19670905011219153</v>
      </c>
      <c r="BP141" s="199"/>
      <c r="BQ141" s="199"/>
      <c r="BR141" s="200"/>
      <c r="BS141" s="199"/>
      <c r="BT141" s="199"/>
      <c r="BU141" s="201"/>
      <c r="BV141" s="180"/>
      <c r="BW141" s="198"/>
      <c r="BX141" s="199"/>
      <c r="BY141" s="199"/>
      <c r="BZ141" s="200"/>
      <c r="CA141" s="199"/>
      <c r="CB141" s="199"/>
      <c r="CC141" s="201"/>
      <c r="CD141" s="180"/>
      <c r="CE141" s="198"/>
      <c r="CF141" s="199"/>
      <c r="CG141" s="199"/>
      <c r="CH141" s="200"/>
      <c r="CI141" s="199"/>
      <c r="CJ141" s="199"/>
      <c r="CK141" s="201"/>
      <c r="CL141" s="180"/>
      <c r="CM141" s="198"/>
      <c r="CN141" s="199"/>
      <c r="CO141" s="199"/>
      <c r="CP141" s="200"/>
      <c r="CQ141" s="199"/>
      <c r="CR141" s="199"/>
      <c r="CS141" s="201"/>
      <c r="CT141" s="180"/>
      <c r="CX141" s="179"/>
      <c r="DB141" s="314"/>
      <c r="DF141" s="179"/>
      <c r="DJ141" s="314"/>
      <c r="DN141" s="179"/>
      <c r="DR141" s="314"/>
      <c r="DV141" s="179"/>
      <c r="DZ141" s="314"/>
      <c r="ED141" s="179"/>
      <c r="EH141" s="314"/>
      <c r="EL141" s="179"/>
      <c r="EP141" s="314"/>
      <c r="ET141" s="179"/>
      <c r="EX141" s="314"/>
      <c r="FB141" s="179"/>
      <c r="FF141" s="314"/>
    </row>
    <row r="142" spans="1:162" ht="11.25" customHeight="1" outlineLevel="2" x14ac:dyDescent="0.2">
      <c r="A142" s="202" t="s">
        <v>327</v>
      </c>
      <c r="C142" s="198"/>
      <c r="D142" s="199"/>
      <c r="E142" s="199"/>
      <c r="F142" s="200"/>
      <c r="G142" s="199"/>
      <c r="H142" s="199"/>
      <c r="I142" s="201"/>
      <c r="J142" s="180"/>
      <c r="K142" s="198"/>
      <c r="L142" s="199"/>
      <c r="M142" s="199"/>
      <c r="N142" s="200"/>
      <c r="O142" s="199"/>
      <c r="P142" s="199"/>
      <c r="Q142" s="201"/>
      <c r="R142" s="180"/>
      <c r="S142" s="198">
        <f t="shared" si="170"/>
        <v>0.13424657534246576</v>
      </c>
      <c r="T142" s="199">
        <f t="shared" si="170"/>
        <v>0.24664602683178538</v>
      </c>
      <c r="U142" s="199">
        <f t="shared" si="170"/>
        <v>0.14197530864197527</v>
      </c>
      <c r="V142" s="200">
        <f t="shared" si="170"/>
        <v>6.827473426001629E-2</v>
      </c>
      <c r="W142" s="199">
        <f t="shared" si="170"/>
        <v>0.19213393568960946</v>
      </c>
      <c r="X142" s="199">
        <f t="shared" si="170"/>
        <v>0.10091116173120729</v>
      </c>
      <c r="Y142" s="201">
        <f t="shared" si="170"/>
        <v>0.17504818643770803</v>
      </c>
      <c r="Z142" s="180">
        <f t="shared" si="170"/>
        <v>0.14301484116276209</v>
      </c>
      <c r="AA142" s="198">
        <f t="shared" si="170"/>
        <v>0.11159420289855082</v>
      </c>
      <c r="AB142" s="199">
        <f t="shared" si="170"/>
        <v>5.7947019867549576E-2</v>
      </c>
      <c r="AC142" s="199">
        <f t="shared" si="170"/>
        <v>-7.3873873873873896E-2</v>
      </c>
      <c r="AD142" s="200">
        <f t="shared" si="170"/>
        <v>-5.1664753157290466E-2</v>
      </c>
      <c r="AE142" s="199">
        <f t="shared" si="171"/>
        <v>8.2701738742755326E-2</v>
      </c>
      <c r="AF142" s="199">
        <f t="shared" si="171"/>
        <v>-6.1866335609352396E-2</v>
      </c>
      <c r="AG142" s="201">
        <f t="shared" si="171"/>
        <v>3.0867879510885876E-2</v>
      </c>
      <c r="AH142" s="180">
        <f t="shared" si="171"/>
        <v>7.7261508745574137E-3</v>
      </c>
      <c r="AI142" s="198">
        <f t="shared" si="171"/>
        <v>2.564102564102555E-2</v>
      </c>
      <c r="AJ142" s="199">
        <f t="shared" si="171"/>
        <v>-8.8028169014084501E-2</v>
      </c>
      <c r="AK142" s="199">
        <f t="shared" si="171"/>
        <v>0.12013618677042803</v>
      </c>
      <c r="AL142" s="200">
        <f t="shared" si="171"/>
        <v>0.10855528652138813</v>
      </c>
      <c r="AM142" s="199">
        <f t="shared" si="171"/>
        <v>-3.4177475808112034E-2</v>
      </c>
      <c r="AN142" s="199">
        <f t="shared" si="171"/>
        <v>0.11380679311865904</v>
      </c>
      <c r="AO142" s="201">
        <f t="shared" si="171"/>
        <v>1.1717054824244233E-2</v>
      </c>
      <c r="AP142" s="180">
        <f t="shared" si="171"/>
        <v>3.7269726333723829E-2</v>
      </c>
      <c r="AQ142" s="198"/>
      <c r="AR142" s="199"/>
      <c r="AS142" s="199"/>
      <c r="AT142" s="200"/>
      <c r="AU142" s="199"/>
      <c r="AV142" s="199"/>
      <c r="AW142" s="201"/>
      <c r="AX142" s="180"/>
      <c r="AY142" s="198">
        <f>AY138/AQ138-1</f>
        <v>4.5745654162854477E-2</v>
      </c>
      <c r="AZ142" s="199">
        <f t="shared" si="172"/>
        <v>0.10323159784560154</v>
      </c>
      <c r="BA142" s="199">
        <f t="shared" si="172"/>
        <v>0.13433515482695801</v>
      </c>
      <c r="BB142" s="200">
        <f t="shared" si="172"/>
        <v>0.17109574080815437</v>
      </c>
      <c r="BC142" s="199">
        <f t="shared" si="172"/>
        <v>7.4762120525600384E-2</v>
      </c>
      <c r="BD142" s="199">
        <f t="shared" si="172"/>
        <v>0.1547643131701395</v>
      </c>
      <c r="BE142" s="201">
        <f t="shared" si="172"/>
        <v>9.4553706505295043E-2</v>
      </c>
      <c r="BF142" s="180">
        <f t="shared" si="172"/>
        <v>0.11702468739980754</v>
      </c>
      <c r="BG142" s="198"/>
      <c r="BH142" s="199"/>
      <c r="BI142" s="199"/>
      <c r="BJ142" s="200"/>
      <c r="BK142" s="199"/>
      <c r="BL142" s="199"/>
      <c r="BM142" s="201"/>
      <c r="BN142" s="180"/>
      <c r="BO142" s="198">
        <f>BO138/AY138-1</f>
        <v>0.19641294838145229</v>
      </c>
      <c r="BP142" s="199"/>
      <c r="BQ142" s="199"/>
      <c r="BR142" s="200"/>
      <c r="BS142" s="199"/>
      <c r="BT142" s="199"/>
      <c r="BU142" s="201"/>
      <c r="BV142" s="180"/>
      <c r="BW142" s="198"/>
      <c r="BX142" s="199"/>
      <c r="BY142" s="199"/>
      <c r="BZ142" s="200"/>
      <c r="CA142" s="199"/>
      <c r="CB142" s="199"/>
      <c r="CC142" s="201"/>
      <c r="CD142" s="180"/>
      <c r="CE142" s="198"/>
      <c r="CF142" s="199"/>
      <c r="CG142" s="199"/>
      <c r="CH142" s="200"/>
      <c r="CI142" s="199"/>
      <c r="CJ142" s="199"/>
      <c r="CK142" s="201"/>
      <c r="CL142" s="180"/>
      <c r="CM142" s="198"/>
      <c r="CN142" s="199"/>
      <c r="CO142" s="199"/>
      <c r="CP142" s="200"/>
      <c r="CQ142" s="199"/>
      <c r="CR142" s="199"/>
      <c r="CS142" s="201"/>
      <c r="CT142" s="180"/>
      <c r="CX142" s="179"/>
      <c r="DB142" s="314"/>
      <c r="DF142" s="179"/>
      <c r="DJ142" s="314"/>
      <c r="DN142" s="179"/>
      <c r="DR142" s="314"/>
      <c r="DV142" s="179"/>
      <c r="DZ142" s="314"/>
      <c r="ED142" s="179"/>
      <c r="EH142" s="314"/>
      <c r="EL142" s="179"/>
      <c r="EP142" s="314"/>
      <c r="ET142" s="179"/>
      <c r="EX142" s="314"/>
      <c r="FB142" s="179"/>
      <c r="FF142" s="314"/>
    </row>
    <row r="143" spans="1:162" ht="11.25" customHeight="1" outlineLevel="2" x14ac:dyDescent="0.2">
      <c r="A143" s="202"/>
      <c r="C143" s="198"/>
      <c r="D143" s="199"/>
      <c r="E143" s="199"/>
      <c r="F143" s="200"/>
      <c r="G143" s="199"/>
      <c r="H143" s="199"/>
      <c r="I143" s="201"/>
      <c r="J143" s="180"/>
      <c r="K143" s="198"/>
      <c r="L143" s="199"/>
      <c r="M143" s="199"/>
      <c r="N143" s="200"/>
      <c r="O143" s="199"/>
      <c r="P143" s="199"/>
      <c r="Q143" s="201"/>
      <c r="R143" s="180"/>
      <c r="S143" s="198"/>
      <c r="T143" s="199"/>
      <c r="U143" s="199"/>
      <c r="V143" s="200"/>
      <c r="W143" s="199"/>
      <c r="X143" s="199"/>
      <c r="Y143" s="201"/>
      <c r="Z143" s="180"/>
      <c r="AA143" s="198"/>
      <c r="AB143" s="199"/>
      <c r="AC143" s="199"/>
      <c r="AD143" s="200"/>
      <c r="AE143" s="199"/>
      <c r="AF143" s="199"/>
      <c r="AG143" s="201"/>
      <c r="AH143" s="180"/>
      <c r="AI143" s="198"/>
      <c r="AJ143" s="199"/>
      <c r="AK143" s="199"/>
      <c r="AL143" s="200"/>
      <c r="AM143" s="199"/>
      <c r="AN143" s="199"/>
      <c r="AO143" s="201"/>
      <c r="AP143" s="180"/>
      <c r="AQ143" s="198"/>
      <c r="AR143" s="199"/>
      <c r="AS143" s="199"/>
      <c r="AT143" s="200"/>
      <c r="AU143" s="199"/>
      <c r="AV143" s="199"/>
      <c r="AW143" s="201"/>
      <c r="AX143" s="180"/>
      <c r="AY143" s="198"/>
      <c r="AZ143" s="199"/>
      <c r="BA143" s="199"/>
      <c r="BB143" s="200"/>
      <c r="BC143" s="199"/>
      <c r="BD143" s="199"/>
      <c r="BE143" s="201"/>
      <c r="BF143" s="180"/>
      <c r="BG143" s="198"/>
      <c r="BH143" s="199"/>
      <c r="BI143" s="199"/>
      <c r="BJ143" s="200"/>
      <c r="BK143" s="199"/>
      <c r="BL143" s="199"/>
      <c r="BM143" s="201"/>
      <c r="BN143" s="180"/>
      <c r="BO143" s="198"/>
      <c r="BP143" s="199"/>
      <c r="BQ143" s="199"/>
      <c r="BR143" s="200"/>
      <c r="BS143" s="199"/>
      <c r="BT143" s="199"/>
      <c r="BU143" s="201"/>
      <c r="BV143" s="180"/>
      <c r="BW143" s="198"/>
      <c r="BX143" s="199"/>
      <c r="BY143" s="199"/>
      <c r="BZ143" s="200"/>
      <c r="CA143" s="199"/>
      <c r="CB143" s="199"/>
      <c r="CC143" s="201"/>
      <c r="CD143" s="180"/>
      <c r="CE143" s="198"/>
      <c r="CF143" s="199"/>
      <c r="CG143" s="199"/>
      <c r="CH143" s="200"/>
      <c r="CI143" s="199"/>
      <c r="CJ143" s="199"/>
      <c r="CK143" s="201"/>
      <c r="CL143" s="180"/>
      <c r="CM143" s="198"/>
      <c r="CN143" s="199"/>
      <c r="CO143" s="199"/>
      <c r="CP143" s="200"/>
      <c r="CQ143" s="199"/>
      <c r="CR143" s="199"/>
      <c r="CS143" s="201"/>
      <c r="CT143" s="180"/>
      <c r="CX143" s="179"/>
      <c r="DB143" s="314"/>
      <c r="DF143" s="179"/>
      <c r="DJ143" s="314"/>
      <c r="DN143" s="179"/>
      <c r="DR143" s="314"/>
      <c r="DV143" s="179"/>
      <c r="DZ143" s="314"/>
      <c r="ED143" s="179"/>
      <c r="EH143" s="314"/>
      <c r="EL143" s="179"/>
      <c r="EP143" s="314"/>
      <c r="ET143" s="179"/>
      <c r="EX143" s="314"/>
      <c r="FB143" s="179"/>
      <c r="FF143" s="314"/>
    </row>
    <row r="144" spans="1:162" ht="11.25" customHeight="1" outlineLevel="2" x14ac:dyDescent="0.2">
      <c r="A144" s="202" t="s">
        <v>328</v>
      </c>
      <c r="C144" s="342"/>
      <c r="D144" s="343"/>
      <c r="E144" s="343"/>
      <c r="F144" s="344"/>
      <c r="G144" s="345"/>
      <c r="H144" s="345"/>
      <c r="I144" s="346"/>
      <c r="J144" s="347"/>
      <c r="K144" s="342"/>
      <c r="L144" s="343"/>
      <c r="M144" s="343"/>
      <c r="N144" s="344"/>
      <c r="O144" s="345"/>
      <c r="P144" s="345"/>
      <c r="Q144" s="346">
        <v>0.10299999999999999</v>
      </c>
      <c r="R144" s="347">
        <v>0.113</v>
      </c>
      <c r="S144" s="342">
        <v>0.17799999999999999</v>
      </c>
      <c r="T144" s="343">
        <v>0.38300000000000001</v>
      </c>
      <c r="U144" s="343">
        <v>0.185</v>
      </c>
      <c r="V144" s="344">
        <f>((1+Z144)*4)-((1+Y144)*3)-1</f>
        <v>2.4000000000000021E-2</v>
      </c>
      <c r="W144" s="345">
        <v>0.27800000000000002</v>
      </c>
      <c r="X144" s="345">
        <f>((1+Z144)*2)-(1+W144)-1</f>
        <v>0.10000000000000009</v>
      </c>
      <c r="Y144" s="346">
        <v>0.24399999999999999</v>
      </c>
      <c r="Z144" s="347">
        <v>0.189</v>
      </c>
      <c r="AA144" s="342">
        <v>8.5999999999999993E-2</v>
      </c>
      <c r="AB144" s="343">
        <v>8.3000000000000004E-2</v>
      </c>
      <c r="AC144" s="343">
        <v>-1.6E-2</v>
      </c>
      <c r="AD144" s="344">
        <v>0.125</v>
      </c>
      <c r="AE144" s="345">
        <v>8.5000000000000006E-2</v>
      </c>
      <c r="AF144" s="345">
        <f>((1+AH144)*2)-(1+AE144)-1</f>
        <v>5.2999999999999936E-2</v>
      </c>
      <c r="AG144" s="346">
        <v>0.05</v>
      </c>
      <c r="AH144" s="347">
        <v>6.9000000000000006E-2</v>
      </c>
      <c r="AI144" s="342">
        <v>0.17699999999999999</v>
      </c>
      <c r="AJ144" s="343">
        <v>-2E-3</v>
      </c>
      <c r="AK144" s="343">
        <v>0.14499999999999999</v>
      </c>
      <c r="AL144" s="344">
        <v>0.13100000000000001</v>
      </c>
      <c r="AM144" s="345">
        <v>8.4000000000000005E-2</v>
      </c>
      <c r="AN144" s="345"/>
      <c r="AO144" s="346">
        <v>0.104</v>
      </c>
      <c r="AP144" s="347">
        <f>'Civil AM'!$AJ$6</f>
        <v>0.1120000000000001</v>
      </c>
      <c r="AQ144" s="342"/>
      <c r="AR144" s="343"/>
      <c r="AS144" s="343"/>
      <c r="AT144" s="344"/>
      <c r="AU144" s="345"/>
      <c r="AV144" s="345"/>
      <c r="AW144" s="346"/>
      <c r="AX144" s="347"/>
      <c r="AY144" s="342">
        <v>0.16400000000000001</v>
      </c>
      <c r="AZ144" s="343">
        <v>8.7999999999999995E-2</v>
      </c>
      <c r="BA144" s="343">
        <v>0.192</v>
      </c>
      <c r="BB144" s="344">
        <v>5.5E-2</v>
      </c>
      <c r="BC144" s="345">
        <v>0.125</v>
      </c>
      <c r="BD144" s="345">
        <f>BF144*2-BC144</f>
        <v>0.11899999999999999</v>
      </c>
      <c r="BE144" s="346">
        <v>0.14699999999999999</v>
      </c>
      <c r="BF144" s="347">
        <v>0.122</v>
      </c>
      <c r="BG144" s="342">
        <f t="shared" ref="BG144:BN144" si="173">AY144</f>
        <v>0.16400000000000001</v>
      </c>
      <c r="BH144" s="343">
        <f t="shared" si="173"/>
        <v>8.7999999999999995E-2</v>
      </c>
      <c r="BI144" s="343">
        <f t="shared" si="173"/>
        <v>0.192</v>
      </c>
      <c r="BJ144" s="344">
        <f t="shared" si="173"/>
        <v>5.5E-2</v>
      </c>
      <c r="BK144" s="345">
        <f t="shared" si="173"/>
        <v>0.125</v>
      </c>
      <c r="BL144" s="345">
        <f t="shared" si="173"/>
        <v>0.11899999999999999</v>
      </c>
      <c r="BM144" s="346">
        <f t="shared" si="173"/>
        <v>0.14699999999999999</v>
      </c>
      <c r="BN144" s="347">
        <f t="shared" si="173"/>
        <v>0.122</v>
      </c>
      <c r="BO144" s="342">
        <v>0.10199999999999999</v>
      </c>
      <c r="BP144" s="343">
        <v>0.10199999999999999</v>
      </c>
      <c r="BQ144" s="343">
        <v>9.1999999999999998E-2</v>
      </c>
      <c r="BR144" s="344">
        <v>0.10199999999999999</v>
      </c>
      <c r="BS144" s="345">
        <v>0.10199999999999999</v>
      </c>
      <c r="BT144" s="345">
        <f>AVERAGE(BQ144:BR144)</f>
        <v>9.7000000000000003E-2</v>
      </c>
      <c r="BU144" s="346">
        <v>9.8000000000000004E-2</v>
      </c>
      <c r="BV144" s="347">
        <v>9.9000000000000005E-2</v>
      </c>
      <c r="BW144" s="342">
        <v>-3.3000000000000002E-2</v>
      </c>
      <c r="BX144" s="343">
        <v>-0.66</v>
      </c>
      <c r="BY144" s="343">
        <v>-0.56200000000000006</v>
      </c>
      <c r="BZ144" s="344">
        <v>-0.47</v>
      </c>
      <c r="CA144" s="345">
        <v>-0.34399999999999997</v>
      </c>
      <c r="CB144" s="345">
        <f>AVERAGE(BY144:BZ144)</f>
        <v>-0.51600000000000001</v>
      </c>
      <c r="CC144" s="346">
        <v>-0.41799999999999998</v>
      </c>
      <c r="CD144" s="347">
        <v>-0.432</v>
      </c>
      <c r="CE144" s="342">
        <v>-0.53400000000000003</v>
      </c>
      <c r="CF144" s="343">
        <v>0.55000000000000004</v>
      </c>
      <c r="CG144" s="343">
        <f>FL9</f>
        <v>0.45709740466892357</v>
      </c>
      <c r="CH144" s="344">
        <f>FM9</f>
        <v>0.55119798245732654</v>
      </c>
      <c r="CI144" s="345">
        <v>-0.255</v>
      </c>
      <c r="CJ144" s="345">
        <f>FP9</f>
        <v>0.50848704663212363</v>
      </c>
      <c r="CK144" s="346">
        <f>FQ9</f>
        <v>-7.4022542553015214E-2</v>
      </c>
      <c r="CL144" s="347">
        <f>Propulsion!W121</f>
        <v>7.0999999999999994E-2</v>
      </c>
      <c r="CM144" s="342">
        <v>0.53400000000000003</v>
      </c>
      <c r="CN144" s="343">
        <v>0.41</v>
      </c>
      <c r="CO144" s="343">
        <v>0.36</v>
      </c>
      <c r="CP144" s="348">
        <v>4.2999999999999997E-2</v>
      </c>
      <c r="CQ144" s="236">
        <v>0.47</v>
      </c>
      <c r="CR144" s="236">
        <v>0.19</v>
      </c>
      <c r="CS144" s="347">
        <v>0.43</v>
      </c>
      <c r="CT144" s="347">
        <f>Propulsion!X121</f>
        <v>0.29299999999999998</v>
      </c>
      <c r="CU144" s="236">
        <v>0.38100000000000001</v>
      </c>
      <c r="CV144" s="236">
        <v>0.35</v>
      </c>
      <c r="CW144" s="236">
        <v>0.39</v>
      </c>
      <c r="CX144" s="1480">
        <f>Propulsion!AB121</f>
        <v>0.21</v>
      </c>
      <c r="CY144" s="236">
        <v>0.36499999999999999</v>
      </c>
      <c r="CZ144" s="236">
        <f>Propulsion!AD121</f>
        <v>0.31062162961517048</v>
      </c>
      <c r="DA144" s="236">
        <v>0.375</v>
      </c>
      <c r="DB144" s="1479">
        <f>Propulsion!AF121</f>
        <v>0.32900000000000001</v>
      </c>
      <c r="DC144" s="236">
        <f>Propulsion!AG121</f>
        <v>0.28307112861690431</v>
      </c>
      <c r="DD144" s="236">
        <f>Propulsion!AH121</f>
        <v>0.33244823306607874</v>
      </c>
      <c r="DE144" s="236">
        <f>Propulsion!AI121</f>
        <v>0.20503625832740013</v>
      </c>
      <c r="DF144" s="1480">
        <f>Propulsion!AJ121</f>
        <v>0.21099999999999999</v>
      </c>
      <c r="DG144" s="236">
        <f>Propulsion!AK121</f>
        <v>0.30899560848852325</v>
      </c>
      <c r="DH144" s="236">
        <f>Propulsion!AL121</f>
        <v>0.20771933047483659</v>
      </c>
      <c r="DI144" s="236">
        <v>0.26200000000000001</v>
      </c>
      <c r="DJ144" s="1479">
        <f>Propulsion!AN121</f>
        <v>0.249</v>
      </c>
      <c r="DK144" s="236">
        <f>Propulsion!AO121</f>
        <v>0.22107083340856137</v>
      </c>
      <c r="DL144" s="236">
        <f>Propulsion!AP121</f>
        <v>0.20808181188218366</v>
      </c>
      <c r="DM144" s="236">
        <f>Propulsion!AQ121</f>
        <v>0.19351803762065467</v>
      </c>
      <c r="DN144" s="1480">
        <f>Propulsion!AR121</f>
        <v>0.12</v>
      </c>
      <c r="DO144" s="236">
        <f>Propulsion!AS121</f>
        <v>0.21412901856967004</v>
      </c>
      <c r="DP144" s="236">
        <f>Propulsion!AT121</f>
        <v>0.23415460613223615</v>
      </c>
      <c r="DQ144" s="236">
        <v>0.26200000000000001</v>
      </c>
      <c r="DR144" s="1479">
        <f>Propulsion!AV121</f>
        <v>0.22560000000000038</v>
      </c>
      <c r="DS144" s="236">
        <f>Propulsion!AW121</f>
        <v>0.34603115906799053</v>
      </c>
      <c r="DT144" s="236">
        <f>Propulsion!AX121</f>
        <v>0.31328712983747931</v>
      </c>
      <c r="DU144" s="350">
        <f>Propulsion!AY121</f>
        <v>0.27052140958416238</v>
      </c>
      <c r="DV144" s="349">
        <f>Propulsion!AZ121</f>
        <v>0.20062808140821131</v>
      </c>
      <c r="DW144" s="236">
        <f>Propulsion!BA121</f>
        <v>0.32861869573379554</v>
      </c>
      <c r="DX144" s="350">
        <f>Propulsion!BB121</f>
        <v>0.22909865541761021</v>
      </c>
      <c r="DY144" s="350">
        <f>Propulsion!BC121</f>
        <v>0.30787770214343491</v>
      </c>
      <c r="DZ144" s="351">
        <f>Propulsion!BD121</f>
        <v>0.2712140992167098</v>
      </c>
      <c r="EA144" s="350">
        <f>Propulsion!BE121</f>
        <v>0.10231648468816568</v>
      </c>
      <c r="EB144" s="350">
        <f>Propulsion!BF121</f>
        <v>0.22140590351410805</v>
      </c>
      <c r="EC144" s="350">
        <f>Propulsion!BG121</f>
        <v>0.20920524283715913</v>
      </c>
      <c r="ED144" s="349">
        <f>Propulsion!BH121</f>
        <v>4.2673118486417527E-2</v>
      </c>
      <c r="EE144" s="350">
        <f>Propulsion!BI121</f>
        <v>0.16491450523400286</v>
      </c>
      <c r="EF144" s="350">
        <f>Propulsion!BJ121</f>
        <v>0.11279503355245613</v>
      </c>
      <c r="EG144" s="350">
        <f>Propulsion!BK121</f>
        <v>0.18027486813404403</v>
      </c>
      <c r="EH144" s="351">
        <f>Propulsion!BL121</f>
        <v>0.13584724005134863</v>
      </c>
      <c r="EI144" s="350">
        <f>Propulsion!BM121</f>
        <v>0.11267286423028766</v>
      </c>
      <c r="EJ144" s="350">
        <f>Propulsion!BN121</f>
        <v>0.11098239764925188</v>
      </c>
      <c r="EK144" s="350">
        <f>Propulsion!BO121</f>
        <v>0.11098239764925211</v>
      </c>
      <c r="EL144" s="349">
        <f>Propulsion!BP121</f>
        <v>0.10982106352197385</v>
      </c>
      <c r="EM144" s="350">
        <f>Propulsion!BQ121</f>
        <v>0.11174119881152289</v>
      </c>
      <c r="EN144" s="350">
        <f>Propulsion!BR121</f>
        <v>0.11035243443490472</v>
      </c>
      <c r="EO144" s="350">
        <f>Propulsion!BS121</f>
        <v>0.11147159041550747</v>
      </c>
      <c r="EP144" s="351">
        <f>Propulsion!BT121</f>
        <v>0.11098239764925211</v>
      </c>
      <c r="EQ144" s="350">
        <f>Propulsion!BU121</f>
        <v>8.5451676643949481E-2</v>
      </c>
      <c r="ER144" s="350">
        <f>Propulsion!BV121</f>
        <v>8.6120965896085533E-2</v>
      </c>
      <c r="ES144" s="350">
        <f>Propulsion!BW121</f>
        <v>8.6120965896085311E-2</v>
      </c>
      <c r="ET144" s="349">
        <f>Propulsion!BX121</f>
        <v>8.6581942605374218E-2</v>
      </c>
      <c r="EU144" s="350">
        <f>Propulsion!BY121</f>
        <v>8.5820289701309838E-2</v>
      </c>
      <c r="EV144" s="350">
        <f>Propulsion!BZ121</f>
        <v>8.6370902059581089E-2</v>
      </c>
      <c r="EW144" s="350">
        <f>Propulsion!CA121</f>
        <v>8.5927075446381895E-2</v>
      </c>
      <c r="EX144" s="351">
        <f>Propulsion!CB121</f>
        <v>8.6120965896085311E-2</v>
      </c>
      <c r="EY144" s="350">
        <f>Propulsion!CC121</f>
        <v>5.7762824449476335E-2</v>
      </c>
      <c r="EZ144" s="350">
        <f>Propulsion!CD121</f>
        <v>6.1263075541132528E-2</v>
      </c>
      <c r="FA144" s="350">
        <f>Propulsion!CE121</f>
        <v>6.1263075541132528E-2</v>
      </c>
      <c r="FB144" s="349">
        <f>Propulsion!CF121</f>
        <v>6.3671385283713633E-2</v>
      </c>
      <c r="FC144" s="350">
        <f>Propulsion!CG121</f>
        <v>5.9691132029792593E-2</v>
      </c>
      <c r="FD144" s="350">
        <f>Propulsion!CH121</f>
        <v>6.2569086487714198E-2</v>
      </c>
      <c r="FE144" s="350">
        <f>Propulsion!CI121</f>
        <v>6.0249510555642649E-2</v>
      </c>
      <c r="FF144" s="351">
        <f>Propulsion!CJ121</f>
        <v>6.1263075541132528E-2</v>
      </c>
    </row>
    <row r="145" spans="1:162" ht="11.25" customHeight="1" outlineLevel="2" x14ac:dyDescent="0.2">
      <c r="A145" s="186"/>
      <c r="C145" s="198"/>
      <c r="D145" s="199"/>
      <c r="E145" s="199"/>
      <c r="F145" s="200"/>
      <c r="G145" s="199"/>
      <c r="H145" s="199"/>
      <c r="I145" s="201"/>
      <c r="J145" s="180"/>
      <c r="K145" s="198"/>
      <c r="L145" s="199"/>
      <c r="M145" s="199"/>
      <c r="N145" s="200"/>
      <c r="O145" s="199"/>
      <c r="P145" s="199"/>
      <c r="Q145" s="201"/>
      <c r="R145" s="180"/>
      <c r="S145" s="198"/>
      <c r="T145" s="199"/>
      <c r="U145" s="199"/>
      <c r="V145" s="200"/>
      <c r="W145" s="199"/>
      <c r="X145" s="199"/>
      <c r="Y145" s="201"/>
      <c r="Z145" s="180"/>
      <c r="AA145" s="198"/>
      <c r="AB145" s="199"/>
      <c r="AC145" s="199"/>
      <c r="AD145" s="200"/>
      <c r="AE145" s="199"/>
      <c r="AF145" s="199"/>
      <c r="AG145" s="201"/>
      <c r="AH145" s="180"/>
      <c r="AI145" s="198"/>
      <c r="AJ145" s="199"/>
      <c r="AK145" s="199"/>
      <c r="AL145" s="200"/>
      <c r="AM145" s="199"/>
      <c r="AN145" s="199"/>
      <c r="AO145" s="201"/>
      <c r="AP145" s="180"/>
      <c r="AQ145" s="198"/>
      <c r="AR145" s="199"/>
      <c r="AS145" s="199"/>
      <c r="AT145" s="200"/>
      <c r="AU145" s="199"/>
      <c r="AV145" s="199"/>
      <c r="AW145" s="201"/>
      <c r="AX145" s="180"/>
      <c r="AY145" s="198"/>
      <c r="AZ145" s="199"/>
      <c r="BA145" s="199"/>
      <c r="BB145" s="200"/>
      <c r="BC145" s="199"/>
      <c r="BD145" s="199"/>
      <c r="BE145" s="201"/>
      <c r="BF145" s="180"/>
      <c r="BG145" s="198"/>
      <c r="BH145" s="199"/>
      <c r="BI145" s="199"/>
      <c r="BJ145" s="200"/>
      <c r="BK145" s="199"/>
      <c r="BL145" s="199"/>
      <c r="BM145" s="201"/>
      <c r="BN145" s="180"/>
      <c r="BO145" s="198"/>
      <c r="BP145" s="199"/>
      <c r="BQ145" s="199"/>
      <c r="BR145" s="200"/>
      <c r="BS145" s="199"/>
      <c r="BT145" s="199"/>
      <c r="BU145" s="201"/>
      <c r="BV145" s="180"/>
      <c r="BW145" s="198"/>
      <c r="BX145" s="199"/>
      <c r="BY145" s="199"/>
      <c r="BZ145" s="200"/>
      <c r="CA145" s="199"/>
      <c r="CB145" s="199"/>
      <c r="CC145" s="201"/>
      <c r="CD145" s="180"/>
      <c r="CE145" s="198"/>
      <c r="CF145" s="199"/>
      <c r="CG145" s="199"/>
      <c r="CH145" s="200"/>
      <c r="CI145" s="199"/>
      <c r="CJ145" s="199"/>
      <c r="CK145" s="201"/>
      <c r="CL145" s="180"/>
      <c r="CM145" s="198"/>
      <c r="CN145" s="199"/>
      <c r="CO145" s="199"/>
      <c r="CP145" s="200"/>
      <c r="CQ145" s="199"/>
      <c r="CR145" s="199"/>
      <c r="CS145" s="201"/>
      <c r="CT145" s="180"/>
      <c r="CX145" s="179"/>
      <c r="DB145" s="314"/>
      <c r="DF145" s="179"/>
      <c r="DJ145" s="314"/>
      <c r="DN145" s="179"/>
      <c r="DR145" s="314"/>
      <c r="DV145" s="179"/>
      <c r="DZ145" s="314"/>
      <c r="ED145" s="179"/>
      <c r="EH145" s="314"/>
      <c r="EL145" s="179"/>
      <c r="EP145" s="314"/>
      <c r="ET145" s="179"/>
      <c r="EX145" s="314"/>
      <c r="FB145" s="179"/>
      <c r="FF145" s="314"/>
    </row>
    <row r="146" spans="1:162" ht="11.25" customHeight="1" outlineLevel="2" x14ac:dyDescent="0.2">
      <c r="A146" s="4" t="s">
        <v>323</v>
      </c>
      <c r="C146" s="198"/>
      <c r="D146" s="199"/>
      <c r="E146" s="199"/>
      <c r="F146" s="200"/>
      <c r="G146" s="199"/>
      <c r="H146" s="199"/>
      <c r="I146" s="201"/>
      <c r="J146" s="180"/>
      <c r="K146" s="198">
        <v>747</v>
      </c>
      <c r="L146" s="199">
        <f>O146-K146</f>
        <v>800</v>
      </c>
      <c r="M146" s="199">
        <v>731</v>
      </c>
      <c r="N146" s="200">
        <f>R146-Q146</f>
        <v>888</v>
      </c>
      <c r="O146" s="199">
        <f>Q146-M146</f>
        <v>1547</v>
      </c>
      <c r="P146" s="199">
        <f>R146-O146</f>
        <v>1619</v>
      </c>
      <c r="Q146" s="201">
        <v>2278</v>
      </c>
      <c r="R146" s="180">
        <v>3166</v>
      </c>
      <c r="S146" s="198">
        <v>852</v>
      </c>
      <c r="T146" s="199">
        <f>W146-S146</f>
        <v>872</v>
      </c>
      <c r="U146" s="199">
        <v>820</v>
      </c>
      <c r="V146" s="200">
        <f>Z146-Y146</f>
        <v>919</v>
      </c>
      <c r="W146" s="199">
        <f>Y146-U146</f>
        <v>1724</v>
      </c>
      <c r="X146" s="199">
        <f>Z146-W146</f>
        <v>1739</v>
      </c>
      <c r="Y146" s="201">
        <v>2544</v>
      </c>
      <c r="Z146" s="180">
        <v>3463</v>
      </c>
      <c r="AA146" s="198">
        <v>844</v>
      </c>
      <c r="AB146" s="199">
        <f>AE146-AA146</f>
        <v>904</v>
      </c>
      <c r="AC146" s="199">
        <v>817</v>
      </c>
      <c r="AD146" s="200">
        <f>AH146-AG146</f>
        <v>945</v>
      </c>
      <c r="AE146" s="199">
        <v>1748</v>
      </c>
      <c r="AF146" s="199">
        <f>AH146-AE146</f>
        <v>1762</v>
      </c>
      <c r="AG146" s="201">
        <f>AC146+AE146</f>
        <v>2565</v>
      </c>
      <c r="AH146" s="180">
        <v>3510</v>
      </c>
      <c r="AI146" s="198">
        <v>925</v>
      </c>
      <c r="AJ146" s="199">
        <f>AM146-AI146</f>
        <v>937</v>
      </c>
      <c r="AK146" s="199">
        <f>+AO146-AM146</f>
        <v>837</v>
      </c>
      <c r="AL146" s="200">
        <f>+AP146-AO146</f>
        <v>834</v>
      </c>
      <c r="AM146" s="199">
        <v>1862</v>
      </c>
      <c r="AN146" s="199">
        <f>+AP146-AM146</f>
        <v>1671</v>
      </c>
      <c r="AO146" s="201">
        <v>2699</v>
      </c>
      <c r="AP146" s="180">
        <f>+'Equipment &amp; Defense'!O157</f>
        <v>3533</v>
      </c>
      <c r="AQ146" s="198">
        <v>907</v>
      </c>
      <c r="AR146" s="199">
        <f>AU146-AQ146</f>
        <v>922</v>
      </c>
      <c r="AS146" s="199">
        <v>823</v>
      </c>
      <c r="AT146" s="200">
        <f>+AT148-AT147</f>
        <v>928</v>
      </c>
      <c r="AU146" s="199">
        <v>1829</v>
      </c>
      <c r="AV146" s="199">
        <f>+AV148-AV147</f>
        <v>1751</v>
      </c>
      <c r="AW146" s="201">
        <f>+AW148-AW147</f>
        <v>2652</v>
      </c>
      <c r="AX146" s="180">
        <f>+AX148-AX147</f>
        <v>3580</v>
      </c>
      <c r="AY146" s="198">
        <v>858</v>
      </c>
      <c r="AZ146" s="199">
        <f>BC146-AY146</f>
        <v>881</v>
      </c>
      <c r="BA146" s="199">
        <v>879</v>
      </c>
      <c r="BB146" s="200"/>
      <c r="BC146" s="199">
        <v>1739</v>
      </c>
      <c r="BD146" s="199"/>
      <c r="BE146" s="201"/>
      <c r="BF146" s="180"/>
      <c r="BG146" s="198"/>
      <c r="BH146" s="199"/>
      <c r="BI146" s="199"/>
      <c r="BJ146" s="200"/>
      <c r="BK146" s="199"/>
      <c r="BL146" s="199"/>
      <c r="BM146" s="201"/>
      <c r="BN146" s="180"/>
      <c r="BO146" s="198">
        <v>986</v>
      </c>
      <c r="BP146" s="199"/>
      <c r="BQ146" s="199"/>
      <c r="BR146" s="200"/>
      <c r="BS146" s="199"/>
      <c r="BT146" s="199"/>
      <c r="BU146" s="201"/>
      <c r="BV146" s="180"/>
      <c r="BW146" s="198"/>
      <c r="BX146" s="199"/>
      <c r="BY146" s="199"/>
      <c r="BZ146" s="200"/>
      <c r="CA146" s="199"/>
      <c r="CB146" s="199"/>
      <c r="CC146" s="201"/>
      <c r="CD146" s="180"/>
      <c r="CE146" s="198"/>
      <c r="CF146" s="199"/>
      <c r="CG146" s="199"/>
      <c r="CH146" s="200"/>
      <c r="CI146" s="199"/>
      <c r="CJ146" s="199"/>
      <c r="CK146" s="201"/>
      <c r="CL146" s="180"/>
      <c r="CM146" s="198"/>
      <c r="CN146" s="199"/>
      <c r="CO146" s="199"/>
      <c r="CP146" s="200"/>
      <c r="CQ146" s="199"/>
      <c r="CR146" s="199"/>
      <c r="CS146" s="201"/>
      <c r="CT146" s="180"/>
      <c r="CX146" s="179"/>
      <c r="DB146" s="314"/>
      <c r="DF146" s="179"/>
      <c r="DJ146" s="314"/>
      <c r="DN146" s="179"/>
      <c r="DR146" s="314"/>
      <c r="DV146" s="179"/>
      <c r="DZ146" s="314"/>
      <c r="ED146" s="179"/>
      <c r="EH146" s="314"/>
      <c r="EL146" s="179"/>
      <c r="EP146" s="314"/>
      <c r="ET146" s="179"/>
      <c r="EX146" s="314"/>
      <c r="FB146" s="179"/>
      <c r="FF146" s="314"/>
    </row>
    <row r="147" spans="1:162" ht="11.25" customHeight="1" outlineLevel="2" x14ac:dyDescent="0.2">
      <c r="A147" s="4" t="s">
        <v>324</v>
      </c>
      <c r="C147" s="198"/>
      <c r="D147" s="199"/>
      <c r="E147" s="199"/>
      <c r="F147" s="200"/>
      <c r="G147" s="199"/>
      <c r="H147" s="199"/>
      <c r="I147" s="201"/>
      <c r="J147" s="180"/>
      <c r="K147" s="198">
        <v>269</v>
      </c>
      <c r="L147" s="199">
        <f>O147-K147</f>
        <v>321</v>
      </c>
      <c r="M147" s="199">
        <v>290</v>
      </c>
      <c r="N147" s="200">
        <f>R147-Q147</f>
        <v>400</v>
      </c>
      <c r="O147" s="199">
        <f>Q147-M147</f>
        <v>590</v>
      </c>
      <c r="P147" s="199">
        <f>R147-O147</f>
        <v>690</v>
      </c>
      <c r="Q147" s="201">
        <v>880</v>
      </c>
      <c r="R147" s="180">
        <v>1280</v>
      </c>
      <c r="S147" s="198">
        <v>320</v>
      </c>
      <c r="T147" s="199">
        <f>W147-S147</f>
        <v>370</v>
      </c>
      <c r="U147" s="199">
        <v>360</v>
      </c>
      <c r="V147" s="200">
        <f>Z147-Y147</f>
        <v>430</v>
      </c>
      <c r="W147" s="199">
        <f>Y147-U147</f>
        <v>690</v>
      </c>
      <c r="X147" s="199">
        <f>Z147-W147</f>
        <v>790</v>
      </c>
      <c r="Y147" s="201">
        <v>1050</v>
      </c>
      <c r="Z147" s="180">
        <v>1480</v>
      </c>
      <c r="AA147" s="198">
        <v>375</v>
      </c>
      <c r="AB147" s="199">
        <f>AE147-AA147</f>
        <v>419</v>
      </c>
      <c r="AC147" s="199">
        <v>391</v>
      </c>
      <c r="AD147" s="200">
        <f>AH147-AG147</f>
        <v>450</v>
      </c>
      <c r="AE147" s="199">
        <v>794</v>
      </c>
      <c r="AF147" s="199">
        <f>AH147-AE147</f>
        <v>841</v>
      </c>
      <c r="AG147" s="201">
        <f>AC147+AE147</f>
        <v>1185</v>
      </c>
      <c r="AH147" s="180">
        <v>1635</v>
      </c>
      <c r="AI147" s="198">
        <v>410</v>
      </c>
      <c r="AJ147" s="199">
        <f>AM147-AI147</f>
        <v>443</v>
      </c>
      <c r="AK147" s="199">
        <f>+AO147-AM147</f>
        <v>388</v>
      </c>
      <c r="AL147" s="200">
        <f>+AP147-AO147</f>
        <v>508</v>
      </c>
      <c r="AM147" s="199">
        <v>853</v>
      </c>
      <c r="AN147" s="199">
        <f>+AP147-AM147</f>
        <v>896</v>
      </c>
      <c r="AO147" s="201">
        <v>1241</v>
      </c>
      <c r="AP147" s="180">
        <f>+'Equipment &amp; Defense'!O158</f>
        <v>1749</v>
      </c>
      <c r="AQ147" s="198">
        <v>397</v>
      </c>
      <c r="AR147" s="199">
        <f>AU147-AQ147</f>
        <v>410</v>
      </c>
      <c r="AS147" s="199">
        <v>375</v>
      </c>
      <c r="AT147" s="200">
        <f>+AL147-10</f>
        <v>498</v>
      </c>
      <c r="AU147" s="199">
        <v>807</v>
      </c>
      <c r="AV147" s="199">
        <f>+AS147+AT147</f>
        <v>873</v>
      </c>
      <c r="AW147" s="201">
        <f>+AX147-AT147</f>
        <v>1182</v>
      </c>
      <c r="AX147" s="180">
        <f>+SUM(AQ147:AT147)</f>
        <v>1680</v>
      </c>
      <c r="AY147" s="198">
        <v>405</v>
      </c>
      <c r="AZ147" s="199">
        <f>BC147-AY147</f>
        <v>441</v>
      </c>
      <c r="BA147" s="199">
        <v>466</v>
      </c>
      <c r="BB147" s="200"/>
      <c r="BC147" s="199">
        <v>846</v>
      </c>
      <c r="BD147" s="199"/>
      <c r="BE147" s="201"/>
      <c r="BF147" s="180"/>
      <c r="BG147" s="198"/>
      <c r="BH147" s="199"/>
      <c r="BI147" s="199"/>
      <c r="BJ147" s="200"/>
      <c r="BK147" s="199"/>
      <c r="BL147" s="199"/>
      <c r="BM147" s="201"/>
      <c r="BN147" s="180"/>
      <c r="BO147" s="198">
        <v>472</v>
      </c>
      <c r="BP147" s="199"/>
      <c r="BQ147" s="199"/>
      <c r="BR147" s="200"/>
      <c r="BS147" s="199"/>
      <c r="BT147" s="199"/>
      <c r="BU147" s="201"/>
      <c r="BV147" s="180"/>
      <c r="BW147" s="198"/>
      <c r="BX147" s="199"/>
      <c r="BY147" s="199"/>
      <c r="BZ147" s="200"/>
      <c r="CA147" s="199"/>
      <c r="CB147" s="199"/>
      <c r="CC147" s="201"/>
      <c r="CD147" s="180"/>
      <c r="CE147" s="198"/>
      <c r="CF147" s="199"/>
      <c r="CG147" s="199"/>
      <c r="CH147" s="200"/>
      <c r="CI147" s="199"/>
      <c r="CJ147" s="199"/>
      <c r="CK147" s="201"/>
      <c r="CL147" s="180"/>
      <c r="CM147" s="198"/>
      <c r="CN147" s="199"/>
      <c r="CO147" s="199"/>
      <c r="CP147" s="200"/>
      <c r="CQ147" s="199"/>
      <c r="CR147" s="199"/>
      <c r="CS147" s="201"/>
      <c r="CT147" s="180"/>
      <c r="CX147" s="179"/>
      <c r="DB147" s="314"/>
      <c r="DF147" s="179"/>
      <c r="DJ147" s="314"/>
      <c r="DN147" s="179"/>
      <c r="DR147" s="314"/>
      <c r="DV147" s="179"/>
      <c r="DZ147" s="314"/>
      <c r="ED147" s="179"/>
      <c r="EH147" s="314"/>
      <c r="EL147" s="179"/>
      <c r="EP147" s="314"/>
      <c r="ET147" s="179"/>
      <c r="EX147" s="314"/>
      <c r="FB147" s="179"/>
      <c r="FF147" s="314"/>
    </row>
    <row r="148" spans="1:162" s="186" customFormat="1" ht="11.25" customHeight="1" outlineLevel="2" x14ac:dyDescent="0.2">
      <c r="A148" s="186" t="s">
        <v>329</v>
      </c>
      <c r="C148" s="337"/>
      <c r="D148" s="338"/>
      <c r="E148" s="338"/>
      <c r="F148" s="339"/>
      <c r="G148" s="338"/>
      <c r="H148" s="338"/>
      <c r="I148" s="340"/>
      <c r="J148" s="284"/>
      <c r="K148" s="337">
        <f t="shared" ref="K148:AJ148" si="174">K146+K147</f>
        <v>1016</v>
      </c>
      <c r="L148" s="338">
        <f t="shared" si="174"/>
        <v>1121</v>
      </c>
      <c r="M148" s="338">
        <f t="shared" si="174"/>
        <v>1021</v>
      </c>
      <c r="N148" s="339">
        <f t="shared" si="174"/>
        <v>1288</v>
      </c>
      <c r="O148" s="338">
        <f t="shared" si="174"/>
        <v>2137</v>
      </c>
      <c r="P148" s="338">
        <f t="shared" si="174"/>
        <v>2309</v>
      </c>
      <c r="Q148" s="340">
        <f t="shared" si="174"/>
        <v>3158</v>
      </c>
      <c r="R148" s="284">
        <f t="shared" si="174"/>
        <v>4446</v>
      </c>
      <c r="S148" s="337">
        <f t="shared" si="174"/>
        <v>1172</v>
      </c>
      <c r="T148" s="338">
        <f t="shared" si="174"/>
        <v>1242</v>
      </c>
      <c r="U148" s="338">
        <f t="shared" si="174"/>
        <v>1180</v>
      </c>
      <c r="V148" s="339">
        <f t="shared" si="174"/>
        <v>1349</v>
      </c>
      <c r="W148" s="338">
        <f t="shared" si="174"/>
        <v>2414</v>
      </c>
      <c r="X148" s="338">
        <f t="shared" si="174"/>
        <v>2529</v>
      </c>
      <c r="Y148" s="340">
        <f t="shared" si="174"/>
        <v>3594</v>
      </c>
      <c r="Z148" s="284">
        <f t="shared" si="174"/>
        <v>4943</v>
      </c>
      <c r="AA148" s="337">
        <f t="shared" si="174"/>
        <v>1219</v>
      </c>
      <c r="AB148" s="338">
        <f t="shared" si="174"/>
        <v>1323</v>
      </c>
      <c r="AC148" s="338">
        <f t="shared" si="174"/>
        <v>1208</v>
      </c>
      <c r="AD148" s="339">
        <f t="shared" si="174"/>
        <v>1395</v>
      </c>
      <c r="AE148" s="338">
        <f t="shared" si="174"/>
        <v>2542</v>
      </c>
      <c r="AF148" s="338">
        <f t="shared" si="174"/>
        <v>2603</v>
      </c>
      <c r="AG148" s="340">
        <f t="shared" si="174"/>
        <v>3750</v>
      </c>
      <c r="AH148" s="284">
        <f t="shared" si="174"/>
        <v>5145</v>
      </c>
      <c r="AI148" s="337">
        <f t="shared" si="174"/>
        <v>1335</v>
      </c>
      <c r="AJ148" s="338">
        <f t="shared" si="174"/>
        <v>1380</v>
      </c>
      <c r="AK148" s="338">
        <f>+AO148-AM148</f>
        <v>1225</v>
      </c>
      <c r="AL148" s="339">
        <f>+AP148-AO148</f>
        <v>1475</v>
      </c>
      <c r="AM148" s="338">
        <f>AM146+AM147</f>
        <v>2715</v>
      </c>
      <c r="AN148" s="338">
        <f>+AP148-AM148</f>
        <v>2700</v>
      </c>
      <c r="AO148" s="340">
        <f>+AO146+AO147</f>
        <v>3940</v>
      </c>
      <c r="AP148" s="284">
        <f>+'Equipment &amp; Defense'!O160</f>
        <v>5415</v>
      </c>
      <c r="AQ148" s="337">
        <f>AQ146+AQ147</f>
        <v>1304</v>
      </c>
      <c r="AR148" s="338">
        <f>AR146+AR147</f>
        <v>1332</v>
      </c>
      <c r="AS148" s="338">
        <f>AS146+AS147</f>
        <v>1198</v>
      </c>
      <c r="AT148" s="339">
        <f>+AX148-AS148-AR148-AQ148</f>
        <v>1426</v>
      </c>
      <c r="AU148" s="338">
        <f>SUM(AU146:AU147)</f>
        <v>2636</v>
      </c>
      <c r="AV148" s="338">
        <f>+AS148+AT148</f>
        <v>2624</v>
      </c>
      <c r="AW148" s="340">
        <f>+AX148-AT148</f>
        <v>3834</v>
      </c>
      <c r="AX148" s="284">
        <f>+Divisional!P7</f>
        <v>5260</v>
      </c>
      <c r="AY148" s="337">
        <f>AY146+AY147</f>
        <v>1263</v>
      </c>
      <c r="AZ148" s="338">
        <f>+AZ146+AZ147</f>
        <v>1322</v>
      </c>
      <c r="BA148" s="338">
        <f>+BA146+BA147</f>
        <v>1345</v>
      </c>
      <c r="BB148" s="339">
        <f>+BF148-BA148-AZ148-AY148</f>
        <v>1465</v>
      </c>
      <c r="BC148" s="338">
        <f>SUM(BC146:BC147)</f>
        <v>2585</v>
      </c>
      <c r="BD148" s="338">
        <f>+BF148-BC148</f>
        <v>2810</v>
      </c>
      <c r="BE148" s="340">
        <f>+BF148-AY148</f>
        <v>4132</v>
      </c>
      <c r="BF148" s="284">
        <f>+'Equipment &amp; Defense'!Q160</f>
        <v>5395</v>
      </c>
      <c r="BG148" s="337"/>
      <c r="BH148" s="338"/>
      <c r="BI148" s="338"/>
      <c r="BJ148" s="339"/>
      <c r="BK148" s="338"/>
      <c r="BL148" s="338"/>
      <c r="BM148" s="340"/>
      <c r="BN148" s="284"/>
      <c r="BO148" s="337">
        <f>SUM(BO146:BO147)</f>
        <v>1458</v>
      </c>
      <c r="BP148" s="338"/>
      <c r="BQ148" s="338"/>
      <c r="BR148" s="339"/>
      <c r="BS148" s="338"/>
      <c r="BT148" s="338"/>
      <c r="BU148" s="340"/>
      <c r="BV148" s="284"/>
      <c r="BW148" s="337"/>
      <c r="BX148" s="338"/>
      <c r="BY148" s="338"/>
      <c r="BZ148" s="339"/>
      <c r="CA148" s="338"/>
      <c r="CB148" s="338"/>
      <c r="CC148" s="340"/>
      <c r="CD148" s="284"/>
      <c r="CE148" s="337"/>
      <c r="CF148" s="338"/>
      <c r="CG148" s="338"/>
      <c r="CH148" s="339"/>
      <c r="CI148" s="338"/>
      <c r="CJ148" s="338"/>
      <c r="CK148" s="340"/>
      <c r="CL148" s="284"/>
      <c r="CM148" s="337"/>
      <c r="CN148" s="338"/>
      <c r="CO148" s="338"/>
      <c r="CP148" s="339"/>
      <c r="CQ148" s="338"/>
      <c r="CR148" s="338"/>
      <c r="CS148" s="340"/>
      <c r="CT148" s="284"/>
      <c r="CX148" s="283"/>
      <c r="DB148" s="341"/>
      <c r="DF148" s="283"/>
      <c r="DJ148" s="341"/>
      <c r="DN148" s="283"/>
      <c r="DR148" s="341"/>
      <c r="DV148" s="283"/>
      <c r="DZ148" s="341"/>
      <c r="ED148" s="283"/>
      <c r="EH148" s="341"/>
      <c r="EL148" s="283"/>
      <c r="EP148" s="341"/>
      <c r="ET148" s="283"/>
      <c r="EX148" s="341"/>
      <c r="FB148" s="283"/>
      <c r="FF148" s="341"/>
    </row>
    <row r="149" spans="1:162" ht="11.25" customHeight="1" outlineLevel="2" x14ac:dyDescent="0.2">
      <c r="A149" s="186"/>
      <c r="C149" s="198"/>
      <c r="D149" s="199"/>
      <c r="E149" s="199"/>
      <c r="F149" s="200"/>
      <c r="G149" s="199"/>
      <c r="H149" s="199"/>
      <c r="I149" s="201"/>
      <c r="J149" s="180"/>
      <c r="K149" s="198"/>
      <c r="L149" s="199"/>
      <c r="M149" s="199"/>
      <c r="N149" s="200"/>
      <c r="O149" s="199"/>
      <c r="P149" s="199"/>
      <c r="Q149" s="201"/>
      <c r="R149" s="180"/>
      <c r="S149" s="198"/>
      <c r="T149" s="199"/>
      <c r="U149" s="199"/>
      <c r="V149" s="200"/>
      <c r="W149" s="199"/>
      <c r="X149" s="199"/>
      <c r="Y149" s="201"/>
      <c r="Z149" s="180"/>
      <c r="AA149" s="198"/>
      <c r="AB149" s="199"/>
      <c r="AC149" s="199"/>
      <c r="AD149" s="200"/>
      <c r="AE149" s="199"/>
      <c r="AF149" s="199"/>
      <c r="AG149" s="201"/>
      <c r="AH149" s="180"/>
      <c r="AI149" s="198"/>
      <c r="AJ149" s="199"/>
      <c r="AK149" s="199"/>
      <c r="AL149" s="200"/>
      <c r="AM149" s="199"/>
      <c r="AN149" s="199"/>
      <c r="AO149" s="201"/>
      <c r="AP149" s="180"/>
      <c r="AQ149" s="198"/>
      <c r="AR149" s="199"/>
      <c r="AS149" s="199"/>
      <c r="AT149" s="200"/>
      <c r="AU149" s="199"/>
      <c r="AV149" s="199"/>
      <c r="AW149" s="201"/>
      <c r="AX149" s="180"/>
      <c r="AY149" s="198"/>
      <c r="AZ149" s="199"/>
      <c r="BA149" s="199"/>
      <c r="BB149" s="200"/>
      <c r="BC149" s="199"/>
      <c r="BD149" s="199"/>
      <c r="BE149" s="201"/>
      <c r="BF149" s="180"/>
      <c r="BG149" s="198"/>
      <c r="BH149" s="199"/>
      <c r="BI149" s="199"/>
      <c r="BJ149" s="200"/>
      <c r="BK149" s="199"/>
      <c r="BL149" s="199"/>
      <c r="BM149" s="201"/>
      <c r="BN149" s="180"/>
      <c r="BO149" s="198"/>
      <c r="BP149" s="199"/>
      <c r="BQ149" s="199"/>
      <c r="BR149" s="200"/>
      <c r="BS149" s="199"/>
      <c r="BT149" s="199"/>
      <c r="BU149" s="201"/>
      <c r="BV149" s="180"/>
      <c r="BW149" s="198"/>
      <c r="BX149" s="199"/>
      <c r="BY149" s="199"/>
      <c r="BZ149" s="200"/>
      <c r="CA149" s="199"/>
      <c r="CB149" s="199"/>
      <c r="CC149" s="201"/>
      <c r="CD149" s="180"/>
      <c r="CE149" s="198"/>
      <c r="CF149" s="199"/>
      <c r="CG149" s="199"/>
      <c r="CH149" s="200"/>
      <c r="CI149" s="199"/>
      <c r="CJ149" s="199"/>
      <c r="CK149" s="201"/>
      <c r="CL149" s="180"/>
      <c r="CM149" s="198"/>
      <c r="CN149" s="199"/>
      <c r="CO149" s="199"/>
      <c r="CP149" s="200"/>
      <c r="CQ149" s="199"/>
      <c r="CR149" s="199"/>
      <c r="CS149" s="201"/>
      <c r="CT149" s="180"/>
      <c r="CX149" s="179"/>
      <c r="DB149" s="314"/>
      <c r="DF149" s="179"/>
      <c r="DJ149" s="314"/>
      <c r="DN149" s="179"/>
      <c r="DR149" s="314"/>
      <c r="DV149" s="179"/>
      <c r="DZ149" s="314"/>
      <c r="ED149" s="179"/>
      <c r="EH149" s="314"/>
      <c r="EL149" s="179"/>
      <c r="EP149" s="314"/>
      <c r="ET149" s="179"/>
      <c r="EX149" s="314"/>
      <c r="FB149" s="179"/>
      <c r="FF149" s="314"/>
    </row>
    <row r="150" spans="1:162" ht="11.25" customHeight="1" outlineLevel="2" x14ac:dyDescent="0.2">
      <c r="A150" s="197" t="s">
        <v>326</v>
      </c>
      <c r="C150" s="198"/>
      <c r="D150" s="199"/>
      <c r="E150" s="199"/>
      <c r="F150" s="200"/>
      <c r="G150" s="199"/>
      <c r="H150" s="199"/>
      <c r="I150" s="201"/>
      <c r="J150" s="180"/>
      <c r="K150" s="198"/>
      <c r="L150" s="199"/>
      <c r="M150" s="199"/>
      <c r="N150" s="200"/>
      <c r="O150" s="199"/>
      <c r="P150" s="199"/>
      <c r="Q150" s="201"/>
      <c r="R150" s="180"/>
      <c r="S150" s="198">
        <f t="shared" ref="S150:AP152" si="175">S146/K146-1</f>
        <v>0.14056224899598391</v>
      </c>
      <c r="T150" s="199">
        <f t="shared" si="175"/>
        <v>9.000000000000008E-2</v>
      </c>
      <c r="U150" s="199">
        <f t="shared" si="175"/>
        <v>0.12175102599179199</v>
      </c>
      <c r="V150" s="200">
        <f t="shared" si="175"/>
        <v>3.4909909909909942E-2</v>
      </c>
      <c r="W150" s="199">
        <f t="shared" si="175"/>
        <v>0.11441499676793798</v>
      </c>
      <c r="X150" s="199">
        <f t="shared" si="175"/>
        <v>7.4119827053736875E-2</v>
      </c>
      <c r="Y150" s="201">
        <f t="shared" si="175"/>
        <v>0.11676909569798077</v>
      </c>
      <c r="Z150" s="180">
        <f t="shared" si="175"/>
        <v>9.3809222994314601E-2</v>
      </c>
      <c r="AA150" s="198">
        <f t="shared" si="175"/>
        <v>-9.3896713615023719E-3</v>
      </c>
      <c r="AB150" s="199">
        <f t="shared" si="175"/>
        <v>3.669724770642202E-2</v>
      </c>
      <c r="AC150" s="199">
        <f t="shared" si="175"/>
        <v>-3.6585365853658569E-3</v>
      </c>
      <c r="AD150" s="200">
        <f t="shared" si="175"/>
        <v>2.8291621327529937E-2</v>
      </c>
      <c r="AE150" s="199">
        <f t="shared" si="175"/>
        <v>1.3921113689095099E-2</v>
      </c>
      <c r="AF150" s="199">
        <f t="shared" si="175"/>
        <v>1.3225991949396221E-2</v>
      </c>
      <c r="AG150" s="201">
        <f t="shared" si="175"/>
        <v>8.2547169811320042E-3</v>
      </c>
      <c r="AH150" s="180">
        <f t="shared" si="175"/>
        <v>1.357204735778228E-2</v>
      </c>
      <c r="AI150" s="198">
        <f t="shared" si="175"/>
        <v>9.5971563981042562E-2</v>
      </c>
      <c r="AJ150" s="199">
        <f t="shared" si="175"/>
        <v>3.6504424778761146E-2</v>
      </c>
      <c r="AK150" s="199">
        <f t="shared" si="175"/>
        <v>2.4479804161566809E-2</v>
      </c>
      <c r="AL150" s="200">
        <f t="shared" si="175"/>
        <v>-0.11746031746031749</v>
      </c>
      <c r="AM150" s="199">
        <f t="shared" si="175"/>
        <v>6.5217391304347894E-2</v>
      </c>
      <c r="AN150" s="199">
        <f t="shared" si="175"/>
        <v>-5.1645856980703786E-2</v>
      </c>
      <c r="AO150" s="201">
        <f t="shared" si="175"/>
        <v>5.22417153996102E-2</v>
      </c>
      <c r="AP150" s="180">
        <f t="shared" si="175"/>
        <v>6.5527065527064554E-3</v>
      </c>
      <c r="AQ150" s="198"/>
      <c r="AR150" s="199"/>
      <c r="AS150" s="199"/>
      <c r="AT150" s="200"/>
      <c r="AU150" s="199"/>
      <c r="AV150" s="199"/>
      <c r="AW150" s="201"/>
      <c r="AX150" s="180"/>
      <c r="AY150" s="198">
        <f t="shared" ref="AY150:BA152" si="176">AY146/AQ146-1</f>
        <v>-5.4024255788313158E-2</v>
      </c>
      <c r="AZ150" s="199">
        <f t="shared" si="176"/>
        <v>-4.4468546637744022E-2</v>
      </c>
      <c r="BA150" s="199">
        <f t="shared" si="176"/>
        <v>6.8043742405832219E-2</v>
      </c>
      <c r="BB150" s="200"/>
      <c r="BC150" s="199">
        <f>BC146/AU146-1</f>
        <v>-4.9207217058501951E-2</v>
      </c>
      <c r="BD150" s="199"/>
      <c r="BE150" s="201"/>
      <c r="BF150" s="180"/>
      <c r="BG150" s="198"/>
      <c r="BH150" s="199"/>
      <c r="BI150" s="199"/>
      <c r="BJ150" s="200"/>
      <c r="BK150" s="199"/>
      <c r="BL150" s="199"/>
      <c r="BM150" s="201"/>
      <c r="BN150" s="180"/>
      <c r="BO150" s="198">
        <f>BO146/AY146-1</f>
        <v>0.14918414918414924</v>
      </c>
      <c r="BP150" s="199"/>
      <c r="BQ150" s="199"/>
      <c r="BR150" s="200"/>
      <c r="BS150" s="199"/>
      <c r="BT150" s="199"/>
      <c r="BU150" s="201"/>
      <c r="BV150" s="180"/>
      <c r="BW150" s="198"/>
      <c r="BX150" s="199"/>
      <c r="BY150" s="199"/>
      <c r="BZ150" s="200"/>
      <c r="CA150" s="199"/>
      <c r="CB150" s="199"/>
      <c r="CC150" s="201"/>
      <c r="CD150" s="180"/>
      <c r="CE150" s="198"/>
      <c r="CF150" s="199"/>
      <c r="CG150" s="199"/>
      <c r="CH150" s="200"/>
      <c r="CI150" s="199"/>
      <c r="CJ150" s="199"/>
      <c r="CK150" s="201"/>
      <c r="CL150" s="180"/>
      <c r="CM150" s="198"/>
      <c r="CN150" s="199"/>
      <c r="CO150" s="199"/>
      <c r="CP150" s="200"/>
      <c r="CQ150" s="199"/>
      <c r="CR150" s="199"/>
      <c r="CS150" s="201"/>
      <c r="CT150" s="180"/>
      <c r="CX150" s="179"/>
      <c r="DB150" s="314"/>
      <c r="DF150" s="179"/>
      <c r="DJ150" s="314"/>
      <c r="DN150" s="179"/>
      <c r="DR150" s="314"/>
      <c r="DV150" s="179"/>
      <c r="DZ150" s="314"/>
      <c r="ED150" s="179"/>
      <c r="EH150" s="314"/>
      <c r="EL150" s="179"/>
      <c r="EP150" s="314"/>
      <c r="ET150" s="179"/>
      <c r="EX150" s="314"/>
      <c r="FB150" s="179"/>
      <c r="FF150" s="314"/>
    </row>
    <row r="151" spans="1:162" ht="11.25" customHeight="1" outlineLevel="2" x14ac:dyDescent="0.2">
      <c r="A151" s="197" t="s">
        <v>324</v>
      </c>
      <c r="C151" s="198"/>
      <c r="D151" s="199"/>
      <c r="E151" s="199"/>
      <c r="F151" s="200"/>
      <c r="G151" s="199"/>
      <c r="H151" s="199"/>
      <c r="I151" s="201"/>
      <c r="J151" s="180"/>
      <c r="K151" s="198"/>
      <c r="L151" s="199"/>
      <c r="M151" s="199"/>
      <c r="N151" s="200"/>
      <c r="O151" s="199"/>
      <c r="P151" s="199"/>
      <c r="Q151" s="201"/>
      <c r="R151" s="180"/>
      <c r="S151" s="198">
        <f t="shared" si="175"/>
        <v>0.18959107806691455</v>
      </c>
      <c r="T151" s="199">
        <f t="shared" si="175"/>
        <v>0.15264797507788153</v>
      </c>
      <c r="U151" s="199">
        <f t="shared" si="175"/>
        <v>0.24137931034482762</v>
      </c>
      <c r="V151" s="200">
        <f t="shared" si="175"/>
        <v>7.4999999999999956E-2</v>
      </c>
      <c r="W151" s="199">
        <f t="shared" si="175"/>
        <v>0.16949152542372881</v>
      </c>
      <c r="X151" s="199">
        <f t="shared" si="175"/>
        <v>0.14492753623188404</v>
      </c>
      <c r="Y151" s="201">
        <f t="shared" si="175"/>
        <v>0.19318181818181812</v>
      </c>
      <c r="Z151" s="180">
        <f t="shared" si="175"/>
        <v>0.15625</v>
      </c>
      <c r="AA151" s="198">
        <f t="shared" si="175"/>
        <v>0.171875</v>
      </c>
      <c r="AB151" s="199">
        <f t="shared" si="175"/>
        <v>0.13243243243243241</v>
      </c>
      <c r="AC151" s="199">
        <f t="shared" si="175"/>
        <v>8.6111111111111027E-2</v>
      </c>
      <c r="AD151" s="200">
        <f t="shared" si="175"/>
        <v>4.6511627906976827E-2</v>
      </c>
      <c r="AE151" s="199">
        <f t="shared" si="175"/>
        <v>0.15072463768115951</v>
      </c>
      <c r="AF151" s="199">
        <f t="shared" si="175"/>
        <v>6.4556962025316356E-2</v>
      </c>
      <c r="AG151" s="201">
        <f t="shared" si="175"/>
        <v>0.12857142857142856</v>
      </c>
      <c r="AH151" s="180">
        <f t="shared" si="175"/>
        <v>0.10472972972972983</v>
      </c>
      <c r="AI151" s="198">
        <f t="shared" si="175"/>
        <v>9.3333333333333268E-2</v>
      </c>
      <c r="AJ151" s="199">
        <f t="shared" si="175"/>
        <v>5.7279236276849721E-2</v>
      </c>
      <c r="AK151" s="199">
        <f t="shared" si="175"/>
        <v>-7.6726342710997653E-3</v>
      </c>
      <c r="AL151" s="200">
        <f t="shared" si="175"/>
        <v>0.12888888888888883</v>
      </c>
      <c r="AM151" s="199">
        <f t="shared" si="175"/>
        <v>7.4307304785894202E-2</v>
      </c>
      <c r="AN151" s="199">
        <f t="shared" si="175"/>
        <v>6.5398335315101086E-2</v>
      </c>
      <c r="AO151" s="201">
        <f t="shared" si="175"/>
        <v>4.7257383966244682E-2</v>
      </c>
      <c r="AP151" s="180">
        <f t="shared" si="175"/>
        <v>6.9724770642201728E-2</v>
      </c>
      <c r="AQ151" s="198"/>
      <c r="AR151" s="199"/>
      <c r="AS151" s="199"/>
      <c r="AT151" s="200"/>
      <c r="AU151" s="199"/>
      <c r="AV151" s="199"/>
      <c r="AW151" s="201"/>
      <c r="AX151" s="180"/>
      <c r="AY151" s="198">
        <f t="shared" si="176"/>
        <v>2.0151133501259411E-2</v>
      </c>
      <c r="AZ151" s="199">
        <f t="shared" si="176"/>
        <v>7.5609756097561043E-2</v>
      </c>
      <c r="BA151" s="199">
        <f t="shared" si="176"/>
        <v>0.24266666666666659</v>
      </c>
      <c r="BB151" s="200"/>
      <c r="BC151" s="199">
        <f>BC147/AU147-1</f>
        <v>4.8327137546468446E-2</v>
      </c>
      <c r="BD151" s="199"/>
      <c r="BE151" s="201"/>
      <c r="BF151" s="180"/>
      <c r="BG151" s="198"/>
      <c r="BH151" s="199"/>
      <c r="BI151" s="199"/>
      <c r="BJ151" s="200"/>
      <c r="BK151" s="199"/>
      <c r="BL151" s="199"/>
      <c r="BM151" s="201"/>
      <c r="BN151" s="180"/>
      <c r="BO151" s="198">
        <f>BO147/AY147-1</f>
        <v>0.16543209876543208</v>
      </c>
      <c r="BP151" s="199"/>
      <c r="BQ151" s="199"/>
      <c r="BR151" s="200"/>
      <c r="BS151" s="199"/>
      <c r="BT151" s="199"/>
      <c r="BU151" s="201"/>
      <c r="BV151" s="180"/>
      <c r="BW151" s="198"/>
      <c r="BX151" s="199"/>
      <c r="BY151" s="199"/>
      <c r="BZ151" s="200"/>
      <c r="CA151" s="199"/>
      <c r="CB151" s="199"/>
      <c r="CC151" s="201"/>
      <c r="CD151" s="180"/>
      <c r="CE151" s="198"/>
      <c r="CF151" s="199"/>
      <c r="CG151" s="199"/>
      <c r="CH151" s="200"/>
      <c r="CI151" s="199"/>
      <c r="CJ151" s="199"/>
      <c r="CK151" s="201"/>
      <c r="CL151" s="180"/>
      <c r="CM151" s="198"/>
      <c r="CN151" s="199"/>
      <c r="CO151" s="199"/>
      <c r="CP151" s="200"/>
      <c r="CQ151" s="199"/>
      <c r="CR151" s="199"/>
      <c r="CS151" s="201"/>
      <c r="CT151" s="180"/>
      <c r="CX151" s="179"/>
      <c r="DB151" s="314"/>
      <c r="DF151" s="179"/>
      <c r="DJ151" s="314"/>
      <c r="DN151" s="179"/>
      <c r="DR151" s="314"/>
      <c r="DV151" s="179"/>
      <c r="DZ151" s="314"/>
      <c r="ED151" s="179"/>
      <c r="EH151" s="314"/>
      <c r="EL151" s="179"/>
      <c r="EP151" s="314"/>
      <c r="ET151" s="179"/>
      <c r="EX151" s="314"/>
      <c r="FB151" s="179"/>
      <c r="FF151" s="314"/>
    </row>
    <row r="152" spans="1:162" ht="11.25" customHeight="1" outlineLevel="2" x14ac:dyDescent="0.2">
      <c r="A152" s="202" t="s">
        <v>330</v>
      </c>
      <c r="C152" s="198"/>
      <c r="D152" s="199"/>
      <c r="E152" s="199"/>
      <c r="F152" s="200"/>
      <c r="G152" s="199"/>
      <c r="H152" s="199"/>
      <c r="I152" s="201"/>
      <c r="J152" s="180"/>
      <c r="K152" s="198"/>
      <c r="L152" s="199"/>
      <c r="M152" s="199"/>
      <c r="N152" s="200"/>
      <c r="O152" s="199"/>
      <c r="P152" s="199"/>
      <c r="Q152" s="201"/>
      <c r="R152" s="180"/>
      <c r="S152" s="198">
        <f t="shared" si="175"/>
        <v>0.15354330708661412</v>
      </c>
      <c r="T152" s="199">
        <f t="shared" si="175"/>
        <v>0.10793933987511162</v>
      </c>
      <c r="U152" s="199">
        <f t="shared" si="175"/>
        <v>0.15572967678746319</v>
      </c>
      <c r="V152" s="200">
        <f t="shared" si="175"/>
        <v>4.7360248447204878E-2</v>
      </c>
      <c r="W152" s="199">
        <f t="shared" si="175"/>
        <v>0.12962096396817979</v>
      </c>
      <c r="X152" s="199">
        <f t="shared" si="175"/>
        <v>9.5279341706366427E-2</v>
      </c>
      <c r="Y152" s="201">
        <f t="shared" si="175"/>
        <v>0.13806206459784676</v>
      </c>
      <c r="Z152" s="180">
        <f t="shared" si="175"/>
        <v>0.11178587494376968</v>
      </c>
      <c r="AA152" s="198">
        <f t="shared" si="175"/>
        <v>4.0102389078498391E-2</v>
      </c>
      <c r="AB152" s="199">
        <f t="shared" si="175"/>
        <v>6.5217391304347894E-2</v>
      </c>
      <c r="AC152" s="199">
        <f t="shared" si="175"/>
        <v>2.3728813559322104E-2</v>
      </c>
      <c r="AD152" s="200">
        <f t="shared" si="175"/>
        <v>3.4099332839140128E-2</v>
      </c>
      <c r="AE152" s="199">
        <f t="shared" si="175"/>
        <v>5.3024026512013211E-2</v>
      </c>
      <c r="AF152" s="199">
        <f t="shared" si="175"/>
        <v>2.9260577303281909E-2</v>
      </c>
      <c r="AG152" s="201">
        <f t="shared" si="175"/>
        <v>4.3405676126878179E-2</v>
      </c>
      <c r="AH152" s="180">
        <f t="shared" si="175"/>
        <v>4.0865870928585846E-2</v>
      </c>
      <c r="AI152" s="198">
        <f t="shared" si="175"/>
        <v>9.5159967186218219E-2</v>
      </c>
      <c r="AJ152" s="199">
        <f t="shared" si="175"/>
        <v>4.3083900226757343E-2</v>
      </c>
      <c r="AK152" s="199">
        <f t="shared" si="175"/>
        <v>1.4072847682119249E-2</v>
      </c>
      <c r="AL152" s="200">
        <f t="shared" si="175"/>
        <v>5.7347670250896154E-2</v>
      </c>
      <c r="AM152" s="199">
        <f t="shared" si="175"/>
        <v>6.8056648308418621E-2</v>
      </c>
      <c r="AN152" s="199">
        <f t="shared" si="175"/>
        <v>3.7264694583173164E-2</v>
      </c>
      <c r="AO152" s="201">
        <f t="shared" si="175"/>
        <v>5.0666666666666638E-2</v>
      </c>
      <c r="AP152" s="180">
        <f t="shared" si="175"/>
        <v>5.2478134110787167E-2</v>
      </c>
      <c r="AQ152" s="198"/>
      <c r="AR152" s="199"/>
      <c r="AS152" s="199"/>
      <c r="AT152" s="200"/>
      <c r="AU152" s="199"/>
      <c r="AV152" s="199"/>
      <c r="AW152" s="201"/>
      <c r="AX152" s="180"/>
      <c r="AY152" s="198">
        <f t="shared" si="176"/>
        <v>-3.1441717791411028E-2</v>
      </c>
      <c r="AZ152" s="199">
        <f t="shared" si="176"/>
        <v>-7.5075075075075048E-3</v>
      </c>
      <c r="BA152" s="199">
        <f t="shared" si="176"/>
        <v>0.12270450751252082</v>
      </c>
      <c r="BB152" s="200">
        <f>+BB148/AT148-1</f>
        <v>2.7349228611500687E-2</v>
      </c>
      <c r="BC152" s="199">
        <f>BC148/AU148-1</f>
        <v>-1.9347496206373327E-2</v>
      </c>
      <c r="BD152" s="199">
        <f>+BD148/AV148-1</f>
        <v>7.0884146341463339E-2</v>
      </c>
      <c r="BE152" s="201">
        <f>+BE148/AW148-1</f>
        <v>7.7725612936880628E-2</v>
      </c>
      <c r="BF152" s="180">
        <f>+BF148/AX148-1</f>
        <v>2.5665399239543696E-2</v>
      </c>
      <c r="BG152" s="198"/>
      <c r="BH152" s="199"/>
      <c r="BI152" s="199"/>
      <c r="BJ152" s="200"/>
      <c r="BK152" s="199"/>
      <c r="BL152" s="199"/>
      <c r="BM152" s="201"/>
      <c r="BN152" s="180"/>
      <c r="BO152" s="198">
        <f>BO148/AY148-1</f>
        <v>0.154394299287411</v>
      </c>
      <c r="BP152" s="199"/>
      <c r="BQ152" s="199"/>
      <c r="BR152" s="200"/>
      <c r="BS152" s="199"/>
      <c r="BT152" s="199"/>
      <c r="BU152" s="201"/>
      <c r="BV152" s="180"/>
      <c r="BW152" s="198"/>
      <c r="BX152" s="199"/>
      <c r="BY152" s="199"/>
      <c r="BZ152" s="200"/>
      <c r="CA152" s="199"/>
      <c r="CB152" s="199"/>
      <c r="CC152" s="201"/>
      <c r="CD152" s="180"/>
      <c r="CE152" s="198"/>
      <c r="CF152" s="199"/>
      <c r="CG152" s="199"/>
      <c r="CH152" s="200"/>
      <c r="CI152" s="199"/>
      <c r="CJ152" s="199"/>
      <c r="CK152" s="201"/>
      <c r="CL152" s="180"/>
      <c r="CM152" s="198"/>
      <c r="CN152" s="199"/>
      <c r="CO152" s="199"/>
      <c r="CP152" s="200"/>
      <c r="CQ152" s="199"/>
      <c r="CR152" s="199"/>
      <c r="CS152" s="201"/>
      <c r="CT152" s="180"/>
      <c r="CX152" s="179"/>
      <c r="DB152" s="314"/>
      <c r="DF152" s="179"/>
      <c r="DJ152" s="314"/>
      <c r="DN152" s="179"/>
      <c r="DR152" s="314"/>
      <c r="DV152" s="179"/>
      <c r="DZ152" s="314"/>
      <c r="ED152" s="179"/>
      <c r="EH152" s="314"/>
      <c r="EL152" s="179"/>
      <c r="EP152" s="314"/>
      <c r="ET152" s="179"/>
      <c r="EX152" s="314"/>
      <c r="FB152" s="179"/>
      <c r="FF152" s="314"/>
    </row>
    <row r="153" spans="1:162" s="88" customFormat="1" ht="11.25" customHeight="1" outlineLevel="2" x14ac:dyDescent="0.2">
      <c r="A153" s="88" t="s">
        <v>331</v>
      </c>
      <c r="C153" s="352"/>
      <c r="D153" s="353"/>
      <c r="E153" s="353"/>
      <c r="F153" s="354"/>
      <c r="G153" s="353"/>
      <c r="H153" s="353"/>
      <c r="I153" s="355"/>
      <c r="J153" s="91"/>
      <c r="K153" s="352"/>
      <c r="L153" s="353"/>
      <c r="M153" s="353"/>
      <c r="N153" s="354"/>
      <c r="O153" s="353"/>
      <c r="P153" s="353"/>
      <c r="Q153" s="355"/>
      <c r="R153" s="91"/>
      <c r="S153" s="352"/>
      <c r="T153" s="353"/>
      <c r="U153" s="353"/>
      <c r="V153" s="354"/>
      <c r="W153" s="353"/>
      <c r="X153" s="353"/>
      <c r="Y153" s="355"/>
      <c r="Z153" s="91"/>
      <c r="AA153" s="352"/>
      <c r="AB153" s="353"/>
      <c r="AC153" s="353"/>
      <c r="AD153" s="354"/>
      <c r="AE153" s="353"/>
      <c r="AF153" s="353"/>
      <c r="AG153" s="355"/>
      <c r="AH153" s="91"/>
      <c r="AI153" s="352">
        <f t="shared" ref="AI153:AP153" si="177">+AI148/AA148-1-AI129</f>
        <v>9.5159967186218219E-2</v>
      </c>
      <c r="AJ153" s="353">
        <f t="shared" si="177"/>
        <v>4.3083900226757343E-2</v>
      </c>
      <c r="AK153" s="353">
        <f t="shared" si="177"/>
        <v>1.4072847682119249E-2</v>
      </c>
      <c r="AL153" s="354">
        <f t="shared" si="177"/>
        <v>5.7347670250896154E-2</v>
      </c>
      <c r="AM153" s="353">
        <f t="shared" si="177"/>
        <v>6.8056648308418621E-2</v>
      </c>
      <c r="AN153" s="353">
        <f t="shared" si="177"/>
        <v>3.7264694583173164E-2</v>
      </c>
      <c r="AO153" s="355">
        <f t="shared" si="177"/>
        <v>5.0666666666666638E-2</v>
      </c>
      <c r="AP153" s="91">
        <f t="shared" si="177"/>
        <v>5.2478134110787167E-2</v>
      </c>
      <c r="AQ153" s="352"/>
      <c r="AR153" s="353"/>
      <c r="AS153" s="353"/>
      <c r="AT153" s="354"/>
      <c r="AU153" s="353"/>
      <c r="AV153" s="353"/>
      <c r="AW153" s="355"/>
      <c r="AX153" s="91"/>
      <c r="AY153" s="352"/>
      <c r="AZ153" s="353"/>
      <c r="BA153" s="353"/>
      <c r="BB153" s="354"/>
      <c r="BC153" s="353"/>
      <c r="BD153" s="353"/>
      <c r="BE153" s="355"/>
      <c r="BF153" s="91"/>
      <c r="BG153" s="352"/>
      <c r="BH153" s="353"/>
      <c r="BI153" s="353"/>
      <c r="BJ153" s="354"/>
      <c r="BK153" s="353"/>
      <c r="BL153" s="353"/>
      <c r="BM153" s="355"/>
      <c r="BN153" s="91"/>
      <c r="BO153" s="352"/>
      <c r="BP153" s="353"/>
      <c r="BQ153" s="353"/>
      <c r="BR153" s="354"/>
      <c r="BS153" s="353"/>
      <c r="BT153" s="353"/>
      <c r="BU153" s="355"/>
      <c r="BV153" s="91"/>
      <c r="BW153" s="352"/>
      <c r="BX153" s="353"/>
      <c r="BY153" s="353"/>
      <c r="BZ153" s="354"/>
      <c r="CA153" s="353"/>
      <c r="CB153" s="353"/>
      <c r="CC153" s="355"/>
      <c r="CD153" s="91"/>
      <c r="CE153" s="352"/>
      <c r="CF153" s="353"/>
      <c r="CG153" s="353"/>
      <c r="CH153" s="354"/>
      <c r="CI153" s="353"/>
      <c r="CJ153" s="353"/>
      <c r="CK153" s="355"/>
      <c r="CL153" s="91"/>
      <c r="CM153" s="352"/>
      <c r="CN153" s="353"/>
      <c r="CO153" s="353"/>
      <c r="CP153" s="354"/>
      <c r="CQ153" s="353"/>
      <c r="CR153" s="353"/>
      <c r="CS153" s="355"/>
      <c r="CT153" s="91"/>
      <c r="CU153" s="89"/>
      <c r="CV153" s="89"/>
      <c r="CW153" s="89"/>
      <c r="CX153" s="356"/>
      <c r="CY153" s="89"/>
      <c r="CZ153" s="89"/>
      <c r="DA153" s="89"/>
      <c r="DB153" s="357"/>
      <c r="DC153" s="89"/>
      <c r="DD153" s="89"/>
      <c r="DE153" s="89"/>
      <c r="DF153" s="356"/>
      <c r="DG153" s="89"/>
      <c r="DH153" s="89"/>
      <c r="DI153" s="89"/>
      <c r="DJ153" s="357"/>
      <c r="DK153" s="89"/>
      <c r="DL153" s="89"/>
      <c r="DM153" s="89"/>
      <c r="DN153" s="356"/>
      <c r="DO153" s="89"/>
      <c r="DP153" s="89"/>
      <c r="DQ153" s="89"/>
      <c r="DR153" s="357"/>
      <c r="DS153" s="89"/>
      <c r="DT153" s="89"/>
      <c r="DU153" s="89"/>
      <c r="DV153" s="356"/>
      <c r="DW153" s="89"/>
      <c r="DX153" s="89"/>
      <c r="DY153" s="89"/>
      <c r="DZ153" s="357"/>
      <c r="EA153" s="89"/>
      <c r="EB153" s="89"/>
      <c r="EC153" s="89"/>
      <c r="ED153" s="356"/>
      <c r="EE153" s="89"/>
      <c r="EF153" s="89"/>
      <c r="EG153" s="89"/>
      <c r="EH153" s="357"/>
      <c r="EI153" s="89"/>
      <c r="EJ153" s="89"/>
      <c r="EK153" s="89"/>
      <c r="EL153" s="356"/>
      <c r="EM153" s="89"/>
      <c r="EN153" s="89"/>
      <c r="EO153" s="89"/>
      <c r="EP153" s="357"/>
      <c r="EQ153" s="89"/>
      <c r="ER153" s="89"/>
      <c r="ES153" s="89"/>
      <c r="ET153" s="356"/>
      <c r="EU153" s="89"/>
      <c r="EV153" s="89"/>
      <c r="EW153" s="89"/>
      <c r="EX153" s="357"/>
      <c r="EY153" s="89"/>
      <c r="EZ153" s="89"/>
      <c r="FA153" s="89"/>
      <c r="FB153" s="356"/>
      <c r="FC153" s="89"/>
      <c r="FD153" s="89"/>
      <c r="FE153" s="89"/>
      <c r="FF153" s="357"/>
    </row>
    <row r="154" spans="1:162" ht="11.25" customHeight="1" outlineLevel="1" x14ac:dyDescent="0.2">
      <c r="A154" s="186"/>
      <c r="C154" s="198"/>
      <c r="D154" s="199"/>
      <c r="E154" s="199"/>
      <c r="F154" s="200"/>
      <c r="G154" s="199"/>
      <c r="H154" s="199"/>
      <c r="I154" s="201"/>
      <c r="J154" s="180"/>
      <c r="K154" s="198"/>
      <c r="L154" s="199"/>
      <c r="M154" s="199"/>
      <c r="N154" s="200"/>
      <c r="O154" s="199"/>
      <c r="P154" s="199"/>
      <c r="Q154" s="201"/>
      <c r="R154" s="180"/>
      <c r="S154" s="198"/>
      <c r="T154" s="199"/>
      <c r="U154" s="199"/>
      <c r="V154" s="200"/>
      <c r="W154" s="199"/>
      <c r="X154" s="199"/>
      <c r="Y154" s="201"/>
      <c r="Z154" s="180"/>
      <c r="AA154" s="198"/>
      <c r="AB154" s="199"/>
      <c r="AC154" s="199"/>
      <c r="AD154" s="200"/>
      <c r="AE154" s="199"/>
      <c r="AF154" s="199"/>
      <c r="AG154" s="201"/>
      <c r="AH154" s="180"/>
      <c r="AI154" s="198"/>
      <c r="AJ154" s="199"/>
      <c r="AK154" s="199"/>
      <c r="AL154" s="200"/>
      <c r="AM154" s="199"/>
      <c r="AN154" s="199"/>
      <c r="AO154" s="201"/>
      <c r="AP154" s="180"/>
      <c r="AQ154" s="198"/>
      <c r="AR154" s="199"/>
      <c r="AS154" s="199"/>
      <c r="AT154" s="200"/>
      <c r="AU154" s="199"/>
      <c r="AV154" s="199"/>
      <c r="AW154" s="201"/>
      <c r="AX154" s="180"/>
      <c r="AY154" s="198"/>
      <c r="AZ154" s="199"/>
      <c r="BA154" s="199"/>
      <c r="BB154" s="200"/>
      <c r="BC154" s="199"/>
      <c r="BD154" s="199"/>
      <c r="BE154" s="201"/>
      <c r="BF154" s="180"/>
      <c r="BG154" s="198"/>
      <c r="BH154" s="199"/>
      <c r="BI154" s="199"/>
      <c r="BJ154" s="200"/>
      <c r="BK154" s="199"/>
      <c r="BL154" s="199"/>
      <c r="BM154" s="201"/>
      <c r="BN154" s="180"/>
      <c r="BO154" s="198"/>
      <c r="BP154" s="199"/>
      <c r="BQ154" s="199"/>
      <c r="BR154" s="200"/>
      <c r="BS154" s="199"/>
      <c r="BT154" s="199"/>
      <c r="BU154" s="201"/>
      <c r="BV154" s="180"/>
      <c r="BW154" s="198"/>
      <c r="BX154" s="199"/>
      <c r="BY154" s="199"/>
      <c r="BZ154" s="200"/>
      <c r="CA154" s="199"/>
      <c r="CB154" s="199"/>
      <c r="CC154" s="201"/>
      <c r="CD154" s="180"/>
      <c r="CE154" s="198"/>
      <c r="CF154" s="199"/>
      <c r="CG154" s="199"/>
      <c r="CH154" s="200"/>
      <c r="CI154" s="199"/>
      <c r="CJ154" s="199"/>
      <c r="CK154" s="201"/>
      <c r="CL154" s="180"/>
      <c r="CM154" s="198"/>
      <c r="CN154" s="199"/>
      <c r="CO154" s="199"/>
      <c r="CP154" s="200"/>
      <c r="CQ154" s="199"/>
      <c r="CR154" s="199"/>
      <c r="CS154" s="201"/>
      <c r="CT154" s="180"/>
      <c r="CX154" s="179"/>
      <c r="DB154" s="314"/>
      <c r="DF154" s="179"/>
      <c r="DJ154" s="314"/>
      <c r="DN154" s="179"/>
      <c r="DR154" s="314"/>
      <c r="DV154" s="179"/>
      <c r="DZ154" s="314"/>
      <c r="ED154" s="179"/>
      <c r="EH154" s="314"/>
      <c r="EL154" s="179"/>
      <c r="EP154" s="314"/>
      <c r="ET154" s="179"/>
      <c r="EX154" s="314"/>
      <c r="FB154" s="179"/>
      <c r="FF154" s="314"/>
    </row>
    <row r="155" spans="1:162" ht="11.25" customHeight="1" outlineLevel="1" x14ac:dyDescent="0.2">
      <c r="A155" s="219" t="s">
        <v>332</v>
      </c>
      <c r="C155" s="65"/>
      <c r="F155" s="179"/>
      <c r="I155" s="180"/>
      <c r="J155" s="180"/>
      <c r="K155" s="65"/>
      <c r="N155" s="179"/>
      <c r="Q155" s="180"/>
      <c r="R155" s="180"/>
      <c r="S155" s="65"/>
      <c r="V155" s="179"/>
      <c r="Y155" s="180"/>
      <c r="Z155" s="180"/>
      <c r="AA155" s="65"/>
      <c r="AD155" s="179"/>
      <c r="AG155" s="180"/>
      <c r="AH155" s="180"/>
      <c r="AI155" s="65"/>
      <c r="AL155" s="179"/>
      <c r="AO155" s="180"/>
      <c r="AP155" s="180"/>
      <c r="AQ155" s="65"/>
      <c r="AT155" s="179"/>
      <c r="AW155" s="180"/>
      <c r="AX155" s="180"/>
      <c r="AY155" s="65"/>
      <c r="BB155" s="179"/>
      <c r="BE155" s="180"/>
      <c r="BF155" s="180"/>
      <c r="BG155" s="65"/>
      <c r="BJ155" s="179"/>
      <c r="BM155" s="180"/>
      <c r="BN155" s="180"/>
      <c r="BO155" s="65"/>
      <c r="BR155" s="179"/>
      <c r="BU155" s="180"/>
      <c r="BV155" s="180"/>
      <c r="BW155" s="65"/>
      <c r="BZ155" s="179"/>
      <c r="CC155" s="180"/>
      <c r="CD155" s="180"/>
      <c r="CE155" s="65"/>
      <c r="CH155" s="179"/>
      <c r="CK155" s="180"/>
      <c r="CL155" s="180"/>
      <c r="CM155" s="65"/>
      <c r="CP155" s="179"/>
      <c r="CS155" s="180"/>
      <c r="CT155" s="180"/>
      <c r="CX155" s="179"/>
      <c r="DB155" s="314"/>
      <c r="DF155" s="179"/>
      <c r="DJ155" s="314"/>
      <c r="DN155" s="179"/>
      <c r="DR155" s="314"/>
      <c r="DV155" s="179"/>
      <c r="DZ155" s="314"/>
      <c r="ED155" s="179"/>
      <c r="EH155" s="314"/>
      <c r="EL155" s="179"/>
      <c r="EP155" s="314"/>
      <c r="ET155" s="179"/>
      <c r="EX155" s="314"/>
      <c r="FB155" s="179"/>
      <c r="FF155" s="314"/>
    </row>
    <row r="156" spans="1:162" ht="11.25" customHeight="1" outlineLevel="1" x14ac:dyDescent="0.2">
      <c r="A156" s="186"/>
      <c r="B156" s="4" t="s">
        <v>333</v>
      </c>
      <c r="C156" s="198"/>
      <c r="D156" s="199"/>
      <c r="E156" s="199"/>
      <c r="F156" s="200"/>
      <c r="G156" s="199"/>
      <c r="H156" s="199"/>
      <c r="I156" s="201"/>
      <c r="J156" s="201"/>
      <c r="K156" s="198"/>
      <c r="L156" s="199"/>
      <c r="M156" s="199"/>
      <c r="N156" s="200"/>
      <c r="O156" s="199"/>
      <c r="P156" s="199"/>
      <c r="Q156" s="201"/>
      <c r="R156" s="201"/>
      <c r="S156" s="198"/>
      <c r="T156" s="199"/>
      <c r="U156" s="199"/>
      <c r="V156" s="200"/>
      <c r="W156" s="199"/>
      <c r="X156" s="199"/>
      <c r="Y156" s="201"/>
      <c r="Z156" s="201"/>
      <c r="AA156" s="198"/>
      <c r="AB156" s="199"/>
      <c r="AC156" s="199"/>
      <c r="AD156" s="200"/>
      <c r="AE156" s="199"/>
      <c r="AF156" s="199"/>
      <c r="AG156" s="201"/>
      <c r="AH156" s="201"/>
      <c r="AI156" s="198"/>
      <c r="AJ156" s="199"/>
      <c r="AK156" s="199"/>
      <c r="AL156" s="200"/>
      <c r="AM156" s="199"/>
      <c r="AN156" s="199"/>
      <c r="AO156" s="201"/>
      <c r="AP156" s="201"/>
      <c r="AQ156" s="198"/>
      <c r="AR156" s="199"/>
      <c r="AS156" s="199"/>
      <c r="AT156" s="200"/>
      <c r="AU156" s="199"/>
      <c r="AV156" s="199"/>
      <c r="AW156" s="201"/>
      <c r="AX156" s="201"/>
      <c r="AY156" s="198"/>
      <c r="AZ156" s="199"/>
      <c r="BA156" s="199"/>
      <c r="BB156" s="200"/>
      <c r="BC156" s="199"/>
      <c r="BD156" s="199"/>
      <c r="BE156" s="201"/>
      <c r="BF156" s="201"/>
      <c r="BG156" s="198">
        <v>949</v>
      </c>
      <c r="BH156" s="199">
        <f>BK156-BG156</f>
        <v>1127</v>
      </c>
      <c r="BI156" s="199">
        <v>1117</v>
      </c>
      <c r="BJ156" s="200">
        <f>BN156-BM156</f>
        <v>1387</v>
      </c>
      <c r="BK156" s="199">
        <f>BM156-BI156</f>
        <v>2076</v>
      </c>
      <c r="BL156" s="199">
        <f>BJ156+BI156</f>
        <v>2504</v>
      </c>
      <c r="BM156" s="201">
        <v>3193</v>
      </c>
      <c r="BN156" s="201">
        <v>4580</v>
      </c>
      <c r="BO156" s="198">
        <v>1166</v>
      </c>
      <c r="BP156" s="199">
        <f>BS156-BO156</f>
        <v>1326</v>
      </c>
      <c r="BQ156" s="199">
        <v>1318</v>
      </c>
      <c r="BR156" s="200">
        <f>BV156-BU156</f>
        <v>1387</v>
      </c>
      <c r="BS156" s="199">
        <f>BU156-BQ156</f>
        <v>2492</v>
      </c>
      <c r="BT156" s="199">
        <f>BR156+BQ156</f>
        <v>2705</v>
      </c>
      <c r="BU156" s="201">
        <v>3810</v>
      </c>
      <c r="BV156" s="201">
        <v>5197</v>
      </c>
      <c r="BW156" s="198">
        <v>890</v>
      </c>
      <c r="BX156" s="199">
        <f>CA156-BW156</f>
        <v>644</v>
      </c>
      <c r="BY156" s="199">
        <v>675</v>
      </c>
      <c r="BZ156" s="200">
        <f>CD156-SUM(BW156:BY156)</f>
        <v>786</v>
      </c>
      <c r="CA156" s="199">
        <v>1534</v>
      </c>
      <c r="CB156" s="199">
        <f>BZ156+BY156</f>
        <v>1461</v>
      </c>
      <c r="CC156" s="201">
        <f>BY156+CA156</f>
        <v>2209</v>
      </c>
      <c r="CD156" s="201">
        <v>2995</v>
      </c>
      <c r="CE156" s="198">
        <v>620</v>
      </c>
      <c r="CF156" s="199">
        <f>CI156-CE156</f>
        <v>675</v>
      </c>
      <c r="CG156" s="199">
        <v>682</v>
      </c>
      <c r="CH156" s="200">
        <f>+CL156-CG156-CF156-CE156</f>
        <v>824</v>
      </c>
      <c r="CI156" s="199">
        <v>1295</v>
      </c>
      <c r="CJ156" s="199">
        <f>+CL156-CI156</f>
        <v>1506</v>
      </c>
      <c r="CK156" s="201">
        <f>+CE156+CF156+CG156</f>
        <v>1977</v>
      </c>
      <c r="CL156" s="201">
        <f>+Propulsion!W74+Propulsion!W76</f>
        <v>2801</v>
      </c>
      <c r="CM156" s="198">
        <v>710</v>
      </c>
      <c r="CN156" s="199">
        <f>CQ156-CM156</f>
        <v>797</v>
      </c>
      <c r="CO156" s="199">
        <v>944</v>
      </c>
      <c r="CP156" s="200">
        <f>+CT156-CO156-CN156-CM156</f>
        <v>1064</v>
      </c>
      <c r="CQ156" s="199">
        <v>1507</v>
      </c>
      <c r="CR156" s="199">
        <f>+CT156-CQ156</f>
        <v>2008</v>
      </c>
      <c r="CS156" s="201">
        <f>+CM156+CN156+CO156</f>
        <v>2451</v>
      </c>
      <c r="CT156" s="201">
        <f>+Propulsion!X74+Propulsion!X76</f>
        <v>3515</v>
      </c>
      <c r="CU156" s="198">
        <f>+Propulsion!Y74+Propulsion!Y76</f>
        <v>1106</v>
      </c>
      <c r="CV156" s="199">
        <f>+Propulsion!Z74+Propulsion!Z76</f>
        <v>1279</v>
      </c>
      <c r="CW156" s="199">
        <f>+Propulsion!AA74+Propulsion!AA76</f>
        <v>1093</v>
      </c>
      <c r="CX156" s="200">
        <f>+Propulsion!AB74+Propulsion!AB76</f>
        <v>1087</v>
      </c>
      <c r="CY156" s="199">
        <f>+Propulsion!AC74+Propulsion!AC76</f>
        <v>2385</v>
      </c>
      <c r="CZ156" s="199">
        <f>+Propulsion!AD74+Propulsion!AD76</f>
        <v>2180</v>
      </c>
      <c r="DA156" s="199">
        <f>+Propulsion!AE74+Propulsion!AE76</f>
        <v>3478</v>
      </c>
      <c r="DB156" s="1481">
        <f>+Propulsion!AF74+Propulsion!AF76</f>
        <v>4565</v>
      </c>
      <c r="DC156" s="198">
        <f>+Propulsion!AG74+Propulsion!AG76</f>
        <v>1198</v>
      </c>
      <c r="DD156" s="199">
        <f>+Propulsion!AH74+Propulsion!AH76</f>
        <v>1233</v>
      </c>
      <c r="DE156" s="199">
        <f>+Propulsion!AI74+Propulsion!AI76</f>
        <v>1137</v>
      </c>
      <c r="DF156" s="200">
        <f>+Propulsion!AJ74+Propulsion!AJ76</f>
        <v>1654</v>
      </c>
      <c r="DG156" s="199">
        <f>+Propulsion!AK74+Propulsion!AK76</f>
        <v>2431</v>
      </c>
      <c r="DH156" s="199">
        <f>+Propulsion!AL74+Propulsion!AL76</f>
        <v>2791</v>
      </c>
      <c r="DI156" s="199">
        <f>+Propulsion!AM74+Propulsion!AM76</f>
        <v>3568</v>
      </c>
      <c r="DJ156" s="1481">
        <f>+Propulsion!AN74+Propulsion!AN76</f>
        <v>5222</v>
      </c>
      <c r="DK156" s="198">
        <f>+Propulsion!AO74+Propulsion!AO76</f>
        <v>1303</v>
      </c>
      <c r="DL156" s="199">
        <f>+Propulsion!AP74+Propulsion!AP76</f>
        <v>1320</v>
      </c>
      <c r="DM156" s="199">
        <f>+Propulsion!AQ74+Propulsion!AQ76</f>
        <v>1459</v>
      </c>
      <c r="DN156" s="200">
        <f>+Propulsion!AR74+Propulsion!AR76</f>
        <v>1464</v>
      </c>
      <c r="DO156" s="199">
        <f>+Propulsion!AS74+Propulsion!AS76</f>
        <v>2623</v>
      </c>
      <c r="DP156" s="199">
        <f>+Propulsion!AT74+Propulsion!AT76</f>
        <v>2923</v>
      </c>
      <c r="DQ156" s="199">
        <f>+Propulsion!AU74+Propulsion!AU76</f>
        <v>4082</v>
      </c>
      <c r="DR156" s="1481">
        <f>+Propulsion!AV74+Propulsion!AV76</f>
        <v>5546</v>
      </c>
      <c r="DS156" s="199">
        <f>+Propulsion!AW74+Propulsion!AW76</f>
        <v>1614</v>
      </c>
      <c r="DT156" s="199">
        <f>+Propulsion!AX74+Propulsion!AX76</f>
        <v>1670</v>
      </c>
      <c r="DU156" s="280">
        <f>+Propulsion!AY74+Propulsion!AY76</f>
        <v>1657.2746724150643</v>
      </c>
      <c r="DV156" s="358">
        <f>+Propulsion!AZ74+Propulsion!AZ76</f>
        <v>1815.565740668932</v>
      </c>
      <c r="DW156" s="199">
        <f>+Propulsion!BA74+Propulsion!BA76</f>
        <v>3284</v>
      </c>
      <c r="DX156" s="280">
        <f>+Propulsion!BB74+Propulsion!BB76</f>
        <v>3472.8404130839963</v>
      </c>
      <c r="DY156" s="280">
        <f>+Propulsion!BC74+Propulsion!BC76</f>
        <v>4945.2321151559863</v>
      </c>
      <c r="DZ156" s="359">
        <f>+Propulsion!BD74+Propulsion!BD76</f>
        <v>6760.7978558249179</v>
      </c>
      <c r="EA156" s="280">
        <f>+Propulsion!BE74+Propulsion!BE76</f>
        <v>1604.0030640197465</v>
      </c>
      <c r="EB156" s="280">
        <f>+Propulsion!BF74+Propulsion!BF76</f>
        <v>1624.2284852382327</v>
      </c>
      <c r="EC156" s="280">
        <f>+Propulsion!BG74+Propulsion!BG76</f>
        <v>1625.1564673810908</v>
      </c>
      <c r="ED156" s="358">
        <f>+Propulsion!BH74+Propulsion!BH76</f>
        <v>2396.2734468454255</v>
      </c>
      <c r="EE156" s="280">
        <f>+Propulsion!BI74+Propulsion!BI76</f>
        <v>3228.2315492579801</v>
      </c>
      <c r="EF156" s="280">
        <f>+Propulsion!BJ74+Propulsion!BJ76</f>
        <v>4021.4299142265172</v>
      </c>
      <c r="EG156" s="280">
        <f>+Propulsion!BK74+Propulsion!BK76</f>
        <v>4853.38801663907</v>
      </c>
      <c r="EH156" s="359">
        <f>+Propulsion!BL74+Propulsion!BL76</f>
        <v>7249.6614634844991</v>
      </c>
      <c r="EI156" s="280">
        <f>+Propulsion!BM74+Propulsion!BM76</f>
        <v>1788.5258580929581</v>
      </c>
      <c r="EJ156" s="280">
        <f>+Propulsion!BN74+Propulsion!BN76</f>
        <v>1805.7808347358146</v>
      </c>
      <c r="EK156" s="280">
        <f>+Propulsion!BO74+Propulsion!BO76</f>
        <v>1808.6189923786719</v>
      </c>
      <c r="EL156" s="358">
        <f>+Propulsion!BP74+Propulsion!BP76</f>
        <v>2556.244706288725</v>
      </c>
      <c r="EM156" s="280">
        <f>+Propulsion!BQ74+Propulsion!BQ76</f>
        <v>3594.3066928287726</v>
      </c>
      <c r="EN156" s="280">
        <f>+Propulsion!BR74+Propulsion!BR76</f>
        <v>4364.8636986673973</v>
      </c>
      <c r="EO156" s="280">
        <f>+Propulsion!BS74+Propulsion!BS76</f>
        <v>5402.9256852074468</v>
      </c>
      <c r="EP156" s="359">
        <f>+Propulsion!BT74+Propulsion!BT76</f>
        <v>7959.1703914961672</v>
      </c>
      <c r="EQ156" s="280">
        <f>+Propulsion!BU74+Propulsion!BU76</f>
        <v>1879.0541690779251</v>
      </c>
      <c r="ER156" s="280">
        <f>+Propulsion!BV74+Propulsion!BV76</f>
        <v>1876.0899318818701</v>
      </c>
      <c r="ES156" s="280">
        <f>+Propulsion!BW74+Propulsion!BW76</f>
        <v>1879.0541690779246</v>
      </c>
      <c r="ET156" s="358">
        <f>+Propulsion!BX74+Propulsion!BX76</f>
        <v>2644.2244314635545</v>
      </c>
      <c r="EU156" s="280">
        <f>+Propulsion!BY74+Propulsion!BY76</f>
        <v>3755.1441009597975</v>
      </c>
      <c r="EV156" s="280">
        <f>+Propulsion!BZ74+Propulsion!BZ76</f>
        <v>4523.2786005414819</v>
      </c>
      <c r="EW156" s="280">
        <f>+Propulsion!CA74+Propulsion!CA76</f>
        <v>5634.1982700377212</v>
      </c>
      <c r="EX156" s="359">
        <f>+Propulsion!CB74+Propulsion!CB76</f>
        <v>8278.422701501273</v>
      </c>
      <c r="EY156" s="280">
        <f>+Propulsion!CC74+Propulsion!CC76</f>
        <v>1880.8891974354542</v>
      </c>
      <c r="EZ156" s="280">
        <f>+Propulsion!CD74+Propulsion!CD76</f>
        <v>1879.7646897207242</v>
      </c>
      <c r="FA156" s="280">
        <f>+Propulsion!CE74+Propulsion!CE76</f>
        <v>1880.8891974354538</v>
      </c>
      <c r="FB156" s="358">
        <f>+Propulsion!CF74+Propulsion!CF76</f>
        <v>2614.5942220447378</v>
      </c>
      <c r="FC156" s="280">
        <f>+Propulsion!CG74+Propulsion!CG76</f>
        <v>3760.6538871561797</v>
      </c>
      <c r="FD156" s="280">
        <f>+Propulsion!CH74+Propulsion!CH76</f>
        <v>4495.4834194801915</v>
      </c>
      <c r="FE156" s="280">
        <f>+Propulsion!CI74+Propulsion!CI76</f>
        <v>5641.5430845916344</v>
      </c>
      <c r="FF156" s="359">
        <f>+Propulsion!CJ74+Propulsion!CJ76</f>
        <v>8256.1373066363703</v>
      </c>
    </row>
    <row r="157" spans="1:162" ht="11.25" customHeight="1" outlineLevel="1" x14ac:dyDescent="0.2">
      <c r="A157" s="186"/>
      <c r="B157" s="4" t="s">
        <v>334</v>
      </c>
      <c r="C157" s="198"/>
      <c r="D157" s="199"/>
      <c r="E157" s="199"/>
      <c r="F157" s="200"/>
      <c r="G157" s="199"/>
      <c r="H157" s="199"/>
      <c r="I157" s="201"/>
      <c r="J157" s="201"/>
      <c r="K157" s="198"/>
      <c r="L157" s="199"/>
      <c r="M157" s="199"/>
      <c r="N157" s="200"/>
      <c r="O157" s="199"/>
      <c r="P157" s="199"/>
      <c r="Q157" s="201"/>
      <c r="R157" s="201"/>
      <c r="S157" s="198"/>
      <c r="T157" s="199"/>
      <c r="U157" s="199"/>
      <c r="V157" s="200"/>
      <c r="W157" s="199"/>
      <c r="X157" s="199"/>
      <c r="Y157" s="201"/>
      <c r="Z157" s="201"/>
      <c r="AA157" s="198"/>
      <c r="AB157" s="199"/>
      <c r="AC157" s="199"/>
      <c r="AD157" s="200"/>
      <c r="AE157" s="199"/>
      <c r="AF157" s="199"/>
      <c r="AG157" s="201"/>
      <c r="AH157" s="201"/>
      <c r="AI157" s="198"/>
      <c r="AJ157" s="199"/>
      <c r="AK157" s="199"/>
      <c r="AL157" s="200"/>
      <c r="AM157" s="199"/>
      <c r="AN157" s="199"/>
      <c r="AO157" s="201"/>
      <c r="AP157" s="201"/>
      <c r="AQ157" s="198"/>
      <c r="AR157" s="199"/>
      <c r="AS157" s="199"/>
      <c r="AT157" s="200"/>
      <c r="AU157" s="199"/>
      <c r="AV157" s="199"/>
      <c r="AW157" s="201"/>
      <c r="AX157" s="201"/>
      <c r="AY157" s="198"/>
      <c r="AZ157" s="199"/>
      <c r="BA157" s="199"/>
      <c r="BB157" s="200"/>
      <c r="BC157" s="199"/>
      <c r="BD157" s="199"/>
      <c r="BE157" s="201"/>
      <c r="BF157" s="201"/>
      <c r="BG157" s="198">
        <v>1337</v>
      </c>
      <c r="BH157" s="199">
        <f>BK157-BG157</f>
        <v>1392</v>
      </c>
      <c r="BI157" s="199">
        <v>1407</v>
      </c>
      <c r="BJ157" s="200">
        <f>BN157-BM157</f>
        <v>1863</v>
      </c>
      <c r="BK157" s="199">
        <f>BM157-BI157</f>
        <v>2729</v>
      </c>
      <c r="BL157" s="199">
        <f>BJ157+BI157</f>
        <v>3270</v>
      </c>
      <c r="BM157" s="201">
        <v>4136</v>
      </c>
      <c r="BN157" s="201">
        <v>5999</v>
      </c>
      <c r="BO157" s="198">
        <v>1605</v>
      </c>
      <c r="BP157" s="199">
        <f>BS157-BO157</f>
        <v>1805</v>
      </c>
      <c r="BQ157" s="199">
        <v>1669</v>
      </c>
      <c r="BR157" s="200">
        <f>BV157-BU157</f>
        <v>1769</v>
      </c>
      <c r="BS157" s="199">
        <f>BU157-BQ157</f>
        <v>3410</v>
      </c>
      <c r="BT157" s="199">
        <f>BR157+BQ157</f>
        <v>3438</v>
      </c>
      <c r="BU157" s="201">
        <v>5079</v>
      </c>
      <c r="BV157" s="201">
        <v>6848</v>
      </c>
      <c r="BW157" s="198">
        <v>1607</v>
      </c>
      <c r="BX157" s="199">
        <f>CA157-BW157</f>
        <v>906</v>
      </c>
      <c r="BY157" s="199">
        <v>884</v>
      </c>
      <c r="BZ157" s="200">
        <f>CD157-SUM(BW157:BY157)</f>
        <v>1271</v>
      </c>
      <c r="CA157" s="199">
        <v>2513</v>
      </c>
      <c r="CB157" s="199">
        <f>BZ157+BY157</f>
        <v>2155</v>
      </c>
      <c r="CC157" s="201">
        <f>BY157+CA157</f>
        <v>3397</v>
      </c>
      <c r="CD157" s="201">
        <v>4668</v>
      </c>
      <c r="CE157" s="198">
        <v>941</v>
      </c>
      <c r="CF157" s="199">
        <f>CI157-CE157</f>
        <v>1013</v>
      </c>
      <c r="CG157" s="199">
        <v>1130</v>
      </c>
      <c r="CH157" s="200">
        <f>+CL157-CG157-CF157-CE157</f>
        <v>1554</v>
      </c>
      <c r="CI157" s="199">
        <v>1954</v>
      </c>
      <c r="CJ157" s="199">
        <f>+CL157-CI157</f>
        <v>2684</v>
      </c>
      <c r="CK157" s="201">
        <f>+CE157+CF157+CG157</f>
        <v>3084</v>
      </c>
      <c r="CL157" s="201">
        <f>+Propulsion!W75</f>
        <v>4638</v>
      </c>
      <c r="CM157" s="198">
        <v>1232</v>
      </c>
      <c r="CN157" s="199">
        <f>CQ157-CM157</f>
        <v>1437</v>
      </c>
      <c r="CO157" s="199">
        <v>1559</v>
      </c>
      <c r="CP157" s="200">
        <f>+CT157-CO157-CN157-CM157</f>
        <v>1763</v>
      </c>
      <c r="CQ157" s="199">
        <v>2669</v>
      </c>
      <c r="CR157" s="199">
        <f>+CT157-CQ157</f>
        <v>3322</v>
      </c>
      <c r="CS157" s="201">
        <f>+CM157+CN157+CO157</f>
        <v>4228</v>
      </c>
      <c r="CT157" s="201">
        <f>+Propulsion!X75</f>
        <v>5991</v>
      </c>
      <c r="CU157" s="198">
        <f>+Propulsion!Y75</f>
        <v>1608</v>
      </c>
      <c r="CV157" s="199">
        <f>+Propulsion!Z75</f>
        <v>1684</v>
      </c>
      <c r="CW157" s="199">
        <f>+Propulsion!AA75</f>
        <v>1990</v>
      </c>
      <c r="CX157" s="200">
        <f>+Propulsion!AB75</f>
        <v>2029</v>
      </c>
      <c r="CY157" s="199">
        <f>+Propulsion!AC75</f>
        <v>3292</v>
      </c>
      <c r="CZ157" s="199">
        <f>+Propulsion!AD75</f>
        <v>4019</v>
      </c>
      <c r="DA157" s="199">
        <f>+Propulsion!AE75</f>
        <v>5282</v>
      </c>
      <c r="DB157" s="1481">
        <f>+Propulsion!AF75</f>
        <v>7311</v>
      </c>
      <c r="DC157" s="198">
        <f>+Propulsion!AG75</f>
        <v>1899</v>
      </c>
      <c r="DD157" s="199">
        <f>+Propulsion!AH75</f>
        <v>2131</v>
      </c>
      <c r="DE157" s="199">
        <f>+Propulsion!AI75</f>
        <v>2202</v>
      </c>
      <c r="DF157" s="200">
        <f>+Propulsion!AJ75</f>
        <v>2198</v>
      </c>
      <c r="DG157" s="199">
        <f>+Propulsion!AK75</f>
        <v>4030</v>
      </c>
      <c r="DH157" s="199">
        <f>+Propulsion!AL75</f>
        <v>4400</v>
      </c>
      <c r="DI157" s="199">
        <f>+Propulsion!AM75</f>
        <v>6232</v>
      </c>
      <c r="DJ157" s="1481">
        <f>+Propulsion!AN75</f>
        <v>8430</v>
      </c>
      <c r="DK157" s="198">
        <f>+Propulsion!AO75</f>
        <v>2381</v>
      </c>
      <c r="DL157" s="199">
        <f>+Propulsion!AP75</f>
        <v>2537</v>
      </c>
      <c r="DM157" s="199">
        <f>+Propulsion!AQ75</f>
        <v>2585</v>
      </c>
      <c r="DN157" s="200">
        <f>+Propulsion!AR75</f>
        <v>2619</v>
      </c>
      <c r="DO157" s="199">
        <f>+Propulsion!AS75</f>
        <v>4918</v>
      </c>
      <c r="DP157" s="199">
        <f>+Propulsion!AT75</f>
        <v>5204</v>
      </c>
      <c r="DQ157" s="199">
        <f>+Propulsion!AU75</f>
        <v>7503</v>
      </c>
      <c r="DR157" s="1481">
        <f>+Propulsion!AV75</f>
        <v>10122</v>
      </c>
      <c r="DS157" s="199">
        <f>+Propulsion!AW75</f>
        <v>2938</v>
      </c>
      <c r="DT157" s="199">
        <f>+Propulsion!AX75</f>
        <v>2956</v>
      </c>
      <c r="DU157" s="280">
        <f>+Propulsion!AY75</f>
        <v>2784.2509836341355</v>
      </c>
      <c r="DV157" s="358">
        <f>+Propulsion!AZ75</f>
        <v>3717.9985178027159</v>
      </c>
      <c r="DW157" s="199">
        <f>+Propulsion!BA75</f>
        <v>5894</v>
      </c>
      <c r="DX157" s="280">
        <f>+Propulsion!BB75</f>
        <v>6502.2495014368515</v>
      </c>
      <c r="DY157" s="280">
        <f>+Propulsion!BC75</f>
        <v>8677.7171681253585</v>
      </c>
      <c r="DZ157" s="359">
        <f>+Propulsion!BD75</f>
        <v>12395.715685928075</v>
      </c>
      <c r="EA157" s="280">
        <f>+Propulsion!BE75</f>
        <v>2920.3738776647024</v>
      </c>
      <c r="EB157" s="280">
        <f>+Propulsion!BF75</f>
        <v>3475.0613049670264</v>
      </c>
      <c r="EC157" s="280">
        <f>+Propulsion!BG75</f>
        <v>3475.0613049670255</v>
      </c>
      <c r="ED157" s="358">
        <f>+Propulsion!BH75</f>
        <v>4029.7487322693487</v>
      </c>
      <c r="EE157" s="280">
        <f>+Propulsion!BI75</f>
        <v>6395.4351826317288</v>
      </c>
      <c r="EF157" s="280">
        <f>+Propulsion!BJ75</f>
        <v>7504.8100372363788</v>
      </c>
      <c r="EG157" s="280">
        <f>+Propulsion!BK75</f>
        <v>9870.4964875987553</v>
      </c>
      <c r="EH157" s="359">
        <f>+Propulsion!BL75</f>
        <v>13900.245219868102</v>
      </c>
      <c r="EI157" s="280">
        <f>+Propulsion!BM75</f>
        <v>3226.3731068948568</v>
      </c>
      <c r="EJ157" s="280">
        <f>+Propulsion!BN75</f>
        <v>3836.285843266432</v>
      </c>
      <c r="EK157" s="280">
        <f>+Propulsion!BO75</f>
        <v>3836.285843266432</v>
      </c>
      <c r="EL157" s="358">
        <f>+Propulsion!BP75</f>
        <v>4446.1985796380086</v>
      </c>
      <c r="EM157" s="280">
        <f>+Propulsion!BQ75</f>
        <v>7062.6589501612898</v>
      </c>
      <c r="EN157" s="280">
        <f>+Propulsion!BR75</f>
        <v>8282.4844229044429</v>
      </c>
      <c r="EO157" s="280">
        <f>+Propulsion!BS75</f>
        <v>10898.94479342772</v>
      </c>
      <c r="EP157" s="359">
        <f>+Propulsion!BT75</f>
        <v>15345.143373065728</v>
      </c>
      <c r="EQ157" s="280">
        <f>+Propulsion!BU75</f>
        <v>3466.6358041550898</v>
      </c>
      <c r="ER157" s="280">
        <f>+Propulsion!BV75</f>
        <v>4122.8334804976621</v>
      </c>
      <c r="ES157" s="280">
        <f>+Propulsion!BW75</f>
        <v>4122.8334804976621</v>
      </c>
      <c r="ET157" s="358">
        <f>+Propulsion!BX75</f>
        <v>4779.0311568402349</v>
      </c>
      <c r="EU157" s="280">
        <f>+Propulsion!BY75</f>
        <v>7589.4692846527514</v>
      </c>
      <c r="EV157" s="280">
        <f>+Propulsion!BZ75</f>
        <v>8901.8646373378979</v>
      </c>
      <c r="EW157" s="280">
        <f>+Propulsion!CA75</f>
        <v>11712.302765150414</v>
      </c>
      <c r="EX157" s="359">
        <f>+Propulsion!CB75</f>
        <v>16491.333921990648</v>
      </c>
      <c r="EY157" s="280">
        <f>+Propulsion!CC75</f>
        <v>3542.8692326256119</v>
      </c>
      <c r="EZ157" s="280">
        <f>+Propulsion!CD75</f>
        <v>4217.0924740844539</v>
      </c>
      <c r="FA157" s="280">
        <f>+Propulsion!CE75</f>
        <v>4217.0924740844539</v>
      </c>
      <c r="FB157" s="358">
        <f>+Propulsion!CF75</f>
        <v>4891.3157155432955</v>
      </c>
      <c r="FC157" s="280">
        <f>+Propulsion!CG75</f>
        <v>7759.9617067100653</v>
      </c>
      <c r="FD157" s="280">
        <f>+Propulsion!CH75</f>
        <v>9108.4081896277457</v>
      </c>
      <c r="FE157" s="280">
        <f>+Propulsion!CI75</f>
        <v>11977.054180794516</v>
      </c>
      <c r="FF157" s="359">
        <f>+Propulsion!CJ75</f>
        <v>16868.369896337812</v>
      </c>
    </row>
    <row r="158" spans="1:162" ht="11.25" customHeight="1" outlineLevel="1" x14ac:dyDescent="0.2">
      <c r="A158" s="186" t="s">
        <v>335</v>
      </c>
      <c r="C158" s="337"/>
      <c r="D158" s="338"/>
      <c r="E158" s="338"/>
      <c r="F158" s="339"/>
      <c r="G158" s="338"/>
      <c r="H158" s="338"/>
      <c r="I158" s="340"/>
      <c r="J158" s="340"/>
      <c r="K158" s="337"/>
      <c r="L158" s="338"/>
      <c r="M158" s="338"/>
      <c r="N158" s="339"/>
      <c r="O158" s="338"/>
      <c r="P158" s="338"/>
      <c r="Q158" s="340"/>
      <c r="R158" s="340"/>
      <c r="S158" s="337"/>
      <c r="T158" s="338"/>
      <c r="U158" s="338"/>
      <c r="V158" s="339"/>
      <c r="W158" s="338"/>
      <c r="X158" s="338"/>
      <c r="Y158" s="340"/>
      <c r="Z158" s="340"/>
      <c r="AA158" s="337"/>
      <c r="AB158" s="338"/>
      <c r="AC158" s="338"/>
      <c r="AD158" s="339"/>
      <c r="AE158" s="338"/>
      <c r="AF158" s="338"/>
      <c r="AG158" s="340"/>
      <c r="AH158" s="340"/>
      <c r="AI158" s="337"/>
      <c r="AJ158" s="338"/>
      <c r="AK158" s="338"/>
      <c r="AL158" s="339"/>
      <c r="AM158" s="338"/>
      <c r="AN158" s="338"/>
      <c r="AO158" s="340"/>
      <c r="AP158" s="340"/>
      <c r="AQ158" s="337"/>
      <c r="AR158" s="338"/>
      <c r="AS158" s="338"/>
      <c r="AT158" s="339"/>
      <c r="AU158" s="338"/>
      <c r="AV158" s="338"/>
      <c r="AW158" s="340"/>
      <c r="AX158" s="340"/>
      <c r="AY158" s="337"/>
      <c r="AZ158" s="338"/>
      <c r="BA158" s="338"/>
      <c r="BB158" s="339"/>
      <c r="BC158" s="338"/>
      <c r="BD158" s="338"/>
      <c r="BE158" s="340"/>
      <c r="BF158" s="340"/>
      <c r="BG158" s="337">
        <f>BG157+BG156</f>
        <v>2286</v>
      </c>
      <c r="BH158" s="338">
        <f>BK158-BG158</f>
        <v>2519</v>
      </c>
      <c r="BI158" s="338">
        <f>SUM(BI156:BI157)</f>
        <v>2524</v>
      </c>
      <c r="BJ158" s="339">
        <f>BN158-BM158</f>
        <v>3250</v>
      </c>
      <c r="BK158" s="338">
        <f>SUM(BK156:BK157)</f>
        <v>4805</v>
      </c>
      <c r="BL158" s="338">
        <f>BJ158+BI158</f>
        <v>5774</v>
      </c>
      <c r="BM158" s="340">
        <f>SUM(BM156:BM157)</f>
        <v>7329</v>
      </c>
      <c r="BN158" s="340">
        <f>BN157+BN156</f>
        <v>10579</v>
      </c>
      <c r="BO158" s="337">
        <f>BO157+BO156</f>
        <v>2771</v>
      </c>
      <c r="BP158" s="338">
        <f>BS158-BO158</f>
        <v>3131</v>
      </c>
      <c r="BQ158" s="338">
        <f>SUM(BQ156:BQ157)</f>
        <v>2987</v>
      </c>
      <c r="BR158" s="339">
        <f>BV158-BU158</f>
        <v>3156</v>
      </c>
      <c r="BS158" s="338">
        <f>SUM(BS156:BS157)</f>
        <v>5902</v>
      </c>
      <c r="BT158" s="338">
        <f>BR158+BQ158</f>
        <v>6143</v>
      </c>
      <c r="BU158" s="340">
        <f>SUM(BU156:BU157)</f>
        <v>8889</v>
      </c>
      <c r="BV158" s="340">
        <f t="shared" ref="BV158:CE158" si="178">BV157+BV156</f>
        <v>12045</v>
      </c>
      <c r="BW158" s="337">
        <f t="shared" si="178"/>
        <v>2497</v>
      </c>
      <c r="BX158" s="338">
        <f t="shared" si="178"/>
        <v>1550</v>
      </c>
      <c r="BY158" s="338">
        <f t="shared" si="178"/>
        <v>1559</v>
      </c>
      <c r="BZ158" s="339">
        <f t="shared" si="178"/>
        <v>2057</v>
      </c>
      <c r="CA158" s="338">
        <f t="shared" si="178"/>
        <v>4047</v>
      </c>
      <c r="CB158" s="338">
        <f t="shared" si="178"/>
        <v>3616</v>
      </c>
      <c r="CC158" s="340">
        <f t="shared" si="178"/>
        <v>5606</v>
      </c>
      <c r="CD158" s="340">
        <f t="shared" si="178"/>
        <v>7663</v>
      </c>
      <c r="CE158" s="337">
        <f t="shared" si="178"/>
        <v>1561</v>
      </c>
      <c r="CF158" s="338">
        <f>CF157+CF156</f>
        <v>1688</v>
      </c>
      <c r="CG158" s="338">
        <f>CG157+CG156</f>
        <v>1812</v>
      </c>
      <c r="CH158" s="339">
        <f>+CL158-CG158-CF158-CE158</f>
        <v>2378</v>
      </c>
      <c r="CI158" s="338">
        <f>SUM(CI156:CI157)</f>
        <v>3249</v>
      </c>
      <c r="CJ158" s="338">
        <f>+CL158-CI158</f>
        <v>4190</v>
      </c>
      <c r="CK158" s="340">
        <f>+CE158+CF158+CG158</f>
        <v>5061</v>
      </c>
      <c r="CL158" s="340">
        <f>+Propulsion!W77</f>
        <v>7439</v>
      </c>
      <c r="CM158" s="337">
        <f>CM157+CM156</f>
        <v>1942</v>
      </c>
      <c r="CN158" s="338">
        <f>CN157+CN156</f>
        <v>2234</v>
      </c>
      <c r="CO158" s="338">
        <f>CO157+CO156</f>
        <v>2503</v>
      </c>
      <c r="CP158" s="339">
        <f>+CT158-CO158-CN158-CM158</f>
        <v>2827</v>
      </c>
      <c r="CQ158" s="338">
        <f>SUM(CQ156:CQ157)</f>
        <v>4176</v>
      </c>
      <c r="CR158" s="338">
        <f>+CT158-CQ158</f>
        <v>5330</v>
      </c>
      <c r="CS158" s="340">
        <f>+CM158+CN158+CO158</f>
        <v>6679</v>
      </c>
      <c r="CT158" s="340">
        <f>+Propulsion!X77</f>
        <v>9506</v>
      </c>
      <c r="CU158" s="337">
        <f>CU157+CU156</f>
        <v>2714</v>
      </c>
      <c r="CV158" s="338">
        <f t="shared" ref="CV158:DB158" si="179">SUM(CV156:CV157)</f>
        <v>2963</v>
      </c>
      <c r="CW158" s="338">
        <f t="shared" ref="CW158" si="180">SUM(CW156:CW157)</f>
        <v>3083</v>
      </c>
      <c r="CX158" s="339">
        <f t="shared" si="179"/>
        <v>3116</v>
      </c>
      <c r="CY158" s="338">
        <f t="shared" si="179"/>
        <v>5677</v>
      </c>
      <c r="CZ158" s="338">
        <f t="shared" si="179"/>
        <v>6199</v>
      </c>
      <c r="DA158" s="338">
        <f t="shared" si="179"/>
        <v>8760</v>
      </c>
      <c r="DB158" s="1482">
        <f t="shared" si="179"/>
        <v>11876</v>
      </c>
      <c r="DC158" s="337">
        <f>DC157+DC156</f>
        <v>3097</v>
      </c>
      <c r="DD158" s="338">
        <f t="shared" ref="DD158" si="181">SUM(DD156:DD157)</f>
        <v>3364</v>
      </c>
      <c r="DE158" s="338">
        <f>DE157+DE156</f>
        <v>3339</v>
      </c>
      <c r="DF158" s="339">
        <f t="shared" ref="DF158" si="182">SUM(DF156:DF157)</f>
        <v>3852</v>
      </c>
      <c r="DG158" s="338">
        <f t="shared" ref="DG158:DI158" si="183">SUM(DG156:DG157)</f>
        <v>6461</v>
      </c>
      <c r="DH158" s="338">
        <f t="shared" ref="DH158" si="184">SUM(DH156:DH157)</f>
        <v>7191</v>
      </c>
      <c r="DI158" s="338">
        <f t="shared" si="183"/>
        <v>9800</v>
      </c>
      <c r="DJ158" s="1482">
        <f t="shared" ref="DJ158" si="185">SUM(DJ156:DJ157)</f>
        <v>13652</v>
      </c>
      <c r="DK158" s="337">
        <f>DK157+DK156</f>
        <v>3684</v>
      </c>
      <c r="DL158" s="338">
        <f t="shared" ref="DL158" si="186">SUM(DL156:DL157)</f>
        <v>3857</v>
      </c>
      <c r="DM158" s="338">
        <f>DM157+DM156</f>
        <v>4044</v>
      </c>
      <c r="DN158" s="339">
        <f t="shared" ref="DN158:FF158" si="187">SUM(DN156:DN157)</f>
        <v>4083</v>
      </c>
      <c r="DO158" s="338">
        <f t="shared" si="187"/>
        <v>7541</v>
      </c>
      <c r="DP158" s="338">
        <f t="shared" si="187"/>
        <v>8127</v>
      </c>
      <c r="DQ158" s="338">
        <f t="shared" si="187"/>
        <v>11585</v>
      </c>
      <c r="DR158" s="1482">
        <f t="shared" si="187"/>
        <v>15668</v>
      </c>
      <c r="DS158" s="338">
        <f t="shared" si="187"/>
        <v>4552</v>
      </c>
      <c r="DT158" s="338">
        <f t="shared" si="187"/>
        <v>4626</v>
      </c>
      <c r="DU158" s="297">
        <f t="shared" si="187"/>
        <v>4441.5256560491998</v>
      </c>
      <c r="DV158" s="360">
        <f t="shared" si="187"/>
        <v>5533.5642584716479</v>
      </c>
      <c r="DW158" s="338">
        <f t="shared" si="187"/>
        <v>9178</v>
      </c>
      <c r="DX158" s="297">
        <f t="shared" si="187"/>
        <v>9975.0899145208477</v>
      </c>
      <c r="DY158" s="297">
        <f t="shared" si="187"/>
        <v>13622.949283281345</v>
      </c>
      <c r="DZ158" s="361">
        <f t="shared" si="187"/>
        <v>19156.513541752993</v>
      </c>
      <c r="EA158" s="297">
        <f t="shared" si="187"/>
        <v>4524.3769416844489</v>
      </c>
      <c r="EB158" s="297">
        <f t="shared" si="187"/>
        <v>5099.2897902052591</v>
      </c>
      <c r="EC158" s="297">
        <f t="shared" si="187"/>
        <v>5100.2177723481163</v>
      </c>
      <c r="ED158" s="360">
        <f t="shared" si="187"/>
        <v>6426.0221791147742</v>
      </c>
      <c r="EE158" s="297">
        <f t="shared" si="187"/>
        <v>9623.6667318897089</v>
      </c>
      <c r="EF158" s="297">
        <f t="shared" si="187"/>
        <v>11526.239951462896</v>
      </c>
      <c r="EG158" s="297">
        <f t="shared" si="187"/>
        <v>14723.884504237825</v>
      </c>
      <c r="EH158" s="361">
        <f t="shared" si="187"/>
        <v>21149.906683352601</v>
      </c>
      <c r="EI158" s="297">
        <f t="shared" si="187"/>
        <v>5014.8989649878149</v>
      </c>
      <c r="EJ158" s="297">
        <f t="shared" si="187"/>
        <v>5642.0666780022466</v>
      </c>
      <c r="EK158" s="297">
        <f t="shared" si="187"/>
        <v>5644.904835645104</v>
      </c>
      <c r="EL158" s="360">
        <f t="shared" si="187"/>
        <v>7002.4432859267336</v>
      </c>
      <c r="EM158" s="297">
        <f t="shared" si="187"/>
        <v>10656.965642990062</v>
      </c>
      <c r="EN158" s="297">
        <f t="shared" si="187"/>
        <v>12647.34812157184</v>
      </c>
      <c r="EO158" s="297">
        <f t="shared" si="187"/>
        <v>16301.870478635166</v>
      </c>
      <c r="EP158" s="361">
        <f t="shared" si="187"/>
        <v>23304.313764561895</v>
      </c>
      <c r="EQ158" s="297">
        <f t="shared" si="187"/>
        <v>5345.6899732330148</v>
      </c>
      <c r="ER158" s="297">
        <f t="shared" si="187"/>
        <v>5998.9234123795322</v>
      </c>
      <c r="ES158" s="297">
        <f t="shared" si="187"/>
        <v>6001.8876495755867</v>
      </c>
      <c r="ET158" s="360">
        <f t="shared" si="187"/>
        <v>7423.2555883037894</v>
      </c>
      <c r="EU158" s="297">
        <f t="shared" si="187"/>
        <v>11344.613385612549</v>
      </c>
      <c r="EV158" s="297">
        <f t="shared" si="187"/>
        <v>13425.14323787938</v>
      </c>
      <c r="EW158" s="297">
        <f t="shared" si="187"/>
        <v>17346.501035188136</v>
      </c>
      <c r="EX158" s="361">
        <f t="shared" si="187"/>
        <v>24769.756623491921</v>
      </c>
      <c r="EY158" s="297">
        <f t="shared" si="187"/>
        <v>5423.7584300610661</v>
      </c>
      <c r="EZ158" s="297">
        <f t="shared" si="187"/>
        <v>6096.8571638051781</v>
      </c>
      <c r="FA158" s="297">
        <f t="shared" si="187"/>
        <v>6097.9816715199076</v>
      </c>
      <c r="FB158" s="360">
        <f t="shared" si="187"/>
        <v>7505.9099375880332</v>
      </c>
      <c r="FC158" s="297">
        <f t="shared" si="187"/>
        <v>11520.615593866245</v>
      </c>
      <c r="FD158" s="297">
        <f t="shared" si="187"/>
        <v>13603.891609107937</v>
      </c>
      <c r="FE158" s="297">
        <f t="shared" si="187"/>
        <v>17618.59726538615</v>
      </c>
      <c r="FF158" s="361">
        <f t="shared" si="187"/>
        <v>25124.507202974182</v>
      </c>
    </row>
    <row r="159" spans="1:162" ht="11.25" customHeight="1" outlineLevel="1" x14ac:dyDescent="0.2">
      <c r="A159" s="202"/>
      <c r="B159" s="197" t="s">
        <v>336</v>
      </c>
      <c r="C159" s="268"/>
      <c r="D159" s="278"/>
      <c r="E159" s="278"/>
      <c r="F159" s="298"/>
      <c r="G159" s="278"/>
      <c r="H159" s="278"/>
      <c r="I159" s="250"/>
      <c r="J159" s="250"/>
      <c r="K159" s="268"/>
      <c r="L159" s="278"/>
      <c r="M159" s="278"/>
      <c r="N159" s="298"/>
      <c r="O159" s="278"/>
      <c r="P159" s="278"/>
      <c r="Q159" s="250"/>
      <c r="R159" s="250"/>
      <c r="S159" s="268"/>
      <c r="T159" s="278"/>
      <c r="U159" s="278"/>
      <c r="V159" s="298"/>
      <c r="W159" s="278"/>
      <c r="X159" s="278"/>
      <c r="Y159" s="250"/>
      <c r="Z159" s="250"/>
      <c r="AA159" s="268"/>
      <c r="AB159" s="278"/>
      <c r="AC159" s="278"/>
      <c r="AD159" s="298"/>
      <c r="AE159" s="278"/>
      <c r="AF159" s="278"/>
      <c r="AG159" s="250"/>
      <c r="AH159" s="250"/>
      <c r="AI159" s="268"/>
      <c r="AJ159" s="278"/>
      <c r="AK159" s="278"/>
      <c r="AL159" s="298"/>
      <c r="AM159" s="278"/>
      <c r="AN159" s="278"/>
      <c r="AO159" s="250"/>
      <c r="AP159" s="250"/>
      <c r="AQ159" s="268"/>
      <c r="AR159" s="278"/>
      <c r="AS159" s="278"/>
      <c r="AT159" s="298"/>
      <c r="AU159" s="278"/>
      <c r="AV159" s="278"/>
      <c r="AW159" s="250"/>
      <c r="AX159" s="250"/>
      <c r="AY159" s="268"/>
      <c r="AZ159" s="278"/>
      <c r="BA159" s="278"/>
      <c r="BB159" s="298"/>
      <c r="BC159" s="278"/>
      <c r="BD159" s="278"/>
      <c r="BE159" s="250"/>
      <c r="BF159" s="250"/>
      <c r="BG159" s="268"/>
      <c r="BH159" s="278"/>
      <c r="BI159" s="278"/>
      <c r="BJ159" s="298"/>
      <c r="BK159" s="278"/>
      <c r="BL159" s="278"/>
      <c r="BM159" s="250"/>
      <c r="BN159" s="250"/>
      <c r="BO159" s="268">
        <f t="shared" ref="BO159:CK161" si="188">BO156/BG156-1</f>
        <v>0.22866174920969451</v>
      </c>
      <c r="BP159" s="278">
        <f t="shared" si="188"/>
        <v>0.17657497781721387</v>
      </c>
      <c r="BQ159" s="278">
        <f t="shared" si="188"/>
        <v>0.17994628469113705</v>
      </c>
      <c r="BR159" s="298">
        <f t="shared" si="188"/>
        <v>0</v>
      </c>
      <c r="BS159" s="278">
        <f t="shared" si="188"/>
        <v>0.20038535645472066</v>
      </c>
      <c r="BT159" s="278">
        <f t="shared" si="188"/>
        <v>8.0271565495207753E-2</v>
      </c>
      <c r="BU159" s="250">
        <f t="shared" si="188"/>
        <v>0.1932352020043846</v>
      </c>
      <c r="BV159" s="250">
        <f t="shared" si="188"/>
        <v>0.13471615720524022</v>
      </c>
      <c r="BW159" s="268">
        <f t="shared" si="188"/>
        <v>-0.23670668953687823</v>
      </c>
      <c r="BX159" s="278">
        <f t="shared" si="188"/>
        <v>-0.51432880844645545</v>
      </c>
      <c r="BY159" s="278">
        <f t="shared" si="188"/>
        <v>-0.48786039453717756</v>
      </c>
      <c r="BZ159" s="298">
        <f t="shared" si="188"/>
        <v>-0.43330930064888251</v>
      </c>
      <c r="CA159" s="278">
        <f t="shared" si="188"/>
        <v>-0.384430176565008</v>
      </c>
      <c r="CB159" s="278">
        <f t="shared" si="188"/>
        <v>-0.45988909426987057</v>
      </c>
      <c r="CC159" s="250">
        <f t="shared" si="188"/>
        <v>-0.42020997375328084</v>
      </c>
      <c r="CD159" s="250">
        <f t="shared" si="188"/>
        <v>-0.42370598422166639</v>
      </c>
      <c r="CE159" s="268">
        <f t="shared" si="188"/>
        <v>-0.3033707865168539</v>
      </c>
      <c r="CF159" s="278">
        <f t="shared" si="188"/>
        <v>4.8136645962732816E-2</v>
      </c>
      <c r="CG159" s="278">
        <f t="shared" si="188"/>
        <v>1.0370370370370363E-2</v>
      </c>
      <c r="CH159" s="298">
        <f t="shared" si="188"/>
        <v>4.8346055979643809E-2</v>
      </c>
      <c r="CI159" s="278">
        <f t="shared" si="188"/>
        <v>-0.15580182529335074</v>
      </c>
      <c r="CJ159" s="278">
        <f t="shared" si="188"/>
        <v>3.0800821355236208E-2</v>
      </c>
      <c r="CK159" s="250">
        <f t="shared" si="188"/>
        <v>-0.10502489814395655</v>
      </c>
      <c r="CL159" s="250">
        <f>+CL156/CD156-1</f>
        <v>-6.4774624373956646E-2</v>
      </c>
      <c r="CM159" s="268">
        <f t="shared" ref="CM159:EX161" si="189">CM156/CE156-1</f>
        <v>0.14516129032258074</v>
      </c>
      <c r="CN159" s="278">
        <f t="shared" si="189"/>
        <v>0.18074074074074065</v>
      </c>
      <c r="CO159" s="278">
        <f t="shared" si="189"/>
        <v>0.3841642228739004</v>
      </c>
      <c r="CP159" s="298">
        <f t="shared" si="189"/>
        <v>0.29126213592233019</v>
      </c>
      <c r="CQ159" s="278">
        <f>CQ156/CI156-1</f>
        <v>0.16370656370656378</v>
      </c>
      <c r="CR159" s="278">
        <f t="shared" si="189"/>
        <v>0.33333333333333326</v>
      </c>
      <c r="CS159" s="250">
        <f t="shared" si="189"/>
        <v>0.23975720789074351</v>
      </c>
      <c r="CT159" s="250">
        <f>+CT156/CL156-1</f>
        <v>0.25490896108532657</v>
      </c>
      <c r="CU159" s="268">
        <f t="shared" si="189"/>
        <v>0.55774647887323936</v>
      </c>
      <c r="CV159" s="278">
        <f t="shared" si="189"/>
        <v>0.60476787954830624</v>
      </c>
      <c r="CW159" s="278">
        <f t="shared" si="189"/>
        <v>0.15783898305084754</v>
      </c>
      <c r="CX159" s="298">
        <f t="shared" si="189"/>
        <v>2.1616541353383534E-2</v>
      </c>
      <c r="CY159" s="278">
        <f t="shared" si="189"/>
        <v>0.58261446582614473</v>
      </c>
      <c r="CZ159" s="278">
        <f t="shared" si="189"/>
        <v>8.5657370517928211E-2</v>
      </c>
      <c r="DA159" s="250">
        <f t="shared" si="189"/>
        <v>0.41901264789881676</v>
      </c>
      <c r="DB159" s="250">
        <f t="shared" si="189"/>
        <v>0.29871977240398295</v>
      </c>
      <c r="DC159" s="268">
        <f t="shared" si="189"/>
        <v>8.3182640144665365E-2</v>
      </c>
      <c r="DD159" s="278">
        <f t="shared" si="189"/>
        <v>-3.5965598123534059E-2</v>
      </c>
      <c r="DE159" s="278">
        <f t="shared" si="189"/>
        <v>4.0256175663311966E-2</v>
      </c>
      <c r="DF159" s="298">
        <f t="shared" si="189"/>
        <v>0.52161913523459069</v>
      </c>
      <c r="DG159" s="278">
        <f t="shared" si="189"/>
        <v>1.9287211740041998E-2</v>
      </c>
      <c r="DH159" s="278">
        <f t="shared" si="189"/>
        <v>0.28027522935779814</v>
      </c>
      <c r="DI159" s="250">
        <f t="shared" si="189"/>
        <v>2.5876940770557688E-2</v>
      </c>
      <c r="DJ159" s="250">
        <f t="shared" si="189"/>
        <v>0.14392113910186199</v>
      </c>
      <c r="DK159" s="268">
        <f t="shared" si="189"/>
        <v>8.7646076794657857E-2</v>
      </c>
      <c r="DL159" s="278">
        <f t="shared" si="189"/>
        <v>7.0559610705596132E-2</v>
      </c>
      <c r="DM159" s="278">
        <f t="shared" si="189"/>
        <v>0.2832014072119613</v>
      </c>
      <c r="DN159" s="298">
        <f t="shared" si="189"/>
        <v>-0.11487303506650548</v>
      </c>
      <c r="DO159" s="278">
        <f t="shared" si="189"/>
        <v>7.8979843685726081E-2</v>
      </c>
      <c r="DP159" s="278">
        <f t="shared" si="189"/>
        <v>4.729487638839136E-2</v>
      </c>
      <c r="DQ159" s="250">
        <f t="shared" si="189"/>
        <v>0.14405829596412567</v>
      </c>
      <c r="DR159" s="250">
        <f t="shared" si="189"/>
        <v>6.2045193412485711E-2</v>
      </c>
      <c r="DS159" s="268">
        <f t="shared" si="189"/>
        <v>0.23867996930161173</v>
      </c>
      <c r="DT159" s="278">
        <f t="shared" si="189"/>
        <v>0.26515151515151514</v>
      </c>
      <c r="DU159" s="299">
        <f t="shared" si="189"/>
        <v>0.13589765072999604</v>
      </c>
      <c r="DV159" s="362">
        <f t="shared" si="189"/>
        <v>0.24014053324380602</v>
      </c>
      <c r="DW159" s="278">
        <f t="shared" si="189"/>
        <v>0.25200152497140671</v>
      </c>
      <c r="DX159" s="299">
        <f t="shared" si="189"/>
        <v>0.18810824943003635</v>
      </c>
      <c r="DY159" s="300">
        <f t="shared" si="189"/>
        <v>0.21147283565800734</v>
      </c>
      <c r="DZ159" s="300">
        <f t="shared" si="189"/>
        <v>0.21904036347365996</v>
      </c>
      <c r="EA159" s="363">
        <f t="shared" si="189"/>
        <v>-6.1938884636019154E-3</v>
      </c>
      <c r="EB159" s="299">
        <f t="shared" si="189"/>
        <v>-2.7408092671716955E-2</v>
      </c>
      <c r="EC159" s="299">
        <f t="shared" si="189"/>
        <v>-1.9380133884004391E-2</v>
      </c>
      <c r="ED159" s="362">
        <f t="shared" si="189"/>
        <v>0.31984945142362942</v>
      </c>
      <c r="EE159" s="299">
        <f t="shared" si="189"/>
        <v>-1.6981866852015859E-2</v>
      </c>
      <c r="EF159" s="299">
        <f t="shared" si="189"/>
        <v>0.15796565228730319</v>
      </c>
      <c r="EG159" s="300">
        <f t="shared" si="189"/>
        <v>-1.8572252298417968E-2</v>
      </c>
      <c r="EH159" s="300">
        <f t="shared" si="189"/>
        <v>7.2308567433115867E-2</v>
      </c>
      <c r="EI159" s="363">
        <f t="shared" si="189"/>
        <v>0.11503892867310639</v>
      </c>
      <c r="EJ159" s="299">
        <f t="shared" si="189"/>
        <v>0.11177759234468354</v>
      </c>
      <c r="EK159" s="299">
        <f t="shared" si="189"/>
        <v>0.11288914555607521</v>
      </c>
      <c r="EL159" s="362">
        <f t="shared" si="189"/>
        <v>6.6758349158312358E-2</v>
      </c>
      <c r="EM159" s="299">
        <f t="shared" si="189"/>
        <v>0.11339804409474175</v>
      </c>
      <c r="EN159" s="299">
        <f t="shared" si="189"/>
        <v>8.5400912552503483E-2</v>
      </c>
      <c r="EO159" s="300">
        <f t="shared" si="189"/>
        <v>0.11322763947254466</v>
      </c>
      <c r="EP159" s="300">
        <f t="shared" si="189"/>
        <v>9.7867870325443862E-2</v>
      </c>
      <c r="EQ159" s="363">
        <f t="shared" si="189"/>
        <v>5.0616159993065013E-2</v>
      </c>
      <c r="ER159" s="299">
        <f t="shared" si="189"/>
        <v>3.8935565043994869E-2</v>
      </c>
      <c r="ES159" s="299">
        <f t="shared" si="189"/>
        <v>3.8944176189711133E-2</v>
      </c>
      <c r="ET159" s="362">
        <f t="shared" si="189"/>
        <v>3.4417567675890659E-2</v>
      </c>
      <c r="EU159" s="299">
        <f t="shared" si="189"/>
        <v>4.4747825346101333E-2</v>
      </c>
      <c r="EV159" s="299">
        <f t="shared" si="189"/>
        <v>3.6293207030141383E-2</v>
      </c>
      <c r="EW159" s="300">
        <f t="shared" si="189"/>
        <v>4.2805064941661142E-2</v>
      </c>
      <c r="EX159" s="300">
        <f t="shared" si="189"/>
        <v>4.0111254603395041E-2</v>
      </c>
      <c r="EY159" s="363">
        <f t="shared" ref="EY159:FE161" si="190">EY156/EQ156-1</f>
        <v>9.7657022757879908E-4</v>
      </c>
      <c r="EZ159" s="299">
        <f t="shared" si="190"/>
        <v>1.958732242205441E-3</v>
      </c>
      <c r="FA159" s="299">
        <f t="shared" si="190"/>
        <v>9.7657022757879908E-4</v>
      </c>
      <c r="FB159" s="362">
        <f t="shared" si="190"/>
        <v>-1.1205633329095521E-2</v>
      </c>
      <c r="FC159" s="299">
        <f t="shared" si="190"/>
        <v>1.4672635851642468E-3</v>
      </c>
      <c r="FD159" s="299">
        <f t="shared" si="190"/>
        <v>-6.1449190987181712E-3</v>
      </c>
      <c r="FE159" s="300">
        <f t="shared" si="190"/>
        <v>1.3036130788957045E-3</v>
      </c>
      <c r="FF159" s="300">
        <f>+FF156/EX156-1</f>
        <v>-2.6919856195385394E-3</v>
      </c>
    </row>
    <row r="160" spans="1:162" ht="11.25" customHeight="1" outlineLevel="1" x14ac:dyDescent="0.2">
      <c r="A160" s="202"/>
      <c r="B160" s="197" t="s">
        <v>337</v>
      </c>
      <c r="C160" s="268"/>
      <c r="D160" s="278"/>
      <c r="E160" s="278"/>
      <c r="F160" s="298"/>
      <c r="G160" s="278"/>
      <c r="H160" s="278"/>
      <c r="I160" s="250"/>
      <c r="J160" s="250"/>
      <c r="K160" s="268"/>
      <c r="L160" s="278"/>
      <c r="M160" s="278"/>
      <c r="N160" s="298"/>
      <c r="O160" s="278"/>
      <c r="P160" s="278"/>
      <c r="Q160" s="250"/>
      <c r="R160" s="250"/>
      <c r="S160" s="268"/>
      <c r="T160" s="278"/>
      <c r="U160" s="278"/>
      <c r="V160" s="298"/>
      <c r="W160" s="278"/>
      <c r="X160" s="278"/>
      <c r="Y160" s="250"/>
      <c r="Z160" s="250"/>
      <c r="AA160" s="268"/>
      <c r="AB160" s="278"/>
      <c r="AC160" s="278"/>
      <c r="AD160" s="298"/>
      <c r="AE160" s="278"/>
      <c r="AF160" s="278"/>
      <c r="AG160" s="250"/>
      <c r="AH160" s="250"/>
      <c r="AI160" s="268"/>
      <c r="AJ160" s="278"/>
      <c r="AK160" s="278"/>
      <c r="AL160" s="298"/>
      <c r="AM160" s="278"/>
      <c r="AN160" s="278"/>
      <c r="AO160" s="250"/>
      <c r="AP160" s="250"/>
      <c r="AQ160" s="268"/>
      <c r="AR160" s="278"/>
      <c r="AS160" s="278"/>
      <c r="AT160" s="298"/>
      <c r="AU160" s="278"/>
      <c r="AV160" s="278"/>
      <c r="AW160" s="250"/>
      <c r="AX160" s="250"/>
      <c r="AY160" s="268"/>
      <c r="AZ160" s="278"/>
      <c r="BA160" s="278"/>
      <c r="BB160" s="298"/>
      <c r="BC160" s="278"/>
      <c r="BD160" s="278"/>
      <c r="BE160" s="250"/>
      <c r="BF160" s="250"/>
      <c r="BG160" s="268"/>
      <c r="BH160" s="278"/>
      <c r="BI160" s="278"/>
      <c r="BJ160" s="298"/>
      <c r="BK160" s="278"/>
      <c r="BL160" s="278"/>
      <c r="BM160" s="250"/>
      <c r="BN160" s="250"/>
      <c r="BO160" s="268">
        <f t="shared" si="188"/>
        <v>0.20044876589379212</v>
      </c>
      <c r="BP160" s="278">
        <f t="shared" si="188"/>
        <v>0.29669540229885061</v>
      </c>
      <c r="BQ160" s="278">
        <f t="shared" si="188"/>
        <v>0.18621179815209676</v>
      </c>
      <c r="BR160" s="298">
        <f t="shared" si="188"/>
        <v>-5.0456253354804081E-2</v>
      </c>
      <c r="BS160" s="278">
        <f t="shared" si="188"/>
        <v>0.24954195676071822</v>
      </c>
      <c r="BT160" s="278">
        <f t="shared" si="188"/>
        <v>5.1376146788990829E-2</v>
      </c>
      <c r="BU160" s="250">
        <f t="shared" si="188"/>
        <v>0.22799806576402326</v>
      </c>
      <c r="BV160" s="250">
        <f t="shared" si="188"/>
        <v>0.14152358726454417</v>
      </c>
      <c r="BW160" s="268">
        <f t="shared" si="188"/>
        <v>1.2461059190032042E-3</v>
      </c>
      <c r="BX160" s="278">
        <f t="shared" si="188"/>
        <v>-0.49806094182825489</v>
      </c>
      <c r="BY160" s="278">
        <f t="shared" si="188"/>
        <v>-0.47034152186938283</v>
      </c>
      <c r="BZ160" s="298">
        <f t="shared" si="188"/>
        <v>-0.28151498021481058</v>
      </c>
      <c r="CA160" s="278">
        <f t="shared" si="188"/>
        <v>-0.26304985337243403</v>
      </c>
      <c r="CB160" s="278">
        <f t="shared" si="188"/>
        <v>-0.37318208260616637</v>
      </c>
      <c r="CC160" s="250">
        <f t="shared" si="188"/>
        <v>-0.33116755266784803</v>
      </c>
      <c r="CD160" s="250">
        <f t="shared" si="188"/>
        <v>-0.31834112149532712</v>
      </c>
      <c r="CE160" s="268">
        <f t="shared" si="188"/>
        <v>-0.41443683883011828</v>
      </c>
      <c r="CF160" s="278">
        <f t="shared" si="188"/>
        <v>0.11810154525386318</v>
      </c>
      <c r="CG160" s="278">
        <f t="shared" si="188"/>
        <v>0.27828054298642524</v>
      </c>
      <c r="CH160" s="298">
        <f t="shared" si="188"/>
        <v>0.22265932336742722</v>
      </c>
      <c r="CI160" s="278">
        <f t="shared" si="188"/>
        <v>-0.22244329486669323</v>
      </c>
      <c r="CJ160" s="278">
        <f t="shared" si="188"/>
        <v>0.24547563805104411</v>
      </c>
      <c r="CK160" s="250">
        <f t="shared" si="188"/>
        <v>-9.2140123638504545E-2</v>
      </c>
      <c r="CL160" s="250">
        <f>+CL157/CD157-1</f>
        <v>-6.4267352185090054E-3</v>
      </c>
      <c r="CM160" s="268">
        <f t="shared" si="189"/>
        <v>0.3092454835281615</v>
      </c>
      <c r="CN160" s="278">
        <f t="shared" si="189"/>
        <v>0.41855873642645602</v>
      </c>
      <c r="CO160" s="278">
        <f t="shared" si="189"/>
        <v>0.37964601769911499</v>
      </c>
      <c r="CP160" s="298">
        <f t="shared" si="189"/>
        <v>0.13449163449163448</v>
      </c>
      <c r="CQ160" s="278">
        <f>CQ157/CI157-1</f>
        <v>0.36591606960081879</v>
      </c>
      <c r="CR160" s="278">
        <f t="shared" si="189"/>
        <v>0.23770491803278682</v>
      </c>
      <c r="CS160" s="250">
        <f t="shared" si="189"/>
        <v>0.37094682230869003</v>
      </c>
      <c r="CT160" s="250">
        <f>+CT157/CL157-1</f>
        <v>0.29172056921086664</v>
      </c>
      <c r="CU160" s="268">
        <f t="shared" si="189"/>
        <v>0.30519480519480524</v>
      </c>
      <c r="CV160" s="278">
        <f t="shared" si="189"/>
        <v>0.17188587334725125</v>
      </c>
      <c r="CW160" s="278">
        <f t="shared" si="189"/>
        <v>0.27645926876202687</v>
      </c>
      <c r="CX160" s="298">
        <f t="shared" si="189"/>
        <v>0.15087918321043681</v>
      </c>
      <c r="CY160" s="278">
        <f t="shared" si="189"/>
        <v>0.23342075683776686</v>
      </c>
      <c r="CZ160" s="278">
        <f t="shared" si="189"/>
        <v>0.20981336544250451</v>
      </c>
      <c r="DA160" s="250">
        <f t="shared" si="189"/>
        <v>0.24929044465468309</v>
      </c>
      <c r="DB160" s="250">
        <f t="shared" si="189"/>
        <v>0.22033049574361541</v>
      </c>
      <c r="DC160" s="268">
        <f t="shared" si="189"/>
        <v>0.18097014925373145</v>
      </c>
      <c r="DD160" s="278">
        <f t="shared" si="189"/>
        <v>0.26543942992874103</v>
      </c>
      <c r="DE160" s="278">
        <f t="shared" si="189"/>
        <v>0.10653266331658284</v>
      </c>
      <c r="DF160" s="298">
        <f t="shared" si="189"/>
        <v>8.3292262198127132E-2</v>
      </c>
      <c r="DG160" s="278">
        <f t="shared" si="189"/>
        <v>0.22417982989064389</v>
      </c>
      <c r="DH160" s="278">
        <f t="shared" si="189"/>
        <v>9.4799701418263327E-2</v>
      </c>
      <c r="DI160" s="250">
        <f t="shared" si="189"/>
        <v>0.17985611510791366</v>
      </c>
      <c r="DJ160" s="250">
        <f t="shared" si="189"/>
        <v>0.15305703734099296</v>
      </c>
      <c r="DK160" s="268">
        <f t="shared" si="189"/>
        <v>0.25381779884149558</v>
      </c>
      <c r="DL160" s="278">
        <f t="shared" si="189"/>
        <v>0.19052088221492247</v>
      </c>
      <c r="DM160" s="278">
        <f t="shared" si="189"/>
        <v>0.17393278837420523</v>
      </c>
      <c r="DN160" s="298">
        <f t="shared" si="189"/>
        <v>0.19153776160145597</v>
      </c>
      <c r="DO160" s="278">
        <f t="shared" si="189"/>
        <v>0.22034739454094288</v>
      </c>
      <c r="DP160" s="278">
        <f t="shared" si="189"/>
        <v>0.18272727272727263</v>
      </c>
      <c r="DQ160" s="250">
        <f t="shared" si="189"/>
        <v>0.20394736842105265</v>
      </c>
      <c r="DR160" s="250">
        <f t="shared" si="189"/>
        <v>0.2007117437722421</v>
      </c>
      <c r="DS160" s="268">
        <f t="shared" si="189"/>
        <v>0.23393532129357419</v>
      </c>
      <c r="DT160" s="278">
        <f t="shared" si="189"/>
        <v>0.1651556957035869</v>
      </c>
      <c r="DU160" s="299">
        <f t="shared" si="189"/>
        <v>7.7079684191154962E-2</v>
      </c>
      <c r="DV160" s="362">
        <f t="shared" si="189"/>
        <v>0.41962524543822677</v>
      </c>
      <c r="DW160" s="278">
        <f t="shared" si="189"/>
        <v>0.19845465636437587</v>
      </c>
      <c r="DX160" s="299">
        <f t="shared" si="189"/>
        <v>0.24947146453436808</v>
      </c>
      <c r="DY160" s="300">
        <f t="shared" si="189"/>
        <v>0.15656632921836056</v>
      </c>
      <c r="DZ160" s="300">
        <f t="shared" si="189"/>
        <v>0.22463106954436629</v>
      </c>
      <c r="EA160" s="363">
        <f t="shared" si="189"/>
        <v>-5.9993609037772844E-3</v>
      </c>
      <c r="EB160" s="299">
        <f t="shared" si="189"/>
        <v>0.17559584065190337</v>
      </c>
      <c r="EC160" s="299">
        <f t="shared" si="189"/>
        <v>0.24811352331146952</v>
      </c>
      <c r="ED160" s="362">
        <f t="shared" si="189"/>
        <v>8.3848934574312972E-2</v>
      </c>
      <c r="EE160" s="299">
        <f t="shared" si="189"/>
        <v>8.5075531495033774E-2</v>
      </c>
      <c r="EF160" s="299">
        <f t="shared" si="189"/>
        <v>0.15418672193030791</v>
      </c>
      <c r="EG160" s="300">
        <f t="shared" si="189"/>
        <v>0.13745312233206519</v>
      </c>
      <c r="EH160" s="300">
        <f t="shared" si="189"/>
        <v>0.12137496309696805</v>
      </c>
      <c r="EI160" s="363">
        <f t="shared" si="189"/>
        <v>0.10478084041583369</v>
      </c>
      <c r="EJ160" s="299">
        <f t="shared" si="189"/>
        <v>0.10394767360883517</v>
      </c>
      <c r="EK160" s="299">
        <f t="shared" si="189"/>
        <v>0.10394767360883561</v>
      </c>
      <c r="EL160" s="362">
        <f t="shared" si="189"/>
        <v>0.10334387452840921</v>
      </c>
      <c r="EM160" s="299">
        <f t="shared" si="189"/>
        <v>0.10432812599548513</v>
      </c>
      <c r="EN160" s="299">
        <f t="shared" si="189"/>
        <v>0.10362346039533343</v>
      </c>
      <c r="EO160" s="300">
        <f t="shared" si="189"/>
        <v>0.10419418183483486</v>
      </c>
      <c r="EP160" s="300">
        <f t="shared" si="189"/>
        <v>0.10394767360883561</v>
      </c>
      <c r="EQ160" s="363">
        <f t="shared" si="189"/>
        <v>7.4468354805829584E-2</v>
      </c>
      <c r="ER160" s="299">
        <f t="shared" si="189"/>
        <v>7.4694026706635386E-2</v>
      </c>
      <c r="ES160" s="299">
        <f t="shared" si="189"/>
        <v>7.4694026706635386E-2</v>
      </c>
      <c r="ET160" s="362">
        <f t="shared" si="189"/>
        <v>7.4857784968597629E-2</v>
      </c>
      <c r="EU160" s="299">
        <f t="shared" si="189"/>
        <v>7.4590934973496115E-2</v>
      </c>
      <c r="EV160" s="299">
        <f t="shared" si="189"/>
        <v>7.4781935323731563E-2</v>
      </c>
      <c r="EW160" s="300">
        <f t="shared" si="189"/>
        <v>7.4627221913553088E-2</v>
      </c>
      <c r="EX160" s="300">
        <f t="shared" si="189"/>
        <v>7.4694026706635386E-2</v>
      </c>
      <c r="EY160" s="363">
        <f t="shared" si="190"/>
        <v>2.199060783343576E-2</v>
      </c>
      <c r="EZ160" s="299">
        <f t="shared" si="190"/>
        <v>2.2862672973009257E-2</v>
      </c>
      <c r="FA160" s="299">
        <f t="shared" si="190"/>
        <v>2.2862672973009257E-2</v>
      </c>
      <c r="FB160" s="362">
        <f t="shared" si="190"/>
        <v>2.3495255631959644E-2</v>
      </c>
      <c r="FC160" s="299">
        <f t="shared" si="190"/>
        <v>2.2464340477940992E-2</v>
      </c>
      <c r="FD160" s="299">
        <f t="shared" si="190"/>
        <v>2.3202279601458375E-2</v>
      </c>
      <c r="FE160" s="300">
        <f t="shared" si="190"/>
        <v>2.2604557016051574E-2</v>
      </c>
      <c r="FF160" s="300">
        <f>+FF157/EX157-1</f>
        <v>2.2862672973009035E-2</v>
      </c>
    </row>
    <row r="161" spans="1:162" ht="11.25" customHeight="1" outlineLevel="1" x14ac:dyDescent="0.2">
      <c r="A161" s="202" t="s">
        <v>338</v>
      </c>
      <c r="B161" s="197"/>
      <c r="C161" s="259"/>
      <c r="D161" s="260"/>
      <c r="E161" s="260"/>
      <c r="F161" s="262"/>
      <c r="G161" s="260"/>
      <c r="H161" s="260"/>
      <c r="I161" s="263"/>
      <c r="J161" s="263"/>
      <c r="K161" s="259"/>
      <c r="L161" s="260"/>
      <c r="M161" s="260"/>
      <c r="N161" s="262"/>
      <c r="O161" s="260"/>
      <c r="P161" s="260"/>
      <c r="Q161" s="263"/>
      <c r="R161" s="263"/>
      <c r="S161" s="259"/>
      <c r="T161" s="260"/>
      <c r="U161" s="260"/>
      <c r="V161" s="262"/>
      <c r="W161" s="260"/>
      <c r="X161" s="260"/>
      <c r="Y161" s="263"/>
      <c r="Z161" s="263"/>
      <c r="AA161" s="259"/>
      <c r="AB161" s="260"/>
      <c r="AC161" s="260"/>
      <c r="AD161" s="262"/>
      <c r="AE161" s="260"/>
      <c r="AF161" s="260"/>
      <c r="AG161" s="263"/>
      <c r="AH161" s="263"/>
      <c r="AI161" s="259"/>
      <c r="AJ161" s="260"/>
      <c r="AK161" s="260"/>
      <c r="AL161" s="262"/>
      <c r="AM161" s="260"/>
      <c r="AN161" s="260"/>
      <c r="AO161" s="263"/>
      <c r="AP161" s="263"/>
      <c r="AQ161" s="259"/>
      <c r="AR161" s="260"/>
      <c r="AS161" s="260"/>
      <c r="AT161" s="262"/>
      <c r="AU161" s="260"/>
      <c r="AV161" s="260"/>
      <c r="AW161" s="263"/>
      <c r="AX161" s="263"/>
      <c r="AY161" s="259"/>
      <c r="AZ161" s="260"/>
      <c r="BA161" s="260"/>
      <c r="BB161" s="262"/>
      <c r="BC161" s="260"/>
      <c r="BD161" s="260"/>
      <c r="BE161" s="263"/>
      <c r="BF161" s="263"/>
      <c r="BG161" s="259"/>
      <c r="BH161" s="260"/>
      <c r="BI161" s="260"/>
      <c r="BJ161" s="262"/>
      <c r="BK161" s="260"/>
      <c r="BL161" s="260"/>
      <c r="BM161" s="263"/>
      <c r="BN161" s="263"/>
      <c r="BO161" s="259">
        <f t="shared" si="188"/>
        <v>0.21216097987751525</v>
      </c>
      <c r="BP161" s="260">
        <f t="shared" si="188"/>
        <v>0.2429535529972211</v>
      </c>
      <c r="BQ161" s="260">
        <f t="shared" si="188"/>
        <v>0.18343898573692541</v>
      </c>
      <c r="BR161" s="262">
        <f t="shared" si="188"/>
        <v>-2.892307692307694E-2</v>
      </c>
      <c r="BS161" s="260">
        <f t="shared" si="188"/>
        <v>0.22830385015608745</v>
      </c>
      <c r="BT161" s="260">
        <f t="shared" si="188"/>
        <v>6.3907170072739827E-2</v>
      </c>
      <c r="BU161" s="263">
        <f t="shared" si="188"/>
        <v>0.21285304952926731</v>
      </c>
      <c r="BV161" s="263">
        <f t="shared" si="188"/>
        <v>0.13857642499291045</v>
      </c>
      <c r="BW161" s="259">
        <f t="shared" si="188"/>
        <v>-9.8881270299530866E-2</v>
      </c>
      <c r="BX161" s="260">
        <f t="shared" si="188"/>
        <v>-0.50495049504950495</v>
      </c>
      <c r="BY161" s="260">
        <f t="shared" si="188"/>
        <v>-0.47807164378975564</v>
      </c>
      <c r="BZ161" s="262">
        <f t="shared" si="188"/>
        <v>-0.34822560202788344</v>
      </c>
      <c r="CA161" s="260">
        <f t="shared" si="188"/>
        <v>-0.31430023720772615</v>
      </c>
      <c r="CB161" s="260">
        <f t="shared" si="188"/>
        <v>-0.41136252645287319</v>
      </c>
      <c r="CC161" s="263">
        <f t="shared" si="188"/>
        <v>-0.36933288333895831</v>
      </c>
      <c r="CD161" s="263">
        <f t="shared" si="188"/>
        <v>-0.36380240763802407</v>
      </c>
      <c r="CE161" s="259">
        <f t="shared" si="188"/>
        <v>-0.37484981978374043</v>
      </c>
      <c r="CF161" s="260">
        <f t="shared" si="188"/>
        <v>8.9032258064516201E-2</v>
      </c>
      <c r="CG161" s="260">
        <f t="shared" si="188"/>
        <v>0.16228351507376515</v>
      </c>
      <c r="CH161" s="262">
        <f t="shared" si="188"/>
        <v>0.15605250364608647</v>
      </c>
      <c r="CI161" s="260">
        <f t="shared" si="188"/>
        <v>-0.19718309859154926</v>
      </c>
      <c r="CJ161" s="260">
        <f t="shared" si="188"/>
        <v>0.15873893805309724</v>
      </c>
      <c r="CK161" s="263">
        <f t="shared" si="188"/>
        <v>-9.721726721369961E-2</v>
      </c>
      <c r="CL161" s="263">
        <f>+CL158/CD158-1</f>
        <v>-2.9231371525512251E-2</v>
      </c>
      <c r="CM161" s="259">
        <f t="shared" si="189"/>
        <v>0.24407431133888524</v>
      </c>
      <c r="CN161" s="260">
        <f t="shared" si="189"/>
        <v>0.32345971563981046</v>
      </c>
      <c r="CO161" s="260">
        <f t="shared" si="189"/>
        <v>0.38134657836644581</v>
      </c>
      <c r="CP161" s="262">
        <f t="shared" si="189"/>
        <v>0.18881412952060561</v>
      </c>
      <c r="CQ161" s="260">
        <f>CQ158/CI158-1</f>
        <v>0.28531855955678664</v>
      </c>
      <c r="CR161" s="260">
        <f t="shared" si="189"/>
        <v>0.2720763723150359</v>
      </c>
      <c r="CS161" s="263">
        <f t="shared" si="189"/>
        <v>0.31969966409800432</v>
      </c>
      <c r="CT161" s="263">
        <f>+CT158/CL158-1</f>
        <v>0.27785992740959808</v>
      </c>
      <c r="CU161" s="259">
        <f t="shared" si="189"/>
        <v>0.39752832131822857</v>
      </c>
      <c r="CV161" s="260">
        <f t="shared" si="189"/>
        <v>0.32632050134288271</v>
      </c>
      <c r="CW161" s="260">
        <f t="shared" si="189"/>
        <v>0.2317219336795846</v>
      </c>
      <c r="CX161" s="262">
        <f t="shared" si="189"/>
        <v>0.10222851078882211</v>
      </c>
      <c r="CY161" s="260">
        <f t="shared" si="189"/>
        <v>0.3594348659003832</v>
      </c>
      <c r="CZ161" s="260">
        <f t="shared" si="189"/>
        <v>0.16303939962476544</v>
      </c>
      <c r="DA161" s="263">
        <f t="shared" si="189"/>
        <v>0.31157358886060793</v>
      </c>
      <c r="DB161" s="263">
        <f t="shared" si="189"/>
        <v>0.24931622133389442</v>
      </c>
      <c r="DC161" s="259">
        <f t="shared" si="189"/>
        <v>0.14112011790714818</v>
      </c>
      <c r="DD161" s="260">
        <f t="shared" si="189"/>
        <v>0.13533580830239611</v>
      </c>
      <c r="DE161" s="260">
        <f t="shared" si="189"/>
        <v>8.3036003892312582E-2</v>
      </c>
      <c r="DF161" s="262">
        <f t="shared" si="189"/>
        <v>0.23620025673940948</v>
      </c>
      <c r="DG161" s="260">
        <f t="shared" si="189"/>
        <v>0.13810110974106049</v>
      </c>
      <c r="DH161" s="260">
        <f t="shared" si="189"/>
        <v>0.16002581061461529</v>
      </c>
      <c r="DI161" s="263">
        <f t="shared" si="189"/>
        <v>0.11872146118721472</v>
      </c>
      <c r="DJ161" s="263">
        <f t="shared" si="189"/>
        <v>0.14954530144829903</v>
      </c>
      <c r="DK161" s="259">
        <f t="shared" si="189"/>
        <v>0.18953826283500153</v>
      </c>
      <c r="DL161" s="260">
        <f t="shared" si="189"/>
        <v>0.14655172413793105</v>
      </c>
      <c r="DM161" s="260">
        <f t="shared" si="189"/>
        <v>0.21114106019766399</v>
      </c>
      <c r="DN161" s="262">
        <f t="shared" si="189"/>
        <v>5.9968847352025012E-2</v>
      </c>
      <c r="DO161" s="260">
        <f t="shared" si="189"/>
        <v>0.16715678687509672</v>
      </c>
      <c r="DP161" s="260">
        <f t="shared" si="189"/>
        <v>0.13016270337922409</v>
      </c>
      <c r="DQ161" s="263">
        <f t="shared" si="189"/>
        <v>0.18214285714285716</v>
      </c>
      <c r="DR161" s="263">
        <f t="shared" si="189"/>
        <v>0.14767067096396125</v>
      </c>
      <c r="DS161" s="259">
        <f t="shared" si="189"/>
        <v>0.23561346362649305</v>
      </c>
      <c r="DT161" s="260">
        <f t="shared" si="189"/>
        <v>0.19937775473165664</v>
      </c>
      <c r="DU161" s="265">
        <f t="shared" si="189"/>
        <v>9.8300112771809944E-2</v>
      </c>
      <c r="DV161" s="264">
        <f t="shared" si="189"/>
        <v>0.35526922813412876</v>
      </c>
      <c r="DW161" s="260">
        <f t="shared" si="189"/>
        <v>0.21707996286964604</v>
      </c>
      <c r="DX161" s="265">
        <f t="shared" si="189"/>
        <v>0.22740124455775157</v>
      </c>
      <c r="DY161" s="267">
        <f t="shared" si="189"/>
        <v>0.17591275643343507</v>
      </c>
      <c r="DZ161" s="267">
        <f t="shared" si="189"/>
        <v>0.22265212801589174</v>
      </c>
      <c r="EA161" s="364">
        <f t="shared" si="189"/>
        <v>-6.0683344278451568E-3</v>
      </c>
      <c r="EB161" s="265">
        <f t="shared" si="189"/>
        <v>0.10231080635651946</v>
      </c>
      <c r="EC161" s="265">
        <f t="shared" si="189"/>
        <v>0.14830312088860764</v>
      </c>
      <c r="ED161" s="264">
        <f t="shared" si="189"/>
        <v>0.1612808452123442</v>
      </c>
      <c r="EE161" s="265">
        <f t="shared" si="189"/>
        <v>4.8558153398312154E-2</v>
      </c>
      <c r="EF161" s="265">
        <f t="shared" si="189"/>
        <v>0.15550236140568741</v>
      </c>
      <c r="EG161" s="267">
        <f t="shared" si="189"/>
        <v>8.0814748558712957E-2</v>
      </c>
      <c r="EH161" s="267">
        <f t="shared" si="189"/>
        <v>0.10405824302292088</v>
      </c>
      <c r="EI161" s="364">
        <f t="shared" si="189"/>
        <v>0.10841758536607293</v>
      </c>
      <c r="EJ161" s="265">
        <f t="shared" si="189"/>
        <v>0.10644166347234396</v>
      </c>
      <c r="EK161" s="265">
        <f t="shared" si="189"/>
        <v>0.10679682468660867</v>
      </c>
      <c r="EL161" s="264">
        <f t="shared" si="189"/>
        <v>8.9701076458370554E-2</v>
      </c>
      <c r="EM161" s="265">
        <f t="shared" si="189"/>
        <v>0.10737060414575006</v>
      </c>
      <c r="EN161" s="265">
        <f t="shared" si="189"/>
        <v>9.7265732348965628E-2</v>
      </c>
      <c r="EO161" s="267">
        <f t="shared" si="189"/>
        <v>0.10717185223391046</v>
      </c>
      <c r="EP161" s="267">
        <f t="shared" si="189"/>
        <v>0.10186366840592531</v>
      </c>
      <c r="EQ161" s="364">
        <f t="shared" si="189"/>
        <v>6.5961649587491511E-2</v>
      </c>
      <c r="ER161" s="265">
        <f t="shared" si="189"/>
        <v>6.32492940518814E-2</v>
      </c>
      <c r="ES161" s="265">
        <f t="shared" si="189"/>
        <v>6.3239828539941367E-2</v>
      </c>
      <c r="ET161" s="264">
        <f t="shared" si="189"/>
        <v>6.0095067563458837E-2</v>
      </c>
      <c r="EU161" s="265">
        <f t="shared" si="189"/>
        <v>6.452566008550531E-2</v>
      </c>
      <c r="EV161" s="265">
        <f t="shared" si="189"/>
        <v>6.1498672198395443E-2</v>
      </c>
      <c r="EW161" s="267">
        <f t="shared" si="189"/>
        <v>6.4080410767711316E-2</v>
      </c>
      <c r="EX161" s="267">
        <f t="shared" si="189"/>
        <v>6.2882901154484028E-2</v>
      </c>
      <c r="EY161" s="364">
        <f t="shared" si="190"/>
        <v>1.4604000085855384E-2</v>
      </c>
      <c r="EZ161" s="265">
        <f t="shared" si="190"/>
        <v>1.632522115944135E-2</v>
      </c>
      <c r="FA161" s="265">
        <f t="shared" si="190"/>
        <v>1.6010633246544614E-2</v>
      </c>
      <c r="FB161" s="264">
        <f t="shared" si="190"/>
        <v>1.1134514809711726E-2</v>
      </c>
      <c r="FC161" s="265">
        <f t="shared" si="190"/>
        <v>1.5514165381510958E-2</v>
      </c>
      <c r="FD161" s="265">
        <f t="shared" si="190"/>
        <v>1.3314447977300858E-2</v>
      </c>
      <c r="FE161" s="267">
        <f t="shared" si="190"/>
        <v>1.5685943213911369E-2</v>
      </c>
      <c r="FF161" s="267">
        <f>+FF158/EX158-1</f>
        <v>1.4321924307718614E-2</v>
      </c>
    </row>
    <row r="162" spans="1:162" ht="11.25" customHeight="1" outlineLevel="1" x14ac:dyDescent="0.2">
      <c r="A162" s="186"/>
      <c r="C162" s="198"/>
      <c r="D162" s="199"/>
      <c r="E162" s="199"/>
      <c r="F162" s="200"/>
      <c r="G162" s="199"/>
      <c r="H162" s="199"/>
      <c r="I162" s="201"/>
      <c r="J162" s="201"/>
      <c r="K162" s="198"/>
      <c r="L162" s="199"/>
      <c r="M162" s="199"/>
      <c r="N162" s="200"/>
      <c r="O162" s="199"/>
      <c r="P162" s="199"/>
      <c r="Q162" s="201"/>
      <c r="R162" s="201"/>
      <c r="S162" s="198"/>
      <c r="T162" s="199"/>
      <c r="U162" s="199"/>
      <c r="V162" s="200"/>
      <c r="W162" s="199"/>
      <c r="X162" s="199"/>
      <c r="Y162" s="201"/>
      <c r="Z162" s="201"/>
      <c r="AA162" s="198"/>
      <c r="AB162" s="199"/>
      <c r="AC162" s="199"/>
      <c r="AD162" s="200"/>
      <c r="AE162" s="199"/>
      <c r="AF162" s="199"/>
      <c r="AG162" s="201"/>
      <c r="AH162" s="201"/>
      <c r="AI162" s="198"/>
      <c r="AJ162" s="199"/>
      <c r="AK162" s="199"/>
      <c r="AL162" s="200"/>
      <c r="AM162" s="199"/>
      <c r="AN162" s="199"/>
      <c r="AO162" s="201"/>
      <c r="AP162" s="201"/>
      <c r="AQ162" s="198"/>
      <c r="AR162" s="199"/>
      <c r="AS162" s="199"/>
      <c r="AT162" s="200"/>
      <c r="AU162" s="199"/>
      <c r="AV162" s="199"/>
      <c r="AW162" s="201"/>
      <c r="AX162" s="201"/>
      <c r="AY162" s="198"/>
      <c r="AZ162" s="199"/>
      <c r="BA162" s="199"/>
      <c r="BB162" s="200"/>
      <c r="BC162" s="199"/>
      <c r="BD162" s="199"/>
      <c r="BE162" s="201"/>
      <c r="BF162" s="201"/>
      <c r="BG162" s="198"/>
      <c r="BH162" s="199"/>
      <c r="BI162" s="199"/>
      <c r="BJ162" s="200"/>
      <c r="BK162" s="199"/>
      <c r="BL162" s="199"/>
      <c r="BM162" s="201"/>
      <c r="BN162" s="201"/>
      <c r="BO162" s="198"/>
      <c r="BP162" s="199"/>
      <c r="BQ162" s="199"/>
      <c r="BR162" s="200"/>
      <c r="BS162" s="199"/>
      <c r="BT162" s="199"/>
      <c r="BU162" s="201"/>
      <c r="BV162" s="201"/>
      <c r="BW162" s="198"/>
      <c r="BX162" s="199"/>
      <c r="BY162" s="199"/>
      <c r="BZ162" s="200"/>
      <c r="CA162" s="199"/>
      <c r="CB162" s="199"/>
      <c r="CC162" s="201"/>
      <c r="CD162" s="201"/>
      <c r="CE162" s="198"/>
      <c r="CF162" s="199"/>
      <c r="CG162" s="199"/>
      <c r="CH162" s="200"/>
      <c r="CI162" s="199"/>
      <c r="CJ162" s="199"/>
      <c r="CK162" s="201"/>
      <c r="CL162" s="201"/>
      <c r="CM162" s="198"/>
      <c r="CN162" s="199"/>
      <c r="CO162" s="199"/>
      <c r="CP162" s="200"/>
      <c r="CQ162" s="199"/>
      <c r="CR162" s="199"/>
      <c r="CS162" s="201"/>
      <c r="CT162" s="201"/>
      <c r="CU162" s="199"/>
      <c r="CV162" s="199"/>
      <c r="CW162" s="199"/>
      <c r="CX162" s="200"/>
      <c r="CY162" s="199"/>
      <c r="CZ162" s="199"/>
      <c r="DA162" s="201"/>
      <c r="DB162" s="180"/>
      <c r="DC162" s="199"/>
      <c r="DD162" s="199"/>
      <c r="DE162" s="199"/>
      <c r="DF162" s="200"/>
      <c r="DG162" s="199"/>
      <c r="DH162" s="199"/>
      <c r="DI162" s="201"/>
      <c r="DJ162" s="180"/>
      <c r="DK162" s="199"/>
      <c r="DL162" s="199"/>
      <c r="DM162" s="199"/>
      <c r="DN162" s="200"/>
      <c r="DO162" s="199"/>
      <c r="DP162" s="199"/>
      <c r="DQ162" s="201"/>
      <c r="DR162" s="180"/>
      <c r="DS162" s="199"/>
      <c r="DT162" s="199"/>
      <c r="DU162" s="199"/>
      <c r="DV162" s="200"/>
      <c r="DW162" s="199"/>
      <c r="DX162" s="199"/>
      <c r="DY162" s="201"/>
      <c r="DZ162" s="180"/>
      <c r="EA162" s="199"/>
      <c r="EB162" s="199"/>
      <c r="EC162" s="199"/>
      <c r="ED162" s="200"/>
      <c r="EE162" s="199"/>
      <c r="EF162" s="199"/>
      <c r="EG162" s="201"/>
      <c r="EH162" s="180"/>
      <c r="EI162" s="199"/>
      <c r="EJ162" s="199"/>
      <c r="EK162" s="199"/>
      <c r="EL162" s="200"/>
      <c r="EM162" s="199"/>
      <c r="EN162" s="199"/>
      <c r="EO162" s="201"/>
      <c r="EP162" s="180"/>
      <c r="EQ162" s="199"/>
      <c r="ER162" s="199"/>
      <c r="ES162" s="199"/>
      <c r="ET162" s="200"/>
      <c r="EU162" s="199"/>
      <c r="EV162" s="199"/>
      <c r="EW162" s="201"/>
      <c r="EX162" s="180"/>
      <c r="EY162" s="199"/>
      <c r="EZ162" s="199"/>
      <c r="FA162" s="199"/>
      <c r="FB162" s="200"/>
      <c r="FC162" s="199"/>
      <c r="FD162" s="199"/>
      <c r="FE162" s="201"/>
      <c r="FF162" s="180"/>
    </row>
    <row r="163" spans="1:162" s="15" customFormat="1" ht="11.25" customHeight="1" outlineLevel="1" x14ac:dyDescent="0.2">
      <c r="A163" s="186" t="s">
        <v>339</v>
      </c>
      <c r="B163" s="4"/>
      <c r="C163" s="365"/>
      <c r="D163" s="366"/>
      <c r="E163" s="366"/>
      <c r="F163" s="367"/>
      <c r="G163" s="366"/>
      <c r="H163" s="366"/>
      <c r="I163" s="368"/>
      <c r="J163" s="368"/>
      <c r="K163" s="365"/>
      <c r="L163" s="366"/>
      <c r="M163" s="366"/>
      <c r="N163" s="367"/>
      <c r="O163" s="366"/>
      <c r="P163" s="366"/>
      <c r="Q163" s="368"/>
      <c r="R163" s="368"/>
      <c r="S163" s="365"/>
      <c r="T163" s="366"/>
      <c r="U163" s="366"/>
      <c r="V163" s="367"/>
      <c r="W163" s="366"/>
      <c r="X163" s="366"/>
      <c r="Y163" s="368"/>
      <c r="Z163" s="368"/>
      <c r="AA163" s="365"/>
      <c r="AB163" s="366"/>
      <c r="AC163" s="366"/>
      <c r="AD163" s="367"/>
      <c r="AE163" s="366"/>
      <c r="AF163" s="366"/>
      <c r="AG163" s="368"/>
      <c r="AH163" s="368"/>
      <c r="AI163" s="365"/>
      <c r="AJ163" s="366"/>
      <c r="AK163" s="366"/>
      <c r="AL163" s="367"/>
      <c r="AM163" s="366"/>
      <c r="AN163" s="366"/>
      <c r="AO163" s="368"/>
      <c r="AP163" s="368"/>
      <c r="AQ163" s="365"/>
      <c r="AR163" s="366"/>
      <c r="AS163" s="366"/>
      <c r="AT163" s="367"/>
      <c r="AU163" s="366"/>
      <c r="AV163" s="366"/>
      <c r="AW163" s="368"/>
      <c r="AX163" s="368"/>
      <c r="AY163" s="365"/>
      <c r="AZ163" s="366"/>
      <c r="BA163" s="366"/>
      <c r="BB163" s="367"/>
      <c r="BC163" s="366"/>
      <c r="BD163" s="366"/>
      <c r="BE163" s="368"/>
      <c r="BF163" s="368"/>
      <c r="BG163" s="365"/>
      <c r="BH163" s="366"/>
      <c r="BI163" s="366"/>
      <c r="BJ163" s="367"/>
      <c r="BK163" s="366"/>
      <c r="BL163" s="366"/>
      <c r="BM163" s="368"/>
      <c r="BN163" s="368"/>
      <c r="BO163" s="365">
        <v>1.1599999999999999</v>
      </c>
      <c r="BP163" s="366">
        <v>1.1499999999999999</v>
      </c>
      <c r="BQ163" s="366">
        <v>1.145</v>
      </c>
      <c r="BR163" s="367">
        <f>+BR167/BR158</f>
        <v>1.145775190114068</v>
      </c>
      <c r="BS163" s="366">
        <v>1.155</v>
      </c>
      <c r="BT163" s="366">
        <f>+BT167/BT158</f>
        <v>1.1451961582288781</v>
      </c>
      <c r="BU163" s="368">
        <v>1.1515</v>
      </c>
      <c r="BV163" s="368">
        <v>1.1499999999999999</v>
      </c>
      <c r="BW163" s="365">
        <v>1.1299999999999999</v>
      </c>
      <c r="BX163" s="366">
        <v>1.1299999999999999</v>
      </c>
      <c r="BY163" s="366">
        <v>1.165</v>
      </c>
      <c r="BZ163" s="367">
        <f>+BZ167/BZ158</f>
        <v>1.1727110678982331</v>
      </c>
      <c r="CA163" s="366">
        <v>1.1299999999999999</v>
      </c>
      <c r="CB163" s="366">
        <f>+CB167/CB158</f>
        <v>1.1723838495575218</v>
      </c>
      <c r="CC163" s="368">
        <f>+AVERAGE(BW163:BY163)</f>
        <v>1.1416666666666666</v>
      </c>
      <c r="CD163" s="368">
        <v>1.1499999999999999</v>
      </c>
      <c r="CE163" s="365">
        <v>1.19</v>
      </c>
      <c r="CF163" s="366">
        <v>1.19</v>
      </c>
      <c r="CG163" s="366">
        <f>CG127</f>
        <v>1.169</v>
      </c>
      <c r="CH163" s="367">
        <v>1.1599999999999999</v>
      </c>
      <c r="CI163" s="366">
        <v>1.19</v>
      </c>
      <c r="CJ163" s="366">
        <v>1.1599999999999999</v>
      </c>
      <c r="CK163" s="368">
        <f>+AVERAGE(CE163,CF163,CG163)</f>
        <v>1.1830000000000001</v>
      </c>
      <c r="CL163" s="368">
        <f>AVERAGE(Propulsion!W261,Propulsion!W262)</f>
        <v>1.17</v>
      </c>
      <c r="CM163" s="365">
        <f>+AVERAGE(CM123,CM125)</f>
        <v>1.135</v>
      </c>
      <c r="CN163" s="366">
        <f>+AVERAGE(CN123,CN125)</f>
        <v>1.105</v>
      </c>
      <c r="CO163" s="366">
        <f>+AVERAGE(CO123,CO125)</f>
        <v>1.1000000000000001</v>
      </c>
      <c r="CP163" s="367">
        <f>+AVERAGE(CP123,CP125)</f>
        <v>1.085</v>
      </c>
      <c r="CQ163" s="366">
        <f>+AVERAGE(CM163:CN163)</f>
        <v>1.1200000000000001</v>
      </c>
      <c r="CR163" s="366">
        <f>+AVERAGE(CO163:CP163)</f>
        <v>1.0925</v>
      </c>
      <c r="CS163" s="368">
        <f>+AVERAGE(CM163,CN163,CO163)</f>
        <v>1.1133333333333335</v>
      </c>
      <c r="CT163" s="368">
        <f>AVERAGE(Propulsion!X261,Propulsion!X262)</f>
        <v>1.1000000000000001</v>
      </c>
      <c r="CU163" s="365">
        <f>+AVERAGE(CU123,CU125)</f>
        <v>1.1000000000000001</v>
      </c>
      <c r="CV163" s="366">
        <f>+AVERAGE(CV123,CV125)</f>
        <v>1.1099999999999999</v>
      </c>
      <c r="CW163" s="366">
        <f>+AVERAGE(CW123,CW125)</f>
        <v>1.1099999999999999</v>
      </c>
      <c r="CX163" s="367">
        <f>AVERAGE(Propulsion!AB261,Propulsion!AB262)</f>
        <v>1.1000000000000001</v>
      </c>
      <c r="CY163" s="366">
        <f>+AVERAGE(CY123,CY125)</f>
        <v>1.105</v>
      </c>
      <c r="CZ163" s="366">
        <f>AVERAGE(Propulsion!AD261,Propulsion!AD262)</f>
        <v>1.105</v>
      </c>
      <c r="DA163" s="368">
        <f>+AVERAGE(DA123,DA125)</f>
        <v>1.105</v>
      </c>
      <c r="DB163" s="368">
        <f>AVERAGE(Propulsion!AF261,Propulsion!AF262)</f>
        <v>1.105</v>
      </c>
      <c r="DC163" s="365">
        <f>+AVERAGE(DC123,DC125)</f>
        <v>1.105</v>
      </c>
      <c r="DD163" s="366">
        <f>+AVERAGE(DD123,DD125)</f>
        <v>1.0950000000000002</v>
      </c>
      <c r="DE163" s="366">
        <f>+AVERAGE(DE123,DE125)</f>
        <v>1.1100000000000001</v>
      </c>
      <c r="DF163" s="367">
        <f>AVERAGE(Propulsion!AJ261,Propulsion!AJ262)</f>
        <v>1.0900000000000001</v>
      </c>
      <c r="DG163" s="366">
        <f>+AVERAGE(DG123,DG125)</f>
        <v>1.1000000000000001</v>
      </c>
      <c r="DH163" s="366">
        <f>AVERAGE(Propulsion!AL261,Propulsion!AL262)</f>
        <v>1.1000000000000001</v>
      </c>
      <c r="DI163" s="368">
        <f>+AVERAGE(DI123,DI125)</f>
        <v>1.105</v>
      </c>
      <c r="DJ163" s="368">
        <f>AVERAGE(Propulsion!AN261,Propulsion!AN262)</f>
        <v>1.1000000000000001</v>
      </c>
      <c r="DK163" s="365">
        <f>+AVERAGE(DK123,DK125)</f>
        <v>1.085</v>
      </c>
      <c r="DL163" s="366">
        <f>+AVERAGE(DL123,DL125)</f>
        <v>1.125</v>
      </c>
      <c r="DM163" s="366">
        <f>+AVERAGE(DM123,DM125)</f>
        <v>1.145</v>
      </c>
      <c r="DN163" s="367">
        <f>AVERAGE(Propulsion!AR261,Propulsion!AR262)</f>
        <v>1.1449999999999998</v>
      </c>
      <c r="DO163" s="366">
        <f>+AVERAGE(DO123,DO125)</f>
        <v>1.105</v>
      </c>
      <c r="DP163" s="366">
        <f>AVERAGE(Propulsion!AT261,Propulsion!AT262)</f>
        <v>1.145</v>
      </c>
      <c r="DQ163" s="368">
        <f>+AVERAGE(DQ123,DQ125)</f>
        <v>1.1200000000000001</v>
      </c>
      <c r="DR163" s="368">
        <f>AVERAGE(Propulsion!AV261,Propulsion!AV262)</f>
        <v>1.125</v>
      </c>
      <c r="DS163" s="366">
        <f>AVERAGE(Propulsion!AW261,Propulsion!AW262)</f>
        <v>1.145</v>
      </c>
      <c r="DT163" s="366">
        <f>AVERAGE(Propulsion!AX261,Propulsion!AX262)</f>
        <v>1.145</v>
      </c>
      <c r="DU163" s="370">
        <f>AVERAGE(Propulsion!AY261,Propulsion!AY262)</f>
        <v>1.145</v>
      </c>
      <c r="DV163" s="369">
        <f>AVERAGE(Propulsion!AZ261,Propulsion!AZ262)</f>
        <v>1.145</v>
      </c>
      <c r="DW163" s="366">
        <f>AVERAGE(Propulsion!BA261,Propulsion!BA262)</f>
        <v>1.145</v>
      </c>
      <c r="DX163" s="370">
        <f>AVERAGE(Propulsion!BB261,Propulsion!BB262)</f>
        <v>1.145</v>
      </c>
      <c r="DY163" s="371">
        <f>AVERAGE(Propulsion!BC261,Propulsion!BC262)</f>
        <v>1.145</v>
      </c>
      <c r="DZ163" s="371">
        <f>AVERAGE(Propulsion!BD261,Propulsion!BD262)</f>
        <v>1.145</v>
      </c>
      <c r="EA163" s="370">
        <f>AVERAGE(Propulsion!BE261,Propulsion!BE262)</f>
        <v>1.155</v>
      </c>
      <c r="EB163" s="370">
        <f>AVERAGE(Propulsion!BF261,Propulsion!BF262)</f>
        <v>1.155</v>
      </c>
      <c r="EC163" s="370">
        <f>AVERAGE(Propulsion!BG261,Propulsion!BG262)</f>
        <v>1.155</v>
      </c>
      <c r="ED163" s="369">
        <f>AVERAGE(Propulsion!BH261,Propulsion!BH262)</f>
        <v>1.155</v>
      </c>
      <c r="EE163" s="370">
        <f>AVERAGE(Propulsion!BI261,Propulsion!BI262)</f>
        <v>1.155</v>
      </c>
      <c r="EF163" s="370">
        <f>AVERAGE(Propulsion!BJ261,Propulsion!BJ262)</f>
        <v>1.155</v>
      </c>
      <c r="EG163" s="371">
        <f>AVERAGE(Propulsion!BK261,Propulsion!BK262)</f>
        <v>1.155</v>
      </c>
      <c r="EH163" s="371">
        <f>AVERAGE(Propulsion!BL261,Propulsion!BL262)</f>
        <v>1.155</v>
      </c>
      <c r="EI163" s="370">
        <f>AVERAGE(Propulsion!BM261,Propulsion!BM262)</f>
        <v>1.1600000000000001</v>
      </c>
      <c r="EJ163" s="370">
        <f>AVERAGE(Propulsion!BN261,Propulsion!BN262)</f>
        <v>1.1600000000000001</v>
      </c>
      <c r="EK163" s="370">
        <f>AVERAGE(Propulsion!BO261,Propulsion!BO262)</f>
        <v>1.1600000000000001</v>
      </c>
      <c r="EL163" s="369">
        <f>AVERAGE(Propulsion!BP261,Propulsion!BP262)</f>
        <v>1.1600000000000001</v>
      </c>
      <c r="EM163" s="370">
        <f>AVERAGE(Propulsion!BQ261,Propulsion!BQ262)</f>
        <v>1.1600000000000001</v>
      </c>
      <c r="EN163" s="370">
        <f>AVERAGE(Propulsion!BR261,Propulsion!BR262)</f>
        <v>1.1600000000000001</v>
      </c>
      <c r="EO163" s="371">
        <f>AVERAGE(Propulsion!BS261,Propulsion!BS262)</f>
        <v>1.1600000000000001</v>
      </c>
      <c r="EP163" s="371">
        <f>AVERAGE(Propulsion!BT261,Propulsion!BT262)</f>
        <v>1.1600000000000001</v>
      </c>
      <c r="EQ163" s="370">
        <f>AVERAGE(Propulsion!BU261,Propulsion!BU262)</f>
        <v>1.1749999999999998</v>
      </c>
      <c r="ER163" s="370">
        <f>AVERAGE(Propulsion!BV261,Propulsion!BV262)</f>
        <v>1.1749999999999998</v>
      </c>
      <c r="ES163" s="370">
        <f>AVERAGE(Propulsion!BW261,Propulsion!BW262)</f>
        <v>1.1749999999999998</v>
      </c>
      <c r="ET163" s="369">
        <f>AVERAGE(Propulsion!BX261,Propulsion!BX262)</f>
        <v>1.1749999999999998</v>
      </c>
      <c r="EU163" s="370">
        <f>AVERAGE(Propulsion!BY261,Propulsion!BY262)</f>
        <v>1.1749999999999998</v>
      </c>
      <c r="EV163" s="370">
        <f>AVERAGE(Propulsion!BZ261,Propulsion!BZ262)</f>
        <v>1.1749999999999998</v>
      </c>
      <c r="EW163" s="371">
        <f>AVERAGE(Propulsion!CA261,Propulsion!CA262)</f>
        <v>1.1749999999999998</v>
      </c>
      <c r="EX163" s="371">
        <f>AVERAGE(Propulsion!CB261,Propulsion!CB262)</f>
        <v>1.1749999999999998</v>
      </c>
      <c r="EY163" s="370">
        <f>AVERAGE(Propulsion!CC261,Propulsion!CC262)</f>
        <v>1.2252941176470589</v>
      </c>
      <c r="EZ163" s="370">
        <f>AVERAGE(Propulsion!CD261,Propulsion!CD262)</f>
        <v>1.2252941176470589</v>
      </c>
      <c r="FA163" s="370">
        <f>AVERAGE(Propulsion!CE261,Propulsion!CE262)</f>
        <v>1.2252941176470589</v>
      </c>
      <c r="FB163" s="369">
        <f>AVERAGE(Propulsion!CF261,Propulsion!CF262)</f>
        <v>1.2252941176470589</v>
      </c>
      <c r="FC163" s="370">
        <f>AVERAGE(Propulsion!CG261,Propulsion!CG262)</f>
        <v>1.2252941176470589</v>
      </c>
      <c r="FD163" s="370">
        <f>AVERAGE(Propulsion!CH261,Propulsion!CH262)</f>
        <v>1.2252941176470589</v>
      </c>
      <c r="FE163" s="371">
        <f>AVERAGE(Propulsion!CI261,Propulsion!CI262)</f>
        <v>1.2252941176470589</v>
      </c>
      <c r="FF163" s="371">
        <f>AVERAGE(Propulsion!CJ261,Propulsion!CJ262)</f>
        <v>1.2252941176470589</v>
      </c>
    </row>
    <row r="164" spans="1:162" s="15" customFormat="1" ht="11.25" customHeight="1" outlineLevel="1" x14ac:dyDescent="0.2">
      <c r="A164" s="186"/>
      <c r="B164" s="4"/>
      <c r="C164" s="365"/>
      <c r="D164" s="366"/>
      <c r="E164" s="366"/>
      <c r="F164" s="367"/>
      <c r="G164" s="366"/>
      <c r="H164" s="366"/>
      <c r="I164" s="368"/>
      <c r="J164" s="368"/>
      <c r="K164" s="365"/>
      <c r="L164" s="366"/>
      <c r="M164" s="366"/>
      <c r="N164" s="367"/>
      <c r="O164" s="366"/>
      <c r="P164" s="366"/>
      <c r="Q164" s="368"/>
      <c r="R164" s="368"/>
      <c r="S164" s="365"/>
      <c r="T164" s="366"/>
      <c r="U164" s="366"/>
      <c r="V164" s="367"/>
      <c r="W164" s="366"/>
      <c r="X164" s="366"/>
      <c r="Y164" s="368"/>
      <c r="Z164" s="368"/>
      <c r="AA164" s="365"/>
      <c r="AB164" s="366"/>
      <c r="AC164" s="366"/>
      <c r="AD164" s="367"/>
      <c r="AE164" s="366"/>
      <c r="AF164" s="366"/>
      <c r="AG164" s="368"/>
      <c r="AH164" s="368"/>
      <c r="AI164" s="365"/>
      <c r="AJ164" s="366"/>
      <c r="AK164" s="366"/>
      <c r="AL164" s="367"/>
      <c r="AM164" s="366"/>
      <c r="AN164" s="366"/>
      <c r="AO164" s="368"/>
      <c r="AP164" s="368"/>
      <c r="AQ164" s="365"/>
      <c r="AR164" s="366"/>
      <c r="AS164" s="366"/>
      <c r="AT164" s="367"/>
      <c r="AU164" s="366"/>
      <c r="AV164" s="366"/>
      <c r="AW164" s="368"/>
      <c r="AX164" s="368"/>
      <c r="AY164" s="365"/>
      <c r="AZ164" s="366"/>
      <c r="BA164" s="366"/>
      <c r="BB164" s="367"/>
      <c r="BC164" s="366"/>
      <c r="BD164" s="366"/>
      <c r="BE164" s="368"/>
      <c r="BF164" s="368"/>
      <c r="BG164" s="365"/>
      <c r="BH164" s="366"/>
      <c r="BI164" s="366"/>
      <c r="BJ164" s="367"/>
      <c r="BK164" s="366"/>
      <c r="BL164" s="366"/>
      <c r="BM164" s="368"/>
      <c r="BN164" s="368"/>
      <c r="BO164" s="365"/>
      <c r="BP164" s="366"/>
      <c r="BQ164" s="366"/>
      <c r="BR164" s="367"/>
      <c r="BS164" s="366"/>
      <c r="BT164" s="366"/>
      <c r="BU164" s="368"/>
      <c r="BV164" s="368"/>
      <c r="BW164" s="365"/>
      <c r="BX164" s="366"/>
      <c r="BY164" s="366"/>
      <c r="BZ164" s="367"/>
      <c r="CA164" s="366"/>
      <c r="CB164" s="366"/>
      <c r="CC164" s="368"/>
      <c r="CD164" s="368"/>
      <c r="CE164" s="365"/>
      <c r="CF164" s="366"/>
      <c r="CG164" s="366"/>
      <c r="CH164" s="367"/>
      <c r="CI164" s="366"/>
      <c r="CJ164" s="366"/>
      <c r="CK164" s="368"/>
      <c r="CL164" s="368"/>
      <c r="CM164" s="365"/>
      <c r="CN164" s="366"/>
      <c r="CO164" s="366"/>
      <c r="CP164" s="367"/>
      <c r="CQ164" s="366"/>
      <c r="CR164" s="366"/>
      <c r="CS164" s="368"/>
      <c r="CT164" s="368"/>
      <c r="CU164" s="366"/>
      <c r="CV164" s="366"/>
      <c r="CW164" s="366"/>
      <c r="CX164" s="367"/>
      <c r="CY164" s="366"/>
      <c r="CZ164" s="366"/>
      <c r="DA164" s="368"/>
      <c r="DB164" s="1484"/>
      <c r="DC164" s="366"/>
      <c r="DD164" s="366"/>
      <c r="DE164" s="366"/>
      <c r="DF164" s="367"/>
      <c r="DG164" s="366"/>
      <c r="DH164" s="366"/>
      <c r="DI164" s="368"/>
      <c r="DJ164" s="326"/>
      <c r="DK164" s="366"/>
      <c r="DL164" s="366"/>
      <c r="DM164" s="366"/>
      <c r="DN164" s="367"/>
      <c r="DO164" s="366"/>
      <c r="DP164" s="366"/>
      <c r="DQ164" s="368"/>
      <c r="DR164" s="326"/>
      <c r="DS164" s="366"/>
      <c r="DT164" s="366"/>
      <c r="DU164" s="366"/>
      <c r="DV164" s="367"/>
      <c r="DW164" s="366"/>
      <c r="DX164" s="366"/>
      <c r="DY164" s="368"/>
      <c r="DZ164" s="326"/>
      <c r="EA164" s="366"/>
      <c r="EB164" s="366"/>
      <c r="EC164" s="366"/>
      <c r="ED164" s="367"/>
      <c r="EE164" s="366"/>
      <c r="EF164" s="366"/>
      <c r="EG164" s="368"/>
      <c r="EH164" s="326"/>
      <c r="EI164" s="366"/>
      <c r="EJ164" s="366"/>
      <c r="EK164" s="366"/>
      <c r="EL164" s="367"/>
      <c r="EM164" s="366"/>
      <c r="EN164" s="366"/>
      <c r="EO164" s="368"/>
      <c r="EP164" s="326"/>
      <c r="EQ164" s="366"/>
      <c r="ER164" s="366"/>
      <c r="ES164" s="366"/>
      <c r="ET164" s="367"/>
      <c r="EU164" s="366"/>
      <c r="EV164" s="366"/>
      <c r="EW164" s="368"/>
      <c r="EX164" s="326"/>
      <c r="EY164" s="366"/>
      <c r="EZ164" s="366"/>
      <c r="FA164" s="366"/>
      <c r="FB164" s="367"/>
      <c r="FC164" s="366"/>
      <c r="FD164" s="366"/>
      <c r="FE164" s="368"/>
      <c r="FF164" s="326"/>
    </row>
    <row r="165" spans="1:162" ht="11.25" customHeight="1" outlineLevel="1" x14ac:dyDescent="0.2">
      <c r="A165" s="372"/>
      <c r="B165" s="15" t="s">
        <v>340</v>
      </c>
      <c r="C165" s="198"/>
      <c r="D165" s="199"/>
      <c r="E165" s="199"/>
      <c r="F165" s="200"/>
      <c r="G165" s="199"/>
      <c r="H165" s="199"/>
      <c r="I165" s="201"/>
      <c r="J165" s="201"/>
      <c r="K165" s="198"/>
      <c r="L165" s="199"/>
      <c r="M165" s="199"/>
      <c r="N165" s="200"/>
      <c r="O165" s="199"/>
      <c r="P165" s="199"/>
      <c r="Q165" s="201"/>
      <c r="R165" s="201"/>
      <c r="S165" s="198"/>
      <c r="T165" s="199"/>
      <c r="U165" s="199"/>
      <c r="V165" s="200"/>
      <c r="W165" s="199"/>
      <c r="X165" s="199"/>
      <c r="Y165" s="201"/>
      <c r="Z165" s="201"/>
      <c r="AA165" s="198"/>
      <c r="AB165" s="199"/>
      <c r="AC165" s="199"/>
      <c r="AD165" s="200"/>
      <c r="AE165" s="199"/>
      <c r="AF165" s="199"/>
      <c r="AG165" s="201"/>
      <c r="AH165" s="201"/>
      <c r="AI165" s="198"/>
      <c r="AJ165" s="199"/>
      <c r="AK165" s="199"/>
      <c r="AL165" s="200"/>
      <c r="AM165" s="199"/>
      <c r="AN165" s="199"/>
      <c r="AO165" s="201"/>
      <c r="AP165" s="201"/>
      <c r="AQ165" s="198"/>
      <c r="AR165" s="199"/>
      <c r="AS165" s="199"/>
      <c r="AT165" s="200"/>
      <c r="AU165" s="199"/>
      <c r="AV165" s="199"/>
      <c r="AW165" s="201"/>
      <c r="AX165" s="201"/>
      <c r="AY165" s="198"/>
      <c r="AZ165" s="199"/>
      <c r="BA165" s="199"/>
      <c r="BB165" s="200"/>
      <c r="BC165" s="199"/>
      <c r="BD165" s="199"/>
      <c r="BE165" s="201"/>
      <c r="BF165" s="201"/>
      <c r="BG165" s="198"/>
      <c r="BH165" s="199"/>
      <c r="BI165" s="199"/>
      <c r="BJ165" s="200"/>
      <c r="BK165" s="199"/>
      <c r="BL165" s="199"/>
      <c r="BM165" s="201"/>
      <c r="BN165" s="201"/>
      <c r="BO165" s="198">
        <f t="shared" ref="BO165:BP167" si="191">+BO156*BO$163</f>
        <v>1352.56</v>
      </c>
      <c r="BP165" s="199">
        <f t="shared" si="191"/>
        <v>1524.8999999999999</v>
      </c>
      <c r="BQ165" s="199">
        <f>+BU165-BS165</f>
        <v>1508.9549999999999</v>
      </c>
      <c r="BR165" s="200">
        <f>+BT165-BQ165</f>
        <v>1589.3349999999991</v>
      </c>
      <c r="BS165" s="199">
        <f>+BS156*BS$163</f>
        <v>2878.26</v>
      </c>
      <c r="BT165" s="199">
        <f>+BV165-BS165</f>
        <v>3098.2899999999991</v>
      </c>
      <c r="BU165" s="201">
        <f t="shared" ref="BU165:BX167" si="192">+BU156*BU$163</f>
        <v>4387.2150000000001</v>
      </c>
      <c r="BV165" s="201">
        <f t="shared" si="192"/>
        <v>5976.5499999999993</v>
      </c>
      <c r="BW165" s="198">
        <f t="shared" si="192"/>
        <v>1005.6999999999999</v>
      </c>
      <c r="BX165" s="199">
        <f t="shared" si="192"/>
        <v>727.71999999999991</v>
      </c>
      <c r="BY165" s="199">
        <f>+CC165-CA165</f>
        <v>788.52166666666676</v>
      </c>
      <c r="BZ165" s="200">
        <f>+CB165-BY165</f>
        <v>922.30833333333294</v>
      </c>
      <c r="CA165" s="199">
        <f>+CA156*CA$163</f>
        <v>1733.4199999999998</v>
      </c>
      <c r="CB165" s="199">
        <f>+CD165-CA165</f>
        <v>1710.8299999999997</v>
      </c>
      <c r="CC165" s="201">
        <f t="shared" ref="CC165:CG167" si="193">+CC156*CC$163</f>
        <v>2521.9416666666666</v>
      </c>
      <c r="CD165" s="201">
        <f t="shared" si="193"/>
        <v>3444.2499999999995</v>
      </c>
      <c r="CE165" s="198">
        <f>+CE156*CE$163</f>
        <v>737.8</v>
      </c>
      <c r="CF165" s="199">
        <f>+CF156*CF$163</f>
        <v>803.25</v>
      </c>
      <c r="CG165" s="199">
        <f t="shared" si="193"/>
        <v>797.25800000000004</v>
      </c>
      <c r="CH165" s="200">
        <f>+CL165-CG165-CF165-CE165</f>
        <v>938.8619999999994</v>
      </c>
      <c r="CI165" s="199">
        <f>+CI156*CI$163</f>
        <v>1541.05</v>
      </c>
      <c r="CJ165" s="199">
        <f>+CL165-CI165</f>
        <v>1736.1199999999997</v>
      </c>
      <c r="CK165" s="201">
        <f>+CE165+CF165+CG165</f>
        <v>2338.308</v>
      </c>
      <c r="CL165" s="201">
        <f t="shared" ref="CL165:CO166" si="194">+CL156*CL$163</f>
        <v>3277.1699999999996</v>
      </c>
      <c r="CM165" s="198">
        <f t="shared" si="194"/>
        <v>805.85</v>
      </c>
      <c r="CN165" s="199">
        <f t="shared" si="194"/>
        <v>880.68499999999995</v>
      </c>
      <c r="CO165" s="199">
        <f t="shared" si="194"/>
        <v>1038.4000000000001</v>
      </c>
      <c r="CP165" s="200">
        <f>+CT165-CO165-CN165-CM165</f>
        <v>1141.5650000000005</v>
      </c>
      <c r="CQ165" s="199">
        <f>+CQ156*CQ$163</f>
        <v>1687.8400000000001</v>
      </c>
      <c r="CR165" s="199">
        <f>+CT165-CQ165</f>
        <v>2178.6600000000003</v>
      </c>
      <c r="CS165" s="201">
        <f>+CM165+CN165+CO165</f>
        <v>2724.9349999999999</v>
      </c>
      <c r="CT165" s="201">
        <f t="shared" ref="CT165:FE167" si="195">+CT156*CT$163</f>
        <v>3866.5000000000005</v>
      </c>
      <c r="CU165" s="198">
        <f t="shared" si="195"/>
        <v>1216.6000000000001</v>
      </c>
      <c r="CV165" s="199">
        <f>CY165-CU165</f>
        <v>1418.825</v>
      </c>
      <c r="CW165" s="199">
        <f t="shared" ref="CW165:CW167" si="196">+CW156*CW$163</f>
        <v>1213.2299999999998</v>
      </c>
      <c r="CX165" s="200">
        <f t="shared" si="195"/>
        <v>1195.7</v>
      </c>
      <c r="CY165" s="199">
        <f t="shared" si="195"/>
        <v>2635.4250000000002</v>
      </c>
      <c r="CZ165" s="199">
        <f t="shared" si="195"/>
        <v>2408.9</v>
      </c>
      <c r="DA165" s="201">
        <f>CU165+CV165+CW165</f>
        <v>3848.6549999999997</v>
      </c>
      <c r="DB165" s="201">
        <f t="shared" si="195"/>
        <v>5044.3249999999998</v>
      </c>
      <c r="DC165" s="198">
        <f t="shared" ref="DC165:DF165" si="197">+DC156*DC$163</f>
        <v>1323.79</v>
      </c>
      <c r="DD165" s="199">
        <f>DG165-DC165</f>
        <v>1350.3100000000004</v>
      </c>
      <c r="DE165" s="199">
        <f t="shared" si="197"/>
        <v>1262.0700000000002</v>
      </c>
      <c r="DF165" s="200">
        <f t="shared" si="197"/>
        <v>1802.8600000000001</v>
      </c>
      <c r="DG165" s="199">
        <f t="shared" ref="DG165:DH165" si="198">+DG156*DG$163</f>
        <v>2674.1000000000004</v>
      </c>
      <c r="DH165" s="199">
        <f t="shared" si="198"/>
        <v>3070.1000000000004</v>
      </c>
      <c r="DI165" s="201">
        <f>DC165+DD165+DE165</f>
        <v>3936.1700000000005</v>
      </c>
      <c r="DJ165" s="201">
        <f t="shared" ref="DJ165:DK165" si="199">+DJ156*DJ$163</f>
        <v>5744.2000000000007</v>
      </c>
      <c r="DK165" s="198">
        <f t="shared" si="199"/>
        <v>1413.7549999999999</v>
      </c>
      <c r="DL165" s="199">
        <f>DO165-DK165</f>
        <v>1484.66</v>
      </c>
      <c r="DM165" s="199">
        <f t="shared" ref="DM165" si="200">+DM156*DM$163</f>
        <v>1670.5550000000001</v>
      </c>
      <c r="DN165" s="200">
        <f t="shared" si="195"/>
        <v>1676.2799999999997</v>
      </c>
      <c r="DO165" s="199">
        <f t="shared" si="195"/>
        <v>2898.415</v>
      </c>
      <c r="DP165" s="199">
        <f t="shared" si="195"/>
        <v>3346.835</v>
      </c>
      <c r="DQ165" s="201">
        <f>DK165+DL165+DM165</f>
        <v>4568.97</v>
      </c>
      <c r="DR165" s="201">
        <f t="shared" ref="DR165" si="201">+DR156*DR$163</f>
        <v>6239.25</v>
      </c>
      <c r="DS165" s="198">
        <f t="shared" si="195"/>
        <v>1848.03</v>
      </c>
      <c r="DT165" s="199">
        <f t="shared" si="195"/>
        <v>1912.15</v>
      </c>
      <c r="DU165" s="280">
        <f t="shared" si="195"/>
        <v>1897.5794999152486</v>
      </c>
      <c r="DV165" s="358">
        <f t="shared" si="195"/>
        <v>2078.8227730659273</v>
      </c>
      <c r="DW165" s="199">
        <f t="shared" si="195"/>
        <v>3760.18</v>
      </c>
      <c r="DX165" s="280">
        <f t="shared" si="195"/>
        <v>3976.4022729811759</v>
      </c>
      <c r="DY165" s="373">
        <f t="shared" si="195"/>
        <v>5662.2907718536044</v>
      </c>
      <c r="DZ165" s="373">
        <f t="shared" si="195"/>
        <v>7741.1135449195308</v>
      </c>
      <c r="EA165" s="374">
        <f t="shared" si="195"/>
        <v>1852.6235389428073</v>
      </c>
      <c r="EB165" s="280">
        <f t="shared" si="195"/>
        <v>1875.9839004501589</v>
      </c>
      <c r="EC165" s="280">
        <f t="shared" si="195"/>
        <v>1877.0557198251599</v>
      </c>
      <c r="ED165" s="358">
        <f t="shared" si="195"/>
        <v>2767.6958311064664</v>
      </c>
      <c r="EE165" s="280">
        <f t="shared" si="195"/>
        <v>3728.6074393929671</v>
      </c>
      <c r="EF165" s="280">
        <f t="shared" si="195"/>
        <v>4644.7515509316272</v>
      </c>
      <c r="EG165" s="373">
        <f t="shared" si="195"/>
        <v>5605.6631592181257</v>
      </c>
      <c r="EH165" s="373">
        <f t="shared" si="195"/>
        <v>8373.3589903245975</v>
      </c>
      <c r="EI165" s="374">
        <f t="shared" si="195"/>
        <v>2074.6899953878315</v>
      </c>
      <c r="EJ165" s="280">
        <f t="shared" si="195"/>
        <v>2094.7057682935451</v>
      </c>
      <c r="EK165" s="280">
        <f t="shared" si="195"/>
        <v>2097.9980311592599</v>
      </c>
      <c r="EL165" s="358">
        <f t="shared" si="195"/>
        <v>2965.2438592949211</v>
      </c>
      <c r="EM165" s="280">
        <f t="shared" si="195"/>
        <v>4169.3957636813766</v>
      </c>
      <c r="EN165" s="280">
        <f t="shared" si="195"/>
        <v>5063.2418904541819</v>
      </c>
      <c r="EO165" s="373">
        <f t="shared" si="195"/>
        <v>6267.3937948406392</v>
      </c>
      <c r="EP165" s="373">
        <f t="shared" si="195"/>
        <v>9232.6376541355548</v>
      </c>
      <c r="EQ165" s="374">
        <f t="shared" si="195"/>
        <v>2207.8886486665615</v>
      </c>
      <c r="ER165" s="280">
        <f t="shared" si="195"/>
        <v>2204.405669961197</v>
      </c>
      <c r="ES165" s="280">
        <f t="shared" si="195"/>
        <v>2207.888648666561</v>
      </c>
      <c r="ET165" s="358">
        <f t="shared" si="195"/>
        <v>3106.963706969676</v>
      </c>
      <c r="EU165" s="280">
        <f t="shared" si="195"/>
        <v>4412.2943186277616</v>
      </c>
      <c r="EV165" s="280">
        <f t="shared" si="195"/>
        <v>5314.8523556362406</v>
      </c>
      <c r="EW165" s="373">
        <f t="shared" si="195"/>
        <v>6620.1829672943213</v>
      </c>
      <c r="EX165" s="373">
        <f t="shared" si="195"/>
        <v>9727.146674263995</v>
      </c>
      <c r="EY165" s="374">
        <f t="shared" si="195"/>
        <v>2304.6424695635596</v>
      </c>
      <c r="EZ165" s="280">
        <f t="shared" si="195"/>
        <v>2303.2646168754522</v>
      </c>
      <c r="FA165" s="280">
        <f t="shared" si="195"/>
        <v>2304.6424695635592</v>
      </c>
      <c r="FB165" s="358">
        <f t="shared" si="195"/>
        <v>3203.6469203054053</v>
      </c>
      <c r="FC165" s="280">
        <f t="shared" si="195"/>
        <v>4607.9070864390133</v>
      </c>
      <c r="FD165" s="280">
        <f t="shared" si="195"/>
        <v>5508.2893898689645</v>
      </c>
      <c r="FE165" s="373">
        <f t="shared" si="195"/>
        <v>6912.5495560025738</v>
      </c>
      <c r="FF165" s="373">
        <f t="shared" ref="FC165:FF167" si="202">+FF156*FF$163</f>
        <v>10116.196476307976</v>
      </c>
    </row>
    <row r="166" spans="1:162" ht="11.25" customHeight="1" outlineLevel="1" x14ac:dyDescent="0.2">
      <c r="A166" s="186"/>
      <c r="B166" s="4" t="s">
        <v>341</v>
      </c>
      <c r="C166" s="198"/>
      <c r="D166" s="199"/>
      <c r="E166" s="199"/>
      <c r="F166" s="200"/>
      <c r="G166" s="199"/>
      <c r="H166" s="199"/>
      <c r="I166" s="201"/>
      <c r="J166" s="201"/>
      <c r="K166" s="198"/>
      <c r="L166" s="199"/>
      <c r="M166" s="199"/>
      <c r="N166" s="200"/>
      <c r="O166" s="199"/>
      <c r="P166" s="199"/>
      <c r="Q166" s="201"/>
      <c r="R166" s="201"/>
      <c r="S166" s="198"/>
      <c r="T166" s="199"/>
      <c r="U166" s="199"/>
      <c r="V166" s="200"/>
      <c r="W166" s="199"/>
      <c r="X166" s="199"/>
      <c r="Y166" s="201"/>
      <c r="Z166" s="201"/>
      <c r="AA166" s="198"/>
      <c r="AB166" s="199"/>
      <c r="AC166" s="199"/>
      <c r="AD166" s="200"/>
      <c r="AE166" s="199"/>
      <c r="AF166" s="199"/>
      <c r="AG166" s="201"/>
      <c r="AH166" s="201"/>
      <c r="AI166" s="198"/>
      <c r="AJ166" s="199"/>
      <c r="AK166" s="199"/>
      <c r="AL166" s="200"/>
      <c r="AM166" s="199"/>
      <c r="AN166" s="199"/>
      <c r="AO166" s="201"/>
      <c r="AP166" s="201"/>
      <c r="AQ166" s="198"/>
      <c r="AR166" s="199"/>
      <c r="AS166" s="199"/>
      <c r="AT166" s="200"/>
      <c r="AU166" s="199"/>
      <c r="AV166" s="199"/>
      <c r="AW166" s="201"/>
      <c r="AX166" s="201"/>
      <c r="AY166" s="198"/>
      <c r="AZ166" s="199"/>
      <c r="BA166" s="199"/>
      <c r="BB166" s="200"/>
      <c r="BC166" s="199"/>
      <c r="BD166" s="199"/>
      <c r="BE166" s="201"/>
      <c r="BF166" s="201"/>
      <c r="BG166" s="198"/>
      <c r="BH166" s="199"/>
      <c r="BI166" s="199"/>
      <c r="BJ166" s="200"/>
      <c r="BK166" s="199"/>
      <c r="BL166" s="199"/>
      <c r="BM166" s="201"/>
      <c r="BN166" s="201"/>
      <c r="BO166" s="198">
        <f t="shared" si="191"/>
        <v>1861.8</v>
      </c>
      <c r="BP166" s="199">
        <f t="shared" si="191"/>
        <v>2075.75</v>
      </c>
      <c r="BQ166" s="199">
        <f>+BU166-BS166</f>
        <v>1909.9184999999998</v>
      </c>
      <c r="BR166" s="200">
        <f>+BT166-BQ166</f>
        <v>2026.7314999999999</v>
      </c>
      <c r="BS166" s="199">
        <f>+BS157*BS$163</f>
        <v>3938.55</v>
      </c>
      <c r="BT166" s="199">
        <f>+BV166-BS166</f>
        <v>3936.6499999999996</v>
      </c>
      <c r="BU166" s="201">
        <f t="shared" si="192"/>
        <v>5848.4684999999999</v>
      </c>
      <c r="BV166" s="201">
        <f t="shared" si="192"/>
        <v>7875.2</v>
      </c>
      <c r="BW166" s="198">
        <f t="shared" si="192"/>
        <v>1815.9099999999999</v>
      </c>
      <c r="BX166" s="199">
        <f t="shared" si="192"/>
        <v>1023.7799999999999</v>
      </c>
      <c r="BY166" s="199">
        <f>+CC166-CA166</f>
        <v>1038.5516666666667</v>
      </c>
      <c r="BZ166" s="200">
        <f>+CB166-BY166</f>
        <v>1489.9583333333335</v>
      </c>
      <c r="CA166" s="199">
        <f>+CA157*CA$163</f>
        <v>2839.6899999999996</v>
      </c>
      <c r="CB166" s="199">
        <f>+CD166-CA166</f>
        <v>2528.5100000000002</v>
      </c>
      <c r="CC166" s="201">
        <f t="shared" si="193"/>
        <v>3878.2416666666663</v>
      </c>
      <c r="CD166" s="201">
        <f t="shared" si="193"/>
        <v>5368.2</v>
      </c>
      <c r="CE166" s="198">
        <f>+CE157*CE$163</f>
        <v>1119.79</v>
      </c>
      <c r="CF166" s="199">
        <f>+CF157*CF$163</f>
        <v>1205.47</v>
      </c>
      <c r="CG166" s="199">
        <f t="shared" si="193"/>
        <v>1320.97</v>
      </c>
      <c r="CH166" s="200">
        <f>+CL166-CE166-CF166-CG166</f>
        <v>1780.2299999999998</v>
      </c>
      <c r="CI166" s="199">
        <f>+CI157*CI$163</f>
        <v>2325.2599999999998</v>
      </c>
      <c r="CJ166" s="199">
        <f>+CL166-CI166</f>
        <v>3101.2000000000003</v>
      </c>
      <c r="CK166" s="201">
        <f>+CE166+CF166+CG166</f>
        <v>3646.2300000000005</v>
      </c>
      <c r="CL166" s="201">
        <f t="shared" si="194"/>
        <v>5426.46</v>
      </c>
      <c r="CM166" s="198">
        <f t="shared" si="194"/>
        <v>1398.32</v>
      </c>
      <c r="CN166" s="199">
        <f t="shared" si="194"/>
        <v>1587.885</v>
      </c>
      <c r="CO166" s="199">
        <f t="shared" si="194"/>
        <v>1714.9</v>
      </c>
      <c r="CP166" s="200">
        <f>+CT166-CM166-CN166-CO166</f>
        <v>1888.9950000000003</v>
      </c>
      <c r="CQ166" s="199">
        <f>+CQ157*CQ$163</f>
        <v>2989.28</v>
      </c>
      <c r="CR166" s="199">
        <f>+CT166-CQ166</f>
        <v>3600.82</v>
      </c>
      <c r="CS166" s="201">
        <f>+CM166+CN166+CO166</f>
        <v>4701.1049999999996</v>
      </c>
      <c r="CT166" s="201">
        <f t="shared" si="195"/>
        <v>6590.1</v>
      </c>
      <c r="CU166" s="198">
        <f t="shared" si="195"/>
        <v>1768.8000000000002</v>
      </c>
      <c r="CV166" s="199">
        <f>CY166-CU166</f>
        <v>1868.8599999999997</v>
      </c>
      <c r="CW166" s="199">
        <f t="shared" si="196"/>
        <v>2208.8999999999996</v>
      </c>
      <c r="CX166" s="200">
        <f t="shared" si="195"/>
        <v>2231.9</v>
      </c>
      <c r="CY166" s="199">
        <f t="shared" si="195"/>
        <v>3637.66</v>
      </c>
      <c r="CZ166" s="199">
        <f t="shared" si="195"/>
        <v>4440.9949999999999</v>
      </c>
      <c r="DA166" s="201">
        <f>CU166+CV166+CW166</f>
        <v>5846.5599999999995</v>
      </c>
      <c r="DB166" s="201">
        <f t="shared" si="195"/>
        <v>8078.6549999999997</v>
      </c>
      <c r="DC166" s="198">
        <f t="shared" ref="DC166:DF166" si="203">+DC157*DC$163</f>
        <v>2098.395</v>
      </c>
      <c r="DD166" s="199">
        <f>DG166-DC166</f>
        <v>2334.605</v>
      </c>
      <c r="DE166" s="199">
        <f t="shared" si="203"/>
        <v>2444.2200000000003</v>
      </c>
      <c r="DF166" s="200">
        <f t="shared" si="203"/>
        <v>2395.8200000000002</v>
      </c>
      <c r="DG166" s="199">
        <f t="shared" ref="DG166:DH166" si="204">+DG157*DG$163</f>
        <v>4433</v>
      </c>
      <c r="DH166" s="199">
        <f t="shared" si="204"/>
        <v>4840</v>
      </c>
      <c r="DI166" s="201">
        <f>DC166+DD166+DE166</f>
        <v>6877.22</v>
      </c>
      <c r="DJ166" s="201">
        <f t="shared" ref="DJ166:DK166" si="205">+DJ157*DJ$163</f>
        <v>9273</v>
      </c>
      <c r="DK166" s="198">
        <f t="shared" si="205"/>
        <v>2583.3849999999998</v>
      </c>
      <c r="DL166" s="199">
        <f>DO166-DK166</f>
        <v>2851.0050000000006</v>
      </c>
      <c r="DM166" s="199">
        <f t="shared" ref="DM166" si="206">+DM157*DM$163</f>
        <v>2959.8250000000003</v>
      </c>
      <c r="DN166" s="200">
        <f t="shared" si="195"/>
        <v>2998.7549999999997</v>
      </c>
      <c r="DO166" s="199">
        <f t="shared" si="195"/>
        <v>5434.39</v>
      </c>
      <c r="DP166" s="199">
        <f t="shared" si="195"/>
        <v>5958.58</v>
      </c>
      <c r="DQ166" s="201">
        <f>DK166+DL166+DM166</f>
        <v>8394.2150000000001</v>
      </c>
      <c r="DR166" s="201">
        <f t="shared" ref="DR166" si="207">+DR157*DR$163</f>
        <v>11387.25</v>
      </c>
      <c r="DS166" s="198">
        <f t="shared" si="195"/>
        <v>3364.01</v>
      </c>
      <c r="DT166" s="199">
        <f t="shared" si="195"/>
        <v>3384.62</v>
      </c>
      <c r="DU166" s="280">
        <f t="shared" si="195"/>
        <v>3187.9673762610851</v>
      </c>
      <c r="DV166" s="358">
        <f t="shared" si="195"/>
        <v>4257.1083028841094</v>
      </c>
      <c r="DW166" s="199">
        <f t="shared" si="195"/>
        <v>6748.63</v>
      </c>
      <c r="DX166" s="280">
        <f t="shared" si="195"/>
        <v>7445.075679145195</v>
      </c>
      <c r="DY166" s="373">
        <f t="shared" si="195"/>
        <v>9935.9861575035357</v>
      </c>
      <c r="DZ166" s="373">
        <f t="shared" si="195"/>
        <v>14193.094460387645</v>
      </c>
      <c r="EA166" s="374">
        <f t="shared" si="195"/>
        <v>3373.0318287027312</v>
      </c>
      <c r="EB166" s="280">
        <f t="shared" si="195"/>
        <v>4013.6958072369157</v>
      </c>
      <c r="EC166" s="280">
        <f t="shared" si="195"/>
        <v>4013.6958072369148</v>
      </c>
      <c r="ED166" s="358">
        <f t="shared" si="195"/>
        <v>4654.3597857710974</v>
      </c>
      <c r="EE166" s="280">
        <f t="shared" si="195"/>
        <v>7386.7276359396474</v>
      </c>
      <c r="EF166" s="280">
        <f t="shared" si="195"/>
        <v>8668.0555930080172</v>
      </c>
      <c r="EG166" s="373">
        <f t="shared" si="195"/>
        <v>11400.423443176562</v>
      </c>
      <c r="EH166" s="373">
        <f t="shared" si="195"/>
        <v>16054.783228947659</v>
      </c>
      <c r="EI166" s="374">
        <f t="shared" si="195"/>
        <v>3742.5928039980345</v>
      </c>
      <c r="EJ166" s="280">
        <f t="shared" si="195"/>
        <v>4450.0915781890617</v>
      </c>
      <c r="EK166" s="280">
        <f t="shared" si="195"/>
        <v>4450.0915781890617</v>
      </c>
      <c r="EL166" s="358">
        <f t="shared" si="195"/>
        <v>5157.5903523800907</v>
      </c>
      <c r="EM166" s="280">
        <f t="shared" si="195"/>
        <v>8192.6843821870971</v>
      </c>
      <c r="EN166" s="280">
        <f t="shared" si="195"/>
        <v>9607.6819305691552</v>
      </c>
      <c r="EO166" s="373">
        <f t="shared" si="195"/>
        <v>12642.775960376157</v>
      </c>
      <c r="EP166" s="373">
        <f t="shared" si="195"/>
        <v>17800.366312756247</v>
      </c>
      <c r="EQ166" s="374">
        <f t="shared" si="195"/>
        <v>4073.2970698822301</v>
      </c>
      <c r="ER166" s="280">
        <f t="shared" si="195"/>
        <v>4844.3293395847522</v>
      </c>
      <c r="ES166" s="280">
        <f t="shared" si="195"/>
        <v>4844.3293395847522</v>
      </c>
      <c r="ET166" s="358">
        <f t="shared" si="195"/>
        <v>5615.3616092872753</v>
      </c>
      <c r="EU166" s="280">
        <f t="shared" si="195"/>
        <v>8917.6264094669823</v>
      </c>
      <c r="EV166" s="280">
        <f t="shared" si="195"/>
        <v>10459.690948872028</v>
      </c>
      <c r="EW166" s="373">
        <f t="shared" si="195"/>
        <v>13761.955749051735</v>
      </c>
      <c r="EX166" s="373">
        <f t="shared" si="195"/>
        <v>19377.317358339009</v>
      </c>
      <c r="EY166" s="374">
        <f t="shared" si="195"/>
        <v>4341.0568303289119</v>
      </c>
      <c r="EZ166" s="280">
        <f t="shared" si="195"/>
        <v>5167.1786020693635</v>
      </c>
      <c r="FA166" s="280">
        <f t="shared" si="195"/>
        <v>5167.1786020693635</v>
      </c>
      <c r="FB166" s="358">
        <f t="shared" si="195"/>
        <v>5993.300373809815</v>
      </c>
      <c r="FC166" s="280">
        <f t="shared" si="202"/>
        <v>9508.2354323982745</v>
      </c>
      <c r="FD166" s="280">
        <f t="shared" si="202"/>
        <v>11160.478975879174</v>
      </c>
      <c r="FE166" s="373">
        <f t="shared" si="202"/>
        <v>14675.414034467633</v>
      </c>
      <c r="FF166" s="373">
        <f t="shared" si="202"/>
        <v>20668.71440827745</v>
      </c>
    </row>
    <row r="167" spans="1:162" s="186" customFormat="1" ht="11.25" customHeight="1" outlineLevel="1" x14ac:dyDescent="0.2">
      <c r="A167" s="186" t="s">
        <v>342</v>
      </c>
      <c r="C167" s="337"/>
      <c r="D167" s="338"/>
      <c r="E167" s="338"/>
      <c r="F167" s="339"/>
      <c r="G167" s="338"/>
      <c r="H167" s="338"/>
      <c r="I167" s="340"/>
      <c r="J167" s="340"/>
      <c r="K167" s="337"/>
      <c r="L167" s="338"/>
      <c r="M167" s="338"/>
      <c r="N167" s="339"/>
      <c r="O167" s="338"/>
      <c r="P167" s="338"/>
      <c r="Q167" s="340"/>
      <c r="R167" s="340"/>
      <c r="S167" s="337"/>
      <c r="T167" s="338"/>
      <c r="U167" s="338"/>
      <c r="V167" s="339"/>
      <c r="W167" s="338"/>
      <c r="X167" s="338"/>
      <c r="Y167" s="340"/>
      <c r="Z167" s="340"/>
      <c r="AA167" s="337"/>
      <c r="AB167" s="338"/>
      <c r="AC167" s="338"/>
      <c r="AD167" s="339"/>
      <c r="AE167" s="338"/>
      <c r="AF167" s="338"/>
      <c r="AG167" s="340"/>
      <c r="AH167" s="340"/>
      <c r="AI167" s="337"/>
      <c r="AJ167" s="338"/>
      <c r="AK167" s="338"/>
      <c r="AL167" s="339"/>
      <c r="AM167" s="338"/>
      <c r="AN167" s="338"/>
      <c r="AO167" s="340"/>
      <c r="AP167" s="340"/>
      <c r="AQ167" s="337"/>
      <c r="AR167" s="338"/>
      <c r="AS167" s="338"/>
      <c r="AT167" s="339"/>
      <c r="AU167" s="338"/>
      <c r="AV167" s="338"/>
      <c r="AW167" s="340"/>
      <c r="AX167" s="340"/>
      <c r="AY167" s="337"/>
      <c r="AZ167" s="338"/>
      <c r="BA167" s="338"/>
      <c r="BB167" s="339"/>
      <c r="BC167" s="338"/>
      <c r="BD167" s="338"/>
      <c r="BE167" s="340"/>
      <c r="BF167" s="340"/>
      <c r="BG167" s="337"/>
      <c r="BH167" s="338"/>
      <c r="BI167" s="338"/>
      <c r="BJ167" s="339"/>
      <c r="BK167" s="338"/>
      <c r="BL167" s="338"/>
      <c r="BM167" s="340"/>
      <c r="BN167" s="340"/>
      <c r="BO167" s="337">
        <f t="shared" si="191"/>
        <v>3214.3599999999997</v>
      </c>
      <c r="BP167" s="338">
        <f t="shared" si="191"/>
        <v>3600.6499999999996</v>
      </c>
      <c r="BQ167" s="338">
        <f>+BU167-BS167</f>
        <v>3418.8734999999988</v>
      </c>
      <c r="BR167" s="339">
        <f>+BT167-BQ167</f>
        <v>3616.066499999999</v>
      </c>
      <c r="BS167" s="338">
        <f>+BS158*BS$163</f>
        <v>6816.81</v>
      </c>
      <c r="BT167" s="338">
        <f>+BV167-BS167</f>
        <v>7034.9399999999978</v>
      </c>
      <c r="BU167" s="340">
        <f t="shared" si="192"/>
        <v>10235.683499999999</v>
      </c>
      <c r="BV167" s="340">
        <f t="shared" si="192"/>
        <v>13851.749999999998</v>
      </c>
      <c r="BW167" s="337">
        <f t="shared" si="192"/>
        <v>2821.6099999999997</v>
      </c>
      <c r="BX167" s="338">
        <f t="shared" si="192"/>
        <v>1751.4999999999998</v>
      </c>
      <c r="BY167" s="338">
        <f>+CC167-CA167</f>
        <v>1827.0733333333337</v>
      </c>
      <c r="BZ167" s="339">
        <f>+CB167-BY167</f>
        <v>2412.2666666666655</v>
      </c>
      <c r="CA167" s="338">
        <f>+CA158*CA$163</f>
        <v>4573.1099999999997</v>
      </c>
      <c r="CB167" s="338">
        <f>+CD167-CA167</f>
        <v>4239.3399999999992</v>
      </c>
      <c r="CC167" s="340">
        <f t="shared" si="193"/>
        <v>6400.1833333333334</v>
      </c>
      <c r="CD167" s="340">
        <f t="shared" si="193"/>
        <v>8812.4499999999989</v>
      </c>
      <c r="CE167" s="337">
        <f>+CE158*CE$163</f>
        <v>1857.59</v>
      </c>
      <c r="CF167" s="338">
        <f t="shared" si="193"/>
        <v>2008.7199999999998</v>
      </c>
      <c r="CG167" s="338">
        <f t="shared" si="193"/>
        <v>2118.2280000000001</v>
      </c>
      <c r="CH167" s="339">
        <f>+CH158*CH163</f>
        <v>2758.48</v>
      </c>
      <c r="CI167" s="338">
        <f>+CI158*CI$163</f>
        <v>3866.31</v>
      </c>
      <c r="CJ167" s="338">
        <f>+CJ158*CJ163</f>
        <v>4860.3999999999996</v>
      </c>
      <c r="CK167" s="340">
        <f>+CK158*CK163</f>
        <v>5987.1630000000005</v>
      </c>
      <c r="CL167" s="340">
        <f>+CL158*CL$163</f>
        <v>8703.6299999999992</v>
      </c>
      <c r="CM167" s="337">
        <f>+CM158*CM$163</f>
        <v>2204.17</v>
      </c>
      <c r="CN167" s="338">
        <f>+CN158*CN$163</f>
        <v>2468.5700000000002</v>
      </c>
      <c r="CO167" s="338">
        <f>+CO158*CO$163</f>
        <v>2753.3</v>
      </c>
      <c r="CP167" s="339">
        <f>+CP158*CP163</f>
        <v>3067.2950000000001</v>
      </c>
      <c r="CQ167" s="338">
        <f>+CQ158*CQ$163</f>
        <v>4677.1200000000008</v>
      </c>
      <c r="CR167" s="338">
        <f>+CR158*CR163</f>
        <v>5823.0250000000005</v>
      </c>
      <c r="CS167" s="340">
        <f>+CS158*CS163</f>
        <v>7435.9533333333347</v>
      </c>
      <c r="CT167" s="340">
        <f t="shared" si="195"/>
        <v>10456.6</v>
      </c>
      <c r="CU167" s="337">
        <f t="shared" si="195"/>
        <v>2985.4</v>
      </c>
      <c r="CV167" s="338">
        <f>CY167-CU167</f>
        <v>3287.6849999999999</v>
      </c>
      <c r="CW167" s="338">
        <f t="shared" si="196"/>
        <v>3422.1299999999997</v>
      </c>
      <c r="CX167" s="339">
        <f t="shared" si="195"/>
        <v>3427.6000000000004</v>
      </c>
      <c r="CY167" s="338">
        <f t="shared" si="195"/>
        <v>6273.085</v>
      </c>
      <c r="CZ167" s="338">
        <f t="shared" si="195"/>
        <v>6849.8949999999995</v>
      </c>
      <c r="DA167" s="340">
        <f>CU167+CV167+CW167</f>
        <v>9695.2150000000001</v>
      </c>
      <c r="DB167" s="340">
        <f t="shared" si="195"/>
        <v>13122.98</v>
      </c>
      <c r="DC167" s="337">
        <f t="shared" ref="DC167:DF167" si="208">+DC158*DC$163</f>
        <v>3422.1849999999999</v>
      </c>
      <c r="DD167" s="338">
        <f>DG167-DC167</f>
        <v>3684.9150000000004</v>
      </c>
      <c r="DE167" s="338">
        <f t="shared" si="208"/>
        <v>3706.2900000000004</v>
      </c>
      <c r="DF167" s="339">
        <f t="shared" si="208"/>
        <v>4198.68</v>
      </c>
      <c r="DG167" s="338">
        <f t="shared" ref="DG167:DH167" si="209">+DG158*DG$163</f>
        <v>7107.1</v>
      </c>
      <c r="DH167" s="338">
        <f t="shared" si="209"/>
        <v>7910.1</v>
      </c>
      <c r="DI167" s="340">
        <f>DC167+DD167+DE167</f>
        <v>10813.390000000001</v>
      </c>
      <c r="DJ167" s="340">
        <f t="shared" ref="DJ167:DK167" si="210">+DJ158*DJ$163</f>
        <v>15017.2</v>
      </c>
      <c r="DK167" s="337">
        <f t="shared" si="210"/>
        <v>3997.14</v>
      </c>
      <c r="DL167" s="338">
        <f>DO167-DK167</f>
        <v>4335.6650000000009</v>
      </c>
      <c r="DM167" s="338">
        <f t="shared" ref="DM167" si="211">+DM158*DM$163</f>
        <v>4630.38</v>
      </c>
      <c r="DN167" s="339">
        <f>+DN158*DN$163</f>
        <v>4675.0349999999989</v>
      </c>
      <c r="DO167" s="338">
        <f t="shared" ref="DO167:DP167" si="212">+DO158*DO$163</f>
        <v>8332.8050000000003</v>
      </c>
      <c r="DP167" s="338">
        <f t="shared" si="212"/>
        <v>9305.4150000000009</v>
      </c>
      <c r="DQ167" s="340">
        <f>DK167+DL167+DM167</f>
        <v>12963.185000000001</v>
      </c>
      <c r="DR167" s="340">
        <f t="shared" ref="DR167" si="213">+DR158*DR$163</f>
        <v>17626.5</v>
      </c>
      <c r="DS167" s="337">
        <f t="shared" si="195"/>
        <v>5212.04</v>
      </c>
      <c r="DT167" s="338">
        <f t="shared" si="195"/>
        <v>5296.77</v>
      </c>
      <c r="DU167" s="297">
        <f t="shared" si="195"/>
        <v>5085.5468761763341</v>
      </c>
      <c r="DV167" s="360">
        <f>+DV158*DV$163</f>
        <v>6335.9310759500368</v>
      </c>
      <c r="DW167" s="338">
        <f t="shared" si="195"/>
        <v>10508.81</v>
      </c>
      <c r="DX167" s="297">
        <f t="shared" si="195"/>
        <v>11421.477952126372</v>
      </c>
      <c r="DY167" s="375">
        <f t="shared" si="195"/>
        <v>15598.27692935714</v>
      </c>
      <c r="DZ167" s="375">
        <f t="shared" si="195"/>
        <v>21934.208005307177</v>
      </c>
      <c r="EA167" s="376">
        <f t="shared" si="195"/>
        <v>5225.6553676455387</v>
      </c>
      <c r="EB167" s="297">
        <f t="shared" si="195"/>
        <v>5889.6797076870744</v>
      </c>
      <c r="EC167" s="297">
        <f t="shared" si="195"/>
        <v>5890.7515270620743</v>
      </c>
      <c r="ED167" s="360">
        <f>+ED158*ED$163</f>
        <v>7422.0556168775647</v>
      </c>
      <c r="EE167" s="297">
        <f t="shared" si="195"/>
        <v>11115.335075332614</v>
      </c>
      <c r="EF167" s="297">
        <f t="shared" si="195"/>
        <v>13312.807143939644</v>
      </c>
      <c r="EG167" s="375">
        <f t="shared" si="195"/>
        <v>17006.086602394687</v>
      </c>
      <c r="EH167" s="375">
        <f t="shared" si="195"/>
        <v>24428.142219272257</v>
      </c>
      <c r="EI167" s="376">
        <f t="shared" si="195"/>
        <v>5817.2827993858664</v>
      </c>
      <c r="EJ167" s="297">
        <f t="shared" si="195"/>
        <v>6544.7973464826073</v>
      </c>
      <c r="EK167" s="297">
        <f t="shared" si="195"/>
        <v>6548.0896093483216</v>
      </c>
      <c r="EL167" s="360">
        <f>+EL158*EL$163</f>
        <v>8122.8342116750118</v>
      </c>
      <c r="EM167" s="297">
        <f t="shared" si="195"/>
        <v>12362.080145868475</v>
      </c>
      <c r="EN167" s="297">
        <f t="shared" si="195"/>
        <v>14670.923821023336</v>
      </c>
      <c r="EO167" s="375">
        <f t="shared" si="195"/>
        <v>18910.169755216797</v>
      </c>
      <c r="EP167" s="375">
        <f t="shared" si="195"/>
        <v>27033.003966891803</v>
      </c>
      <c r="EQ167" s="376">
        <f t="shared" si="195"/>
        <v>6281.1857185487916</v>
      </c>
      <c r="ER167" s="297">
        <f t="shared" si="195"/>
        <v>7048.7350095459497</v>
      </c>
      <c r="ES167" s="297">
        <f t="shared" si="195"/>
        <v>7052.2179882513137</v>
      </c>
      <c r="ET167" s="360">
        <f>+ET158*ET$163</f>
        <v>8722.3253162569508</v>
      </c>
      <c r="EU167" s="297">
        <f t="shared" si="195"/>
        <v>13329.920728094743</v>
      </c>
      <c r="EV167" s="297">
        <f t="shared" si="195"/>
        <v>15774.543304508268</v>
      </c>
      <c r="EW167" s="375">
        <f t="shared" si="195"/>
        <v>20382.138716346057</v>
      </c>
      <c r="EX167" s="375">
        <f t="shared" si="195"/>
        <v>29104.464032603002</v>
      </c>
      <c r="EY167" s="376">
        <f t="shared" si="195"/>
        <v>6645.6992998924716</v>
      </c>
      <c r="EZ167" s="297">
        <f t="shared" si="195"/>
        <v>7470.4432189448153</v>
      </c>
      <c r="FA167" s="297">
        <f t="shared" si="195"/>
        <v>7471.8210716329222</v>
      </c>
      <c r="FB167" s="360">
        <f>+FB158*FB$163</f>
        <v>9196.9472941152198</v>
      </c>
      <c r="FC167" s="297">
        <f t="shared" si="202"/>
        <v>14116.142518837289</v>
      </c>
      <c r="FD167" s="297">
        <f t="shared" si="202"/>
        <v>16668.768365748139</v>
      </c>
      <c r="FE167" s="375">
        <f t="shared" si="202"/>
        <v>21587.963590470208</v>
      </c>
      <c r="FF167" s="375">
        <f t="shared" si="202"/>
        <v>30784.910884585424</v>
      </c>
    </row>
    <row r="168" spans="1:162" s="1438" customFormat="1" ht="11.25" customHeight="1" outlineLevel="1" x14ac:dyDescent="0.2">
      <c r="A168" s="88"/>
      <c r="B168" s="1438" t="s">
        <v>343</v>
      </c>
      <c r="C168" s="378"/>
      <c r="D168" s="379"/>
      <c r="E168" s="379"/>
      <c r="F168" s="380"/>
      <c r="G168" s="379"/>
      <c r="H168" s="379"/>
      <c r="I168" s="381"/>
      <c r="J168" s="381"/>
      <c r="K168" s="378"/>
      <c r="L168" s="379"/>
      <c r="M168" s="379"/>
      <c r="N168" s="380"/>
      <c r="O168" s="379"/>
      <c r="P168" s="379"/>
      <c r="Q168" s="381"/>
      <c r="R168" s="381"/>
      <c r="S168" s="378"/>
      <c r="T168" s="379"/>
      <c r="U168" s="379"/>
      <c r="V168" s="380"/>
      <c r="W168" s="379"/>
      <c r="X168" s="379"/>
      <c r="Y168" s="381"/>
      <c r="Z168" s="381"/>
      <c r="AA168" s="378"/>
      <c r="AB168" s="379"/>
      <c r="AC168" s="379"/>
      <c r="AD168" s="380"/>
      <c r="AE168" s="379"/>
      <c r="AF168" s="379"/>
      <c r="AG168" s="381"/>
      <c r="AH168" s="381"/>
      <c r="AI168" s="378"/>
      <c r="AJ168" s="379"/>
      <c r="AK168" s="379"/>
      <c r="AL168" s="380"/>
      <c r="AM168" s="379"/>
      <c r="AN168" s="379"/>
      <c r="AO168" s="381"/>
      <c r="AP168" s="381"/>
      <c r="AQ168" s="378"/>
      <c r="AR168" s="379"/>
      <c r="AS168" s="379"/>
      <c r="AT168" s="380"/>
      <c r="AU168" s="379"/>
      <c r="AV168" s="379"/>
      <c r="AW168" s="381"/>
      <c r="AX168" s="381"/>
      <c r="AY168" s="378"/>
      <c r="AZ168" s="379"/>
      <c r="BA168" s="379"/>
      <c r="BB168" s="380"/>
      <c r="BC168" s="379"/>
      <c r="BD168" s="379"/>
      <c r="BE168" s="381"/>
      <c r="BF168" s="381"/>
      <c r="BG168" s="378"/>
      <c r="BH168" s="379"/>
      <c r="BI168" s="379"/>
      <c r="BJ168" s="380"/>
      <c r="BK168" s="379"/>
      <c r="BL168" s="379"/>
      <c r="BM168" s="381"/>
      <c r="BN168" s="381"/>
      <c r="BO168" s="378"/>
      <c r="BP168" s="379"/>
      <c r="BQ168" s="379"/>
      <c r="BR168" s="380"/>
      <c r="BS168" s="379"/>
      <c r="BT168" s="379"/>
      <c r="BU168" s="381"/>
      <c r="BV168" s="381"/>
      <c r="BW168" s="378"/>
      <c r="BX168" s="379"/>
      <c r="BY168" s="379"/>
      <c r="BZ168" s="380"/>
      <c r="CA168" s="379"/>
      <c r="CB168" s="379"/>
      <c r="CC168" s="381"/>
      <c r="CD168" s="381"/>
      <c r="CE168" s="378">
        <f t="shared" ref="CE168:EP168" si="214">+CE167/BW167-1</f>
        <v>-0.34165600490500103</v>
      </c>
      <c r="CF168" s="379">
        <f t="shared" si="214"/>
        <v>0.14685697973165857</v>
      </c>
      <c r="CG168" s="379">
        <f t="shared" si="214"/>
        <v>0.15935576386278938</v>
      </c>
      <c r="CH168" s="380">
        <f t="shared" si="214"/>
        <v>0.14352199867344728</v>
      </c>
      <c r="CI168" s="379">
        <f t="shared" si="214"/>
        <v>-0.15455565249906511</v>
      </c>
      <c r="CJ168" s="379">
        <f t="shared" si="214"/>
        <v>0.14649921921808606</v>
      </c>
      <c r="CK168" s="381">
        <f t="shared" si="214"/>
        <v>-6.4532578493845194E-2</v>
      </c>
      <c r="CL168" s="381">
        <f t="shared" si="214"/>
        <v>-1.2348438856390698E-2</v>
      </c>
      <c r="CM168" s="378">
        <f t="shared" si="214"/>
        <v>0.18657507846187804</v>
      </c>
      <c r="CN168" s="379">
        <f t="shared" si="214"/>
        <v>0.22892687880839557</v>
      </c>
      <c r="CO168" s="379">
        <f t="shared" si="214"/>
        <v>0.29981286244917937</v>
      </c>
      <c r="CP168" s="380">
        <f t="shared" si="214"/>
        <v>0.11195114700849751</v>
      </c>
      <c r="CQ168" s="379">
        <f t="shared" si="214"/>
        <v>0.20971158546521118</v>
      </c>
      <c r="CR168" s="379">
        <f t="shared" si="214"/>
        <v>0.19805468685704897</v>
      </c>
      <c r="CS168" s="381">
        <f t="shared" si="214"/>
        <v>0.24198277770846288</v>
      </c>
      <c r="CT168" s="381">
        <f t="shared" si="214"/>
        <v>0.20140676935945123</v>
      </c>
      <c r="CU168" s="378">
        <f t="shared" si="214"/>
        <v>0.35443273431722599</v>
      </c>
      <c r="CV168" s="379">
        <f t="shared" si="214"/>
        <v>0.33181761100556173</v>
      </c>
      <c r="CW168" s="379">
        <f t="shared" si="214"/>
        <v>0.24291940580394411</v>
      </c>
      <c r="CX168" s="380">
        <f t="shared" si="214"/>
        <v>0.11746669296562606</v>
      </c>
      <c r="CY168" s="379">
        <f t="shared" si="214"/>
        <v>0.34122814894636</v>
      </c>
      <c r="CZ168" s="379">
        <f t="shared" si="214"/>
        <v>0.1763464865769937</v>
      </c>
      <c r="DA168" s="381">
        <f t="shared" si="214"/>
        <v>0.3038294574199405</v>
      </c>
      <c r="DB168" s="381">
        <f t="shared" si="214"/>
        <v>0.2549949314308666</v>
      </c>
      <c r="DC168" s="378">
        <f t="shared" si="214"/>
        <v>0.14630702753399882</v>
      </c>
      <c r="DD168" s="379">
        <f t="shared" si="214"/>
        <v>0.1208236190510954</v>
      </c>
      <c r="DE168" s="379">
        <f t="shared" si="214"/>
        <v>8.3036003892312804E-2</v>
      </c>
      <c r="DF168" s="380">
        <f t="shared" si="214"/>
        <v>0.224962072587233</v>
      </c>
      <c r="DG168" s="379">
        <f t="shared" si="214"/>
        <v>0.13295133096395162</v>
      </c>
      <c r="DH168" s="379">
        <f t="shared" si="214"/>
        <v>0.15477682504622337</v>
      </c>
      <c r="DI168" s="381">
        <f t="shared" si="214"/>
        <v>0.1153326666814507</v>
      </c>
      <c r="DJ168" s="381">
        <f t="shared" si="214"/>
        <v>0.14434373899830688</v>
      </c>
      <c r="DK168" s="378">
        <f t="shared" si="214"/>
        <v>0.16800815853029571</v>
      </c>
      <c r="DL168" s="379">
        <f t="shared" si="214"/>
        <v>0.17659837472506168</v>
      </c>
      <c r="DM168" s="379">
        <f t="shared" si="214"/>
        <v>0.2493301927264191</v>
      </c>
      <c r="DN168" s="380">
        <f t="shared" si="214"/>
        <v>0.11345351396153047</v>
      </c>
      <c r="DO168" s="379">
        <f t="shared" si="214"/>
        <v>0.17246204499725626</v>
      </c>
      <c r="DP168" s="379">
        <f t="shared" si="214"/>
        <v>0.17639663215382861</v>
      </c>
      <c r="DQ168" s="381">
        <f t="shared" si="214"/>
        <v>0.19880860673664769</v>
      </c>
      <c r="DR168" s="381">
        <f t="shared" si="214"/>
        <v>0.17375409530405128</v>
      </c>
      <c r="DS168" s="378">
        <f t="shared" si="214"/>
        <v>0.303942318757912</v>
      </c>
      <c r="DT168" s="379">
        <f t="shared" si="214"/>
        <v>0.22167418377572967</v>
      </c>
      <c r="DU168" s="383">
        <f t="shared" si="214"/>
        <v>9.8300112771810166E-2</v>
      </c>
      <c r="DV168" s="382">
        <f t="shared" si="214"/>
        <v>0.3552692281341292</v>
      </c>
      <c r="DW168" s="379">
        <f t="shared" si="214"/>
        <v>0.26113715609569632</v>
      </c>
      <c r="DX168" s="383">
        <f t="shared" si="214"/>
        <v>0.22740124455775157</v>
      </c>
      <c r="DY168" s="384">
        <f t="shared" si="214"/>
        <v>0.20327503845367767</v>
      </c>
      <c r="DZ168" s="384">
        <f t="shared" si="214"/>
        <v>0.24438816584728551</v>
      </c>
      <c r="EA168" s="385">
        <f t="shared" si="214"/>
        <v>2.6122914723483159E-3</v>
      </c>
      <c r="EB168" s="383">
        <f t="shared" si="214"/>
        <v>0.11193797497098679</v>
      </c>
      <c r="EC168" s="383">
        <f t="shared" si="214"/>
        <v>0.15833196910597525</v>
      </c>
      <c r="ED168" s="382">
        <f t="shared" si="214"/>
        <v>0.17142303600022513</v>
      </c>
      <c r="EE168" s="383">
        <f t="shared" si="214"/>
        <v>5.7715866528428528E-2</v>
      </c>
      <c r="EF168" s="383">
        <f t="shared" si="214"/>
        <v>0.1655940850860862</v>
      </c>
      <c r="EG168" s="384">
        <f t="shared" si="214"/>
        <v>9.0254178677129593E-2</v>
      </c>
      <c r="EH168" s="384">
        <f t="shared" si="214"/>
        <v>0.11370067309299015</v>
      </c>
      <c r="EI168" s="385">
        <f t="shared" si="214"/>
        <v>0.11321592989146745</v>
      </c>
      <c r="EJ168" s="383">
        <f t="shared" si="214"/>
        <v>0.1112314542233066</v>
      </c>
      <c r="EK168" s="383">
        <f t="shared" si="214"/>
        <v>0.11158815293200552</v>
      </c>
      <c r="EL168" s="382">
        <f t="shared" si="214"/>
        <v>9.4418397135679566E-2</v>
      </c>
      <c r="EM168" s="383">
        <f t="shared" si="214"/>
        <v>0.11216441628490936</v>
      </c>
      <c r="EN168" s="383">
        <f t="shared" si="214"/>
        <v>0.10201580045437253</v>
      </c>
      <c r="EO168" s="384">
        <f t="shared" si="214"/>
        <v>0.11196480397518305</v>
      </c>
      <c r="EP168" s="384">
        <f t="shared" si="214"/>
        <v>0.10663364099642725</v>
      </c>
      <c r="EQ168" s="385">
        <f t="shared" ref="EQ168:FF168" si="215">+EQ167/EI167-1</f>
        <v>7.9745636435605283E-2</v>
      </c>
      <c r="ER168" s="383">
        <f t="shared" si="215"/>
        <v>7.6998207337034774E-2</v>
      </c>
      <c r="ES168" s="383">
        <f t="shared" si="215"/>
        <v>7.6988619426233473E-2</v>
      </c>
      <c r="ET168" s="382">
        <f t="shared" si="215"/>
        <v>7.3803193437123937E-2</v>
      </c>
      <c r="EU168" s="383">
        <f t="shared" si="215"/>
        <v>7.8291078103852163E-2</v>
      </c>
      <c r="EV168" s="383">
        <f t="shared" si="215"/>
        <v>7.5224948131995095E-2</v>
      </c>
      <c r="EW168" s="384">
        <f t="shared" si="215"/>
        <v>7.7840071251776166E-2</v>
      </c>
      <c r="EX168" s="384">
        <f t="shared" si="215"/>
        <v>7.6627076600446653E-2</v>
      </c>
      <c r="EY168" s="385">
        <f t="shared" si="215"/>
        <v>5.8032606847978618E-2</v>
      </c>
      <c r="EZ168" s="383">
        <f t="shared" si="215"/>
        <v>5.9827502215327399E-2</v>
      </c>
      <c r="FA168" s="383">
        <f t="shared" si="215"/>
        <v>5.9499448837323055E-2</v>
      </c>
      <c r="FB168" s="382">
        <f t="shared" si="215"/>
        <v>5.4414615443619585E-2</v>
      </c>
      <c r="FC168" s="383">
        <f t="shared" si="215"/>
        <v>5.8981730407853705E-2</v>
      </c>
      <c r="FD168" s="383">
        <f t="shared" si="215"/>
        <v>5.6687857390096852E-2</v>
      </c>
      <c r="FE168" s="384">
        <f t="shared" si="215"/>
        <v>5.9160860933455739E-2</v>
      </c>
      <c r="FF168" s="384">
        <f t="shared" si="215"/>
        <v>5.7738457238036611E-2</v>
      </c>
    </row>
    <row r="169" spans="1:162" ht="11.25" customHeight="1" outlineLevel="1" x14ac:dyDescent="0.2">
      <c r="A169" s="186"/>
      <c r="C169" s="198"/>
      <c r="D169" s="386"/>
      <c r="E169" s="386"/>
      <c r="F169" s="387"/>
      <c r="G169" s="199"/>
      <c r="H169" s="199"/>
      <c r="I169" s="201"/>
      <c r="J169" s="201"/>
      <c r="K169" s="198"/>
      <c r="L169" s="386"/>
      <c r="M169" s="386"/>
      <c r="N169" s="387"/>
      <c r="O169" s="199"/>
      <c r="P169" s="199"/>
      <c r="Q169" s="201"/>
      <c r="R169" s="201"/>
      <c r="S169" s="198"/>
      <c r="T169" s="386"/>
      <c r="U169" s="386"/>
      <c r="V169" s="387"/>
      <c r="W169" s="199"/>
      <c r="X169" s="199"/>
      <c r="Y169" s="201"/>
      <c r="Z169" s="201"/>
      <c r="AA169" s="198"/>
      <c r="AB169" s="386"/>
      <c r="AC169" s="386"/>
      <c r="AD169" s="387"/>
      <c r="AE169" s="199"/>
      <c r="AF169" s="199"/>
      <c r="AG169" s="201"/>
      <c r="AH169" s="201"/>
      <c r="AI169" s="198"/>
      <c r="AJ169" s="386"/>
      <c r="AK169" s="386"/>
      <c r="AL169" s="387"/>
      <c r="AM169" s="199"/>
      <c r="AN169" s="199"/>
      <c r="AO169" s="201"/>
      <c r="AP169" s="201"/>
      <c r="AQ169" s="198"/>
      <c r="AR169" s="386"/>
      <c r="AS169" s="386"/>
      <c r="AT169" s="387"/>
      <c r="AU169" s="199"/>
      <c r="AV169" s="199"/>
      <c r="AW169" s="201"/>
      <c r="AX169" s="201"/>
      <c r="AY169" s="198"/>
      <c r="AZ169" s="386"/>
      <c r="BA169" s="386"/>
      <c r="BB169" s="387"/>
      <c r="BC169" s="199"/>
      <c r="BD169" s="199"/>
      <c r="BE169" s="201"/>
      <c r="BF169" s="201"/>
      <c r="BG169" s="198"/>
      <c r="BH169" s="386"/>
      <c r="BI169" s="386"/>
      <c r="BJ169" s="387"/>
      <c r="BK169" s="199"/>
      <c r="BL169" s="199"/>
      <c r="BM169" s="201"/>
      <c r="BN169" s="201"/>
      <c r="BO169" s="198"/>
      <c r="BP169" s="386"/>
      <c r="BQ169" s="386"/>
      <c r="BR169" s="387"/>
      <c r="BS169" s="199"/>
      <c r="BT169" s="199"/>
      <c r="BU169" s="201"/>
      <c r="BV169" s="201"/>
      <c r="BW169" s="198"/>
      <c r="BX169" s="386"/>
      <c r="BY169" s="386"/>
      <c r="BZ169" s="387"/>
      <c r="CA169" s="199"/>
      <c r="CB169" s="199"/>
      <c r="CC169" s="201"/>
      <c r="CD169" s="201"/>
      <c r="CE169" s="198"/>
      <c r="CF169" s="386"/>
      <c r="CG169" s="386"/>
      <c r="CH169" s="387"/>
      <c r="CI169" s="199"/>
      <c r="CJ169" s="199"/>
      <c r="CK169" s="201"/>
      <c r="CL169" s="201"/>
      <c r="CM169" s="198"/>
      <c r="CN169" s="386"/>
      <c r="CO169" s="386"/>
      <c r="CP169" s="387"/>
      <c r="CQ169" s="199"/>
      <c r="CR169" s="199"/>
      <c r="CS169" s="201"/>
      <c r="CT169" s="201"/>
      <c r="CU169" s="199"/>
      <c r="CV169" s="199"/>
      <c r="CW169" s="199"/>
      <c r="CX169" s="200"/>
      <c r="CY169" s="199"/>
      <c r="CZ169" s="199"/>
      <c r="DA169" s="201"/>
      <c r="DB169" s="180"/>
      <c r="DC169" s="199"/>
      <c r="DD169" s="199"/>
      <c r="DE169" s="199"/>
      <c r="DF169" s="200"/>
      <c r="DG169" s="199"/>
      <c r="DH169" s="199"/>
      <c r="DI169" s="201"/>
      <c r="DJ169" s="180"/>
      <c r="DK169" s="199"/>
      <c r="DL169" s="199"/>
      <c r="DM169" s="199"/>
      <c r="DN169" s="200"/>
      <c r="DO169" s="199"/>
      <c r="DP169" s="199"/>
      <c r="DQ169" s="201"/>
      <c r="DR169" s="180"/>
      <c r="DS169" s="199"/>
      <c r="DT169" s="199"/>
      <c r="DU169" s="199"/>
      <c r="DV169" s="200"/>
      <c r="DW169" s="199"/>
      <c r="DX169" s="199"/>
      <c r="DY169" s="201"/>
      <c r="DZ169" s="180"/>
      <c r="EA169" s="199"/>
      <c r="EB169" s="199"/>
      <c r="EC169" s="199"/>
      <c r="ED169" s="200"/>
      <c r="EE169" s="199"/>
      <c r="EF169" s="199"/>
      <c r="EG169" s="201"/>
      <c r="EH169" s="180"/>
      <c r="EI169" s="199"/>
      <c r="EJ169" s="199"/>
      <c r="EK169" s="199"/>
      <c r="EL169" s="200"/>
      <c r="EM169" s="199"/>
      <c r="EN169" s="199"/>
      <c r="EO169" s="201"/>
      <c r="EP169" s="180"/>
      <c r="EQ169" s="199"/>
      <c r="ER169" s="199"/>
      <c r="ES169" s="199"/>
      <c r="ET169" s="200"/>
      <c r="EU169" s="199"/>
      <c r="EV169" s="199"/>
      <c r="EW169" s="201"/>
      <c r="EX169" s="180"/>
      <c r="EY169" s="199"/>
      <c r="EZ169" s="199"/>
      <c r="FA169" s="199"/>
      <c r="FB169" s="200"/>
      <c r="FC169" s="199"/>
      <c r="FD169" s="199"/>
      <c r="FE169" s="201"/>
      <c r="FF169" s="180"/>
    </row>
    <row r="170" spans="1:162" ht="11.25" customHeight="1" outlineLevel="1" x14ac:dyDescent="0.2">
      <c r="A170" s="186" t="s">
        <v>344</v>
      </c>
      <c r="C170" s="198"/>
      <c r="D170" s="199"/>
      <c r="E170" s="199"/>
      <c r="F170" s="200"/>
      <c r="G170" s="199"/>
      <c r="H170" s="199"/>
      <c r="I170" s="201"/>
      <c r="J170" s="201"/>
      <c r="K170" s="198"/>
      <c r="L170" s="199"/>
      <c r="M170" s="199"/>
      <c r="N170" s="200"/>
      <c r="O170" s="199"/>
      <c r="P170" s="199"/>
      <c r="Q170" s="201"/>
      <c r="R170" s="201"/>
      <c r="S170" s="198"/>
      <c r="T170" s="199"/>
      <c r="U170" s="199"/>
      <c r="V170" s="200"/>
      <c r="W170" s="199"/>
      <c r="X170" s="199"/>
      <c r="Y170" s="201"/>
      <c r="Z170" s="201"/>
      <c r="AA170" s="198"/>
      <c r="AB170" s="199"/>
      <c r="AC170" s="199"/>
      <c r="AD170" s="200"/>
      <c r="AE170" s="199"/>
      <c r="AF170" s="199"/>
      <c r="AG170" s="201"/>
      <c r="AH170" s="201"/>
      <c r="AI170" s="198"/>
      <c r="AJ170" s="199"/>
      <c r="AK170" s="199"/>
      <c r="AL170" s="200"/>
      <c r="AM170" s="199"/>
      <c r="AN170" s="199"/>
      <c r="AO170" s="201"/>
      <c r="AP170" s="201"/>
      <c r="AQ170" s="198"/>
      <c r="AR170" s="199"/>
      <c r="AS170" s="199"/>
      <c r="AT170" s="200"/>
      <c r="AU170" s="199"/>
      <c r="AV170" s="199"/>
      <c r="AW170" s="201"/>
      <c r="AX170" s="201"/>
      <c r="AY170" s="198"/>
      <c r="AZ170" s="199"/>
      <c r="BA170" s="199"/>
      <c r="BB170" s="200"/>
      <c r="BC170" s="199"/>
      <c r="BD170" s="199"/>
      <c r="BE170" s="201"/>
      <c r="BF170" s="201"/>
      <c r="BG170" s="198"/>
      <c r="BH170" s="199"/>
      <c r="BI170" s="199"/>
      <c r="BJ170" s="200"/>
      <c r="BK170" s="199"/>
      <c r="BL170" s="199"/>
      <c r="BM170" s="201"/>
      <c r="BN170" s="201"/>
      <c r="BO170" s="198">
        <f t="shared" ref="BO170:CL170" si="216">+BO156*BO163</f>
        <v>1352.56</v>
      </c>
      <c r="BP170" s="199">
        <f t="shared" si="216"/>
        <v>1524.8999999999999</v>
      </c>
      <c r="BQ170" s="199">
        <f t="shared" si="216"/>
        <v>1509.1100000000001</v>
      </c>
      <c r="BR170" s="200">
        <f t="shared" si="216"/>
        <v>1589.1901886882124</v>
      </c>
      <c r="BS170" s="199">
        <f t="shared" si="216"/>
        <v>2878.26</v>
      </c>
      <c r="BT170" s="199">
        <f t="shared" si="216"/>
        <v>3097.7556080091153</v>
      </c>
      <c r="BU170" s="201">
        <f t="shared" si="216"/>
        <v>4387.2150000000001</v>
      </c>
      <c r="BV170" s="201">
        <f t="shared" si="216"/>
        <v>5976.5499999999993</v>
      </c>
      <c r="BW170" s="198">
        <f t="shared" si="216"/>
        <v>1005.6999999999999</v>
      </c>
      <c r="BX170" s="199">
        <f t="shared" si="216"/>
        <v>727.71999999999991</v>
      </c>
      <c r="BY170" s="199">
        <f t="shared" si="216"/>
        <v>786.375</v>
      </c>
      <c r="BZ170" s="200">
        <f t="shared" si="216"/>
        <v>921.75089936801123</v>
      </c>
      <c r="CA170" s="199">
        <f t="shared" si="216"/>
        <v>1733.4199999999998</v>
      </c>
      <c r="CB170" s="199">
        <f t="shared" si="216"/>
        <v>1712.8528042035393</v>
      </c>
      <c r="CC170" s="201">
        <f t="shared" si="216"/>
        <v>2521.9416666666666</v>
      </c>
      <c r="CD170" s="201">
        <f t="shared" si="216"/>
        <v>3444.2499999999995</v>
      </c>
      <c r="CE170" s="198">
        <f>+CE156*CE163</f>
        <v>737.8</v>
      </c>
      <c r="CF170" s="199">
        <f>+CF156*CF163</f>
        <v>803.25</v>
      </c>
      <c r="CG170" s="199">
        <f t="shared" si="216"/>
        <v>797.25800000000004</v>
      </c>
      <c r="CH170" s="200">
        <f t="shared" si="216"/>
        <v>955.83999999999992</v>
      </c>
      <c r="CI170" s="199">
        <f t="shared" si="216"/>
        <v>1541.05</v>
      </c>
      <c r="CJ170" s="199">
        <f t="shared" si="216"/>
        <v>1746.9599999999998</v>
      </c>
      <c r="CK170" s="201">
        <f t="shared" si="216"/>
        <v>2338.7910000000002</v>
      </c>
      <c r="CL170" s="201">
        <f t="shared" si="216"/>
        <v>3277.1699999999996</v>
      </c>
      <c r="CM170" s="198">
        <f>+CM156*CM163</f>
        <v>805.85</v>
      </c>
      <c r="CN170" s="199">
        <f>+CN156*CN163</f>
        <v>880.68499999999995</v>
      </c>
      <c r="CO170" s="199">
        <f>+CO156*CO163</f>
        <v>1038.4000000000001</v>
      </c>
      <c r="CP170" s="200">
        <f>+CR170-CO170</f>
        <v>1140.2600000000002</v>
      </c>
      <c r="CQ170" s="199">
        <f>+CQ156*CQ163</f>
        <v>1687.8400000000001</v>
      </c>
      <c r="CR170" s="199">
        <f>+CT170-CQ170</f>
        <v>2178.6600000000003</v>
      </c>
      <c r="CS170" s="201">
        <f>+CO170+CQ170</f>
        <v>2726.2400000000002</v>
      </c>
      <c r="CT170" s="201">
        <f t="shared" ref="CT170:FE170" si="217">+CT156*CT163</f>
        <v>3866.5000000000005</v>
      </c>
      <c r="CU170" s="198">
        <f t="shared" si="217"/>
        <v>1216.6000000000001</v>
      </c>
      <c r="CV170" s="199">
        <f>CY170-CU170</f>
        <v>1418.825</v>
      </c>
      <c r="CW170" s="199">
        <f t="shared" ref="CW170" si="218">+CW156*CW163</f>
        <v>1213.2299999999998</v>
      </c>
      <c r="CX170" s="200">
        <f t="shared" si="217"/>
        <v>1195.7</v>
      </c>
      <c r="CY170" s="199">
        <f t="shared" si="217"/>
        <v>2635.4250000000002</v>
      </c>
      <c r="CZ170" s="199">
        <f t="shared" si="217"/>
        <v>2408.9</v>
      </c>
      <c r="DA170" s="201">
        <f>CU170+CV170+CW170</f>
        <v>3848.6549999999997</v>
      </c>
      <c r="DB170" s="201">
        <f t="shared" si="217"/>
        <v>5044.3249999999998</v>
      </c>
      <c r="DC170" s="198">
        <f t="shared" si="217"/>
        <v>1323.79</v>
      </c>
      <c r="DD170" s="199">
        <f>DG170-DC170</f>
        <v>1350.3100000000004</v>
      </c>
      <c r="DE170" s="199">
        <f t="shared" ref="DE170:DF170" si="219">+DE156*DE163</f>
        <v>1262.0700000000002</v>
      </c>
      <c r="DF170" s="200">
        <f t="shared" si="219"/>
        <v>1802.8600000000001</v>
      </c>
      <c r="DG170" s="199">
        <f t="shared" ref="DG170:DH170" si="220">+DG156*DG163</f>
        <v>2674.1000000000004</v>
      </c>
      <c r="DH170" s="199">
        <f t="shared" si="220"/>
        <v>3070.1000000000004</v>
      </c>
      <c r="DI170" s="201">
        <f>DC170+DD170+DE170</f>
        <v>3936.1700000000005</v>
      </c>
      <c r="DJ170" s="201">
        <f t="shared" ref="DJ170:DK170" si="221">+DJ156*DJ163</f>
        <v>5744.2000000000007</v>
      </c>
      <c r="DK170" s="198">
        <f t="shared" si="221"/>
        <v>1413.7549999999999</v>
      </c>
      <c r="DL170" s="199">
        <f>DO170-DK170</f>
        <v>1484.66</v>
      </c>
      <c r="DM170" s="199">
        <f t="shared" ref="DM170" si="222">+DM156*DM163</f>
        <v>1670.5550000000001</v>
      </c>
      <c r="DN170" s="200">
        <f t="shared" si="217"/>
        <v>1676.2799999999997</v>
      </c>
      <c r="DO170" s="199">
        <f t="shared" si="217"/>
        <v>2898.415</v>
      </c>
      <c r="DP170" s="199">
        <f t="shared" si="217"/>
        <v>3346.835</v>
      </c>
      <c r="DQ170" s="201">
        <f>DK170+DL170+DM170</f>
        <v>4568.97</v>
      </c>
      <c r="DR170" s="201">
        <f t="shared" ref="DR170" si="223">+DR156*DR163</f>
        <v>6239.25</v>
      </c>
      <c r="DS170" s="198">
        <f t="shared" si="217"/>
        <v>1848.03</v>
      </c>
      <c r="DT170" s="199">
        <f t="shared" si="217"/>
        <v>1912.15</v>
      </c>
      <c r="DU170" s="280">
        <f t="shared" si="217"/>
        <v>1897.5794999152486</v>
      </c>
      <c r="DV170" s="358">
        <f t="shared" si="217"/>
        <v>2078.8227730659273</v>
      </c>
      <c r="DW170" s="199">
        <f t="shared" si="217"/>
        <v>3760.18</v>
      </c>
      <c r="DX170" s="280">
        <f t="shared" si="217"/>
        <v>3976.4022729811759</v>
      </c>
      <c r="DY170" s="373">
        <f t="shared" si="217"/>
        <v>5662.2907718536044</v>
      </c>
      <c r="DZ170" s="373">
        <f t="shared" si="217"/>
        <v>7741.1135449195308</v>
      </c>
      <c r="EA170" s="374">
        <f t="shared" si="217"/>
        <v>1852.6235389428073</v>
      </c>
      <c r="EB170" s="280">
        <f t="shared" si="217"/>
        <v>1875.9839004501589</v>
      </c>
      <c r="EC170" s="280">
        <f t="shared" si="217"/>
        <v>1877.0557198251599</v>
      </c>
      <c r="ED170" s="358">
        <f t="shared" si="217"/>
        <v>2767.6958311064664</v>
      </c>
      <c r="EE170" s="280">
        <f t="shared" si="217"/>
        <v>3728.6074393929671</v>
      </c>
      <c r="EF170" s="280">
        <f t="shared" si="217"/>
        <v>4644.7515509316272</v>
      </c>
      <c r="EG170" s="373">
        <f t="shared" si="217"/>
        <v>5605.6631592181257</v>
      </c>
      <c r="EH170" s="373">
        <f t="shared" si="217"/>
        <v>8373.3589903245975</v>
      </c>
      <c r="EI170" s="374">
        <f t="shared" si="217"/>
        <v>2074.6899953878315</v>
      </c>
      <c r="EJ170" s="280">
        <f t="shared" si="217"/>
        <v>2094.7057682935451</v>
      </c>
      <c r="EK170" s="280">
        <f t="shared" si="217"/>
        <v>2097.9980311592599</v>
      </c>
      <c r="EL170" s="358">
        <f t="shared" si="217"/>
        <v>2965.2438592949211</v>
      </c>
      <c r="EM170" s="280">
        <f t="shared" si="217"/>
        <v>4169.3957636813766</v>
      </c>
      <c r="EN170" s="280">
        <f t="shared" si="217"/>
        <v>5063.2418904541819</v>
      </c>
      <c r="EO170" s="373">
        <f t="shared" si="217"/>
        <v>6267.3937948406392</v>
      </c>
      <c r="EP170" s="373">
        <f t="shared" si="217"/>
        <v>9232.6376541355548</v>
      </c>
      <c r="EQ170" s="374">
        <f t="shared" si="217"/>
        <v>2207.8886486665615</v>
      </c>
      <c r="ER170" s="280">
        <f t="shared" si="217"/>
        <v>2204.405669961197</v>
      </c>
      <c r="ES170" s="280">
        <f t="shared" si="217"/>
        <v>2207.888648666561</v>
      </c>
      <c r="ET170" s="358">
        <f t="shared" si="217"/>
        <v>3106.963706969676</v>
      </c>
      <c r="EU170" s="280">
        <f t="shared" si="217"/>
        <v>4412.2943186277616</v>
      </c>
      <c r="EV170" s="280">
        <f t="shared" si="217"/>
        <v>5314.8523556362406</v>
      </c>
      <c r="EW170" s="373">
        <f t="shared" si="217"/>
        <v>6620.1829672943213</v>
      </c>
      <c r="EX170" s="373">
        <f t="shared" si="217"/>
        <v>9727.146674263995</v>
      </c>
      <c r="EY170" s="374">
        <f t="shared" si="217"/>
        <v>2304.6424695635596</v>
      </c>
      <c r="EZ170" s="280">
        <f t="shared" si="217"/>
        <v>2303.2646168754522</v>
      </c>
      <c r="FA170" s="280">
        <f t="shared" si="217"/>
        <v>2304.6424695635592</v>
      </c>
      <c r="FB170" s="358">
        <f t="shared" si="217"/>
        <v>3203.6469203054053</v>
      </c>
      <c r="FC170" s="280">
        <f t="shared" si="217"/>
        <v>4607.9070864390133</v>
      </c>
      <c r="FD170" s="280">
        <f t="shared" si="217"/>
        <v>5508.2893898689645</v>
      </c>
      <c r="FE170" s="373">
        <f t="shared" si="217"/>
        <v>6912.5495560025738</v>
      </c>
      <c r="FF170" s="373">
        <f t="shared" ref="FF170" si="224">+FF156*FF163</f>
        <v>10116.196476307976</v>
      </c>
    </row>
    <row r="171" spans="1:162" ht="11.25" customHeight="1" outlineLevel="1" x14ac:dyDescent="0.2">
      <c r="A171" s="186"/>
      <c r="B171" s="4" t="s">
        <v>345</v>
      </c>
      <c r="C171" s="378"/>
      <c r="D171" s="379"/>
      <c r="E171" s="379"/>
      <c r="F171" s="380"/>
      <c r="G171" s="379"/>
      <c r="H171" s="379"/>
      <c r="I171" s="381"/>
      <c r="J171" s="381"/>
      <c r="K171" s="378"/>
      <c r="L171" s="379"/>
      <c r="M171" s="379"/>
      <c r="N171" s="380"/>
      <c r="O171" s="379"/>
      <c r="P171" s="379"/>
      <c r="Q171" s="381"/>
      <c r="R171" s="381"/>
      <c r="S171" s="378"/>
      <c r="T171" s="379"/>
      <c r="U171" s="379"/>
      <c r="V171" s="380"/>
      <c r="W171" s="379"/>
      <c r="X171" s="379"/>
      <c r="Y171" s="381"/>
      <c r="Z171" s="381"/>
      <c r="AA171" s="378"/>
      <c r="AB171" s="379"/>
      <c r="AC171" s="379"/>
      <c r="AD171" s="380"/>
      <c r="AE171" s="379"/>
      <c r="AF171" s="379"/>
      <c r="AG171" s="381"/>
      <c r="AH171" s="381"/>
      <c r="AI171" s="378"/>
      <c r="AJ171" s="379"/>
      <c r="AK171" s="379"/>
      <c r="AL171" s="380"/>
      <c r="AM171" s="379"/>
      <c r="AN171" s="379"/>
      <c r="AO171" s="381"/>
      <c r="AP171" s="381"/>
      <c r="AQ171" s="378"/>
      <c r="AR171" s="379"/>
      <c r="AS171" s="379"/>
      <c r="AT171" s="380"/>
      <c r="AU171" s="379"/>
      <c r="AV171" s="379"/>
      <c r="AW171" s="381"/>
      <c r="AX171" s="381"/>
      <c r="AY171" s="378"/>
      <c r="AZ171" s="379"/>
      <c r="BA171" s="379"/>
      <c r="BB171" s="380"/>
      <c r="BC171" s="379"/>
      <c r="BD171" s="379"/>
      <c r="BE171" s="381"/>
      <c r="BF171" s="381"/>
      <c r="BG171" s="378"/>
      <c r="BH171" s="379"/>
      <c r="BI171" s="379"/>
      <c r="BJ171" s="380"/>
      <c r="BK171" s="379"/>
      <c r="BL171" s="379"/>
      <c r="BM171" s="381"/>
      <c r="BN171" s="381"/>
      <c r="BO171" s="378"/>
      <c r="BP171" s="379"/>
      <c r="BQ171" s="379"/>
      <c r="BR171" s="380"/>
      <c r="BS171" s="379"/>
      <c r="BT171" s="379"/>
      <c r="BU171" s="381"/>
      <c r="BV171" s="381"/>
      <c r="BW171" s="378">
        <f>+BW170/BO170-1</f>
        <v>-0.25644703377299349</v>
      </c>
      <c r="BX171" s="379">
        <f t="shared" ref="BX171:EI171" si="225">+BX170/BP170-1</f>
        <v>-0.52277526395173457</v>
      </c>
      <c r="BY171" s="379">
        <f t="shared" si="225"/>
        <v>-0.47891472457276152</v>
      </c>
      <c r="BZ171" s="380">
        <f t="shared" si="225"/>
        <v>-0.41998704376040419</v>
      </c>
      <c r="CA171" s="379">
        <f t="shared" si="225"/>
        <v>-0.39775419871728068</v>
      </c>
      <c r="CB171" s="379">
        <f t="shared" si="225"/>
        <v>-0.44706651493906391</v>
      </c>
      <c r="CC171" s="381">
        <f t="shared" si="225"/>
        <v>-0.42516114057171428</v>
      </c>
      <c r="CD171" s="381">
        <f t="shared" si="225"/>
        <v>-0.42370598422166639</v>
      </c>
      <c r="CE171" s="378">
        <f t="shared" si="225"/>
        <v>-0.26638162473898774</v>
      </c>
      <c r="CF171" s="379">
        <f>+CF170/BX170-1</f>
        <v>0.10378991919969227</v>
      </c>
      <c r="CG171" s="379">
        <f t="shared" si="225"/>
        <v>1.3839453187092676E-2</v>
      </c>
      <c r="CH171" s="380">
        <f t="shared" si="225"/>
        <v>3.6982986027311204E-2</v>
      </c>
      <c r="CI171" s="379">
        <f t="shared" si="225"/>
        <v>-0.11097714345051968</v>
      </c>
      <c r="CJ171" s="379">
        <f t="shared" si="225"/>
        <v>1.9912508367769588E-2</v>
      </c>
      <c r="CK171" s="381">
        <f t="shared" si="225"/>
        <v>-7.2622879857781486E-2</v>
      </c>
      <c r="CL171" s="381">
        <f t="shared" si="225"/>
        <v>-4.850983523263408E-2</v>
      </c>
      <c r="CM171" s="378">
        <f t="shared" si="225"/>
        <v>9.2233667660612806E-2</v>
      </c>
      <c r="CN171" s="379">
        <f t="shared" si="225"/>
        <v>9.6402116402116267E-2</v>
      </c>
      <c r="CO171" s="379">
        <f t="shared" si="225"/>
        <v>0.30246419603189945</v>
      </c>
      <c r="CP171" s="380">
        <f t="shared" si="225"/>
        <v>0.19294024104452667</v>
      </c>
      <c r="CQ171" s="379">
        <f t="shared" si="225"/>
        <v>9.5253236429707178E-2</v>
      </c>
      <c r="CR171" s="379">
        <f t="shared" si="225"/>
        <v>0.24711498832257206</v>
      </c>
      <c r="CS171" s="381">
        <f t="shared" si="225"/>
        <v>0.16566208780519509</v>
      </c>
      <c r="CT171" s="381">
        <f t="shared" si="225"/>
        <v>0.17982893777252973</v>
      </c>
      <c r="CU171" s="378">
        <f t="shared" si="225"/>
        <v>0.50971024384190611</v>
      </c>
      <c r="CV171" s="1483">
        <f t="shared" si="225"/>
        <v>0.61104708266860475</v>
      </c>
      <c r="CW171" s="1483">
        <f t="shared" si="225"/>
        <v>0.16836479198767296</v>
      </c>
      <c r="CX171" s="380">
        <f t="shared" si="225"/>
        <v>4.862049006366953E-2</v>
      </c>
      <c r="CY171" s="1483">
        <f t="shared" si="225"/>
        <v>0.56141873637311601</v>
      </c>
      <c r="CZ171" s="379">
        <f t="shared" si="225"/>
        <v>0.10567963794258839</v>
      </c>
      <c r="DA171" s="381">
        <f t="shared" si="225"/>
        <v>0.41170806678795691</v>
      </c>
      <c r="DB171" s="381">
        <f t="shared" si="225"/>
        <v>0.30462304409672813</v>
      </c>
      <c r="DC171" s="378">
        <f t="shared" si="225"/>
        <v>8.8106197599868263E-2</v>
      </c>
      <c r="DD171" s="1483">
        <f t="shared" si="225"/>
        <v>-4.8289958240092745E-2</v>
      </c>
      <c r="DE171" s="379">
        <f t="shared" si="225"/>
        <v>4.025617566331241E-2</v>
      </c>
      <c r="DF171" s="380">
        <f t="shared" si="225"/>
        <v>0.5077862340051853</v>
      </c>
      <c r="DG171" s="1483">
        <f t="shared" si="225"/>
        <v>1.4675052410901612E-2</v>
      </c>
      <c r="DH171" s="379">
        <f t="shared" si="225"/>
        <v>0.2744821287724688</v>
      </c>
      <c r="DI171" s="381">
        <f t="shared" si="225"/>
        <v>2.2739112754975643E-2</v>
      </c>
      <c r="DJ171" s="381">
        <f t="shared" si="225"/>
        <v>0.13874502535027</v>
      </c>
      <c r="DK171" s="378">
        <f t="shared" si="225"/>
        <v>6.7960174952220509E-2</v>
      </c>
      <c r="DL171" s="1483">
        <f t="shared" si="225"/>
        <v>9.9495671364353111E-2</v>
      </c>
      <c r="DM171" s="379">
        <f t="shared" si="225"/>
        <v>0.32366271284477066</v>
      </c>
      <c r="DN171" s="380">
        <f t="shared" si="225"/>
        <v>-7.021066527628339E-2</v>
      </c>
      <c r="DO171" s="1483">
        <f t="shared" si="225"/>
        <v>8.3884297520661066E-2</v>
      </c>
      <c r="DP171" s="379">
        <f t="shared" si="225"/>
        <v>9.0138757695188865E-2</v>
      </c>
      <c r="DQ171" s="381">
        <f t="shared" si="225"/>
        <v>0.16076541409542777</v>
      </c>
      <c r="DR171" s="381">
        <f t="shared" si="225"/>
        <v>8.6182584171860199E-2</v>
      </c>
      <c r="DS171" s="378">
        <f t="shared" si="225"/>
        <v>0.3071784007837286</v>
      </c>
      <c r="DT171" s="379">
        <f t="shared" si="225"/>
        <v>0.28793797906591401</v>
      </c>
      <c r="DU171" s="383">
        <f t="shared" si="225"/>
        <v>0.13589765072999604</v>
      </c>
      <c r="DV171" s="382">
        <f t="shared" si="225"/>
        <v>0.24014053324380624</v>
      </c>
      <c r="DW171" s="379">
        <f t="shared" si="225"/>
        <v>0.29732284714231749</v>
      </c>
      <c r="DX171" s="383">
        <f t="shared" si="225"/>
        <v>0.18810824943003635</v>
      </c>
      <c r="DY171" s="384">
        <f t="shared" si="225"/>
        <v>0.23929261340162089</v>
      </c>
      <c r="DZ171" s="384">
        <f t="shared" si="225"/>
        <v>0.24071219215763606</v>
      </c>
      <c r="EA171" s="385">
        <f t="shared" si="225"/>
        <v>2.4856408947946385E-3</v>
      </c>
      <c r="EB171" s="383">
        <f t="shared" si="225"/>
        <v>-1.8913840205967758E-2</v>
      </c>
      <c r="EC171" s="383">
        <f t="shared" si="225"/>
        <v>-1.081576824106989E-2</v>
      </c>
      <c r="ED171" s="382">
        <f t="shared" si="225"/>
        <v>0.33137652086837721</v>
      </c>
      <c r="EE171" s="383">
        <f t="shared" si="225"/>
        <v>-8.3965556454831392E-3</v>
      </c>
      <c r="EF171" s="383">
        <f t="shared" si="225"/>
        <v>0.16807888942518345</v>
      </c>
      <c r="EG171" s="384">
        <f t="shared" si="225"/>
        <v>-1.0000830921111703E-2</v>
      </c>
      <c r="EH171" s="384">
        <f t="shared" si="225"/>
        <v>8.1673707760042902E-2</v>
      </c>
      <c r="EI171" s="385">
        <f t="shared" si="225"/>
        <v>0.1198659370223405</v>
      </c>
      <c r="EJ171" s="383">
        <f t="shared" ref="EJ171:FF171" si="226">+EJ170/EB170-1</f>
        <v>0.1165904823548336</v>
      </c>
      <c r="EK171" s="383">
        <f t="shared" si="226"/>
        <v>0.11770684748488969</v>
      </c>
      <c r="EL171" s="382">
        <f t="shared" si="226"/>
        <v>7.1376350669820177E-2</v>
      </c>
      <c r="EM171" s="383">
        <f t="shared" si="226"/>
        <v>0.1182179490475328</v>
      </c>
      <c r="EN171" s="383">
        <f t="shared" si="226"/>
        <v>9.0099617801648657E-2</v>
      </c>
      <c r="EO171" s="384">
        <f t="shared" si="226"/>
        <v>0.11804680674298873</v>
      </c>
      <c r="EP171" s="384">
        <f t="shared" si="226"/>
        <v>0.1026205450887574</v>
      </c>
      <c r="EQ171" s="385">
        <f t="shared" si="226"/>
        <v>6.4201713786078418E-2</v>
      </c>
      <c r="ER171" s="383">
        <f t="shared" si="226"/>
        <v>5.2370076660942733E-2</v>
      </c>
      <c r="ES171" s="383">
        <f t="shared" si="226"/>
        <v>5.2378799157680955E-2</v>
      </c>
      <c r="ET171" s="382">
        <f t="shared" si="226"/>
        <v>4.7793656913078797E-2</v>
      </c>
      <c r="EU171" s="383">
        <f t="shared" si="226"/>
        <v>5.825749550143855E-2</v>
      </c>
      <c r="EV171" s="383">
        <f t="shared" si="226"/>
        <v>4.9693550224496397E-2</v>
      </c>
      <c r="EW171" s="384">
        <f t="shared" si="226"/>
        <v>5.6289613195216859E-2</v>
      </c>
      <c r="EX171" s="384">
        <f t="shared" si="226"/>
        <v>5.3560969102576683E-2</v>
      </c>
      <c r="EY171" s="385">
        <f t="shared" si="226"/>
        <v>4.3821875236068619E-2</v>
      </c>
      <c r="EZ171" s="383">
        <f t="shared" si="226"/>
        <v>4.4846077226790682E-2</v>
      </c>
      <c r="FA171" s="383">
        <f t="shared" si="226"/>
        <v>4.3821875236068619E-2</v>
      </c>
      <c r="FB171" s="382">
        <f t="shared" si="226"/>
        <v>3.1118230676092429E-2</v>
      </c>
      <c r="FC171" s="383">
        <f t="shared" si="226"/>
        <v>4.4333571988934839E-2</v>
      </c>
      <c r="FD171" s="383">
        <f t="shared" si="226"/>
        <v>3.6395561210198046E-2</v>
      </c>
      <c r="FE171" s="384">
        <f t="shared" si="226"/>
        <v>4.4162916667504604E-2</v>
      </c>
      <c r="FF171" s="384">
        <f t="shared" si="226"/>
        <v>3.9996292342679096E-2</v>
      </c>
    </row>
    <row r="172" spans="1:162" ht="11.25" customHeight="1" outlineLevel="1" x14ac:dyDescent="0.2">
      <c r="A172" s="186"/>
      <c r="C172" s="198"/>
      <c r="D172" s="386"/>
      <c r="E172" s="386"/>
      <c r="F172" s="387"/>
      <c r="G172" s="199"/>
      <c r="H172" s="199"/>
      <c r="I172" s="201"/>
      <c r="J172" s="201"/>
      <c r="K172" s="198"/>
      <c r="L172" s="386"/>
      <c r="M172" s="386"/>
      <c r="N172" s="387"/>
      <c r="O172" s="199"/>
      <c r="P172" s="199"/>
      <c r="Q172" s="201"/>
      <c r="R172" s="201"/>
      <c r="S172" s="198"/>
      <c r="T172" s="386"/>
      <c r="U172" s="386"/>
      <c r="V172" s="387"/>
      <c r="W172" s="199"/>
      <c r="X172" s="199"/>
      <c r="Y172" s="201"/>
      <c r="Z172" s="201"/>
      <c r="AA172" s="198"/>
      <c r="AB172" s="386"/>
      <c r="AC172" s="386"/>
      <c r="AD172" s="387"/>
      <c r="AE172" s="199"/>
      <c r="AF172" s="199"/>
      <c r="AG172" s="201"/>
      <c r="AH172" s="201"/>
      <c r="AI172" s="198"/>
      <c r="AJ172" s="386"/>
      <c r="AK172" s="386"/>
      <c r="AL172" s="387"/>
      <c r="AM172" s="199"/>
      <c r="AN172" s="199"/>
      <c r="AO172" s="201"/>
      <c r="AP172" s="201"/>
      <c r="AQ172" s="198"/>
      <c r="AR172" s="386"/>
      <c r="AS172" s="386"/>
      <c r="AT172" s="387"/>
      <c r="AU172" s="199"/>
      <c r="AV172" s="199"/>
      <c r="AW172" s="201"/>
      <c r="AX172" s="201"/>
      <c r="AY172" s="198"/>
      <c r="AZ172" s="386"/>
      <c r="BA172" s="386"/>
      <c r="BB172" s="387"/>
      <c r="BC172" s="199"/>
      <c r="BD172" s="199"/>
      <c r="BE172" s="201"/>
      <c r="BF172" s="201"/>
      <c r="BG172" s="198"/>
      <c r="BH172" s="386"/>
      <c r="BI172" s="386"/>
      <c r="BJ172" s="387"/>
      <c r="BK172" s="199"/>
      <c r="BL172" s="199"/>
      <c r="BM172" s="201"/>
      <c r="BN172" s="201"/>
      <c r="BO172" s="198"/>
      <c r="BP172" s="386"/>
      <c r="BQ172" s="386"/>
      <c r="BR172" s="387"/>
      <c r="BS172" s="199"/>
      <c r="BT172" s="199"/>
      <c r="BU172" s="201"/>
      <c r="BV172" s="201"/>
      <c r="BW172" s="198"/>
      <c r="BX172" s="386"/>
      <c r="BY172" s="386"/>
      <c r="BZ172" s="387"/>
      <c r="CA172" s="199"/>
      <c r="CB172" s="199"/>
      <c r="CC172" s="201"/>
      <c r="CD172" s="201"/>
      <c r="CE172" s="198"/>
      <c r="CF172" s="386"/>
      <c r="CG172" s="386"/>
      <c r="CH172" s="387"/>
      <c r="CI172" s="199"/>
      <c r="CJ172" s="199"/>
      <c r="CK172" s="201"/>
      <c r="CL172" s="201"/>
      <c r="CM172" s="198"/>
      <c r="CN172" s="386"/>
      <c r="CO172" s="386"/>
      <c r="CP172" s="387"/>
      <c r="CQ172" s="199"/>
      <c r="CR172" s="199"/>
      <c r="CS172" s="201"/>
      <c r="CT172" s="201"/>
      <c r="CU172" s="374"/>
      <c r="CV172" s="388"/>
      <c r="CW172" s="388"/>
      <c r="CX172" s="389"/>
      <c r="CY172" s="280"/>
      <c r="CZ172" s="280"/>
      <c r="DA172" s="373"/>
      <c r="DB172" s="373"/>
      <c r="DC172" s="198"/>
      <c r="DD172" s="388"/>
      <c r="DE172" s="388"/>
      <c r="DF172" s="389"/>
      <c r="DG172" s="280"/>
      <c r="DH172" s="280"/>
      <c r="DI172" s="373"/>
      <c r="DJ172" s="373"/>
      <c r="DK172" s="198"/>
      <c r="DL172" s="388"/>
      <c r="DM172" s="388"/>
      <c r="DN172" s="387"/>
      <c r="DO172" s="280"/>
      <c r="DP172" s="280"/>
      <c r="DQ172" s="373"/>
      <c r="DR172" s="373"/>
      <c r="DS172" s="198"/>
      <c r="DT172" s="386"/>
      <c r="DU172" s="388"/>
      <c r="DV172" s="389"/>
      <c r="DW172" s="199"/>
      <c r="DX172" s="280"/>
      <c r="DY172" s="373"/>
      <c r="DZ172" s="373"/>
      <c r="EA172" s="374"/>
      <c r="EB172" s="388"/>
      <c r="EC172" s="388"/>
      <c r="ED172" s="389"/>
      <c r="EE172" s="280"/>
      <c r="EF172" s="280"/>
      <c r="EG172" s="373"/>
      <c r="EH172" s="373"/>
      <c r="EI172" s="374"/>
      <c r="EJ172" s="388"/>
      <c r="EK172" s="388"/>
      <c r="EL172" s="389"/>
      <c r="EM172" s="280"/>
      <c r="EN172" s="280"/>
      <c r="EO172" s="373"/>
      <c r="EP172" s="373"/>
      <c r="EQ172" s="374"/>
      <c r="ER172" s="388"/>
      <c r="ES172" s="388"/>
      <c r="ET172" s="389"/>
      <c r="EU172" s="280"/>
      <c r="EV172" s="280"/>
      <c r="EW172" s="373"/>
      <c r="EX172" s="373"/>
      <c r="EY172" s="374"/>
      <c r="EZ172" s="388"/>
      <c r="FA172" s="388"/>
      <c r="FB172" s="389"/>
      <c r="FC172" s="280"/>
      <c r="FD172" s="280"/>
      <c r="FE172" s="373"/>
      <c r="FF172" s="373"/>
    </row>
    <row r="173" spans="1:162" ht="11.25" customHeight="1" outlineLevel="1" x14ac:dyDescent="0.2">
      <c r="A173" s="186" t="s">
        <v>346</v>
      </c>
      <c r="C173" s="198"/>
      <c r="D173" s="199"/>
      <c r="E173" s="199"/>
      <c r="F173" s="200"/>
      <c r="G173" s="199"/>
      <c r="H173" s="199"/>
      <c r="I173" s="201"/>
      <c r="J173" s="201"/>
      <c r="K173" s="198"/>
      <c r="L173" s="199"/>
      <c r="M173" s="199"/>
      <c r="N173" s="200"/>
      <c r="O173" s="199"/>
      <c r="P173" s="199"/>
      <c r="Q173" s="201"/>
      <c r="R173" s="201"/>
      <c r="S173" s="198"/>
      <c r="T173" s="199"/>
      <c r="U173" s="199"/>
      <c r="V173" s="200"/>
      <c r="W173" s="199"/>
      <c r="X173" s="199"/>
      <c r="Y173" s="201"/>
      <c r="Z173" s="201"/>
      <c r="AA173" s="198"/>
      <c r="AB173" s="199"/>
      <c r="AC173" s="199"/>
      <c r="AD173" s="200"/>
      <c r="AE173" s="199"/>
      <c r="AF173" s="199"/>
      <c r="AG173" s="201"/>
      <c r="AH173" s="201"/>
      <c r="AI173" s="198"/>
      <c r="AJ173" s="199"/>
      <c r="AK173" s="199"/>
      <c r="AL173" s="200"/>
      <c r="AM173" s="199"/>
      <c r="AN173" s="199"/>
      <c r="AO173" s="201"/>
      <c r="AP173" s="201"/>
      <c r="AQ173" s="198"/>
      <c r="AR173" s="199"/>
      <c r="AS173" s="199"/>
      <c r="AT173" s="200"/>
      <c r="AU173" s="199"/>
      <c r="AV173" s="199"/>
      <c r="AW173" s="201"/>
      <c r="AX173" s="201"/>
      <c r="AY173" s="198"/>
      <c r="AZ173" s="199"/>
      <c r="BA173" s="199"/>
      <c r="BB173" s="200"/>
      <c r="BC173" s="199"/>
      <c r="BD173" s="199"/>
      <c r="BE173" s="201"/>
      <c r="BF173" s="201"/>
      <c r="BG173" s="198"/>
      <c r="BH173" s="199"/>
      <c r="BI173" s="199"/>
      <c r="BJ173" s="200"/>
      <c r="BK173" s="199"/>
      <c r="BL173" s="199"/>
      <c r="BM173" s="201"/>
      <c r="BN173" s="201"/>
      <c r="BO173" s="198">
        <f>+BW173/(1+BW174)</f>
        <v>1314.5160289555324</v>
      </c>
      <c r="BP173" s="199">
        <f>+BX173/(1+BX174)</f>
        <v>1297.7917058823527</v>
      </c>
      <c r="BQ173" s="199">
        <f>+BU173-BS173</f>
        <v>1341.1969803103957</v>
      </c>
      <c r="BR173" s="200">
        <f>+BT173-BQ173</f>
        <v>2002.6237260619846</v>
      </c>
      <c r="BS173" s="199">
        <f>+CA173/(1+CA174)</f>
        <v>2610.344786585365</v>
      </c>
      <c r="BT173" s="199">
        <f>+BV173-BS173</f>
        <v>3343.8207063723803</v>
      </c>
      <c r="BU173" s="201">
        <f>+CC173/(1+CC174)</f>
        <v>3951.5417668957607</v>
      </c>
      <c r="BV173" s="201">
        <f>+CD173/(1+CD174)</f>
        <v>5954.1654929577453</v>
      </c>
      <c r="BW173" s="198">
        <f>+BW166*0.7</f>
        <v>1271.1369999999997</v>
      </c>
      <c r="BX173" s="199">
        <f>+BX166*0.431</f>
        <v>441.24917999999991</v>
      </c>
      <c r="BY173" s="4">
        <f>+CC173-CA173</f>
        <v>587.41112833333364</v>
      </c>
      <c r="BZ173" s="200">
        <f>+CB173-BY173</f>
        <v>1082.1686916666667</v>
      </c>
      <c r="CA173" s="199">
        <f>+BW173+BX173</f>
        <v>1712.3861799999995</v>
      </c>
      <c r="CB173" s="199">
        <f>+CD173-CA173</f>
        <v>1669.5798200000004</v>
      </c>
      <c r="CC173" s="201">
        <f>0.593*CC166</f>
        <v>2299.7973083333331</v>
      </c>
      <c r="CD173" s="176">
        <f>0.63*CD166</f>
        <v>3381.9659999999999</v>
      </c>
      <c r="CE173" s="198">
        <f>+BW173*(1+CE174)</f>
        <v>592.34984199999985</v>
      </c>
      <c r="CF173" s="199">
        <f>+BX173*(1+CF174)</f>
        <v>683.93622899999991</v>
      </c>
      <c r="CG173" s="199">
        <f>+BY173*(1+CG174)</f>
        <v>844.69720254333379</v>
      </c>
      <c r="CH173" s="200">
        <f>+CJ173-CG173</f>
        <v>1501.1023124566659</v>
      </c>
      <c r="CI173" s="199">
        <f>+CE173+CF173</f>
        <v>1276.2860709999998</v>
      </c>
      <c r="CJ173" s="199">
        <f>+CL173-CI173</f>
        <v>2345.7995149999997</v>
      </c>
      <c r="CK173" s="201">
        <f>+CE173+CF173+CG173</f>
        <v>2120.9832735433338</v>
      </c>
      <c r="CL173" s="201">
        <f>+Propulsion!W196</f>
        <v>3622.0855859999997</v>
      </c>
      <c r="CM173" s="198">
        <f>+CE173*(1+CM174)</f>
        <v>905.70290841799977</v>
      </c>
      <c r="CN173" s="199">
        <f>+CF173*(1+CN174)</f>
        <v>964.35008288999984</v>
      </c>
      <c r="CO173" s="390">
        <v>1150</v>
      </c>
      <c r="CP173" s="200">
        <f>+CR173-CO173</f>
        <v>1663.3036713899996</v>
      </c>
      <c r="CQ173" s="199">
        <f>+CM173+CN173</f>
        <v>1870.0529913079995</v>
      </c>
      <c r="CR173" s="199">
        <f>+CT173-CQ173</f>
        <v>2813.3036713899996</v>
      </c>
      <c r="CS173" s="201">
        <f>+CM173+CN173+CO173</f>
        <v>3020.0529913079995</v>
      </c>
      <c r="CT173" s="201">
        <f>+Propulsion!X196</f>
        <v>4683.3566626979991</v>
      </c>
      <c r="CU173" s="391">
        <f>+Propulsion!Y196</f>
        <v>1205</v>
      </c>
      <c r="CV173" s="392">
        <f>+Propulsion!Z196</f>
        <v>1332.0043623261374</v>
      </c>
      <c r="CW173" s="199">
        <f>+Propulsion!AA196</f>
        <v>1556.5423113858246</v>
      </c>
      <c r="CX173" s="200">
        <f>+Propulsion!AB196</f>
        <v>2130.6343310136781</v>
      </c>
      <c r="CY173" s="392">
        <f>+Propulsion!AC196</f>
        <v>2537.0043623261377</v>
      </c>
      <c r="CZ173" s="199">
        <f>+Propulsion!AD196</f>
        <v>3687.1766423995032</v>
      </c>
      <c r="DA173" s="201">
        <f>+Propulsion!AE196</f>
        <v>4093.5466737119623</v>
      </c>
      <c r="DB173" s="201">
        <f>+Propulsion!AF196</f>
        <v>6224.1810047256404</v>
      </c>
      <c r="DC173" s="198">
        <f>+Propulsion!AG196</f>
        <v>1546.1007099833696</v>
      </c>
      <c r="DD173" s="199">
        <f>+Propulsion!AH196</f>
        <v>1774.8268590177706</v>
      </c>
      <c r="DE173" s="199">
        <f>+Propulsion!AI196</f>
        <v>1875.6899228406571</v>
      </c>
      <c r="DF173" s="200">
        <f>+Propulsion!AJ196</f>
        <v>2577.3845830605269</v>
      </c>
      <c r="DG173" s="199">
        <f>+Propulsion!AK196</f>
        <v>3320.9275690011405</v>
      </c>
      <c r="DH173" s="199">
        <f>+Propulsion!AL196</f>
        <v>4453.0745059011842</v>
      </c>
      <c r="DI173" s="201">
        <f>+Propulsion!AM196</f>
        <v>5196.6174918417973</v>
      </c>
      <c r="DJ173" s="201">
        <f>+Propulsion!AN196</f>
        <v>7774.0020749023251</v>
      </c>
      <c r="DK173" s="198">
        <f>+Propulsion!AO196</f>
        <v>1887.8984824729616</v>
      </c>
      <c r="DL173" s="199">
        <f>+Propulsion!AP196</f>
        <v>2144.1360476193531</v>
      </c>
      <c r="DM173" s="199">
        <f>+Propulsion!AQ196</f>
        <v>2238.6697558936185</v>
      </c>
      <c r="DN173" s="200">
        <f>+Propulsion!AR196</f>
        <v>3257.1126570143592</v>
      </c>
      <c r="DO173" s="199">
        <f>+Propulsion!AS196</f>
        <v>4032.0345300923145</v>
      </c>
      <c r="DP173" s="199">
        <f>+Propulsion!AT196</f>
        <v>5495.7824129079781</v>
      </c>
      <c r="DQ173" s="201">
        <f>+Propulsion!AU196</f>
        <v>6270.704285985933</v>
      </c>
      <c r="DR173" s="201">
        <f>+Propulsion!AV196</f>
        <v>9527.8169430002927</v>
      </c>
      <c r="DS173" s="198">
        <f>+Propulsion!AW196</f>
        <v>2541.170182565781</v>
      </c>
      <c r="DT173" s="199">
        <f>+Propulsion!AX196</f>
        <v>2815.866275959097</v>
      </c>
      <c r="DU173" s="280">
        <f>+Propulsion!AY196</f>
        <v>2844.277853851393</v>
      </c>
      <c r="DV173" s="358">
        <f>+Propulsion!AZ196</f>
        <v>3910.5809203215522</v>
      </c>
      <c r="DW173" s="199">
        <f>+Propulsion!BA196</f>
        <v>5357.0364585248781</v>
      </c>
      <c r="DX173" s="280">
        <f>+Propulsion!BB196</f>
        <v>6754.8587741729461</v>
      </c>
      <c r="DY173" s="373">
        <f>+Propulsion!BC196</f>
        <v>8201.3143123762711</v>
      </c>
      <c r="DZ173" s="373">
        <f>+Propulsion!BD196</f>
        <v>12111.895232697823</v>
      </c>
      <c r="EA173" s="374">
        <f>+Propulsion!BE196</f>
        <v>2801.1737826402959</v>
      </c>
      <c r="EB173" s="280">
        <f>+Propulsion!BF196</f>
        <v>3439.3156929627271</v>
      </c>
      <c r="EC173" s="280">
        <f>+Propulsion!BG196</f>
        <v>3439.3156929627271</v>
      </c>
      <c r="ED173" s="358">
        <f>+Propulsion!BH196</f>
        <v>4077.4576032851573</v>
      </c>
      <c r="EE173" s="280">
        <f>+Propulsion!BI196</f>
        <v>6240.4894756030235</v>
      </c>
      <c r="EF173" s="280">
        <f>+Propulsion!BJ196</f>
        <v>7516.7732962478849</v>
      </c>
      <c r="EG173" s="373">
        <f>+Propulsion!BK196</f>
        <v>9679.805168565752</v>
      </c>
      <c r="EH173" s="373">
        <f>+Propulsion!BL196</f>
        <v>13757.262771850908</v>
      </c>
      <c r="EI173" s="374">
        <f>+Propulsion!BM196</f>
        <v>3116.7900559371674</v>
      </c>
      <c r="EJ173" s="280">
        <f>+Propulsion!BN196</f>
        <v>3821.019194840429</v>
      </c>
      <c r="EK173" s="280">
        <f>+Propulsion!BO196</f>
        <v>3821.0191948404299</v>
      </c>
      <c r="EL173" s="358">
        <f>+Propulsion!BP196</f>
        <v>4525.2483337436915</v>
      </c>
      <c r="EM173" s="280">
        <f>+Propulsion!BQ196</f>
        <v>6937.8092507775964</v>
      </c>
      <c r="EN173" s="280">
        <f>+Propulsion!BR196</f>
        <v>8346.2675285841215</v>
      </c>
      <c r="EO173" s="373">
        <f>+Propulsion!BS196</f>
        <v>10758.828445618026</v>
      </c>
      <c r="EP173" s="373">
        <f>+Propulsion!BT196</f>
        <v>15284.07677936172</v>
      </c>
      <c r="EQ173" s="374">
        <f>+Propulsion!BU196</f>
        <v>3383.1249919641873</v>
      </c>
      <c r="ER173" s="280">
        <f>+Propulsion!BV196</f>
        <v>4150.0890586075702</v>
      </c>
      <c r="ES173" s="280">
        <f>+Propulsion!BW196</f>
        <v>4150.0890586075702</v>
      </c>
      <c r="ET173" s="358">
        <f>+Propulsion!BX196</f>
        <v>4917.0531252509536</v>
      </c>
      <c r="EU173" s="280">
        <f>+Propulsion!BY196</f>
        <v>7533.214050571758</v>
      </c>
      <c r="EV173" s="280">
        <f>+Propulsion!BZ196</f>
        <v>9067.1421838585247</v>
      </c>
      <c r="EW173" s="373">
        <f>+Propulsion!CA196</f>
        <v>11683.303109179327</v>
      </c>
      <c r="EX173" s="373">
        <f>+Propulsion!CB196</f>
        <v>16600.356234430281</v>
      </c>
      <c r="EY173" s="374">
        <f>+Propulsion!CC196</f>
        <v>3578.543846965651</v>
      </c>
      <c r="EZ173" s="280">
        <f>+Propulsion!CD196</f>
        <v>4404.3362781074729</v>
      </c>
      <c r="FA173" s="280">
        <f>+Propulsion!CE196</f>
        <v>4404.3362781074729</v>
      </c>
      <c r="FB173" s="358">
        <f>+Propulsion!CF196</f>
        <v>5230.1287092492948</v>
      </c>
      <c r="FC173" s="280">
        <f>+Propulsion!CG196</f>
        <v>7982.8801250731249</v>
      </c>
      <c r="FD173" s="280">
        <f>+Propulsion!CH196</f>
        <v>9634.4649873567687</v>
      </c>
      <c r="FE173" s="373">
        <f>+Propulsion!CI196</f>
        <v>12387.216403180597</v>
      </c>
      <c r="FF173" s="373">
        <f>+Propulsion!CJ196</f>
        <v>17617.345112429892</v>
      </c>
    </row>
    <row r="174" spans="1:162" s="1438" customFormat="1" ht="11.25" customHeight="1" outlineLevel="1" x14ac:dyDescent="0.2">
      <c r="A174" s="88"/>
      <c r="B174" s="1438" t="s">
        <v>347</v>
      </c>
      <c r="C174" s="378"/>
      <c r="D174" s="379"/>
      <c r="E174" s="379"/>
      <c r="F174" s="380"/>
      <c r="G174" s="379"/>
      <c r="H174" s="379"/>
      <c r="I174" s="381"/>
      <c r="J174" s="381"/>
      <c r="K174" s="378"/>
      <c r="L174" s="379"/>
      <c r="M174" s="379"/>
      <c r="N174" s="380"/>
      <c r="O174" s="379"/>
      <c r="P174" s="379"/>
      <c r="Q174" s="381"/>
      <c r="R174" s="381"/>
      <c r="S174" s="378"/>
      <c r="T174" s="379"/>
      <c r="U174" s="379"/>
      <c r="V174" s="380"/>
      <c r="W174" s="379"/>
      <c r="X174" s="379"/>
      <c r="Y174" s="381"/>
      <c r="Z174" s="381"/>
      <c r="AA174" s="378"/>
      <c r="AB174" s="379"/>
      <c r="AC174" s="379"/>
      <c r="AD174" s="380"/>
      <c r="AE174" s="379"/>
      <c r="AF174" s="379"/>
      <c r="AG174" s="381"/>
      <c r="AH174" s="381"/>
      <c r="AI174" s="378"/>
      <c r="AJ174" s="379"/>
      <c r="AK174" s="379"/>
      <c r="AL174" s="380"/>
      <c r="AM174" s="379"/>
      <c r="AN174" s="379"/>
      <c r="AO174" s="381"/>
      <c r="AP174" s="381"/>
      <c r="AQ174" s="378"/>
      <c r="AR174" s="379"/>
      <c r="AS174" s="379"/>
      <c r="AT174" s="380"/>
      <c r="AU174" s="379"/>
      <c r="AV174" s="379"/>
      <c r="AW174" s="381"/>
      <c r="AX174" s="381"/>
      <c r="AY174" s="378"/>
      <c r="AZ174" s="379"/>
      <c r="BA174" s="379"/>
      <c r="BB174" s="380"/>
      <c r="BC174" s="379"/>
      <c r="BD174" s="379"/>
      <c r="BE174" s="381"/>
      <c r="BF174" s="381"/>
      <c r="BG174" s="378"/>
      <c r="BH174" s="379"/>
      <c r="BI174" s="379"/>
      <c r="BJ174" s="380"/>
      <c r="BK174" s="379"/>
      <c r="BL174" s="379"/>
      <c r="BM174" s="381"/>
      <c r="BN174" s="381"/>
      <c r="BO174" s="378"/>
      <c r="BP174" s="379"/>
      <c r="BQ174" s="379"/>
      <c r="BR174" s="380"/>
      <c r="BS174" s="379"/>
      <c r="BT174" s="379"/>
      <c r="BU174" s="381"/>
      <c r="BV174" s="381"/>
      <c r="BW174" s="378">
        <v>-3.3000000000000002E-2</v>
      </c>
      <c r="BX174" s="379">
        <v>-0.66</v>
      </c>
      <c r="BY174" s="379">
        <v>-0.56200000000000006</v>
      </c>
      <c r="BZ174" s="380">
        <f>+BZ173/BR173-1</f>
        <v>-0.45962455273878455</v>
      </c>
      <c r="CA174" s="379">
        <v>-0.34399999999999997</v>
      </c>
      <c r="CB174" s="379">
        <f>+CB173/BT173-1</f>
        <v>-0.50069696714950906</v>
      </c>
      <c r="CC174" s="381">
        <v>-0.41799999999999998</v>
      </c>
      <c r="CD174" s="381">
        <v>-0.432</v>
      </c>
      <c r="CE174" s="378">
        <v>-0.53400000000000003</v>
      </c>
      <c r="CF174" s="379">
        <v>0.55000000000000004</v>
      </c>
      <c r="CG174" s="379">
        <v>0.438</v>
      </c>
      <c r="CH174" s="380">
        <f>+CH173/BZ173-1</f>
        <v>0.3871241369446683</v>
      </c>
      <c r="CI174" s="379">
        <f>+CI173/CA173-1</f>
        <v>-0.25467392466341898</v>
      </c>
      <c r="CJ174" s="379">
        <f>+CJ173/CB173-1</f>
        <v>0.40502387900208281</v>
      </c>
      <c r="CK174" s="381">
        <f>+CK173/CC173-1</f>
        <v>-7.7752084560698154E-2</v>
      </c>
      <c r="CL174" s="381">
        <f>+CL173/CD173-1</f>
        <v>7.0999999999999952E-2</v>
      </c>
      <c r="CM174" s="378">
        <v>0.52900000000000003</v>
      </c>
      <c r="CN174" s="379">
        <v>0.41</v>
      </c>
      <c r="CO174" s="379">
        <v>0.36</v>
      </c>
      <c r="CP174" s="380">
        <f t="shared" ref="CP174:FA174" si="227">+CP173/CH173-1</f>
        <v>0.10805483249697967</v>
      </c>
      <c r="CQ174" s="379">
        <f t="shared" si="227"/>
        <v>0.46523027540586526</v>
      </c>
      <c r="CR174" s="379">
        <f t="shared" si="227"/>
        <v>0.1992941653370579</v>
      </c>
      <c r="CS174" s="381">
        <f t="shared" si="227"/>
        <v>0.42389288448403062</v>
      </c>
      <c r="CT174" s="381">
        <f t="shared" si="227"/>
        <v>0.29299999999999993</v>
      </c>
      <c r="CU174" s="393">
        <f t="shared" si="227"/>
        <v>0.33045835317541972</v>
      </c>
      <c r="CV174" s="394">
        <f t="shared" si="227"/>
        <v>0.38124565545153244</v>
      </c>
      <c r="CW174" s="1483">
        <f t="shared" si="227"/>
        <v>0.35351505337897793</v>
      </c>
      <c r="CX174" s="380">
        <f t="shared" si="227"/>
        <v>0.28096532681439745</v>
      </c>
      <c r="CY174" s="394">
        <f t="shared" si="227"/>
        <v>0.35664838061708726</v>
      </c>
      <c r="CZ174" s="379">
        <f t="shared" si="227"/>
        <v>0.31062162961517048</v>
      </c>
      <c r="DA174" s="381">
        <f t="shared" si="227"/>
        <v>0.35545524714088783</v>
      </c>
      <c r="DB174" s="381">
        <f t="shared" si="227"/>
        <v>0.32899999999999996</v>
      </c>
      <c r="DC174" s="378">
        <f t="shared" si="227"/>
        <v>0.28307112861690431</v>
      </c>
      <c r="DD174" s="379">
        <f t="shared" si="227"/>
        <v>0.33244823306607874</v>
      </c>
      <c r="DE174" s="379">
        <f t="shared" si="227"/>
        <v>0.20503625832740013</v>
      </c>
      <c r="DF174" s="380">
        <f t="shared" si="227"/>
        <v>0.20967945815193034</v>
      </c>
      <c r="DG174" s="379">
        <f t="shared" si="227"/>
        <v>0.30899560848852325</v>
      </c>
      <c r="DH174" s="379">
        <f t="shared" si="227"/>
        <v>0.20771933047483659</v>
      </c>
      <c r="DI174" s="381">
        <f t="shared" si="227"/>
        <v>0.26946579727881503</v>
      </c>
      <c r="DJ174" s="381">
        <f t="shared" si="227"/>
        <v>0.24900000000000011</v>
      </c>
      <c r="DK174" s="378">
        <f t="shared" si="227"/>
        <v>0.22107083340856137</v>
      </c>
      <c r="DL174" s="379">
        <f t="shared" si="227"/>
        <v>0.20808181188218366</v>
      </c>
      <c r="DM174" s="379">
        <f t="shared" si="227"/>
        <v>0.19351803762065467</v>
      </c>
      <c r="DN174" s="380">
        <f t="shared" si="227"/>
        <v>0.2637278419453748</v>
      </c>
      <c r="DO174" s="379">
        <f t="shared" si="227"/>
        <v>0.21412901856967004</v>
      </c>
      <c r="DP174" s="379">
        <f t="shared" si="227"/>
        <v>0.23415460613223615</v>
      </c>
      <c r="DQ174" s="381">
        <f t="shared" si="227"/>
        <v>0.2066896006547243</v>
      </c>
      <c r="DR174" s="381">
        <f t="shared" si="227"/>
        <v>0.22560000000000047</v>
      </c>
      <c r="DS174" s="378">
        <f t="shared" si="227"/>
        <v>0.34603115906799053</v>
      </c>
      <c r="DT174" s="379">
        <f t="shared" si="227"/>
        <v>0.31328712983747931</v>
      </c>
      <c r="DU174" s="383">
        <f t="shared" si="227"/>
        <v>0.27052140958416238</v>
      </c>
      <c r="DV174" s="382">
        <f t="shared" si="227"/>
        <v>0.20062808140821153</v>
      </c>
      <c r="DW174" s="379">
        <f t="shared" si="227"/>
        <v>0.32861869573379554</v>
      </c>
      <c r="DX174" s="383">
        <f t="shared" si="227"/>
        <v>0.22909865541761043</v>
      </c>
      <c r="DY174" s="384">
        <f t="shared" si="227"/>
        <v>0.30787770214343491</v>
      </c>
      <c r="DZ174" s="384">
        <f t="shared" si="227"/>
        <v>0.2712140992167098</v>
      </c>
      <c r="EA174" s="385">
        <f t="shared" si="227"/>
        <v>0.10231648468816568</v>
      </c>
      <c r="EB174" s="383">
        <f t="shared" si="227"/>
        <v>0.22140590351410783</v>
      </c>
      <c r="EC174" s="383">
        <f t="shared" si="227"/>
        <v>0.20920524283715891</v>
      </c>
      <c r="ED174" s="382">
        <f t="shared" si="227"/>
        <v>4.2673118486417527E-2</v>
      </c>
      <c r="EE174" s="383">
        <f t="shared" si="227"/>
        <v>0.16491450523400286</v>
      </c>
      <c r="EF174" s="383">
        <f t="shared" si="227"/>
        <v>0.1127950335524559</v>
      </c>
      <c r="EG174" s="384">
        <f t="shared" si="227"/>
        <v>0.18027486813404403</v>
      </c>
      <c r="EH174" s="384">
        <f t="shared" si="227"/>
        <v>0.13584724005134863</v>
      </c>
      <c r="EI174" s="385">
        <f t="shared" si="227"/>
        <v>0.11267286423028766</v>
      </c>
      <c r="EJ174" s="383">
        <f t="shared" si="227"/>
        <v>0.11098239764925188</v>
      </c>
      <c r="EK174" s="383">
        <f t="shared" si="227"/>
        <v>0.11098239764925211</v>
      </c>
      <c r="EL174" s="382">
        <f t="shared" si="227"/>
        <v>0.10982106352197385</v>
      </c>
      <c r="EM174" s="383">
        <f t="shared" si="227"/>
        <v>0.11174119881152267</v>
      </c>
      <c r="EN174" s="383">
        <f t="shared" si="227"/>
        <v>0.11035243443490472</v>
      </c>
      <c r="EO174" s="384">
        <f t="shared" si="227"/>
        <v>0.11147159041550747</v>
      </c>
      <c r="EP174" s="384">
        <f t="shared" si="227"/>
        <v>0.11098239764925211</v>
      </c>
      <c r="EQ174" s="385">
        <f t="shared" si="227"/>
        <v>8.5451676643949481E-2</v>
      </c>
      <c r="ER174" s="383">
        <f t="shared" si="227"/>
        <v>8.6120965896085755E-2</v>
      </c>
      <c r="ES174" s="383">
        <f t="shared" si="227"/>
        <v>8.6120965896085311E-2</v>
      </c>
      <c r="ET174" s="382">
        <f t="shared" si="227"/>
        <v>8.6581942605374218E-2</v>
      </c>
      <c r="EU174" s="383">
        <f t="shared" si="227"/>
        <v>8.582028970131006E-2</v>
      </c>
      <c r="EV174" s="383">
        <f t="shared" si="227"/>
        <v>8.6370902059581312E-2</v>
      </c>
      <c r="EW174" s="384">
        <f t="shared" si="227"/>
        <v>8.5927075446381895E-2</v>
      </c>
      <c r="EX174" s="384">
        <f t="shared" si="227"/>
        <v>8.6120965896085311E-2</v>
      </c>
      <c r="EY174" s="385">
        <f t="shared" si="227"/>
        <v>5.7762824449476335E-2</v>
      </c>
      <c r="EZ174" s="383">
        <f t="shared" si="227"/>
        <v>6.1263075541132528E-2</v>
      </c>
      <c r="FA174" s="383">
        <f t="shared" si="227"/>
        <v>6.1263075541132528E-2</v>
      </c>
      <c r="FB174" s="382">
        <f t="shared" ref="FB174:FF174" si="228">+FB173/ET173-1</f>
        <v>6.3671385283713633E-2</v>
      </c>
      <c r="FC174" s="383">
        <f t="shared" si="228"/>
        <v>5.9691132029792593E-2</v>
      </c>
      <c r="FD174" s="383">
        <f t="shared" si="228"/>
        <v>6.2569086487713976E-2</v>
      </c>
      <c r="FE174" s="384">
        <f t="shared" si="228"/>
        <v>6.0249510555642427E-2</v>
      </c>
      <c r="FF174" s="384">
        <f t="shared" si="228"/>
        <v>6.1263075541132528E-2</v>
      </c>
    </row>
    <row r="175" spans="1:162" ht="11.25" customHeight="1" outlineLevel="1" x14ac:dyDescent="0.2">
      <c r="A175" s="186"/>
      <c r="C175" s="198"/>
      <c r="D175" s="199"/>
      <c r="E175" s="199"/>
      <c r="F175" s="387"/>
      <c r="G175" s="199"/>
      <c r="H175" s="199"/>
      <c r="I175" s="201"/>
      <c r="J175" s="201"/>
      <c r="K175" s="198"/>
      <c r="L175" s="199"/>
      <c r="M175" s="199"/>
      <c r="N175" s="387"/>
      <c r="O175" s="199"/>
      <c r="P175" s="199"/>
      <c r="Q175" s="201"/>
      <c r="R175" s="201"/>
      <c r="S175" s="198"/>
      <c r="T175" s="199"/>
      <c r="U175" s="199"/>
      <c r="V175" s="387"/>
      <c r="W175" s="199"/>
      <c r="X175" s="199"/>
      <c r="Y175" s="201"/>
      <c r="Z175" s="201"/>
      <c r="AA175" s="198"/>
      <c r="AB175" s="199"/>
      <c r="AC175" s="199"/>
      <c r="AD175" s="387"/>
      <c r="AE175" s="199"/>
      <c r="AF175" s="199"/>
      <c r="AG175" s="201"/>
      <c r="AH175" s="201"/>
      <c r="AI175" s="198"/>
      <c r="AJ175" s="199"/>
      <c r="AK175" s="199"/>
      <c r="AL175" s="387"/>
      <c r="AM175" s="199"/>
      <c r="AN175" s="199"/>
      <c r="AO175" s="201"/>
      <c r="AP175" s="201"/>
      <c r="AQ175" s="198"/>
      <c r="AR175" s="199"/>
      <c r="AS175" s="199"/>
      <c r="AT175" s="387"/>
      <c r="AU175" s="199"/>
      <c r="AV175" s="199"/>
      <c r="AW175" s="201"/>
      <c r="AX175" s="201"/>
      <c r="AY175" s="198"/>
      <c r="AZ175" s="199"/>
      <c r="BA175" s="199"/>
      <c r="BB175" s="387"/>
      <c r="BC175" s="199"/>
      <c r="BD175" s="199"/>
      <c r="BE175" s="201"/>
      <c r="BF175" s="201"/>
      <c r="BG175" s="198"/>
      <c r="BH175" s="199"/>
      <c r="BI175" s="199"/>
      <c r="BJ175" s="387"/>
      <c r="BK175" s="199"/>
      <c r="BL175" s="199"/>
      <c r="BM175" s="201"/>
      <c r="BN175" s="201"/>
      <c r="BO175" s="198"/>
      <c r="BP175" s="199"/>
      <c r="BQ175" s="199"/>
      <c r="BR175" s="387"/>
      <c r="BS175" s="199"/>
      <c r="BT175" s="199"/>
      <c r="BU175" s="201"/>
      <c r="BV175" s="201"/>
      <c r="BW175" s="198"/>
      <c r="BX175" s="199"/>
      <c r="BY175" s="199"/>
      <c r="BZ175" s="387"/>
      <c r="CA175" s="199"/>
      <c r="CB175" s="199"/>
      <c r="CC175" s="201"/>
      <c r="CD175" s="201"/>
      <c r="CE175" s="198"/>
      <c r="CF175" s="199"/>
      <c r="CG175" s="199"/>
      <c r="CH175" s="387"/>
      <c r="CI175" s="199"/>
      <c r="CJ175" s="199"/>
      <c r="CK175" s="201"/>
      <c r="CL175" s="201"/>
      <c r="CM175" s="198"/>
      <c r="CN175" s="199"/>
      <c r="CO175" s="199"/>
      <c r="CP175" s="387"/>
      <c r="CQ175" s="199"/>
      <c r="CR175" s="199"/>
      <c r="CS175" s="201"/>
      <c r="CT175" s="201"/>
      <c r="CU175" s="374"/>
      <c r="CV175" s="280"/>
      <c r="CW175" s="280"/>
      <c r="CX175" s="389"/>
      <c r="CY175" s="280"/>
      <c r="CZ175" s="280"/>
      <c r="DA175" s="373"/>
      <c r="DB175" s="373"/>
      <c r="DC175" s="198"/>
      <c r="DD175" s="280"/>
      <c r="DE175" s="280"/>
      <c r="DF175" s="389"/>
      <c r="DG175" s="280"/>
      <c r="DH175" s="280"/>
      <c r="DI175" s="373"/>
      <c r="DJ175" s="373"/>
      <c r="DK175" s="198"/>
      <c r="DL175" s="280"/>
      <c r="DM175" s="280"/>
      <c r="DN175" s="387"/>
      <c r="DO175" s="280"/>
      <c r="DP175" s="280"/>
      <c r="DQ175" s="373"/>
      <c r="DR175" s="373"/>
      <c r="DS175" s="198"/>
      <c r="DT175" s="199"/>
      <c r="DU175" s="280"/>
      <c r="DV175" s="389"/>
      <c r="DW175" s="199"/>
      <c r="DX175" s="280"/>
      <c r="DY175" s="373"/>
      <c r="DZ175" s="373"/>
      <c r="EA175" s="374"/>
      <c r="EB175" s="280"/>
      <c r="EC175" s="280"/>
      <c r="ED175" s="389"/>
      <c r="EE175" s="280"/>
      <c r="EF175" s="280"/>
      <c r="EG175" s="373"/>
      <c r="EH175" s="373"/>
      <c r="EI175" s="374"/>
      <c r="EJ175" s="280"/>
      <c r="EK175" s="280"/>
      <c r="EL175" s="389"/>
      <c r="EM175" s="280"/>
      <c r="EN175" s="280"/>
      <c r="EO175" s="373"/>
      <c r="EP175" s="373"/>
      <c r="EQ175" s="374"/>
      <c r="ER175" s="280"/>
      <c r="ES175" s="280"/>
      <c r="ET175" s="389"/>
      <c r="EU175" s="280"/>
      <c r="EV175" s="280"/>
      <c r="EW175" s="373"/>
      <c r="EX175" s="373"/>
      <c r="EY175" s="374"/>
      <c r="EZ175" s="280"/>
      <c r="FA175" s="280"/>
      <c r="FB175" s="389"/>
      <c r="FC175" s="280"/>
      <c r="FD175" s="280"/>
      <c r="FE175" s="373"/>
      <c r="FF175" s="373"/>
    </row>
    <row r="176" spans="1:162" ht="11.25" customHeight="1" outlineLevel="1" x14ac:dyDescent="0.2">
      <c r="A176" s="186" t="s">
        <v>348</v>
      </c>
      <c r="C176" s="198"/>
      <c r="D176" s="199"/>
      <c r="E176" s="199"/>
      <c r="F176" s="200"/>
      <c r="G176" s="199"/>
      <c r="H176" s="199"/>
      <c r="I176" s="201"/>
      <c r="J176" s="201"/>
      <c r="K176" s="198"/>
      <c r="L176" s="199"/>
      <c r="M176" s="199"/>
      <c r="N176" s="200"/>
      <c r="O176" s="199"/>
      <c r="P176" s="199"/>
      <c r="Q176" s="201"/>
      <c r="R176" s="201"/>
      <c r="S176" s="198"/>
      <c r="T176" s="199"/>
      <c r="U176" s="199"/>
      <c r="V176" s="200"/>
      <c r="W176" s="199"/>
      <c r="X176" s="199"/>
      <c r="Y176" s="201"/>
      <c r="Z176" s="201"/>
      <c r="AA176" s="198"/>
      <c r="AB176" s="199"/>
      <c r="AC176" s="199"/>
      <c r="AD176" s="200"/>
      <c r="AE176" s="199"/>
      <c r="AF176" s="199"/>
      <c r="AG176" s="201"/>
      <c r="AH176" s="201"/>
      <c r="AI176" s="198"/>
      <c r="AJ176" s="199"/>
      <c r="AK176" s="199"/>
      <c r="AL176" s="200"/>
      <c r="AM176" s="199"/>
      <c r="AN176" s="199"/>
      <c r="AO176" s="201"/>
      <c r="AP176" s="201"/>
      <c r="AQ176" s="198"/>
      <c r="AR176" s="199"/>
      <c r="AS176" s="199"/>
      <c r="AT176" s="200"/>
      <c r="AU176" s="199"/>
      <c r="AV176" s="199"/>
      <c r="AW176" s="201"/>
      <c r="AX176" s="201"/>
      <c r="AY176" s="198"/>
      <c r="AZ176" s="199"/>
      <c r="BA176" s="199"/>
      <c r="BB176" s="200"/>
      <c r="BC176" s="199"/>
      <c r="BD176" s="199"/>
      <c r="BE176" s="201"/>
      <c r="BF176" s="201"/>
      <c r="BG176" s="198"/>
      <c r="BH176" s="199"/>
      <c r="BI176" s="199"/>
      <c r="BJ176" s="200"/>
      <c r="BK176" s="199"/>
      <c r="BL176" s="199"/>
      <c r="BM176" s="201"/>
      <c r="BN176" s="201"/>
      <c r="BO176" s="198">
        <f>+BO166-BO173</f>
        <v>547.28397104446753</v>
      </c>
      <c r="BP176" s="199">
        <f t="shared" ref="BP176:CD176" si="229">+BP166-BP173</f>
        <v>777.95829411764726</v>
      </c>
      <c r="BQ176" s="199">
        <f t="shared" si="229"/>
        <v>568.72151968960407</v>
      </c>
      <c r="BR176" s="200">
        <f t="shared" si="229"/>
        <v>24.107773938015271</v>
      </c>
      <c r="BS176" s="199">
        <f t="shared" si="229"/>
        <v>1328.2052134146352</v>
      </c>
      <c r="BT176" s="199">
        <f t="shared" si="229"/>
        <v>592.82929362761934</v>
      </c>
      <c r="BU176" s="201">
        <f t="shared" si="229"/>
        <v>1896.9267331042392</v>
      </c>
      <c r="BV176" s="201">
        <f t="shared" si="229"/>
        <v>1921.0345070422545</v>
      </c>
      <c r="BW176" s="198">
        <f t="shared" si="229"/>
        <v>544.77300000000014</v>
      </c>
      <c r="BX176" s="199">
        <f t="shared" si="229"/>
        <v>582.53081999999995</v>
      </c>
      <c r="BY176" s="199">
        <f t="shared" si="229"/>
        <v>451.1405383333331</v>
      </c>
      <c r="BZ176" s="200">
        <f t="shared" si="229"/>
        <v>407.78964166666674</v>
      </c>
      <c r="CA176" s="199">
        <f t="shared" si="229"/>
        <v>1127.3038200000001</v>
      </c>
      <c r="CB176" s="199">
        <f t="shared" si="229"/>
        <v>858.93017999999984</v>
      </c>
      <c r="CC176" s="201">
        <f t="shared" si="229"/>
        <v>1578.4443583333332</v>
      </c>
      <c r="CD176" s="201">
        <f t="shared" si="229"/>
        <v>1986.2339999999999</v>
      </c>
      <c r="CE176" s="198">
        <f>+CE166-CE173</f>
        <v>527.44015800000011</v>
      </c>
      <c r="CF176" s="199">
        <f>+CF166-CF173</f>
        <v>521.53377100000012</v>
      </c>
      <c r="CG176" s="199">
        <f>+CG166-CG173</f>
        <v>476.27279745666624</v>
      </c>
      <c r="CH176" s="200">
        <f>+CL176-CG176-CF176-CE176</f>
        <v>279.12768754333388</v>
      </c>
      <c r="CI176" s="199">
        <f>+CI166-CI173</f>
        <v>1048.973929</v>
      </c>
      <c r="CJ176" s="199">
        <f>+CL176-CI176</f>
        <v>755.40048500000034</v>
      </c>
      <c r="CK176" s="201">
        <f>+CE176+CF176+CG176</f>
        <v>1525.2467264566665</v>
      </c>
      <c r="CL176" s="201">
        <f>+CL166-CL173</f>
        <v>1804.3744140000003</v>
      </c>
      <c r="CM176" s="198">
        <f>+CM166-CM173</f>
        <v>492.61709158200017</v>
      </c>
      <c r="CN176" s="199">
        <f>+CN166-CN173</f>
        <v>623.53491711000015</v>
      </c>
      <c r="CO176" s="199">
        <f>+CO166-CO173</f>
        <v>564.90000000000009</v>
      </c>
      <c r="CP176" s="200">
        <f>+CT176-CO176-CN176-CM176</f>
        <v>225.69132861000082</v>
      </c>
      <c r="CQ176" s="199">
        <f>+CQ166-CQ173</f>
        <v>1119.2270086920007</v>
      </c>
      <c r="CR176" s="199">
        <f>+CT176-CQ176</f>
        <v>787.51632861000053</v>
      </c>
      <c r="CS176" s="201">
        <f>+CM176+CN176+CO176</f>
        <v>1681.0520086920005</v>
      </c>
      <c r="CT176" s="201">
        <f t="shared" ref="CT176:FE176" si="230">+CT166-CT173</f>
        <v>1906.7433373020012</v>
      </c>
      <c r="CU176" s="198">
        <f t="shared" si="230"/>
        <v>563.80000000000018</v>
      </c>
      <c r="CV176" s="199">
        <f t="shared" si="230"/>
        <v>536.85563767386225</v>
      </c>
      <c r="CW176" s="199">
        <f t="shared" si="230"/>
        <v>652.357688614175</v>
      </c>
      <c r="CX176" s="200">
        <f t="shared" si="230"/>
        <v>101.265668986322</v>
      </c>
      <c r="CY176" s="199">
        <f t="shared" si="230"/>
        <v>1100.6556376738622</v>
      </c>
      <c r="CZ176" s="199">
        <f t="shared" si="230"/>
        <v>753.81835760049671</v>
      </c>
      <c r="DA176" s="201">
        <f t="shared" si="230"/>
        <v>1753.0133262880372</v>
      </c>
      <c r="DB176" s="201">
        <f t="shared" si="230"/>
        <v>1854.4739952743594</v>
      </c>
      <c r="DC176" s="198">
        <f t="shared" si="230"/>
        <v>552.29429001663038</v>
      </c>
      <c r="DD176" s="199">
        <f t="shared" ref="DD176:DF176" si="231">+DD166-DD173</f>
        <v>559.77814098222939</v>
      </c>
      <c r="DE176" s="199">
        <f t="shared" si="231"/>
        <v>568.53007715934314</v>
      </c>
      <c r="DF176" s="200">
        <f t="shared" si="231"/>
        <v>-181.56458306052673</v>
      </c>
      <c r="DG176" s="199">
        <f t="shared" ref="DG176:DH176" si="232">+DG166-DG173</f>
        <v>1112.0724309988595</v>
      </c>
      <c r="DH176" s="199">
        <f t="shared" si="232"/>
        <v>386.92549409881576</v>
      </c>
      <c r="DI176" s="201">
        <f t="shared" si="230"/>
        <v>1680.6025081582029</v>
      </c>
      <c r="DJ176" s="201">
        <f t="shared" ref="DJ176:DM176" si="233">+DJ166-DJ173</f>
        <v>1498.9979250976749</v>
      </c>
      <c r="DK176" s="198">
        <f t="shared" si="233"/>
        <v>695.48651752703813</v>
      </c>
      <c r="DL176" s="199">
        <f t="shared" si="233"/>
        <v>706.86895238064744</v>
      </c>
      <c r="DM176" s="199">
        <f t="shared" si="233"/>
        <v>721.15524410638182</v>
      </c>
      <c r="DN176" s="200">
        <f t="shared" si="230"/>
        <v>-258.35765701435957</v>
      </c>
      <c r="DO176" s="199">
        <f t="shared" si="230"/>
        <v>1402.3554699076858</v>
      </c>
      <c r="DP176" s="199">
        <f t="shared" si="230"/>
        <v>462.79758709202179</v>
      </c>
      <c r="DQ176" s="201">
        <f t="shared" ref="DQ176:DR176" si="234">+DQ166-DQ173</f>
        <v>2123.5107140140672</v>
      </c>
      <c r="DR176" s="201">
        <f t="shared" si="234"/>
        <v>1859.4330569997073</v>
      </c>
      <c r="DS176" s="198">
        <f t="shared" si="230"/>
        <v>822.83981743421919</v>
      </c>
      <c r="DT176" s="199">
        <f t="shared" si="230"/>
        <v>568.75372404090285</v>
      </c>
      <c r="DU176" s="280">
        <f t="shared" si="230"/>
        <v>343.68952240969202</v>
      </c>
      <c r="DV176" s="358">
        <f t="shared" si="230"/>
        <v>346.52738256255725</v>
      </c>
      <c r="DW176" s="199">
        <f t="shared" si="230"/>
        <v>1391.593541475122</v>
      </c>
      <c r="DX176" s="280">
        <f t="shared" si="230"/>
        <v>690.21690497224881</v>
      </c>
      <c r="DY176" s="373">
        <f t="shared" si="230"/>
        <v>1734.6718451272645</v>
      </c>
      <c r="DZ176" s="373">
        <f t="shared" si="230"/>
        <v>2081.1992276898218</v>
      </c>
      <c r="EA176" s="374">
        <f t="shared" si="230"/>
        <v>571.85804606243528</v>
      </c>
      <c r="EB176" s="280">
        <f t="shared" si="230"/>
        <v>574.3801142741886</v>
      </c>
      <c r="EC176" s="280">
        <f t="shared" si="230"/>
        <v>574.38011427418769</v>
      </c>
      <c r="ED176" s="358">
        <f t="shared" si="230"/>
        <v>576.9021824859401</v>
      </c>
      <c r="EE176" s="280">
        <f t="shared" si="230"/>
        <v>1146.2381603366239</v>
      </c>
      <c r="EF176" s="280">
        <f t="shared" si="230"/>
        <v>1151.2822967601323</v>
      </c>
      <c r="EG176" s="373">
        <f t="shared" si="230"/>
        <v>1720.6182746108097</v>
      </c>
      <c r="EH176" s="373">
        <f t="shared" si="230"/>
        <v>2297.5204570967508</v>
      </c>
      <c r="EI176" s="374">
        <f t="shared" si="230"/>
        <v>625.80274806086709</v>
      </c>
      <c r="EJ176" s="280">
        <f t="shared" si="230"/>
        <v>629.07238334863268</v>
      </c>
      <c r="EK176" s="280">
        <f t="shared" si="230"/>
        <v>629.07238334863177</v>
      </c>
      <c r="EL176" s="358">
        <f t="shared" si="230"/>
        <v>632.34201863639919</v>
      </c>
      <c r="EM176" s="280">
        <f t="shared" si="230"/>
        <v>1254.8751314095007</v>
      </c>
      <c r="EN176" s="280">
        <f t="shared" si="230"/>
        <v>1261.4144019850337</v>
      </c>
      <c r="EO176" s="373">
        <f t="shared" si="230"/>
        <v>1883.9475147581306</v>
      </c>
      <c r="EP176" s="373">
        <f t="shared" si="230"/>
        <v>2516.2895333945271</v>
      </c>
      <c r="EQ176" s="374">
        <f t="shared" si="230"/>
        <v>690.17207791804276</v>
      </c>
      <c r="ER176" s="280">
        <f t="shared" si="230"/>
        <v>694.24028097718201</v>
      </c>
      <c r="ES176" s="280">
        <f t="shared" si="230"/>
        <v>694.24028097718201</v>
      </c>
      <c r="ET176" s="358">
        <f t="shared" si="230"/>
        <v>698.30848403632172</v>
      </c>
      <c r="EU176" s="280">
        <f t="shared" si="230"/>
        <v>1384.4123588952243</v>
      </c>
      <c r="EV176" s="280">
        <f t="shared" si="230"/>
        <v>1392.5487650135037</v>
      </c>
      <c r="EW176" s="373">
        <f t="shared" si="230"/>
        <v>2078.6526398724072</v>
      </c>
      <c r="EX176" s="373">
        <f t="shared" si="230"/>
        <v>2776.961123908728</v>
      </c>
      <c r="EY176" s="374">
        <f t="shared" si="230"/>
        <v>762.5129833632609</v>
      </c>
      <c r="EZ176" s="280">
        <f t="shared" si="230"/>
        <v>762.84232396189054</v>
      </c>
      <c r="FA176" s="280">
        <f t="shared" si="230"/>
        <v>762.84232396189054</v>
      </c>
      <c r="FB176" s="358">
        <f t="shared" si="230"/>
        <v>763.17166456052018</v>
      </c>
      <c r="FC176" s="280">
        <f t="shared" si="230"/>
        <v>1525.3553073251496</v>
      </c>
      <c r="FD176" s="280">
        <f t="shared" si="230"/>
        <v>1526.0139885224053</v>
      </c>
      <c r="FE176" s="373">
        <f t="shared" si="230"/>
        <v>2288.1976312870356</v>
      </c>
      <c r="FF176" s="373">
        <f t="shared" ref="FF176" si="235">+FF166-FF173</f>
        <v>3051.3692958475585</v>
      </c>
    </row>
    <row r="177" spans="1:162" s="1438" customFormat="1" ht="11.25" customHeight="1" outlineLevel="1" x14ac:dyDescent="0.2">
      <c r="A177" s="88"/>
      <c r="B177" s="1438" t="s">
        <v>349</v>
      </c>
      <c r="C177" s="378"/>
      <c r="D177" s="379"/>
      <c r="E177" s="379"/>
      <c r="F177" s="380"/>
      <c r="G177" s="379"/>
      <c r="H177" s="379"/>
      <c r="I177" s="381"/>
      <c r="J177" s="381"/>
      <c r="K177" s="378"/>
      <c r="L177" s="379"/>
      <c r="M177" s="379"/>
      <c r="N177" s="380"/>
      <c r="O177" s="379"/>
      <c r="P177" s="379"/>
      <c r="Q177" s="381"/>
      <c r="R177" s="381"/>
      <c r="S177" s="378"/>
      <c r="T177" s="379"/>
      <c r="U177" s="379"/>
      <c r="V177" s="380"/>
      <c r="W177" s="379"/>
      <c r="X177" s="379"/>
      <c r="Y177" s="381"/>
      <c r="Z177" s="381"/>
      <c r="AA177" s="378"/>
      <c r="AB177" s="379"/>
      <c r="AC177" s="379"/>
      <c r="AD177" s="380"/>
      <c r="AE177" s="379"/>
      <c r="AF177" s="379"/>
      <c r="AG177" s="381"/>
      <c r="AH177" s="381"/>
      <c r="AI177" s="378"/>
      <c r="AJ177" s="379"/>
      <c r="AK177" s="379"/>
      <c r="AL177" s="380"/>
      <c r="AM177" s="379"/>
      <c r="AN177" s="379"/>
      <c r="AO177" s="381"/>
      <c r="AP177" s="381"/>
      <c r="AQ177" s="378"/>
      <c r="AR177" s="379"/>
      <c r="AS177" s="379"/>
      <c r="AT177" s="380"/>
      <c r="AU177" s="379"/>
      <c r="AV177" s="379"/>
      <c r="AW177" s="381"/>
      <c r="AX177" s="381"/>
      <c r="AY177" s="378"/>
      <c r="AZ177" s="379"/>
      <c r="BA177" s="379"/>
      <c r="BB177" s="380"/>
      <c r="BC177" s="379"/>
      <c r="BD177" s="379"/>
      <c r="BE177" s="381"/>
      <c r="BF177" s="381"/>
      <c r="BG177" s="378"/>
      <c r="BH177" s="379"/>
      <c r="BI177" s="379"/>
      <c r="BJ177" s="380"/>
      <c r="BK177" s="379"/>
      <c r="BL177" s="379"/>
      <c r="BM177" s="381"/>
      <c r="BN177" s="381"/>
      <c r="BO177" s="378"/>
      <c r="BP177" s="379"/>
      <c r="BQ177" s="379"/>
      <c r="BR177" s="380"/>
      <c r="BS177" s="379"/>
      <c r="BT177" s="379"/>
      <c r="BU177" s="381"/>
      <c r="BV177" s="381"/>
      <c r="BW177" s="378">
        <f>+BW176/BO176-1</f>
        <v>-4.5880588091686825E-3</v>
      </c>
      <c r="BX177" s="379">
        <f t="shared" ref="BX177:EI177" si="236">+BX176/BP176-1</f>
        <v>-0.25120559237600171</v>
      </c>
      <c r="BY177" s="379">
        <f t="shared" si="236"/>
        <v>-0.20674614426484883</v>
      </c>
      <c r="BZ177" s="380">
        <f t="shared" si="236"/>
        <v>15.915275658182107</v>
      </c>
      <c r="CA177" s="379">
        <f t="shared" si="236"/>
        <v>-0.15125779614894364</v>
      </c>
      <c r="CB177" s="379">
        <f t="shared" si="236"/>
        <v>0.44886595388035855</v>
      </c>
      <c r="CC177" s="381">
        <f t="shared" si="236"/>
        <v>-0.16789387234251441</v>
      </c>
      <c r="CD177" s="381">
        <f t="shared" si="236"/>
        <v>3.3939782298929577E-2</v>
      </c>
      <c r="CE177" s="378">
        <f t="shared" si="236"/>
        <v>-3.181663188153605E-2</v>
      </c>
      <c r="CF177" s="379">
        <f t="shared" si="236"/>
        <v>-0.10471042373345985</v>
      </c>
      <c r="CG177" s="379">
        <f t="shared" si="236"/>
        <v>5.5708270456430897E-2</v>
      </c>
      <c r="CH177" s="380">
        <f t="shared" si="236"/>
        <v>-0.31551059903699818</v>
      </c>
      <c r="CI177" s="379">
        <f t="shared" si="236"/>
        <v>-6.9484277095770097E-2</v>
      </c>
      <c r="CJ177" s="379">
        <f t="shared" si="236"/>
        <v>-0.12053330690976483</v>
      </c>
      <c r="CK177" s="381">
        <f t="shared" si="236"/>
        <v>-3.3702570252674424E-2</v>
      </c>
      <c r="CL177" s="381">
        <f t="shared" si="236"/>
        <v>-9.1560000483326576E-2</v>
      </c>
      <c r="CM177" s="378">
        <f t="shared" si="236"/>
        <v>-6.602278171242304E-2</v>
      </c>
      <c r="CN177" s="379">
        <f t="shared" si="236"/>
        <v>0.19557917776718625</v>
      </c>
      <c r="CO177" s="379">
        <f t="shared" si="236"/>
        <v>0.18608495596769337</v>
      </c>
      <c r="CP177" s="380">
        <f t="shared" si="236"/>
        <v>-0.19144055325947262</v>
      </c>
      <c r="CQ177" s="379">
        <f t="shared" si="236"/>
        <v>6.6973141800553471E-2</v>
      </c>
      <c r="CR177" s="379">
        <f t="shared" si="236"/>
        <v>4.2514989396651215E-2</v>
      </c>
      <c r="CS177" s="381">
        <f t="shared" si="236"/>
        <v>0.10215087141821888</v>
      </c>
      <c r="CT177" s="381">
        <f t="shared" si="236"/>
        <v>5.6733748000264539E-2</v>
      </c>
      <c r="CU177" s="378">
        <f t="shared" si="236"/>
        <v>0.14449946953606863</v>
      </c>
      <c r="CV177" s="379">
        <f t="shared" si="236"/>
        <v>-0.13901271132959903</v>
      </c>
      <c r="CW177" s="379">
        <f t="shared" si="236"/>
        <v>0.15481977095800126</v>
      </c>
      <c r="CX177" s="380">
        <f t="shared" si="236"/>
        <v>-0.55130899529901245</v>
      </c>
      <c r="CY177" s="379">
        <f t="shared" si="236"/>
        <v>-1.6593033293435422E-2</v>
      </c>
      <c r="CZ177" s="379">
        <f t="shared" si="236"/>
        <v>-4.2790187054257189E-2</v>
      </c>
      <c r="DA177" s="381">
        <f t="shared" si="236"/>
        <v>4.280731186421094E-2</v>
      </c>
      <c r="DB177" s="381">
        <f t="shared" si="236"/>
        <v>-2.7412888250393341E-2</v>
      </c>
      <c r="DC177" s="378">
        <f t="shared" si="236"/>
        <v>-2.0407431683876931E-2</v>
      </c>
      <c r="DD177" s="379">
        <f t="shared" si="236"/>
        <v>4.2697704372981704E-2</v>
      </c>
      <c r="DE177" s="379">
        <f t="shared" si="236"/>
        <v>-0.12849946113597532</v>
      </c>
      <c r="DF177" s="380">
        <f t="shared" si="236"/>
        <v>-2.7929529807880966</v>
      </c>
      <c r="DG177" s="379">
        <f t="shared" si="236"/>
        <v>1.0372720526036439E-2</v>
      </c>
      <c r="DH177" s="379">
        <f t="shared" si="236"/>
        <v>-0.48671256119252571</v>
      </c>
      <c r="DI177" s="381">
        <f t="shared" si="236"/>
        <v>-4.130648469350906E-2</v>
      </c>
      <c r="DJ177" s="381">
        <f t="shared" si="236"/>
        <v>-0.19168565915861968</v>
      </c>
      <c r="DK177" s="378">
        <f t="shared" si="236"/>
        <v>0.25926798465741152</v>
      </c>
      <c r="DL177" s="379">
        <f t="shared" si="236"/>
        <v>0.26276626511410628</v>
      </c>
      <c r="DM177" s="379">
        <f t="shared" si="236"/>
        <v>0.26845574768819502</v>
      </c>
      <c r="DN177" s="380">
        <f t="shared" si="236"/>
        <v>0.4229518370784513</v>
      </c>
      <c r="DO177" s="379">
        <f t="shared" si="236"/>
        <v>0.26102889597586287</v>
      </c>
      <c r="DP177" s="379">
        <f t="shared" si="236"/>
        <v>0.19608967139763944</v>
      </c>
      <c r="DQ177" s="381">
        <f t="shared" si="236"/>
        <v>0.26354132146408249</v>
      </c>
      <c r="DR177" s="381">
        <f t="shared" si="236"/>
        <v>0.24045072102321052</v>
      </c>
      <c r="DS177" s="378">
        <f t="shared" si="236"/>
        <v>0.18311397374030336</v>
      </c>
      <c r="DT177" s="379">
        <f t="shared" si="236"/>
        <v>-0.19539014675151534</v>
      </c>
      <c r="DU177" s="383">
        <f t="shared" si="236"/>
        <v>-0.5234181194430968</v>
      </c>
      <c r="DV177" s="382">
        <f t="shared" si="236"/>
        <v>-2.34127003072836</v>
      </c>
      <c r="DW177" s="379">
        <f t="shared" si="236"/>
        <v>-7.6741800944892802E-3</v>
      </c>
      <c r="DX177" s="383">
        <f t="shared" si="236"/>
        <v>0.49140126099016901</v>
      </c>
      <c r="DY177" s="384">
        <f t="shared" si="236"/>
        <v>-0.18311132895194182</v>
      </c>
      <c r="DZ177" s="384">
        <f t="shared" si="236"/>
        <v>0.11926547710620228</v>
      </c>
      <c r="EA177" s="385">
        <f t="shared" si="236"/>
        <v>-0.30501899161175228</v>
      </c>
      <c r="EB177" s="383">
        <f t="shared" si="236"/>
        <v>9.8924894826377674E-3</v>
      </c>
      <c r="EC177" s="383">
        <f t="shared" si="236"/>
        <v>0.67121799421485706</v>
      </c>
      <c r="ED177" s="382">
        <f t="shared" si="236"/>
        <v>0.66480980007920198</v>
      </c>
      <c r="EE177" s="383">
        <f t="shared" si="236"/>
        <v>-0.1763125322343877</v>
      </c>
      <c r="EF177" s="383">
        <f t="shared" si="236"/>
        <v>0.66800072334713589</v>
      </c>
      <c r="EG177" s="384">
        <f t="shared" si="236"/>
        <v>-8.1015729608637788E-3</v>
      </c>
      <c r="EH177" s="384">
        <f t="shared" si="236"/>
        <v>0.10394066388687384</v>
      </c>
      <c r="EI177" s="385">
        <f t="shared" si="236"/>
        <v>9.4332330147090637E-2</v>
      </c>
      <c r="EJ177" s="383">
        <f t="shared" ref="EJ177:FF177" si="237">+EJ176/EB176-1</f>
        <v>9.5219642385348857E-2</v>
      </c>
      <c r="EK177" s="383">
        <f t="shared" si="237"/>
        <v>9.5219642385349079E-2</v>
      </c>
      <c r="EL177" s="382">
        <f t="shared" si="237"/>
        <v>9.609919642106779E-2</v>
      </c>
      <c r="EM177" s="383">
        <f t="shared" si="237"/>
        <v>9.4776962442929547E-2</v>
      </c>
      <c r="EN177" s="383">
        <f t="shared" si="237"/>
        <v>9.56603828051803E-2</v>
      </c>
      <c r="EO177" s="384">
        <f t="shared" si="237"/>
        <v>9.4924738715950641E-2</v>
      </c>
      <c r="EP177" s="384">
        <f t="shared" si="237"/>
        <v>9.5219642385349079E-2</v>
      </c>
      <c r="EQ177" s="385">
        <f t="shared" si="237"/>
        <v>0.10285881622705006</v>
      </c>
      <c r="ER177" s="383">
        <f t="shared" si="237"/>
        <v>0.10359363938638078</v>
      </c>
      <c r="ES177" s="383">
        <f t="shared" si="237"/>
        <v>0.10359363938638233</v>
      </c>
      <c r="ET177" s="382">
        <f t="shared" si="237"/>
        <v>0.10432086348171921</v>
      </c>
      <c r="EU177" s="383">
        <f t="shared" si="237"/>
        <v>0.1032271851146056</v>
      </c>
      <c r="EV177" s="383">
        <f t="shared" si="237"/>
        <v>0.10395819393064598</v>
      </c>
      <c r="EW177" s="384">
        <f t="shared" si="237"/>
        <v>0.10334954853520628</v>
      </c>
      <c r="EX177" s="384">
        <f t="shared" si="237"/>
        <v>0.10359363938638233</v>
      </c>
      <c r="EY177" s="385">
        <f t="shared" si="237"/>
        <v>0.10481575212871563</v>
      </c>
      <c r="EZ177" s="383">
        <f t="shared" si="237"/>
        <v>9.8815993344764319E-2</v>
      </c>
      <c r="FA177" s="383">
        <f t="shared" si="237"/>
        <v>9.8815993344764319E-2</v>
      </c>
      <c r="FB177" s="382">
        <f t="shared" si="237"/>
        <v>9.2886141307177095E-2</v>
      </c>
      <c r="FC177" s="383">
        <f t="shared" si="237"/>
        <v>0.10180705735854545</v>
      </c>
      <c r="FD177" s="383">
        <f t="shared" si="237"/>
        <v>9.584240556746848E-2</v>
      </c>
      <c r="FE177" s="384">
        <f t="shared" si="237"/>
        <v>0.10080808471563141</v>
      </c>
      <c r="FF177" s="384">
        <f t="shared" si="237"/>
        <v>9.8815993344762987E-2</v>
      </c>
    </row>
    <row r="178" spans="1:162" ht="11.25" customHeight="1" outlineLevel="1" x14ac:dyDescent="0.2">
      <c r="A178" s="186"/>
      <c r="C178" s="198"/>
      <c r="D178" s="199"/>
      <c r="E178" s="199"/>
      <c r="F178" s="200"/>
      <c r="G178" s="199"/>
      <c r="H178" s="199"/>
      <c r="I178" s="201"/>
      <c r="J178" s="201"/>
      <c r="K178" s="198"/>
      <c r="L178" s="199"/>
      <c r="M178" s="199"/>
      <c r="N178" s="200"/>
      <c r="O178" s="199"/>
      <c r="P178" s="199"/>
      <c r="Q178" s="201"/>
      <c r="R178" s="201"/>
      <c r="S178" s="198"/>
      <c r="T178" s="199"/>
      <c r="U178" s="199"/>
      <c r="V178" s="200"/>
      <c r="W178" s="199"/>
      <c r="X178" s="199"/>
      <c r="Y178" s="201"/>
      <c r="Z178" s="201"/>
      <c r="AA178" s="198"/>
      <c r="AB178" s="199"/>
      <c r="AC178" s="199"/>
      <c r="AD178" s="200"/>
      <c r="AE178" s="199"/>
      <c r="AF178" s="199"/>
      <c r="AG178" s="201"/>
      <c r="AH178" s="201"/>
      <c r="AI178" s="198"/>
      <c r="AJ178" s="199"/>
      <c r="AK178" s="199"/>
      <c r="AL178" s="200"/>
      <c r="AM178" s="199"/>
      <c r="AN178" s="199"/>
      <c r="AO178" s="201"/>
      <c r="AP178" s="201"/>
      <c r="AQ178" s="198"/>
      <c r="AR178" s="199"/>
      <c r="AS178" s="199"/>
      <c r="AT178" s="200"/>
      <c r="AU178" s="199"/>
      <c r="AV178" s="199"/>
      <c r="AW178" s="201"/>
      <c r="AX178" s="201"/>
      <c r="AY178" s="198"/>
      <c r="AZ178" s="199"/>
      <c r="BA178" s="199"/>
      <c r="BB178" s="200"/>
      <c r="BC178" s="199"/>
      <c r="BD178" s="199"/>
      <c r="BE178" s="201"/>
      <c r="BF178" s="201"/>
      <c r="BG178" s="198"/>
      <c r="BH178" s="199"/>
      <c r="BI178" s="199"/>
      <c r="BJ178" s="200"/>
      <c r="BK178" s="199"/>
      <c r="BL178" s="199"/>
      <c r="BM178" s="201"/>
      <c r="BN178" s="201"/>
      <c r="BO178" s="198"/>
      <c r="BP178" s="199"/>
      <c r="BQ178" s="199"/>
      <c r="BR178" s="200"/>
      <c r="BS178" s="199"/>
      <c r="BT178" s="199"/>
      <c r="BU178" s="201"/>
      <c r="BV178" s="201"/>
      <c r="BW178" s="198"/>
      <c r="BX178" s="199"/>
      <c r="BY178" s="199"/>
      <c r="BZ178" s="200"/>
      <c r="CA178" s="199"/>
      <c r="CB178" s="199"/>
      <c r="CC178" s="201"/>
      <c r="CD178" s="201"/>
      <c r="CE178" s="198"/>
      <c r="CF178" s="199"/>
      <c r="CG178" s="199"/>
      <c r="CH178" s="200"/>
      <c r="CI178" s="199"/>
      <c r="CJ178" s="199"/>
      <c r="CK178" s="201"/>
      <c r="CL178" s="201"/>
      <c r="CM178" s="198"/>
      <c r="CN178" s="199"/>
      <c r="CO178" s="199"/>
      <c r="CP178" s="200"/>
      <c r="CQ178" s="199"/>
      <c r="CR178" s="199"/>
      <c r="CS178" s="201"/>
      <c r="CT178" s="201"/>
      <c r="CU178" s="199"/>
      <c r="CV178" s="199"/>
      <c r="CW178" s="199"/>
      <c r="CX178" s="200"/>
      <c r="CY178" s="199"/>
      <c r="CZ178" s="199"/>
      <c r="DA178" s="201"/>
      <c r="DB178" s="180"/>
      <c r="DC178" s="199"/>
      <c r="DD178" s="199"/>
      <c r="DE178" s="199"/>
      <c r="DF178" s="200"/>
      <c r="DG178" s="199"/>
      <c r="DH178" s="199"/>
      <c r="DI178" s="201"/>
      <c r="DJ178" s="180"/>
      <c r="DK178" s="199"/>
      <c r="DL178" s="199"/>
      <c r="DM178" s="199"/>
      <c r="DN178" s="200"/>
      <c r="DO178" s="199"/>
      <c r="DP178" s="199"/>
      <c r="DQ178" s="201"/>
      <c r="DR178" s="180"/>
      <c r="DS178" s="199"/>
      <c r="DT178" s="199"/>
      <c r="DU178" s="199"/>
      <c r="DV178" s="200"/>
      <c r="DW178" s="199"/>
      <c r="DX178" s="199"/>
      <c r="DY178" s="201"/>
      <c r="DZ178" s="180"/>
      <c r="EA178" s="199"/>
      <c r="EB178" s="199"/>
      <c r="EC178" s="199"/>
      <c r="ED178" s="200"/>
      <c r="EE178" s="199"/>
      <c r="EF178" s="199"/>
      <c r="EG178" s="201"/>
      <c r="EH178" s="180"/>
      <c r="EI178" s="199"/>
      <c r="EJ178" s="199"/>
      <c r="EK178" s="199"/>
      <c r="EL178" s="200"/>
      <c r="EM178" s="199"/>
      <c r="EN178" s="199"/>
      <c r="EO178" s="201"/>
      <c r="EP178" s="180"/>
      <c r="EQ178" s="199"/>
      <c r="ER178" s="199"/>
      <c r="ES178" s="199"/>
      <c r="ET178" s="200"/>
      <c r="EU178" s="199"/>
      <c r="EV178" s="199"/>
      <c r="EW178" s="201"/>
      <c r="EX178" s="180"/>
      <c r="EY178" s="199"/>
      <c r="EZ178" s="199"/>
      <c r="FA178" s="199"/>
      <c r="FB178" s="200"/>
      <c r="FC178" s="199"/>
      <c r="FD178" s="199"/>
      <c r="FE178" s="201"/>
      <c r="FF178" s="180"/>
    </row>
    <row r="179" spans="1:162" ht="11.25" customHeight="1" outlineLevel="1" x14ac:dyDescent="0.2">
      <c r="B179" s="4" t="s">
        <v>333</v>
      </c>
      <c r="C179" s="198"/>
      <c r="D179" s="199"/>
      <c r="E179" s="199"/>
      <c r="F179" s="200"/>
      <c r="G179" s="199"/>
      <c r="H179" s="199"/>
      <c r="I179" s="201"/>
      <c r="J179" s="201"/>
      <c r="K179" s="198"/>
      <c r="L179" s="199"/>
      <c r="M179" s="199"/>
      <c r="N179" s="200"/>
      <c r="O179" s="199"/>
      <c r="P179" s="199"/>
      <c r="Q179" s="201"/>
      <c r="R179" s="201"/>
      <c r="S179" s="198"/>
      <c r="T179" s="199"/>
      <c r="U179" s="199"/>
      <c r="V179" s="200"/>
      <c r="W179" s="199"/>
      <c r="X179" s="199"/>
      <c r="Y179" s="201"/>
      <c r="Z179" s="201"/>
      <c r="AA179" s="198"/>
      <c r="AB179" s="199"/>
      <c r="AC179" s="199"/>
      <c r="AD179" s="200"/>
      <c r="AE179" s="199"/>
      <c r="AF179" s="199"/>
      <c r="AG179" s="201"/>
      <c r="AH179" s="201"/>
      <c r="AI179" s="198"/>
      <c r="AJ179" s="199"/>
      <c r="AK179" s="199"/>
      <c r="AL179" s="200"/>
      <c r="AM179" s="199"/>
      <c r="AN179" s="199"/>
      <c r="AO179" s="201"/>
      <c r="AP179" s="201"/>
      <c r="AQ179" s="198"/>
      <c r="AR179" s="199"/>
      <c r="AS179" s="199"/>
      <c r="AT179" s="200"/>
      <c r="AU179" s="199"/>
      <c r="AV179" s="199"/>
      <c r="AW179" s="201"/>
      <c r="AX179" s="201"/>
      <c r="AY179" s="198"/>
      <c r="AZ179" s="199"/>
      <c r="BA179" s="199"/>
      <c r="BB179" s="200"/>
      <c r="BC179" s="199"/>
      <c r="BD179" s="199"/>
      <c r="BE179" s="201"/>
      <c r="BF179" s="201"/>
      <c r="BG179" s="198">
        <v>858</v>
      </c>
      <c r="BH179" s="199">
        <f>BK179-BG179</f>
        <v>1673</v>
      </c>
      <c r="BI179" s="199">
        <v>1369</v>
      </c>
      <c r="BJ179" s="200">
        <f>BN179-BM179</f>
        <v>1460</v>
      </c>
      <c r="BK179" s="199">
        <f>BM179-BI179</f>
        <v>2531</v>
      </c>
      <c r="BL179" s="199">
        <f>BJ179+BI179</f>
        <v>2829</v>
      </c>
      <c r="BM179" s="201">
        <v>3900</v>
      </c>
      <c r="BN179" s="201">
        <v>5360</v>
      </c>
      <c r="BO179" s="198">
        <v>1491</v>
      </c>
      <c r="BP179" s="199">
        <f>BS179-BO179</f>
        <v>1593</v>
      </c>
      <c r="BQ179" s="199">
        <v>1551</v>
      </c>
      <c r="BR179" s="200">
        <f>BV179-BU179</f>
        <v>1619</v>
      </c>
      <c r="BS179" s="199">
        <f>BU179-BQ179</f>
        <v>3084</v>
      </c>
      <c r="BT179" s="199">
        <f>BR179+BQ179</f>
        <v>3170</v>
      </c>
      <c r="BU179" s="201">
        <v>4635</v>
      </c>
      <c r="BV179" s="201">
        <v>6254</v>
      </c>
      <c r="BW179" s="198">
        <v>1489</v>
      </c>
      <c r="BX179" s="199">
        <f>CA179-BW179</f>
        <v>989</v>
      </c>
      <c r="BY179" s="199">
        <v>1021</v>
      </c>
      <c r="BZ179" s="200">
        <f>CD179-SUM(BW179:BY179)</f>
        <v>1280</v>
      </c>
      <c r="CA179" s="199">
        <v>2478</v>
      </c>
      <c r="CB179" s="199">
        <f>BZ179+BY179</f>
        <v>2301</v>
      </c>
      <c r="CC179" s="201">
        <f>BY179+CA179</f>
        <v>3499</v>
      </c>
      <c r="CD179" s="201">
        <v>4779</v>
      </c>
      <c r="CE179" s="198">
        <v>991</v>
      </c>
      <c r="CF179" s="199">
        <f>CI179-CE179</f>
        <v>989</v>
      </c>
      <c r="CG179" s="199">
        <v>985</v>
      </c>
      <c r="CH179" s="200">
        <f>+CL179-CG179-CF179-CE179</f>
        <v>1222</v>
      </c>
      <c r="CI179" s="199">
        <v>1980</v>
      </c>
      <c r="CJ179" s="199">
        <f>+CL179-CI179</f>
        <v>2207</v>
      </c>
      <c r="CK179" s="201">
        <f>+CE179+CF179+CG179</f>
        <v>2965</v>
      </c>
      <c r="CL179" s="201">
        <f>+'Equipment &amp; Defense'!U5</f>
        <v>4187</v>
      </c>
      <c r="CM179" s="198">
        <v>1070</v>
      </c>
      <c r="CN179" s="199">
        <f>CQ179-CM179</f>
        <v>1104</v>
      </c>
      <c r="CO179" s="199">
        <v>1115</v>
      </c>
      <c r="CP179" s="200">
        <f>+CT179-CO179-CN179-CM179</f>
        <v>1421</v>
      </c>
      <c r="CQ179" s="199">
        <v>2174</v>
      </c>
      <c r="CR179" s="199">
        <f>+CT179-CQ179</f>
        <v>2536</v>
      </c>
      <c r="CS179" s="201">
        <f>+CM179+CN179+CO179</f>
        <v>3289</v>
      </c>
      <c r="CT179" s="201">
        <f>+'Equipment &amp; Defense'!V5</f>
        <v>4710</v>
      </c>
      <c r="CU179" s="198">
        <f>+'Equipment &amp; Defense'!W5</f>
        <v>1144</v>
      </c>
      <c r="CV179" s="199">
        <f>+'Equipment &amp; Defense'!X5</f>
        <v>1282</v>
      </c>
      <c r="CW179" s="199">
        <f>+'Equipment &amp; Defense'!Y5</f>
        <v>1250</v>
      </c>
      <c r="CX179" s="200">
        <f>+'Equipment &amp; Defense'!Z5</f>
        <v>1692</v>
      </c>
      <c r="CY179" s="199">
        <f>+'Equipment &amp; Defense'!AA5</f>
        <v>2426</v>
      </c>
      <c r="CZ179" s="199">
        <f>+'Equipment &amp; Defense'!AB5</f>
        <v>2942</v>
      </c>
      <c r="DA179" s="201">
        <f>+'Equipment &amp; Defense'!AC5</f>
        <v>3676</v>
      </c>
      <c r="DB179" s="201">
        <f>+'Equipment &amp; Defense'!AD5</f>
        <v>5368</v>
      </c>
      <c r="DC179" s="198">
        <f>+'Equipment &amp; Defense'!AE5</f>
        <v>1470</v>
      </c>
      <c r="DD179" s="199">
        <f>+'Equipment &amp; Defense'!AF5</f>
        <v>1682</v>
      </c>
      <c r="DE179" s="199">
        <f>+'Equipment &amp; Defense'!AG5</f>
        <v>1507</v>
      </c>
      <c r="DF179" s="200">
        <f>+'Equipment &amp; Defense'!AH5</f>
        <v>1819</v>
      </c>
      <c r="DG179" s="199">
        <f>+'Equipment &amp; Defense'!AI5</f>
        <v>3152</v>
      </c>
      <c r="DH179" s="199">
        <f>+'Equipment &amp; Defense'!AJ5</f>
        <v>3326</v>
      </c>
      <c r="DI179" s="201">
        <f>+'Equipment &amp; Defense'!AK5</f>
        <v>4659</v>
      </c>
      <c r="DJ179" s="201">
        <f>+'Equipment &amp; Defense'!AL5</f>
        <v>6478</v>
      </c>
      <c r="DK179" s="198">
        <f>+'Equipment &amp; Defense'!AM5</f>
        <v>1661</v>
      </c>
      <c r="DL179" s="199">
        <f>+'Equipment &amp; Defense'!AN5</f>
        <v>1703</v>
      </c>
      <c r="DM179" s="199">
        <f>+'Equipment &amp; Defense'!AO5</f>
        <v>1818</v>
      </c>
      <c r="DN179" s="200">
        <f>+'Equipment &amp; Defense'!AP5</f>
        <v>2313</v>
      </c>
      <c r="DO179" s="199">
        <f>+'Equipment &amp; Defense'!AQ5</f>
        <v>3364</v>
      </c>
      <c r="DP179" s="199">
        <f>+'Equipment &amp; Defense'!AR5</f>
        <v>4131</v>
      </c>
      <c r="DQ179" s="201">
        <f>+'Equipment &amp; Defense'!AS5</f>
        <v>5182</v>
      </c>
      <c r="DR179" s="201">
        <f>+'Equipment &amp; Defense'!AT5</f>
        <v>7495</v>
      </c>
      <c r="DS179" s="199">
        <f>+'Equipment &amp; Defense'!AU5</f>
        <v>2024</v>
      </c>
      <c r="DT179" s="199">
        <f>+'Equipment &amp; Defense'!AV5</f>
        <v>2153</v>
      </c>
      <c r="DU179" s="280">
        <f>+'Equipment &amp; Defense'!AW5</f>
        <v>2185.4442718531755</v>
      </c>
      <c r="DV179" s="358">
        <f>+'Equipment &amp; Defense'!AX5</f>
        <v>2647.4043626570292</v>
      </c>
      <c r="DW179" s="199">
        <f>+'Equipment &amp; Defense'!AY5</f>
        <v>4177</v>
      </c>
      <c r="DX179" s="280">
        <f>+'Equipment &amp; Defense'!AZ5</f>
        <v>4832.8486345102046</v>
      </c>
      <c r="DY179" s="373">
        <f>+'Equipment &amp; Defense'!BA5</f>
        <v>6362.4442718531755</v>
      </c>
      <c r="DZ179" s="373">
        <f>+'Equipment &amp; Defense'!BB5</f>
        <v>9009.8486345102046</v>
      </c>
      <c r="EA179" s="280">
        <f>+'Equipment &amp; Defense'!BC5</f>
        <v>2211.4592848904267</v>
      </c>
      <c r="EB179" s="280">
        <f>+'Equipment &amp; Defense'!BD5</f>
        <v>2352.4070357554792</v>
      </c>
      <c r="EC179" s="280">
        <f>+'Equipment &amp; Defense'!BE5</f>
        <v>2387.8562384388847</v>
      </c>
      <c r="ED179" s="358">
        <f>+'Equipment &amp; Defense'!BF5</f>
        <v>2892.6022523010429</v>
      </c>
      <c r="EE179" s="280">
        <f>+'Equipment &amp; Defense'!BG5</f>
        <v>4563.8663206459059</v>
      </c>
      <c r="EF179" s="280">
        <f>+'Equipment &amp; Defense'!BH5</f>
        <v>5280.4584907399276</v>
      </c>
      <c r="EG179" s="373">
        <f>+'Equipment &amp; Defense'!BI5</f>
        <v>6951.7225590847902</v>
      </c>
      <c r="EH179" s="373">
        <f>+'Equipment &amp; Defense'!BJ5</f>
        <v>9844.3248113858335</v>
      </c>
      <c r="EI179" s="280">
        <f>+'Equipment &amp; Defense'!BK5</f>
        <v>2424.5878383285071</v>
      </c>
      <c r="EJ179" s="280">
        <f>+'Equipment &amp; Defense'!BL5</f>
        <v>2579.1193754551759</v>
      </c>
      <c r="EK179" s="280">
        <f>+'Equipment &amp; Defense'!BM5</f>
        <v>2617.984981660034</v>
      </c>
      <c r="EL179" s="358">
        <f>+'Equipment &amp; Defense'!BN5</f>
        <v>3171.3757019941036</v>
      </c>
      <c r="EM179" s="280">
        <f>+'Equipment &amp; Defense'!BO5</f>
        <v>5003.7072137836831</v>
      </c>
      <c r="EN179" s="280">
        <f>+'Equipment &amp; Defense'!BP5</f>
        <v>5789.3606836541376</v>
      </c>
      <c r="EO179" s="373">
        <f>+'Equipment &amp; Defense'!BQ5</f>
        <v>7621.6921954437166</v>
      </c>
      <c r="EP179" s="373">
        <f>+'Equipment &amp; Defense'!BR5</f>
        <v>10793.067897437821</v>
      </c>
      <c r="EQ179" s="280">
        <f>+'Equipment &amp; Defense'!BS5</f>
        <v>2637.6703595577324</v>
      </c>
      <c r="ER179" s="280">
        <f>+'Equipment &amp; Defense'!BT5</f>
        <v>2805.7827490749992</v>
      </c>
      <c r="ES179" s="280">
        <f>+'Equipment &amp; Defense'!BU5</f>
        <v>2848.0640209151934</v>
      </c>
      <c r="ET179" s="358">
        <f>+'Equipment &amp; Defense'!BV5</f>
        <v>3450.0889412768156</v>
      </c>
      <c r="EU179" s="280">
        <f>+'Equipment &amp; Defense'!BW5</f>
        <v>5443.4531086327315</v>
      </c>
      <c r="EV179" s="280">
        <f>+'Equipment &amp; Defense'!BX5</f>
        <v>6298.152962192009</v>
      </c>
      <c r="EW179" s="373">
        <f>+'Equipment &amp; Defense'!BY5</f>
        <v>8291.5171295479249</v>
      </c>
      <c r="EX179" s="373">
        <f>+'Equipment &amp; Defense'!BZ5</f>
        <v>11741.606070824741</v>
      </c>
      <c r="EY179" s="280">
        <f>+'Equipment &amp; Defense'!CA5</f>
        <v>2780.8276218751084</v>
      </c>
      <c r="EZ179" s="280">
        <f>+'Equipment &amp; Defense'!CB5</f>
        <v>2958.0641649689273</v>
      </c>
      <c r="FA179" s="280">
        <f>+'Equipment &amp; Defense'!CC5</f>
        <v>3002.6402160267012</v>
      </c>
      <c r="FB179" s="358">
        <f>+'Equipment &amp; Defense'!CD5</f>
        <v>3637.3395147971009</v>
      </c>
      <c r="FC179" s="280">
        <f>+'Equipment &amp; Defense'!CE5</f>
        <v>5738.8917868440358</v>
      </c>
      <c r="FD179" s="280">
        <f>+'Equipment &amp; Defense'!CF5</f>
        <v>6639.9797308238021</v>
      </c>
      <c r="FE179" s="373">
        <f>+'Equipment &amp; Defense'!CG5</f>
        <v>8741.5320028707374</v>
      </c>
      <c r="FF179" s="373">
        <f>+'Equipment &amp; Defense'!CH5</f>
        <v>12378.871517667838</v>
      </c>
    </row>
    <row r="180" spans="1:162" ht="11.25" customHeight="1" outlineLevel="1" x14ac:dyDescent="0.2">
      <c r="B180" s="4" t="s">
        <v>334</v>
      </c>
      <c r="C180" s="198"/>
      <c r="D180" s="199"/>
      <c r="E180" s="199"/>
      <c r="F180" s="200"/>
      <c r="G180" s="199"/>
      <c r="H180" s="199"/>
      <c r="I180" s="201"/>
      <c r="J180" s="201"/>
      <c r="K180" s="198"/>
      <c r="L180" s="199"/>
      <c r="M180" s="199"/>
      <c r="N180" s="200"/>
      <c r="O180" s="199"/>
      <c r="P180" s="199"/>
      <c r="Q180" s="201"/>
      <c r="R180" s="201"/>
      <c r="S180" s="198"/>
      <c r="T180" s="199"/>
      <c r="U180" s="199"/>
      <c r="V180" s="200"/>
      <c r="W180" s="199"/>
      <c r="X180" s="199"/>
      <c r="Y180" s="201"/>
      <c r="Z180" s="201"/>
      <c r="AA180" s="198"/>
      <c r="AB180" s="199"/>
      <c r="AC180" s="199"/>
      <c r="AD180" s="200"/>
      <c r="AE180" s="199"/>
      <c r="AF180" s="199"/>
      <c r="AG180" s="201"/>
      <c r="AH180" s="201"/>
      <c r="AI180" s="198"/>
      <c r="AJ180" s="199"/>
      <c r="AK180" s="199"/>
      <c r="AL180" s="200"/>
      <c r="AM180" s="199"/>
      <c r="AN180" s="199"/>
      <c r="AO180" s="201"/>
      <c r="AP180" s="201"/>
      <c r="AQ180" s="198"/>
      <c r="AR180" s="199"/>
      <c r="AS180" s="199"/>
      <c r="AT180" s="200"/>
      <c r="AU180" s="199"/>
      <c r="AV180" s="199"/>
      <c r="AW180" s="201"/>
      <c r="AX180" s="201"/>
      <c r="AY180" s="198"/>
      <c r="AZ180" s="199"/>
      <c r="BA180" s="199"/>
      <c r="BB180" s="200"/>
      <c r="BC180" s="199"/>
      <c r="BD180" s="199"/>
      <c r="BE180" s="201"/>
      <c r="BF180" s="201"/>
      <c r="BG180" s="198">
        <v>405</v>
      </c>
      <c r="BH180" s="199">
        <f>BK180-BG180</f>
        <v>775</v>
      </c>
      <c r="BI180" s="199">
        <v>683</v>
      </c>
      <c r="BJ180" s="200">
        <f>BN180-BM180</f>
        <v>719</v>
      </c>
      <c r="BK180" s="199">
        <f>BM180-BI180</f>
        <v>1180</v>
      </c>
      <c r="BL180" s="199">
        <f>BJ180+BI180</f>
        <v>1402</v>
      </c>
      <c r="BM180" s="201">
        <v>1863</v>
      </c>
      <c r="BN180" s="201">
        <v>2582</v>
      </c>
      <c r="BO180" s="198">
        <v>710</v>
      </c>
      <c r="BP180" s="199">
        <f>BS180-BO180</f>
        <v>759</v>
      </c>
      <c r="BQ180" s="199">
        <v>747</v>
      </c>
      <c r="BR180" s="200">
        <f>BV180-BU180</f>
        <v>786</v>
      </c>
      <c r="BS180" s="199">
        <f>BU180-BQ180</f>
        <v>1469</v>
      </c>
      <c r="BT180" s="199">
        <f>BR180+BQ180</f>
        <v>1533</v>
      </c>
      <c r="BU180" s="201">
        <v>2216</v>
      </c>
      <c r="BV180" s="201">
        <v>3002</v>
      </c>
      <c r="BW180" s="198">
        <v>698</v>
      </c>
      <c r="BX180" s="199">
        <f>CA180-BW180</f>
        <v>462</v>
      </c>
      <c r="BY180" s="199">
        <v>440</v>
      </c>
      <c r="BZ180" s="200">
        <f>CD180-SUM(BW180:BY180)</f>
        <v>514</v>
      </c>
      <c r="CA180" s="199">
        <v>1160</v>
      </c>
      <c r="CB180" s="199">
        <f>BZ180+BY180</f>
        <v>954</v>
      </c>
      <c r="CC180" s="201">
        <f>BY180+CA180</f>
        <v>1600</v>
      </c>
      <c r="CD180" s="201">
        <v>2114</v>
      </c>
      <c r="CE180" s="198">
        <v>473</v>
      </c>
      <c r="CF180" s="199">
        <f>CI180-CE180</f>
        <v>519</v>
      </c>
      <c r="CG180" s="199">
        <v>550</v>
      </c>
      <c r="CH180" s="200">
        <f>+CL180-CG180-CF180-CE180</f>
        <v>596</v>
      </c>
      <c r="CI180" s="199">
        <v>992</v>
      </c>
      <c r="CJ180" s="199">
        <f>+CL180-CI180</f>
        <v>1146</v>
      </c>
      <c r="CK180" s="201">
        <f>+CE180+CF180+CG180</f>
        <v>1542</v>
      </c>
      <c r="CL180" s="201">
        <f>+'Equipment &amp; Defense'!U10</f>
        <v>2138</v>
      </c>
      <c r="CM180" s="198">
        <v>646</v>
      </c>
      <c r="CN180" s="199">
        <f>CQ180-CM180</f>
        <v>686</v>
      </c>
      <c r="CO180" s="199">
        <v>705</v>
      </c>
      <c r="CP180" s="200">
        <f>+CT180-CO180-CN180-CM180</f>
        <v>788</v>
      </c>
      <c r="CQ180" s="199">
        <v>1332</v>
      </c>
      <c r="CR180" s="199">
        <f>+CT180-CQ180</f>
        <v>1493</v>
      </c>
      <c r="CS180" s="201">
        <f>+CM180+CN180+CO180</f>
        <v>2037</v>
      </c>
      <c r="CT180" s="201">
        <f>+'Equipment &amp; Defense'!V10</f>
        <v>2825</v>
      </c>
      <c r="CU180" s="198">
        <f>+'Equipment &amp; Defense'!W10</f>
        <v>822</v>
      </c>
      <c r="CV180" s="199">
        <f>+'Equipment &amp; Defense'!X10</f>
        <v>852</v>
      </c>
      <c r="CW180" s="199">
        <f>+'Equipment &amp; Defense'!Y10</f>
        <v>884</v>
      </c>
      <c r="CX180" s="200">
        <f>+'Equipment &amp; Defense'!Z10</f>
        <v>909</v>
      </c>
      <c r="CY180" s="199">
        <f>+'Equipment &amp; Defense'!AA10</f>
        <v>1674</v>
      </c>
      <c r="CZ180" s="199">
        <f>+'Equipment &amp; Defense'!AB10</f>
        <v>1793</v>
      </c>
      <c r="DA180" s="201">
        <f>+'Equipment &amp; Defense'!AC10</f>
        <v>2558</v>
      </c>
      <c r="DB180" s="201">
        <f>+'Equipment &amp; Defense'!AD10</f>
        <v>3467</v>
      </c>
      <c r="DC180" s="198">
        <f>+'Equipment &amp; Defense'!AE10</f>
        <v>974</v>
      </c>
      <c r="DD180" s="199">
        <f>+'Equipment &amp; Defense'!AF10</f>
        <v>1044</v>
      </c>
      <c r="DE180" s="199">
        <f>+'Equipment &amp; Defense'!AG10</f>
        <v>1020</v>
      </c>
      <c r="DF180" s="200">
        <f>+'Equipment &amp; Defense'!AH10</f>
        <v>1102</v>
      </c>
      <c r="DG180" s="199">
        <f>+'Equipment &amp; Defense'!AI10</f>
        <v>2018</v>
      </c>
      <c r="DH180" s="199">
        <f>+'Equipment &amp; Defense'!AJ10</f>
        <v>2122</v>
      </c>
      <c r="DI180" s="201">
        <f>+'Equipment &amp; Defense'!AK10</f>
        <v>3038</v>
      </c>
      <c r="DJ180" s="201">
        <f>+'Equipment &amp; Defense'!AL10</f>
        <v>4140</v>
      </c>
      <c r="DK180" s="198">
        <f>+'Equipment &amp; Defense'!AM10</f>
        <v>1122</v>
      </c>
      <c r="DL180" s="199">
        <f>+'Equipment &amp; Defense'!AN10</f>
        <v>1123</v>
      </c>
      <c r="DM180" s="199">
        <f>+'Equipment &amp; Defense'!AO10</f>
        <v>1186</v>
      </c>
      <c r="DN180" s="200">
        <f>+'Equipment &amp; Defense'!AP10</f>
        <v>1376</v>
      </c>
      <c r="DO180" s="199">
        <f>+'Equipment &amp; Defense'!AQ10</f>
        <v>2245</v>
      </c>
      <c r="DP180" s="199">
        <f>+'Equipment &amp; Defense'!AR10</f>
        <v>2562</v>
      </c>
      <c r="DQ180" s="201">
        <f>+'Equipment &amp; Defense'!AS10</f>
        <v>3431</v>
      </c>
      <c r="DR180" s="201">
        <f>+'Equipment &amp; Defense'!AT10</f>
        <v>4807</v>
      </c>
      <c r="DS180" s="199">
        <f>+'Equipment &amp; Defense'!AU10</f>
        <v>1343</v>
      </c>
      <c r="DT180" s="199">
        <f>+'Equipment &amp; Defense'!AV10</f>
        <v>1411</v>
      </c>
      <c r="DU180" s="280">
        <f>+'Equipment &amp; Defense'!AW10</f>
        <v>1396.0578693167581</v>
      </c>
      <c r="DV180" s="358">
        <f>+'Equipment &amp; Defense'!AX10</f>
        <v>1508.3318252917215</v>
      </c>
      <c r="DW180" s="199">
        <f>+'Equipment &amp; Defense'!AY10</f>
        <v>2754</v>
      </c>
      <c r="DX180" s="280">
        <f>+'Equipment &amp; Defense'!AZ10</f>
        <v>2904.3896946084797</v>
      </c>
      <c r="DY180" s="373">
        <f>+'Equipment &amp; Defense'!BA10</f>
        <v>4150.0578693167581</v>
      </c>
      <c r="DZ180" s="373">
        <f>+'Equipment &amp; Defense'!BB10</f>
        <v>5658.3896946084797</v>
      </c>
      <c r="EA180" s="280">
        <f>+'Equipment &amp; Defense'!BC10</f>
        <v>1433.8112745098042</v>
      </c>
      <c r="EB180" s="280">
        <f>+'Equipment &amp; Defense'!BD10</f>
        <v>1506.4093137254904</v>
      </c>
      <c r="EC180" s="280">
        <f>+'Equipment &amp; Defense'!BE10</f>
        <v>1490.4568227062566</v>
      </c>
      <c r="ED180" s="358">
        <f>+'Equipment &amp; Defense'!BF10</f>
        <v>1610.3225441587654</v>
      </c>
      <c r="EE180" s="280">
        <f>+'Equipment &amp; Defense'!BG10</f>
        <v>2940.2205882352946</v>
      </c>
      <c r="EF180" s="280">
        <f>+'Equipment &amp; Defense'!BH10</f>
        <v>3100.779366865022</v>
      </c>
      <c r="EG180" s="373">
        <f>+'Equipment &amp; Defense'!BI10</f>
        <v>4430.677410941551</v>
      </c>
      <c r="EH180" s="373">
        <f>+'Equipment &amp; Defense'!BJ10</f>
        <v>6040.9999551003166</v>
      </c>
      <c r="EI180" s="280">
        <f>+'Equipment &amp; Defense'!BK10</f>
        <v>1536.149012758427</v>
      </c>
      <c r="EJ180" s="280">
        <f>+'Equipment &amp; Defense'!BL10</f>
        <v>1613.9287096069547</v>
      </c>
      <c r="EK180" s="280">
        <f>+'Equipment &amp; Defense'!BM10</f>
        <v>1596.8376155655778</v>
      </c>
      <c r="EL180" s="358">
        <f>+'Equipment &amp; Defense'!BN10</f>
        <v>1725.2587076202485</v>
      </c>
      <c r="EM180" s="280">
        <f>+'Equipment &amp; Defense'!BO10</f>
        <v>3150.0777223653818</v>
      </c>
      <c r="EN180" s="280">
        <f>+'Equipment &amp; Defense'!BP10</f>
        <v>3322.0963231858263</v>
      </c>
      <c r="EO180" s="373">
        <f>+'Equipment &amp; Defense'!BQ10</f>
        <v>4746.9153379309591</v>
      </c>
      <c r="EP180" s="373">
        <f>+'Equipment &amp; Defense'!BR10</f>
        <v>6472.1740455512081</v>
      </c>
      <c r="EQ180" s="280">
        <f>+'Equipment &amp; Defense'!BS10</f>
        <v>1632.7482349292989</v>
      </c>
      <c r="ER180" s="280">
        <f>+'Equipment &amp; Defense'!BT10</f>
        <v>1715.4190316345796</v>
      </c>
      <c r="ES180" s="280">
        <f>+'Equipment &amp; Defense'!BU10</f>
        <v>1697.2531809278441</v>
      </c>
      <c r="ET180" s="358">
        <f>+'Equipment &amp; Defense'!BV10</f>
        <v>1833.749907247018</v>
      </c>
      <c r="EU180" s="280">
        <f>+'Equipment &amp; Defense'!BW10</f>
        <v>3348.1672665638785</v>
      </c>
      <c r="EV180" s="280">
        <f>+'Equipment &amp; Defense'!BX10</f>
        <v>3531.0030881748621</v>
      </c>
      <c r="EW180" s="373">
        <f>+'Equipment &amp; Defense'!BY10</f>
        <v>5045.4204474917224</v>
      </c>
      <c r="EX180" s="373">
        <f>+'Equipment &amp; Defense'!BZ10</f>
        <v>6879.1703547387406</v>
      </c>
      <c r="EY180" s="280">
        <f>+'Equipment &amp; Defense'!CA10</f>
        <v>1680.5455179794126</v>
      </c>
      <c r="EZ180" s="280">
        <f>+'Equipment &amp; Defense'!CB10</f>
        <v>1765.6364302821676</v>
      </c>
      <c r="FA180" s="280">
        <f>+'Equipment &amp; Defense'!CC10</f>
        <v>1746.9387901118143</v>
      </c>
      <c r="FB180" s="358">
        <f>+'Equipment &amp; Defense'!CD10</f>
        <v>1887.4313392551812</v>
      </c>
      <c r="FC180" s="280">
        <f>+'Equipment &amp; Defense'!CE10</f>
        <v>3446.1819482615801</v>
      </c>
      <c r="FD180" s="280">
        <f>+'Equipment &amp; Defense'!CF10</f>
        <v>3634.3701293669956</v>
      </c>
      <c r="FE180" s="373">
        <f>+'Equipment &amp; Defense'!CG10</f>
        <v>5193.1207383733945</v>
      </c>
      <c r="FF180" s="373">
        <f>+'Equipment &amp; Defense'!CH10</f>
        <v>7080.5520776285757</v>
      </c>
    </row>
    <row r="181" spans="1:162" ht="11.25" customHeight="1" outlineLevel="1" x14ac:dyDescent="0.2">
      <c r="A181" s="186" t="s">
        <v>350</v>
      </c>
      <c r="C181" s="337"/>
      <c r="D181" s="338"/>
      <c r="E181" s="338"/>
      <c r="F181" s="339"/>
      <c r="G181" s="338"/>
      <c r="H181" s="338"/>
      <c r="I181" s="340"/>
      <c r="J181" s="340"/>
      <c r="K181" s="337"/>
      <c r="L181" s="338"/>
      <c r="M181" s="338"/>
      <c r="N181" s="339"/>
      <c r="O181" s="338"/>
      <c r="P181" s="338"/>
      <c r="Q181" s="340"/>
      <c r="R181" s="340"/>
      <c r="S181" s="337"/>
      <c r="T181" s="338"/>
      <c r="U181" s="338"/>
      <c r="V181" s="339"/>
      <c r="W181" s="338"/>
      <c r="X181" s="338"/>
      <c r="Y181" s="340"/>
      <c r="Z181" s="340"/>
      <c r="AA181" s="337"/>
      <c r="AB181" s="338"/>
      <c r="AC181" s="338"/>
      <c r="AD181" s="339"/>
      <c r="AE181" s="338"/>
      <c r="AF181" s="338"/>
      <c r="AG181" s="340"/>
      <c r="AH181" s="340"/>
      <c r="AI181" s="337"/>
      <c r="AJ181" s="338"/>
      <c r="AK181" s="338"/>
      <c r="AL181" s="339"/>
      <c r="AM181" s="338"/>
      <c r="AN181" s="338"/>
      <c r="AO181" s="340"/>
      <c r="AP181" s="340"/>
      <c r="AQ181" s="337"/>
      <c r="AR181" s="338"/>
      <c r="AS181" s="338"/>
      <c r="AT181" s="339"/>
      <c r="AU181" s="338"/>
      <c r="AV181" s="338"/>
      <c r="AW181" s="340"/>
      <c r="AX181" s="340"/>
      <c r="AY181" s="337"/>
      <c r="AZ181" s="338"/>
      <c r="BA181" s="338"/>
      <c r="BB181" s="339"/>
      <c r="BC181" s="338"/>
      <c r="BD181" s="338"/>
      <c r="BE181" s="340"/>
      <c r="BF181" s="340"/>
      <c r="BG181" s="337">
        <f>BG180+BG179</f>
        <v>1263</v>
      </c>
      <c r="BH181" s="338">
        <f>BK181-BG181</f>
        <v>2448</v>
      </c>
      <c r="BI181" s="338">
        <f>SUM(BI179:BI180)</f>
        <v>2052</v>
      </c>
      <c r="BJ181" s="339">
        <f>BN181-BM181</f>
        <v>2179</v>
      </c>
      <c r="BK181" s="338">
        <f>SUM(BK179:BK180)</f>
        <v>3711</v>
      </c>
      <c r="BL181" s="338">
        <f>BJ181+BI181</f>
        <v>4231</v>
      </c>
      <c r="BM181" s="340">
        <f>SUM(BM179:BM180)</f>
        <v>5763</v>
      </c>
      <c r="BN181" s="340">
        <f>BN180+BN179</f>
        <v>7942</v>
      </c>
      <c r="BO181" s="337">
        <f>BO180+BO179</f>
        <v>2201</v>
      </c>
      <c r="BP181" s="338">
        <f>BS181-BO181</f>
        <v>2352</v>
      </c>
      <c r="BQ181" s="338">
        <f>SUM(BQ179:BQ180)</f>
        <v>2298</v>
      </c>
      <c r="BR181" s="339">
        <f>BV181-BU181</f>
        <v>2405</v>
      </c>
      <c r="BS181" s="338">
        <f>SUM(BS179:BS180)</f>
        <v>4553</v>
      </c>
      <c r="BT181" s="338">
        <f>BR181+BQ181</f>
        <v>4703</v>
      </c>
      <c r="BU181" s="340">
        <f>SUM(BU179:BU180)</f>
        <v>6851</v>
      </c>
      <c r="BV181" s="340">
        <f t="shared" ref="BV181:CE181" si="238">BV180+BV179</f>
        <v>9256</v>
      </c>
      <c r="BW181" s="337">
        <f t="shared" si="238"/>
        <v>2187</v>
      </c>
      <c r="BX181" s="338">
        <f t="shared" si="238"/>
        <v>1451</v>
      </c>
      <c r="BY181" s="338">
        <f t="shared" si="238"/>
        <v>1461</v>
      </c>
      <c r="BZ181" s="339">
        <f t="shared" si="238"/>
        <v>1794</v>
      </c>
      <c r="CA181" s="338">
        <f t="shared" si="238"/>
        <v>3638</v>
      </c>
      <c r="CB181" s="338">
        <f t="shared" si="238"/>
        <v>3255</v>
      </c>
      <c r="CC181" s="340">
        <f t="shared" si="238"/>
        <v>5099</v>
      </c>
      <c r="CD181" s="340">
        <f t="shared" si="238"/>
        <v>6893</v>
      </c>
      <c r="CE181" s="337">
        <f t="shared" si="238"/>
        <v>1464</v>
      </c>
      <c r="CF181" s="338">
        <f>CF180+CF179</f>
        <v>1508</v>
      </c>
      <c r="CG181" s="338">
        <f>CG180+CG179</f>
        <v>1535</v>
      </c>
      <c r="CH181" s="339">
        <f>+CH4</f>
        <v>1818</v>
      </c>
      <c r="CI181" s="338">
        <f>SUM(CI179:CI180)</f>
        <v>2972</v>
      </c>
      <c r="CJ181" s="338">
        <f>+CJ4</f>
        <v>3353</v>
      </c>
      <c r="CK181" s="340">
        <f>+CK4</f>
        <v>4507</v>
      </c>
      <c r="CL181" s="340">
        <f>+'Equipment &amp; Defense'!U15</f>
        <v>6325</v>
      </c>
      <c r="CM181" s="337">
        <f>CM180+CM179</f>
        <v>1716</v>
      </c>
      <c r="CN181" s="338">
        <f>CN180+CN179</f>
        <v>1790</v>
      </c>
      <c r="CO181" s="338">
        <f>CO180+CO179</f>
        <v>1820</v>
      </c>
      <c r="CP181" s="339">
        <f>+CP4</f>
        <v>2209</v>
      </c>
      <c r="CQ181" s="338">
        <f>SUM(CQ179:CQ180)</f>
        <v>3506</v>
      </c>
      <c r="CR181" s="338">
        <f>+CR4</f>
        <v>4029</v>
      </c>
      <c r="CS181" s="340">
        <f>+CS4</f>
        <v>5326</v>
      </c>
      <c r="CT181" s="340">
        <f>+'Equipment &amp; Defense'!V15</f>
        <v>7535</v>
      </c>
      <c r="CU181" s="337">
        <f>SUM(CU179:CU180)</f>
        <v>1966</v>
      </c>
      <c r="CV181" s="338">
        <f t="shared" ref="CV181:FF181" si="239">SUM(CV179:CV180)</f>
        <v>2134</v>
      </c>
      <c r="CW181" s="338">
        <f t="shared" si="239"/>
        <v>2134</v>
      </c>
      <c r="CX181" s="339">
        <f t="shared" si="239"/>
        <v>2601</v>
      </c>
      <c r="CY181" s="338">
        <f t="shared" si="239"/>
        <v>4100</v>
      </c>
      <c r="CZ181" s="338">
        <f t="shared" si="239"/>
        <v>4735</v>
      </c>
      <c r="DA181" s="340">
        <f t="shared" si="239"/>
        <v>6234</v>
      </c>
      <c r="DB181" s="340">
        <f t="shared" si="239"/>
        <v>8835</v>
      </c>
      <c r="DC181" s="337">
        <f>SUM(DC179:DC180)</f>
        <v>2444</v>
      </c>
      <c r="DD181" s="338">
        <f t="shared" ref="DD181" si="240">SUM(DD179:DD180)</f>
        <v>2726</v>
      </c>
      <c r="DE181" s="338">
        <f>SUM(DE179:DE180)</f>
        <v>2527</v>
      </c>
      <c r="DF181" s="339">
        <f t="shared" ref="DF181" si="241">SUM(DF179:DF180)</f>
        <v>2921</v>
      </c>
      <c r="DG181" s="338">
        <f t="shared" ref="DG181:DJ181" si="242">SUM(DG179:DG180)</f>
        <v>5170</v>
      </c>
      <c r="DH181" s="338">
        <f t="shared" si="242"/>
        <v>5448</v>
      </c>
      <c r="DI181" s="340">
        <f t="shared" si="242"/>
        <v>7697</v>
      </c>
      <c r="DJ181" s="340">
        <f t="shared" si="242"/>
        <v>10618</v>
      </c>
      <c r="DK181" s="337">
        <f>SUM(DK179:DK180)</f>
        <v>2783</v>
      </c>
      <c r="DL181" s="338">
        <f t="shared" ref="DL181" si="243">SUM(DL179:DL180)</f>
        <v>2826</v>
      </c>
      <c r="DM181" s="338">
        <f>SUM(DM179:DM180)</f>
        <v>3004</v>
      </c>
      <c r="DN181" s="339">
        <f t="shared" si="239"/>
        <v>3689</v>
      </c>
      <c r="DO181" s="338">
        <f t="shared" si="239"/>
        <v>5609</v>
      </c>
      <c r="DP181" s="338">
        <f t="shared" si="239"/>
        <v>6693</v>
      </c>
      <c r="DQ181" s="340">
        <f t="shared" si="239"/>
        <v>8613</v>
      </c>
      <c r="DR181" s="340">
        <f t="shared" si="239"/>
        <v>12302</v>
      </c>
      <c r="DS181" s="338">
        <f t="shared" si="239"/>
        <v>3367</v>
      </c>
      <c r="DT181" s="338">
        <f t="shared" si="239"/>
        <v>3564</v>
      </c>
      <c r="DU181" s="297">
        <f t="shared" si="239"/>
        <v>3581.5021411699336</v>
      </c>
      <c r="DV181" s="360">
        <f t="shared" si="239"/>
        <v>4155.7361879487507</v>
      </c>
      <c r="DW181" s="338">
        <f t="shared" si="239"/>
        <v>6931</v>
      </c>
      <c r="DX181" s="297">
        <f t="shared" si="239"/>
        <v>7737.2383291186843</v>
      </c>
      <c r="DY181" s="375">
        <f t="shared" si="239"/>
        <v>10512.502141169934</v>
      </c>
      <c r="DZ181" s="375">
        <f t="shared" si="239"/>
        <v>14668.238329118685</v>
      </c>
      <c r="EA181" s="297">
        <f t="shared" si="239"/>
        <v>3645.2705594002309</v>
      </c>
      <c r="EB181" s="297">
        <f t="shared" si="239"/>
        <v>3858.8163494809696</v>
      </c>
      <c r="EC181" s="297">
        <f t="shared" si="239"/>
        <v>3878.3130611451415</v>
      </c>
      <c r="ED181" s="360">
        <f t="shared" si="239"/>
        <v>4502.924796459808</v>
      </c>
      <c r="EE181" s="297">
        <f t="shared" si="239"/>
        <v>7504.0869088812005</v>
      </c>
      <c r="EF181" s="297">
        <f t="shared" si="239"/>
        <v>8381.2378576049487</v>
      </c>
      <c r="EG181" s="375">
        <f t="shared" si="239"/>
        <v>11382.399970026341</v>
      </c>
      <c r="EH181" s="375">
        <f t="shared" si="239"/>
        <v>15885.32476648615</v>
      </c>
      <c r="EI181" s="297">
        <f t="shared" si="239"/>
        <v>3960.7368510869342</v>
      </c>
      <c r="EJ181" s="297">
        <f t="shared" si="239"/>
        <v>4193.0480850621307</v>
      </c>
      <c r="EK181" s="297">
        <f t="shared" si="239"/>
        <v>4214.8225972256114</v>
      </c>
      <c r="EL181" s="360">
        <f t="shared" si="239"/>
        <v>4896.6344096143521</v>
      </c>
      <c r="EM181" s="297">
        <f t="shared" si="239"/>
        <v>8153.7849361490644</v>
      </c>
      <c r="EN181" s="297">
        <f t="shared" si="239"/>
        <v>9111.4570068399644</v>
      </c>
      <c r="EO181" s="375">
        <f t="shared" si="239"/>
        <v>12368.607533374676</v>
      </c>
      <c r="EP181" s="375">
        <f t="shared" si="239"/>
        <v>17265.241942989029</v>
      </c>
      <c r="EQ181" s="297">
        <f t="shared" si="239"/>
        <v>4270.4185944870314</v>
      </c>
      <c r="ER181" s="297">
        <f t="shared" si="239"/>
        <v>4521.201780709579</v>
      </c>
      <c r="ES181" s="297">
        <f t="shared" si="239"/>
        <v>4545.3172018430378</v>
      </c>
      <c r="ET181" s="360">
        <f t="shared" si="239"/>
        <v>5283.8388485238338</v>
      </c>
      <c r="EU181" s="297">
        <f t="shared" si="239"/>
        <v>8791.6203751966095</v>
      </c>
      <c r="EV181" s="297">
        <f t="shared" si="239"/>
        <v>9829.1560503668716</v>
      </c>
      <c r="EW181" s="375">
        <f t="shared" si="239"/>
        <v>13336.937577039647</v>
      </c>
      <c r="EX181" s="375">
        <f t="shared" si="239"/>
        <v>18620.776425563483</v>
      </c>
      <c r="EY181" s="297">
        <f t="shared" si="239"/>
        <v>4461.3731398545206</v>
      </c>
      <c r="EZ181" s="297">
        <f t="shared" si="239"/>
        <v>4723.7005952510954</v>
      </c>
      <c r="FA181" s="297">
        <f t="shared" si="239"/>
        <v>4749.579006138516</v>
      </c>
      <c r="FB181" s="360">
        <f t="shared" si="239"/>
        <v>5524.7708540522817</v>
      </c>
      <c r="FC181" s="297">
        <f t="shared" si="239"/>
        <v>9185.0737351056159</v>
      </c>
      <c r="FD181" s="297">
        <f t="shared" si="239"/>
        <v>10274.349860190798</v>
      </c>
      <c r="FE181" s="375">
        <f t="shared" si="239"/>
        <v>13934.652741244132</v>
      </c>
      <c r="FF181" s="375">
        <f t="shared" si="239"/>
        <v>19459.423595296415</v>
      </c>
    </row>
    <row r="182" spans="1:162" ht="11.25" customHeight="1" outlineLevel="1" x14ac:dyDescent="0.2">
      <c r="A182" s="186"/>
      <c r="C182" s="198"/>
      <c r="D182" s="199"/>
      <c r="E182" s="199"/>
      <c r="F182" s="200"/>
      <c r="G182" s="199"/>
      <c r="H182" s="199"/>
      <c r="I182" s="201"/>
      <c r="J182" s="201"/>
      <c r="K182" s="198"/>
      <c r="L182" s="199"/>
      <c r="M182" s="199"/>
      <c r="N182" s="200"/>
      <c r="O182" s="199"/>
      <c r="P182" s="199"/>
      <c r="Q182" s="201"/>
      <c r="R182" s="201"/>
      <c r="S182" s="198"/>
      <c r="T182" s="199"/>
      <c r="U182" s="199"/>
      <c r="V182" s="200"/>
      <c r="W182" s="199"/>
      <c r="X182" s="199"/>
      <c r="Y182" s="201"/>
      <c r="Z182" s="201"/>
      <c r="AA182" s="198"/>
      <c r="AB182" s="199"/>
      <c r="AC182" s="199"/>
      <c r="AD182" s="200"/>
      <c r="AE182" s="199"/>
      <c r="AF182" s="199"/>
      <c r="AG182" s="201"/>
      <c r="AH182" s="201"/>
      <c r="AI182" s="198"/>
      <c r="AJ182" s="199"/>
      <c r="AK182" s="199"/>
      <c r="AL182" s="200"/>
      <c r="AM182" s="199"/>
      <c r="AN182" s="199"/>
      <c r="AO182" s="201"/>
      <c r="AP182" s="201"/>
      <c r="AQ182" s="198"/>
      <c r="AR182" s="199"/>
      <c r="AS182" s="199"/>
      <c r="AT182" s="200"/>
      <c r="AU182" s="199"/>
      <c r="AV182" s="199"/>
      <c r="AW182" s="201"/>
      <c r="AX182" s="201"/>
      <c r="AY182" s="198"/>
      <c r="AZ182" s="199"/>
      <c r="BA182" s="199"/>
      <c r="BB182" s="200"/>
      <c r="BC182" s="199"/>
      <c r="BD182" s="199"/>
      <c r="BE182" s="201"/>
      <c r="BF182" s="201"/>
      <c r="BG182" s="198"/>
      <c r="BH182" s="199"/>
      <c r="BI182" s="199"/>
      <c r="BJ182" s="200"/>
      <c r="BK182" s="199"/>
      <c r="BL182" s="199"/>
      <c r="BM182" s="201"/>
      <c r="BN182" s="201"/>
      <c r="BO182" s="198"/>
      <c r="BP182" s="199"/>
      <c r="BQ182" s="199"/>
      <c r="BR182" s="200"/>
      <c r="BS182" s="199"/>
      <c r="BT182" s="199"/>
      <c r="BU182" s="201"/>
      <c r="BV182" s="201"/>
      <c r="BW182" s="198"/>
      <c r="BX182" s="199"/>
      <c r="BY182" s="199"/>
      <c r="BZ182" s="200"/>
      <c r="CA182" s="199"/>
      <c r="CB182" s="199"/>
      <c r="CC182" s="201"/>
      <c r="CD182" s="201"/>
      <c r="CE182" s="198"/>
      <c r="CF182" s="199"/>
      <c r="CG182" s="199"/>
      <c r="CH182" s="200"/>
      <c r="CI182" s="199"/>
      <c r="CJ182" s="199"/>
      <c r="CK182" s="201"/>
      <c r="CL182" s="201"/>
      <c r="CM182" s="198"/>
      <c r="CN182" s="199"/>
      <c r="CO182" s="199"/>
      <c r="CP182" s="200"/>
      <c r="CQ182" s="199"/>
      <c r="CR182" s="199"/>
      <c r="CS182" s="201"/>
      <c r="CT182" s="201"/>
      <c r="CU182" s="199"/>
      <c r="CV182" s="199"/>
      <c r="CW182" s="199"/>
      <c r="CX182" s="200"/>
      <c r="CY182" s="199"/>
      <c r="CZ182" s="199"/>
      <c r="DA182" s="201"/>
      <c r="DB182" s="180"/>
      <c r="DC182" s="199"/>
      <c r="DD182" s="199"/>
      <c r="DE182" s="199"/>
      <c r="DF182" s="200"/>
      <c r="DG182" s="199"/>
      <c r="DH182" s="199"/>
      <c r="DI182" s="201"/>
      <c r="DJ182" s="180"/>
      <c r="DK182" s="199"/>
      <c r="DL182" s="199"/>
      <c r="DM182" s="199"/>
      <c r="DN182" s="200"/>
      <c r="DO182" s="199"/>
      <c r="DP182" s="199"/>
      <c r="DQ182" s="201"/>
      <c r="DR182" s="180"/>
      <c r="DS182" s="199"/>
      <c r="DT182" s="199"/>
      <c r="DU182" s="199"/>
      <c r="DV182" s="200"/>
      <c r="DW182" s="199"/>
      <c r="DX182" s="199"/>
      <c r="DY182" s="201"/>
      <c r="DZ182" s="180"/>
      <c r="EA182" s="199"/>
      <c r="EB182" s="199"/>
      <c r="EC182" s="199"/>
      <c r="ED182" s="200"/>
      <c r="EE182" s="199"/>
      <c r="EF182" s="199"/>
      <c r="EG182" s="201"/>
      <c r="EH182" s="180"/>
      <c r="EI182" s="199"/>
      <c r="EJ182" s="199"/>
      <c r="EK182" s="199"/>
      <c r="EL182" s="200"/>
      <c r="EM182" s="199"/>
      <c r="EN182" s="199"/>
      <c r="EO182" s="201"/>
      <c r="EP182" s="180"/>
      <c r="EQ182" s="199"/>
      <c r="ER182" s="199"/>
      <c r="ES182" s="199"/>
      <c r="ET182" s="200"/>
      <c r="EU182" s="199"/>
      <c r="EV182" s="199"/>
      <c r="EW182" s="201"/>
      <c r="EX182" s="180"/>
      <c r="EY182" s="199"/>
      <c r="EZ182" s="199"/>
      <c r="FA182" s="199"/>
      <c r="FB182" s="200"/>
      <c r="FC182" s="199"/>
      <c r="FD182" s="199"/>
      <c r="FE182" s="201"/>
      <c r="FF182" s="180"/>
    </row>
    <row r="183" spans="1:162" ht="11.25" customHeight="1" outlineLevel="1" x14ac:dyDescent="0.2">
      <c r="A183" s="186"/>
      <c r="B183" s="197" t="s">
        <v>336</v>
      </c>
      <c r="C183" s="268"/>
      <c r="D183" s="278"/>
      <c r="E183" s="278"/>
      <c r="F183" s="298"/>
      <c r="G183" s="278"/>
      <c r="H183" s="278"/>
      <c r="I183" s="250"/>
      <c r="J183" s="250"/>
      <c r="K183" s="268"/>
      <c r="L183" s="278"/>
      <c r="M183" s="278"/>
      <c r="N183" s="298"/>
      <c r="O183" s="278"/>
      <c r="P183" s="278"/>
      <c r="Q183" s="250"/>
      <c r="R183" s="250"/>
      <c r="S183" s="268"/>
      <c r="T183" s="278"/>
      <c r="U183" s="278"/>
      <c r="V183" s="298"/>
      <c r="W183" s="278"/>
      <c r="X183" s="278"/>
      <c r="Y183" s="250"/>
      <c r="Z183" s="250"/>
      <c r="AA183" s="268"/>
      <c r="AB183" s="278"/>
      <c r="AC183" s="278"/>
      <c r="AD183" s="298"/>
      <c r="AE183" s="278"/>
      <c r="AF183" s="278"/>
      <c r="AG183" s="250"/>
      <c r="AH183" s="250"/>
      <c r="AI183" s="268"/>
      <c r="AJ183" s="278"/>
      <c r="AK183" s="278"/>
      <c r="AL183" s="298"/>
      <c r="AM183" s="278"/>
      <c r="AN183" s="278"/>
      <c r="AO183" s="250"/>
      <c r="AP183" s="250"/>
      <c r="AQ183" s="268"/>
      <c r="AR183" s="278"/>
      <c r="AS183" s="278"/>
      <c r="AT183" s="298"/>
      <c r="AU183" s="278"/>
      <c r="AV183" s="278"/>
      <c r="AW183" s="250"/>
      <c r="AX183" s="250"/>
      <c r="AY183" s="268"/>
      <c r="AZ183" s="278"/>
      <c r="BA183" s="278"/>
      <c r="BB183" s="298"/>
      <c r="BC183" s="278"/>
      <c r="BD183" s="278"/>
      <c r="BE183" s="250"/>
      <c r="BF183" s="250"/>
      <c r="BG183" s="268"/>
      <c r="BH183" s="278"/>
      <c r="BI183" s="278"/>
      <c r="BJ183" s="298"/>
      <c r="BK183" s="278"/>
      <c r="BL183" s="278"/>
      <c r="BM183" s="250"/>
      <c r="BN183" s="250"/>
      <c r="BO183" s="268">
        <f t="shared" ref="BO183:DZ185" si="244">BO179/BG179-1</f>
        <v>0.7377622377622377</v>
      </c>
      <c r="BP183" s="278">
        <f t="shared" si="244"/>
        <v>-4.7818290496114746E-2</v>
      </c>
      <c r="BQ183" s="278">
        <f t="shared" si="244"/>
        <v>0.13294375456537622</v>
      </c>
      <c r="BR183" s="298">
        <f t="shared" si="244"/>
        <v>0.10890410958904106</v>
      </c>
      <c r="BS183" s="278">
        <f t="shared" si="244"/>
        <v>0.21849071513235874</v>
      </c>
      <c r="BT183" s="278">
        <f t="shared" si="244"/>
        <v>0.12053729232944499</v>
      </c>
      <c r="BU183" s="250">
        <f t="shared" si="244"/>
        <v>0.18846153846153846</v>
      </c>
      <c r="BV183" s="250">
        <f t="shared" si="244"/>
        <v>0.16679104477611939</v>
      </c>
      <c r="BW183" s="268">
        <f t="shared" si="244"/>
        <v>-1.3413816230717357E-3</v>
      </c>
      <c r="BX183" s="278">
        <f t="shared" si="244"/>
        <v>-0.3791588198367859</v>
      </c>
      <c r="BY183" s="278">
        <f t="shared" si="244"/>
        <v>-0.34171502256608643</v>
      </c>
      <c r="BZ183" s="298">
        <f t="shared" si="244"/>
        <v>-0.2093885114268067</v>
      </c>
      <c r="CA183" s="278">
        <f t="shared" si="244"/>
        <v>-0.19649805447470814</v>
      </c>
      <c r="CB183" s="278">
        <f t="shared" si="244"/>
        <v>-0.27413249211356472</v>
      </c>
      <c r="CC183" s="250">
        <f t="shared" si="244"/>
        <v>-0.24509169363538297</v>
      </c>
      <c r="CD183" s="250">
        <f t="shared" si="244"/>
        <v>-0.23584905660377353</v>
      </c>
      <c r="CE183" s="268">
        <f t="shared" si="244"/>
        <v>-0.33445265278710545</v>
      </c>
      <c r="CF183" s="278">
        <f t="shared" si="244"/>
        <v>0</v>
      </c>
      <c r="CG183" s="278">
        <f t="shared" si="244"/>
        <v>-3.5259549461312489E-2</v>
      </c>
      <c r="CH183" s="298">
        <f t="shared" si="244"/>
        <v>-4.5312499999999978E-2</v>
      </c>
      <c r="CI183" s="278">
        <f t="shared" si="244"/>
        <v>-0.2009685230024213</v>
      </c>
      <c r="CJ183" s="278">
        <f t="shared" si="244"/>
        <v>-4.0851803563668021E-2</v>
      </c>
      <c r="CK183" s="250">
        <f t="shared" si="244"/>
        <v>-0.15261503286653333</v>
      </c>
      <c r="CL183" s="250">
        <f t="shared" si="244"/>
        <v>-0.12387528771709566</v>
      </c>
      <c r="CM183" s="268">
        <f t="shared" si="244"/>
        <v>7.9717457114026224E-2</v>
      </c>
      <c r="CN183" s="278">
        <f t="shared" si="244"/>
        <v>0.11627906976744184</v>
      </c>
      <c r="CO183" s="278">
        <f t="shared" si="244"/>
        <v>0.13197969543147203</v>
      </c>
      <c r="CP183" s="298">
        <f t="shared" si="244"/>
        <v>0.16284779050736486</v>
      </c>
      <c r="CQ183" s="278">
        <f t="shared" si="244"/>
        <v>9.7979797979798056E-2</v>
      </c>
      <c r="CR183" s="278">
        <f t="shared" si="244"/>
        <v>0.14907113729043941</v>
      </c>
      <c r="CS183" s="250">
        <f t="shared" si="244"/>
        <v>0.10927487352445198</v>
      </c>
      <c r="CT183" s="250">
        <f t="shared" si="244"/>
        <v>0.12491043706711258</v>
      </c>
      <c r="CU183" s="268">
        <f t="shared" si="244"/>
        <v>6.9158878504672838E-2</v>
      </c>
      <c r="CV183" s="278">
        <f t="shared" si="244"/>
        <v>0.16123188405797095</v>
      </c>
      <c r="CW183" s="278">
        <f t="shared" si="244"/>
        <v>0.12107623318385641</v>
      </c>
      <c r="CX183" s="298">
        <f t="shared" si="244"/>
        <v>0.19071076706544687</v>
      </c>
      <c r="CY183" s="278">
        <f t="shared" si="244"/>
        <v>0.1159153633854646</v>
      </c>
      <c r="CZ183" s="278">
        <f t="shared" si="244"/>
        <v>0.16009463722397466</v>
      </c>
      <c r="DA183" s="250">
        <f t="shared" si="244"/>
        <v>0.11766494375190018</v>
      </c>
      <c r="DB183" s="250">
        <f t="shared" si="244"/>
        <v>0.13970276008492566</v>
      </c>
      <c r="DC183" s="268">
        <f t="shared" si="244"/>
        <v>0.284965034965035</v>
      </c>
      <c r="DD183" s="278">
        <f t="shared" si="244"/>
        <v>0.31201248049921992</v>
      </c>
      <c r="DE183" s="278">
        <f t="shared" si="244"/>
        <v>0.2056</v>
      </c>
      <c r="DF183" s="298">
        <f t="shared" si="244"/>
        <v>7.5059101654846305E-2</v>
      </c>
      <c r="DG183" s="278">
        <f t="shared" si="244"/>
        <v>0.29925803792250627</v>
      </c>
      <c r="DH183" s="278">
        <f t="shared" si="244"/>
        <v>0.13052345343303884</v>
      </c>
      <c r="DI183" s="250">
        <f t="shared" si="244"/>
        <v>0.26741022850924923</v>
      </c>
      <c r="DJ183" s="250">
        <f t="shared" si="244"/>
        <v>0.2067809239940388</v>
      </c>
      <c r="DK183" s="268">
        <f t="shared" si="244"/>
        <v>0.12993197278911572</v>
      </c>
      <c r="DL183" s="278">
        <f t="shared" si="244"/>
        <v>1.2485136741973824E-2</v>
      </c>
      <c r="DM183" s="278">
        <f t="shared" si="244"/>
        <v>0.20637027206370262</v>
      </c>
      <c r="DN183" s="298">
        <f t="shared" si="244"/>
        <v>0.27157778999450244</v>
      </c>
      <c r="DO183" s="278">
        <f t="shared" si="244"/>
        <v>6.7258883248730861E-2</v>
      </c>
      <c r="DP183" s="278">
        <f t="shared" si="244"/>
        <v>0.24203247143716178</v>
      </c>
      <c r="DQ183" s="250">
        <f t="shared" si="244"/>
        <v>0.1122558488946126</v>
      </c>
      <c r="DR183" s="250">
        <f t="shared" si="244"/>
        <v>0.15699289904291458</v>
      </c>
      <c r="DS183" s="268">
        <f t="shared" si="244"/>
        <v>0.2185430463576159</v>
      </c>
      <c r="DT183" s="278">
        <f t="shared" si="244"/>
        <v>0.26423957721667635</v>
      </c>
      <c r="DU183" s="299">
        <f t="shared" si="244"/>
        <v>0.20211456097534408</v>
      </c>
      <c r="DV183" s="362">
        <f t="shared" si="244"/>
        <v>0.14457603227714189</v>
      </c>
      <c r="DW183" s="278">
        <f t="shared" si="244"/>
        <v>0.24167657550535071</v>
      </c>
      <c r="DX183" s="299">
        <f t="shared" si="244"/>
        <v>0.16989799915521786</v>
      </c>
      <c r="DY183" s="300">
        <f t="shared" si="244"/>
        <v>0.22779704204036588</v>
      </c>
      <c r="DZ183" s="300">
        <f t="shared" si="244"/>
        <v>0.20211456097534408</v>
      </c>
      <c r="EA183" s="363">
        <f t="shared" ref="DZ183:FF185" si="245">EA179/DS179-1</f>
        <v>9.2618223760092322E-2</v>
      </c>
      <c r="EB183" s="299">
        <f t="shared" si="245"/>
        <v>9.2618223760092544E-2</v>
      </c>
      <c r="EC183" s="299">
        <f t="shared" si="245"/>
        <v>9.2618223760092322E-2</v>
      </c>
      <c r="ED183" s="362">
        <f t="shared" si="245"/>
        <v>9.2618223760092544E-2</v>
      </c>
      <c r="EE183" s="299">
        <f t="shared" si="245"/>
        <v>9.2618223760092322E-2</v>
      </c>
      <c r="EF183" s="299">
        <f t="shared" si="245"/>
        <v>9.2618223760092322E-2</v>
      </c>
      <c r="EG183" s="300">
        <f t="shared" si="245"/>
        <v>9.2618223760092322E-2</v>
      </c>
      <c r="EH183" s="300">
        <f t="shared" si="245"/>
        <v>9.2618223760092322E-2</v>
      </c>
      <c r="EI183" s="363">
        <f t="shared" si="245"/>
        <v>9.637462235649541E-2</v>
      </c>
      <c r="EJ183" s="299">
        <f t="shared" si="245"/>
        <v>9.6374622356495188E-2</v>
      </c>
      <c r="EK183" s="299">
        <f t="shared" si="245"/>
        <v>9.637462235649541E-2</v>
      </c>
      <c r="EL183" s="362">
        <f t="shared" si="245"/>
        <v>9.6374622356495188E-2</v>
      </c>
      <c r="EM183" s="299">
        <f t="shared" si="245"/>
        <v>9.637462235649541E-2</v>
      </c>
      <c r="EN183" s="299">
        <f t="shared" si="245"/>
        <v>9.637462235649541E-2</v>
      </c>
      <c r="EO183" s="300">
        <f t="shared" si="245"/>
        <v>9.637462235649541E-2</v>
      </c>
      <c r="EP183" s="300">
        <f t="shared" si="245"/>
        <v>9.637462235649541E-2</v>
      </c>
      <c r="EQ183" s="363">
        <f t="shared" si="245"/>
        <v>8.7884018001229691E-2</v>
      </c>
      <c r="ER183" s="299">
        <f t="shared" si="245"/>
        <v>8.7884018001229691E-2</v>
      </c>
      <c r="ES183" s="299">
        <f t="shared" si="245"/>
        <v>8.7884018001229691E-2</v>
      </c>
      <c r="ET183" s="362">
        <f t="shared" si="245"/>
        <v>8.7884018001229691E-2</v>
      </c>
      <c r="EU183" s="299">
        <f t="shared" si="245"/>
        <v>8.7884018001229691E-2</v>
      </c>
      <c r="EV183" s="299">
        <f t="shared" si="245"/>
        <v>8.7884018001229691E-2</v>
      </c>
      <c r="EW183" s="300">
        <f t="shared" si="245"/>
        <v>8.7884018001229913E-2</v>
      </c>
      <c r="EX183" s="300">
        <f t="shared" si="245"/>
        <v>8.7884018001229691E-2</v>
      </c>
      <c r="EY183" s="363">
        <f t="shared" si="245"/>
        <v>5.4274129365194712E-2</v>
      </c>
      <c r="EZ183" s="299">
        <f t="shared" si="245"/>
        <v>5.4274129365194712E-2</v>
      </c>
      <c r="FA183" s="299">
        <f t="shared" si="245"/>
        <v>5.4274129365194712E-2</v>
      </c>
      <c r="FB183" s="362">
        <f t="shared" si="245"/>
        <v>5.4274129365194712E-2</v>
      </c>
      <c r="FC183" s="299">
        <f t="shared" si="245"/>
        <v>5.4274129365194712E-2</v>
      </c>
      <c r="FD183" s="299">
        <f t="shared" si="245"/>
        <v>5.4274129365194712E-2</v>
      </c>
      <c r="FE183" s="300">
        <f t="shared" si="245"/>
        <v>5.4274129365194712E-2</v>
      </c>
      <c r="FF183" s="300">
        <f t="shared" si="245"/>
        <v>5.4274129365194712E-2</v>
      </c>
    </row>
    <row r="184" spans="1:162" ht="11.25" customHeight="1" outlineLevel="1" x14ac:dyDescent="0.2">
      <c r="A184" s="186"/>
      <c r="B184" s="197" t="s">
        <v>337</v>
      </c>
      <c r="C184" s="268"/>
      <c r="D184" s="278"/>
      <c r="E184" s="278"/>
      <c r="F184" s="298"/>
      <c r="G184" s="278"/>
      <c r="H184" s="278"/>
      <c r="I184" s="250"/>
      <c r="J184" s="250"/>
      <c r="K184" s="268"/>
      <c r="L184" s="278"/>
      <c r="M184" s="278"/>
      <c r="N184" s="298"/>
      <c r="O184" s="278"/>
      <c r="P184" s="278"/>
      <c r="Q184" s="250"/>
      <c r="R184" s="250"/>
      <c r="S184" s="268"/>
      <c r="T184" s="278"/>
      <c r="U184" s="278"/>
      <c r="V184" s="298"/>
      <c r="W184" s="278"/>
      <c r="X184" s="278"/>
      <c r="Y184" s="250"/>
      <c r="Z184" s="250"/>
      <c r="AA184" s="268"/>
      <c r="AB184" s="278"/>
      <c r="AC184" s="278"/>
      <c r="AD184" s="298"/>
      <c r="AE184" s="278"/>
      <c r="AF184" s="278"/>
      <c r="AG184" s="250"/>
      <c r="AH184" s="250"/>
      <c r="AI184" s="268"/>
      <c r="AJ184" s="278"/>
      <c r="AK184" s="278"/>
      <c r="AL184" s="298"/>
      <c r="AM184" s="278"/>
      <c r="AN184" s="278"/>
      <c r="AO184" s="250"/>
      <c r="AP184" s="250"/>
      <c r="AQ184" s="268"/>
      <c r="AR184" s="278"/>
      <c r="AS184" s="278"/>
      <c r="AT184" s="298"/>
      <c r="AU184" s="278"/>
      <c r="AV184" s="278"/>
      <c r="AW184" s="250"/>
      <c r="AX184" s="250"/>
      <c r="AY184" s="268"/>
      <c r="AZ184" s="278"/>
      <c r="BA184" s="278"/>
      <c r="BB184" s="298"/>
      <c r="BC184" s="278"/>
      <c r="BD184" s="278"/>
      <c r="BE184" s="250"/>
      <c r="BF184" s="250"/>
      <c r="BG184" s="268"/>
      <c r="BH184" s="278"/>
      <c r="BI184" s="278"/>
      <c r="BJ184" s="298"/>
      <c r="BK184" s="278"/>
      <c r="BL184" s="278"/>
      <c r="BM184" s="250"/>
      <c r="BN184" s="250"/>
      <c r="BO184" s="268">
        <f t="shared" si="244"/>
        <v>0.75308641975308643</v>
      </c>
      <c r="BP184" s="278">
        <f t="shared" si="244"/>
        <v>-2.0645161290322567E-2</v>
      </c>
      <c r="BQ184" s="278">
        <f t="shared" si="244"/>
        <v>9.3704245973645683E-2</v>
      </c>
      <c r="BR184" s="298">
        <f t="shared" si="244"/>
        <v>9.3184979137691304E-2</v>
      </c>
      <c r="BS184" s="278">
        <f t="shared" si="244"/>
        <v>0.2449152542372881</v>
      </c>
      <c r="BT184" s="278">
        <f t="shared" si="244"/>
        <v>9.343794579172604E-2</v>
      </c>
      <c r="BU184" s="250">
        <f t="shared" si="244"/>
        <v>0.18947933440687059</v>
      </c>
      <c r="BV184" s="250">
        <f t="shared" si="244"/>
        <v>0.16266460108443059</v>
      </c>
      <c r="BW184" s="268">
        <f t="shared" si="244"/>
        <v>-1.6901408450704203E-2</v>
      </c>
      <c r="BX184" s="278">
        <f t="shared" si="244"/>
        <v>-0.39130434782608692</v>
      </c>
      <c r="BY184" s="278">
        <f t="shared" si="244"/>
        <v>-0.41097724230254351</v>
      </c>
      <c r="BZ184" s="298">
        <f t="shared" si="244"/>
        <v>-0.34605597964376589</v>
      </c>
      <c r="CA184" s="278">
        <f t="shared" si="244"/>
        <v>-0.21034717494894484</v>
      </c>
      <c r="CB184" s="278">
        <f t="shared" si="244"/>
        <v>-0.37769080234833663</v>
      </c>
      <c r="CC184" s="250">
        <f t="shared" si="244"/>
        <v>-0.27797833935018046</v>
      </c>
      <c r="CD184" s="250">
        <f t="shared" si="244"/>
        <v>-0.29580279813457699</v>
      </c>
      <c r="CE184" s="268">
        <f t="shared" si="244"/>
        <v>-0.32234957020057309</v>
      </c>
      <c r="CF184" s="278">
        <f t="shared" si="244"/>
        <v>0.12337662337662336</v>
      </c>
      <c r="CG184" s="278">
        <f t="shared" si="244"/>
        <v>0.25</v>
      </c>
      <c r="CH184" s="298">
        <f t="shared" si="244"/>
        <v>0.15953307392996119</v>
      </c>
      <c r="CI184" s="278">
        <f t="shared" si="244"/>
        <v>-0.14482758620689651</v>
      </c>
      <c r="CJ184" s="278">
        <f t="shared" si="244"/>
        <v>0.20125786163522008</v>
      </c>
      <c r="CK184" s="250">
        <f t="shared" si="244"/>
        <v>-3.6250000000000004E-2</v>
      </c>
      <c r="CL184" s="250">
        <f t="shared" si="244"/>
        <v>1.1352885525070855E-2</v>
      </c>
      <c r="CM184" s="268">
        <f t="shared" si="244"/>
        <v>0.36575052854122614</v>
      </c>
      <c r="CN184" s="278">
        <f t="shared" si="244"/>
        <v>0.32177263969171488</v>
      </c>
      <c r="CO184" s="278">
        <f t="shared" si="244"/>
        <v>0.28181818181818175</v>
      </c>
      <c r="CP184" s="298">
        <f t="shared" si="244"/>
        <v>0.32214765100671139</v>
      </c>
      <c r="CQ184" s="278">
        <f t="shared" si="244"/>
        <v>0.342741935483871</v>
      </c>
      <c r="CR184" s="278">
        <f t="shared" si="244"/>
        <v>0.30279232111692855</v>
      </c>
      <c r="CS184" s="250">
        <f t="shared" si="244"/>
        <v>0.32101167315175094</v>
      </c>
      <c r="CT184" s="250">
        <f t="shared" si="244"/>
        <v>0.32132834424695988</v>
      </c>
      <c r="CU184" s="268">
        <f t="shared" si="244"/>
        <v>0.27244582043343657</v>
      </c>
      <c r="CV184" s="278">
        <f t="shared" si="244"/>
        <v>0.24198250728862969</v>
      </c>
      <c r="CW184" s="278">
        <f t="shared" si="244"/>
        <v>0.25390070921985819</v>
      </c>
      <c r="CX184" s="298">
        <f t="shared" si="244"/>
        <v>0.15355329949238583</v>
      </c>
      <c r="CY184" s="278">
        <f t="shared" si="244"/>
        <v>0.2567567567567568</v>
      </c>
      <c r="CZ184" s="278">
        <f t="shared" si="244"/>
        <v>0.2009377093101139</v>
      </c>
      <c r="DA184" s="250">
        <f t="shared" si="244"/>
        <v>0.25576828669612173</v>
      </c>
      <c r="DB184" s="250">
        <f t="shared" si="244"/>
        <v>0.22725663716814148</v>
      </c>
      <c r="DC184" s="268">
        <f t="shared" si="244"/>
        <v>0.18491484184914841</v>
      </c>
      <c r="DD184" s="278">
        <f t="shared" si="244"/>
        <v>0.22535211267605626</v>
      </c>
      <c r="DE184" s="278">
        <f t="shared" si="244"/>
        <v>0.15384615384615374</v>
      </c>
      <c r="DF184" s="298">
        <f t="shared" si="244"/>
        <v>0.21232123212321241</v>
      </c>
      <c r="DG184" s="278">
        <f t="shared" si="244"/>
        <v>0.20549581839904429</v>
      </c>
      <c r="DH184" s="278">
        <f t="shared" si="244"/>
        <v>0.18349135527049643</v>
      </c>
      <c r="DI184" s="250">
        <f t="shared" si="244"/>
        <v>0.18764659890539481</v>
      </c>
      <c r="DJ184" s="250">
        <f t="shared" si="244"/>
        <v>0.19411595038938567</v>
      </c>
      <c r="DK184" s="268">
        <f t="shared" si="244"/>
        <v>0.15195071868583154</v>
      </c>
      <c r="DL184" s="278">
        <f t="shared" si="244"/>
        <v>7.5670498084291271E-2</v>
      </c>
      <c r="DM184" s="278">
        <f t="shared" si="244"/>
        <v>0.16274509803921577</v>
      </c>
      <c r="DN184" s="298">
        <f t="shared" si="244"/>
        <v>0.24863883847549917</v>
      </c>
      <c r="DO184" s="278">
        <f t="shared" si="244"/>
        <v>0.11248761149653119</v>
      </c>
      <c r="DP184" s="278">
        <f t="shared" si="244"/>
        <v>0.20735155513666359</v>
      </c>
      <c r="DQ184" s="250">
        <f t="shared" si="244"/>
        <v>0.12936142198815004</v>
      </c>
      <c r="DR184" s="250">
        <f t="shared" si="244"/>
        <v>0.1611111111111112</v>
      </c>
      <c r="DS184" s="268">
        <f t="shared" si="244"/>
        <v>0.19696969696969702</v>
      </c>
      <c r="DT184" s="278">
        <f t="shared" si="244"/>
        <v>0.25645592163846831</v>
      </c>
      <c r="DU184" s="299">
        <f t="shared" si="244"/>
        <v>0.17711456097534417</v>
      </c>
      <c r="DV184" s="362">
        <f t="shared" si="244"/>
        <v>9.6171384659681447E-2</v>
      </c>
      <c r="DW184" s="278">
        <f t="shared" si="244"/>
        <v>0.22672605790645872</v>
      </c>
      <c r="DX184" s="299">
        <f t="shared" si="244"/>
        <v>0.1336415669822324</v>
      </c>
      <c r="DY184" s="300">
        <f t="shared" si="244"/>
        <v>0.20957676167786587</v>
      </c>
      <c r="DZ184" s="300">
        <f t="shared" si="245"/>
        <v>0.17711456097534417</v>
      </c>
      <c r="EA184" s="363">
        <f t="shared" si="245"/>
        <v>6.7618223760092411E-2</v>
      </c>
      <c r="EB184" s="299">
        <f t="shared" si="245"/>
        <v>6.7618223760092411E-2</v>
      </c>
      <c r="EC184" s="299">
        <f t="shared" si="245"/>
        <v>6.7618223760092411E-2</v>
      </c>
      <c r="ED184" s="362">
        <f t="shared" si="245"/>
        <v>6.7618223760092189E-2</v>
      </c>
      <c r="EE184" s="299">
        <f t="shared" si="245"/>
        <v>6.7618223760092411E-2</v>
      </c>
      <c r="EF184" s="299">
        <f t="shared" si="245"/>
        <v>6.7618223760092411E-2</v>
      </c>
      <c r="EG184" s="300">
        <f t="shared" si="245"/>
        <v>6.7618223760092411E-2</v>
      </c>
      <c r="EH184" s="300">
        <f t="shared" si="245"/>
        <v>6.7618223760092411E-2</v>
      </c>
      <c r="EI184" s="363">
        <f t="shared" si="245"/>
        <v>7.1374622356495498E-2</v>
      </c>
      <c r="EJ184" s="299">
        <f t="shared" si="245"/>
        <v>7.1374622356495498E-2</v>
      </c>
      <c r="EK184" s="299">
        <f t="shared" si="245"/>
        <v>7.1374622356495498E-2</v>
      </c>
      <c r="EL184" s="362">
        <f t="shared" si="245"/>
        <v>7.1374622356495721E-2</v>
      </c>
      <c r="EM184" s="299">
        <f t="shared" si="245"/>
        <v>7.1374622356495498E-2</v>
      </c>
      <c r="EN184" s="299">
        <f t="shared" si="245"/>
        <v>7.1374622356495498E-2</v>
      </c>
      <c r="EO184" s="300">
        <f t="shared" si="245"/>
        <v>7.1374622356495498E-2</v>
      </c>
      <c r="EP184" s="300">
        <f t="shared" si="245"/>
        <v>7.1374622356495498E-2</v>
      </c>
      <c r="EQ184" s="363">
        <f t="shared" si="245"/>
        <v>6.2884018001229558E-2</v>
      </c>
      <c r="ER184" s="299">
        <f t="shared" si="245"/>
        <v>6.2884018001229558E-2</v>
      </c>
      <c r="ES184" s="299">
        <f t="shared" si="245"/>
        <v>6.2884018001229558E-2</v>
      </c>
      <c r="ET184" s="362">
        <f t="shared" si="245"/>
        <v>6.2884018001229336E-2</v>
      </c>
      <c r="EU184" s="299">
        <f t="shared" si="245"/>
        <v>6.2884018001229558E-2</v>
      </c>
      <c r="EV184" s="299">
        <f t="shared" si="245"/>
        <v>6.2884018001229558E-2</v>
      </c>
      <c r="EW184" s="300">
        <f t="shared" si="245"/>
        <v>6.2884018001229558E-2</v>
      </c>
      <c r="EX184" s="300">
        <f t="shared" si="245"/>
        <v>6.2884018001229558E-2</v>
      </c>
      <c r="EY184" s="363">
        <f t="shared" si="245"/>
        <v>2.9274129365194801E-2</v>
      </c>
      <c r="EZ184" s="299">
        <f t="shared" si="245"/>
        <v>2.9274129365194801E-2</v>
      </c>
      <c r="FA184" s="299">
        <f t="shared" si="245"/>
        <v>2.9274129365194801E-2</v>
      </c>
      <c r="FB184" s="362">
        <f t="shared" si="245"/>
        <v>2.9274129365194801E-2</v>
      </c>
      <c r="FC184" s="299">
        <f t="shared" si="245"/>
        <v>2.9274129365194801E-2</v>
      </c>
      <c r="FD184" s="299">
        <f t="shared" si="245"/>
        <v>2.9274129365194801E-2</v>
      </c>
      <c r="FE184" s="300">
        <f t="shared" si="245"/>
        <v>2.9274129365194801E-2</v>
      </c>
      <c r="FF184" s="300">
        <f t="shared" si="245"/>
        <v>2.9274129365194801E-2</v>
      </c>
    </row>
    <row r="185" spans="1:162" ht="11.25" customHeight="1" outlineLevel="1" x14ac:dyDescent="0.2">
      <c r="A185" s="202" t="s">
        <v>338</v>
      </c>
      <c r="C185" s="259"/>
      <c r="D185" s="260"/>
      <c r="E185" s="260"/>
      <c r="F185" s="262"/>
      <c r="G185" s="260"/>
      <c r="H185" s="260"/>
      <c r="I185" s="263"/>
      <c r="J185" s="263"/>
      <c r="K185" s="259"/>
      <c r="L185" s="260"/>
      <c r="M185" s="260"/>
      <c r="N185" s="262"/>
      <c r="O185" s="260"/>
      <c r="P185" s="260"/>
      <c r="Q185" s="263"/>
      <c r="R185" s="263"/>
      <c r="S185" s="259"/>
      <c r="T185" s="260"/>
      <c r="U185" s="260"/>
      <c r="V185" s="262"/>
      <c r="W185" s="260"/>
      <c r="X185" s="260"/>
      <c r="Y185" s="263"/>
      <c r="Z185" s="263"/>
      <c r="AA185" s="259"/>
      <c r="AB185" s="260"/>
      <c r="AC185" s="260"/>
      <c r="AD185" s="262"/>
      <c r="AE185" s="260"/>
      <c r="AF185" s="260"/>
      <c r="AG185" s="263"/>
      <c r="AH185" s="263"/>
      <c r="AI185" s="259"/>
      <c r="AJ185" s="260"/>
      <c r="AK185" s="260"/>
      <c r="AL185" s="262"/>
      <c r="AM185" s="260"/>
      <c r="AN185" s="260"/>
      <c r="AO185" s="263"/>
      <c r="AP185" s="263"/>
      <c r="AQ185" s="259"/>
      <c r="AR185" s="260"/>
      <c r="AS185" s="260"/>
      <c r="AT185" s="262"/>
      <c r="AU185" s="260"/>
      <c r="AV185" s="260"/>
      <c r="AW185" s="263"/>
      <c r="AX185" s="263"/>
      <c r="AY185" s="259"/>
      <c r="AZ185" s="260"/>
      <c r="BA185" s="260"/>
      <c r="BB185" s="262"/>
      <c r="BC185" s="260"/>
      <c r="BD185" s="260"/>
      <c r="BE185" s="263"/>
      <c r="BF185" s="263"/>
      <c r="BG185" s="259"/>
      <c r="BH185" s="260"/>
      <c r="BI185" s="260"/>
      <c r="BJ185" s="262"/>
      <c r="BK185" s="260"/>
      <c r="BL185" s="260"/>
      <c r="BM185" s="263"/>
      <c r="BN185" s="263"/>
      <c r="BO185" s="259">
        <f t="shared" si="244"/>
        <v>0.74267616785431523</v>
      </c>
      <c r="BP185" s="260">
        <f t="shared" si="244"/>
        <v>-3.9215686274509776E-2</v>
      </c>
      <c r="BQ185" s="260">
        <f t="shared" si="244"/>
        <v>0.11988304093567259</v>
      </c>
      <c r="BR185" s="262">
        <f t="shared" si="244"/>
        <v>0.10371730151445613</v>
      </c>
      <c r="BS185" s="260">
        <f t="shared" si="244"/>
        <v>0.22689302074912421</v>
      </c>
      <c r="BT185" s="260">
        <f t="shared" si="244"/>
        <v>0.11155755140628698</v>
      </c>
      <c r="BU185" s="263">
        <f t="shared" si="244"/>
        <v>0.1887905604719764</v>
      </c>
      <c r="BV185" s="263">
        <f t="shared" si="244"/>
        <v>0.16544950893981358</v>
      </c>
      <c r="BW185" s="259">
        <f t="shared" si="244"/>
        <v>-6.360745115856381E-3</v>
      </c>
      <c r="BX185" s="260">
        <f t="shared" si="244"/>
        <v>-0.38307823129251706</v>
      </c>
      <c r="BY185" s="260">
        <f t="shared" si="244"/>
        <v>-0.36422976501305482</v>
      </c>
      <c r="BZ185" s="262">
        <f t="shared" si="244"/>
        <v>-0.25405405405405401</v>
      </c>
      <c r="CA185" s="260">
        <f t="shared" si="244"/>
        <v>-0.20096639578300024</v>
      </c>
      <c r="CB185" s="260">
        <f t="shared" si="244"/>
        <v>-0.30788858175632572</v>
      </c>
      <c r="CC185" s="263">
        <f t="shared" si="244"/>
        <v>-0.25572909064370164</v>
      </c>
      <c r="CD185" s="263">
        <f t="shared" si="244"/>
        <v>-0.25529386343993088</v>
      </c>
      <c r="CE185" s="259">
        <f t="shared" si="244"/>
        <v>-0.33058984910836764</v>
      </c>
      <c r="CF185" s="260">
        <f t="shared" si="244"/>
        <v>3.9283252929014578E-2</v>
      </c>
      <c r="CG185" s="260">
        <f t="shared" si="244"/>
        <v>5.0650239561943922E-2</v>
      </c>
      <c r="CH185" s="262">
        <f t="shared" si="244"/>
        <v>1.3377926421404673E-2</v>
      </c>
      <c r="CI185" s="260">
        <f t="shared" si="244"/>
        <v>-0.183067619571193</v>
      </c>
      <c r="CJ185" s="260">
        <f t="shared" si="244"/>
        <v>3.0107526881720359E-2</v>
      </c>
      <c r="CK185" s="263">
        <f t="shared" si="244"/>
        <v>-0.11610119631300253</v>
      </c>
      <c r="CL185" s="263">
        <f t="shared" si="244"/>
        <v>-8.2402437255186367E-2</v>
      </c>
      <c r="CM185" s="259">
        <f t="shared" si="244"/>
        <v>0.17213114754098369</v>
      </c>
      <c r="CN185" s="260">
        <f t="shared" si="244"/>
        <v>0.18700265251989401</v>
      </c>
      <c r="CO185" s="260">
        <f>CO181/CG181-1</f>
        <v>0.18566775244299683</v>
      </c>
      <c r="CP185" s="262">
        <f t="shared" si="244"/>
        <v>0.21507150715071499</v>
      </c>
      <c r="CQ185" s="260">
        <f t="shared" si="244"/>
        <v>0.17967698519515474</v>
      </c>
      <c r="CR185" s="260">
        <f t="shared" si="244"/>
        <v>0.20161049806143749</v>
      </c>
      <c r="CS185" s="263">
        <f t="shared" si="244"/>
        <v>0.1817173285999556</v>
      </c>
      <c r="CT185" s="263">
        <f t="shared" si="244"/>
        <v>0.19130434782608696</v>
      </c>
      <c r="CU185" s="259">
        <f t="shared" si="244"/>
        <v>0.14568764568764569</v>
      </c>
      <c r="CV185" s="260">
        <f t="shared" si="244"/>
        <v>0.19217877094972069</v>
      </c>
      <c r="CW185" s="260">
        <f t="shared" si="244"/>
        <v>0.17252747252747258</v>
      </c>
      <c r="CX185" s="262">
        <f t="shared" si="244"/>
        <v>0.17745586238116795</v>
      </c>
      <c r="CY185" s="260">
        <f t="shared" si="244"/>
        <v>0.16942384483742146</v>
      </c>
      <c r="CZ185" s="260">
        <f t="shared" si="244"/>
        <v>0.17522958550508805</v>
      </c>
      <c r="DA185" s="263">
        <f t="shared" si="244"/>
        <v>0.17048441607209908</v>
      </c>
      <c r="DB185" s="263">
        <f t="shared" si="244"/>
        <v>0.17252820172528205</v>
      </c>
      <c r="DC185" s="259">
        <f t="shared" si="244"/>
        <v>0.24313326551373349</v>
      </c>
      <c r="DD185" s="260">
        <f t="shared" si="244"/>
        <v>0.27741330834114342</v>
      </c>
      <c r="DE185" s="260">
        <f t="shared" si="244"/>
        <v>0.18416119962511712</v>
      </c>
      <c r="DF185" s="262">
        <f t="shared" si="244"/>
        <v>0.12302960399846219</v>
      </c>
      <c r="DG185" s="260">
        <f t="shared" si="244"/>
        <v>0.26097560975609757</v>
      </c>
      <c r="DH185" s="260">
        <f t="shared" si="244"/>
        <v>0.15058078141499465</v>
      </c>
      <c r="DI185" s="263">
        <f t="shared" si="244"/>
        <v>0.23468078280397808</v>
      </c>
      <c r="DJ185" s="263">
        <f t="shared" si="244"/>
        <v>0.20181097906055467</v>
      </c>
      <c r="DK185" s="259">
        <f t="shared" si="244"/>
        <v>0.1387070376432078</v>
      </c>
      <c r="DL185" s="260">
        <f t="shared" si="244"/>
        <v>3.6683785766691068E-2</v>
      </c>
      <c r="DM185" s="260">
        <f t="shared" si="244"/>
        <v>0.18876137712702801</v>
      </c>
      <c r="DN185" s="262">
        <f t="shared" si="244"/>
        <v>0.26292365628209513</v>
      </c>
      <c r="DO185" s="260">
        <f t="shared" si="244"/>
        <v>8.4912959381044484E-2</v>
      </c>
      <c r="DP185" s="260">
        <f t="shared" si="244"/>
        <v>0.2285242290748899</v>
      </c>
      <c r="DQ185" s="263">
        <f t="shared" si="244"/>
        <v>0.11900740548265554</v>
      </c>
      <c r="DR185" s="263">
        <f t="shared" si="244"/>
        <v>0.15859860614051602</v>
      </c>
      <c r="DS185" s="259">
        <f t="shared" si="244"/>
        <v>0.20984549047790146</v>
      </c>
      <c r="DT185" s="260">
        <f t="shared" si="244"/>
        <v>0.26114649681528657</v>
      </c>
      <c r="DU185" s="265">
        <f t="shared" si="244"/>
        <v>0.19224438787281417</v>
      </c>
      <c r="DV185" s="264">
        <f t="shared" si="244"/>
        <v>0.12652105935178937</v>
      </c>
      <c r="DW185" s="260">
        <f t="shared" si="244"/>
        <v>0.23569263683366026</v>
      </c>
      <c r="DX185" s="265">
        <f t="shared" si="244"/>
        <v>0.15601947245161885</v>
      </c>
      <c r="DY185" s="267">
        <f t="shared" si="244"/>
        <v>0.22053896913618187</v>
      </c>
      <c r="DZ185" s="267">
        <f t="shared" si="245"/>
        <v>0.19234582418457857</v>
      </c>
      <c r="EA185" s="364">
        <f t="shared" si="245"/>
        <v>8.2646438788307464E-2</v>
      </c>
      <c r="EB185" s="265">
        <f t="shared" si="245"/>
        <v>8.2720636779172185E-2</v>
      </c>
      <c r="EC185" s="265">
        <f t="shared" si="245"/>
        <v>8.2873305187596946E-2</v>
      </c>
      <c r="ED185" s="264">
        <f t="shared" si="245"/>
        <v>8.3544429388437091E-2</v>
      </c>
      <c r="EE185" s="265">
        <f t="shared" si="245"/>
        <v>8.2684592249487876E-2</v>
      </c>
      <c r="EF185" s="265">
        <f t="shared" si="245"/>
        <v>8.3233771675690349E-2</v>
      </c>
      <c r="EG185" s="267">
        <f t="shared" si="245"/>
        <v>8.2748884820640356E-2</v>
      </c>
      <c r="EH185" s="267">
        <f t="shared" si="245"/>
        <v>8.2974274760136968E-2</v>
      </c>
      <c r="EI185" s="364">
        <f t="shared" si="245"/>
        <v>8.65412557301668E-2</v>
      </c>
      <c r="EJ185" s="265">
        <f t="shared" si="245"/>
        <v>8.6615092637439606E-2</v>
      </c>
      <c r="EK185" s="265">
        <f t="shared" si="245"/>
        <v>8.6766986257965861E-2</v>
      </c>
      <c r="EL185" s="264">
        <f t="shared" si="245"/>
        <v>8.7434196872236969E-2</v>
      </c>
      <c r="EM185" s="265">
        <f t="shared" si="245"/>
        <v>8.6579224782023401E-2</v>
      </c>
      <c r="EN185" s="265">
        <f t="shared" si="245"/>
        <v>8.7125453499978134E-2</v>
      </c>
      <c r="EO185" s="267">
        <f t="shared" si="245"/>
        <v>8.6643200550441835E-2</v>
      </c>
      <c r="EP185" s="267">
        <f t="shared" si="245"/>
        <v>8.6867419885184871E-2</v>
      </c>
      <c r="EQ185" s="364">
        <f t="shared" si="245"/>
        <v>7.8187911755640105E-2</v>
      </c>
      <c r="ER185" s="265">
        <f t="shared" si="245"/>
        <v>7.8261371916173994E-2</v>
      </c>
      <c r="ES185" s="265">
        <f t="shared" si="245"/>
        <v>7.841245912342143E-2</v>
      </c>
      <c r="ET185" s="264">
        <f t="shared" si="245"/>
        <v>7.9075627567624984E-2</v>
      </c>
      <c r="EU185" s="265">
        <f t="shared" si="245"/>
        <v>7.8225688320495257E-2</v>
      </c>
      <c r="EV185" s="265">
        <f t="shared" si="245"/>
        <v>7.8768855846889307E-2</v>
      </c>
      <c r="EW185" s="267">
        <f t="shared" si="245"/>
        <v>7.8289333787339377E-2</v>
      </c>
      <c r="EX185" s="267">
        <f t="shared" si="245"/>
        <v>7.8512336348979028E-2</v>
      </c>
      <c r="EY185" s="364">
        <f t="shared" si="245"/>
        <v>4.4715650501804483E-2</v>
      </c>
      <c r="EZ185" s="265">
        <f t="shared" si="245"/>
        <v>4.4788714232023352E-2</v>
      </c>
      <c r="FA185" s="265">
        <f t="shared" si="245"/>
        <v>4.4938954802242081E-2</v>
      </c>
      <c r="FB185" s="264">
        <f t="shared" si="245"/>
        <v>4.5597909481239762E-2</v>
      </c>
      <c r="FC185" s="265">
        <f t="shared" si="245"/>
        <v>4.475322444757035E-2</v>
      </c>
      <c r="FD185" s="265">
        <f t="shared" si="245"/>
        <v>4.5293187690036651E-2</v>
      </c>
      <c r="FE185" s="267">
        <f t="shared" si="245"/>
        <v>4.4816522590124919E-2</v>
      </c>
      <c r="FF185" s="267">
        <f t="shared" si="245"/>
        <v>4.5038249241938111E-2</v>
      </c>
    </row>
    <row r="186" spans="1:162" ht="11.25" customHeight="1" outlineLevel="1" x14ac:dyDescent="0.2">
      <c r="A186" s="202"/>
      <c r="C186" s="198"/>
      <c r="D186" s="199"/>
      <c r="E186" s="199"/>
      <c r="F186" s="200"/>
      <c r="G186" s="199"/>
      <c r="H186" s="199"/>
      <c r="I186" s="201"/>
      <c r="J186" s="201"/>
      <c r="K186" s="198"/>
      <c r="L186" s="199"/>
      <c r="M186" s="199"/>
      <c r="N186" s="200"/>
      <c r="O186" s="199"/>
      <c r="P186" s="199"/>
      <c r="Q186" s="201"/>
      <c r="R186" s="201"/>
      <c r="S186" s="198"/>
      <c r="T186" s="199"/>
      <c r="U186" s="199"/>
      <c r="V186" s="200"/>
      <c r="W186" s="199"/>
      <c r="X186" s="199"/>
      <c r="Y186" s="201"/>
      <c r="Z186" s="201"/>
      <c r="AA186" s="198"/>
      <c r="AB186" s="199"/>
      <c r="AC186" s="199"/>
      <c r="AD186" s="200"/>
      <c r="AE186" s="199"/>
      <c r="AF186" s="199"/>
      <c r="AG186" s="201"/>
      <c r="AH186" s="201"/>
      <c r="AI186" s="198"/>
      <c r="AJ186" s="199"/>
      <c r="AK186" s="199"/>
      <c r="AL186" s="200"/>
      <c r="AM186" s="199"/>
      <c r="AN186" s="199"/>
      <c r="AO186" s="201"/>
      <c r="AP186" s="201"/>
      <c r="AQ186" s="198"/>
      <c r="AR186" s="199"/>
      <c r="AS186" s="199"/>
      <c r="AT186" s="200"/>
      <c r="AU186" s="199"/>
      <c r="AV186" s="199"/>
      <c r="AW186" s="201"/>
      <c r="AX186" s="201"/>
      <c r="AY186" s="198"/>
      <c r="AZ186" s="199"/>
      <c r="BA186" s="199"/>
      <c r="BB186" s="200"/>
      <c r="BC186" s="199"/>
      <c r="BD186" s="199"/>
      <c r="BE186" s="201"/>
      <c r="BF186" s="201"/>
      <c r="BG186" s="198"/>
      <c r="BH186" s="199"/>
      <c r="BI186" s="199"/>
      <c r="BJ186" s="200"/>
      <c r="BK186" s="199"/>
      <c r="BL186" s="199"/>
      <c r="BM186" s="201"/>
      <c r="BN186" s="201"/>
      <c r="BO186" s="198"/>
      <c r="BP186" s="199"/>
      <c r="BQ186" s="199"/>
      <c r="BR186" s="200"/>
      <c r="BS186" s="199"/>
      <c r="BT186" s="199"/>
      <c r="BU186" s="201"/>
      <c r="BV186" s="201"/>
      <c r="BW186" s="198"/>
      <c r="BX186" s="199"/>
      <c r="BY186" s="199"/>
      <c r="BZ186" s="200"/>
      <c r="CA186" s="199"/>
      <c r="CB186" s="199"/>
      <c r="CC186" s="201"/>
      <c r="CD186" s="201"/>
      <c r="CE186" s="198"/>
      <c r="CF186" s="199"/>
      <c r="CG186" s="199"/>
      <c r="CH186" s="200"/>
      <c r="CI186" s="199"/>
      <c r="CJ186" s="199"/>
      <c r="CK186" s="201"/>
      <c r="CL186" s="201"/>
      <c r="CM186" s="198"/>
      <c r="CN186" s="199"/>
      <c r="CO186" s="199"/>
      <c r="CP186" s="200"/>
      <c r="CQ186" s="199"/>
      <c r="CR186" s="199"/>
      <c r="CS186" s="201"/>
      <c r="CT186" s="201"/>
      <c r="CU186" s="199"/>
      <c r="CV186" s="199"/>
      <c r="CW186" s="199"/>
      <c r="CX186" s="200"/>
      <c r="CY186" s="199"/>
      <c r="CZ186" s="199"/>
      <c r="DA186" s="201"/>
      <c r="DB186" s="180"/>
      <c r="DC186" s="199"/>
      <c r="DD186" s="199"/>
      <c r="DE186" s="199"/>
      <c r="DF186" s="200"/>
      <c r="DG186" s="199"/>
      <c r="DH186" s="199"/>
      <c r="DI186" s="201"/>
      <c r="DJ186" s="180"/>
      <c r="DK186" s="199"/>
      <c r="DL186" s="199"/>
      <c r="DM186" s="199"/>
      <c r="DN186" s="200"/>
      <c r="DO186" s="199"/>
      <c r="DP186" s="199"/>
      <c r="DQ186" s="201"/>
      <c r="DR186" s="180"/>
      <c r="DS186" s="199"/>
      <c r="DT186" s="199"/>
      <c r="DU186" s="199"/>
      <c r="DV186" s="200"/>
      <c r="DW186" s="199"/>
      <c r="DX186" s="199"/>
      <c r="DY186" s="201"/>
      <c r="DZ186" s="180"/>
      <c r="EA186" s="199"/>
      <c r="EB186" s="199"/>
      <c r="EC186" s="199"/>
      <c r="ED186" s="200"/>
      <c r="EE186" s="199"/>
      <c r="EF186" s="199"/>
      <c r="EG186" s="201"/>
      <c r="EH186" s="180"/>
      <c r="EI186" s="199"/>
      <c r="EJ186" s="199"/>
      <c r="EK186" s="199"/>
      <c r="EL186" s="200"/>
      <c r="EM186" s="199"/>
      <c r="EN186" s="199"/>
      <c r="EO186" s="201"/>
      <c r="EP186" s="180"/>
      <c r="EQ186" s="199"/>
      <c r="ER186" s="199"/>
      <c r="ES186" s="199"/>
      <c r="ET186" s="200"/>
      <c r="EU186" s="199"/>
      <c r="EV186" s="199"/>
      <c r="EW186" s="201"/>
      <c r="EX186" s="180"/>
      <c r="EY186" s="199"/>
      <c r="EZ186" s="199"/>
      <c r="FA186" s="199"/>
      <c r="FB186" s="200"/>
      <c r="FC186" s="199"/>
      <c r="FD186" s="199"/>
      <c r="FE186" s="201"/>
      <c r="FF186" s="180"/>
    </row>
    <row r="187" spans="1:162" ht="11.25" customHeight="1" outlineLevel="1" x14ac:dyDescent="0.2">
      <c r="B187" s="4" t="s">
        <v>333</v>
      </c>
      <c r="C187" s="198"/>
      <c r="D187" s="199"/>
      <c r="E187" s="199"/>
      <c r="F187" s="200"/>
      <c r="G187" s="199"/>
      <c r="H187" s="199"/>
      <c r="I187" s="201"/>
      <c r="J187" s="201"/>
      <c r="K187" s="198"/>
      <c r="L187" s="199"/>
      <c r="M187" s="199"/>
      <c r="N187" s="200"/>
      <c r="O187" s="199"/>
      <c r="P187" s="199"/>
      <c r="Q187" s="201"/>
      <c r="R187" s="201"/>
      <c r="S187" s="198"/>
      <c r="T187" s="199"/>
      <c r="U187" s="199"/>
      <c r="V187" s="200"/>
      <c r="W187" s="199"/>
      <c r="X187" s="199"/>
      <c r="Y187" s="201"/>
      <c r="Z187" s="201"/>
      <c r="AA187" s="198"/>
      <c r="AB187" s="199"/>
      <c r="AC187" s="199"/>
      <c r="AD187" s="200"/>
      <c r="AE187" s="199"/>
      <c r="AF187" s="199"/>
      <c r="AG187" s="201"/>
      <c r="AH187" s="201"/>
      <c r="AI187" s="198"/>
      <c r="AJ187" s="199"/>
      <c r="AK187" s="199"/>
      <c r="AL187" s="200"/>
      <c r="AM187" s="199"/>
      <c r="AN187" s="199"/>
      <c r="AO187" s="201"/>
      <c r="AP187" s="201"/>
      <c r="AQ187" s="198"/>
      <c r="AR187" s="199"/>
      <c r="AS187" s="199"/>
      <c r="AT187" s="200"/>
      <c r="AU187" s="199"/>
      <c r="AV187" s="199"/>
      <c r="AW187" s="201"/>
      <c r="AX187" s="201"/>
      <c r="AY187" s="198"/>
      <c r="AZ187" s="199"/>
      <c r="BA187" s="199"/>
      <c r="BB187" s="200"/>
      <c r="BC187" s="199"/>
      <c r="BD187" s="199"/>
      <c r="BE187" s="201"/>
      <c r="BF187" s="201"/>
      <c r="BG187" s="198"/>
      <c r="BH187" s="199"/>
      <c r="BI187" s="199">
        <v>566</v>
      </c>
      <c r="BJ187" s="200">
        <f>BN187-BM187</f>
        <v>568</v>
      </c>
      <c r="BK187" s="199">
        <f>BM187-BI187</f>
        <v>721</v>
      </c>
      <c r="BL187" s="199">
        <f>BJ187+BI187</f>
        <v>1134</v>
      </c>
      <c r="BM187" s="201">
        <v>1287</v>
      </c>
      <c r="BN187" s="201">
        <v>1855</v>
      </c>
      <c r="BO187" s="198">
        <v>594</v>
      </c>
      <c r="BP187" s="199">
        <f>BS187-BO187</f>
        <v>599</v>
      </c>
      <c r="BQ187" s="199">
        <v>574</v>
      </c>
      <c r="BR187" s="200">
        <f>BV187-BU187</f>
        <v>659</v>
      </c>
      <c r="BS187" s="199">
        <f>BU187-BQ187</f>
        <v>1193</v>
      </c>
      <c r="BT187" s="199">
        <f>BR187+BQ187</f>
        <v>1233</v>
      </c>
      <c r="BU187" s="201">
        <v>1767</v>
      </c>
      <c r="BV187" s="201">
        <v>2426</v>
      </c>
      <c r="BW187" s="198">
        <v>478</v>
      </c>
      <c r="BX187" s="199">
        <f>CA187-BW187</f>
        <v>275</v>
      </c>
      <c r="BY187" s="199">
        <v>276</v>
      </c>
      <c r="BZ187" s="200">
        <f>CD187-SUM(BW187:BY187)</f>
        <v>415</v>
      </c>
      <c r="CA187" s="199">
        <v>753</v>
      </c>
      <c r="CB187" s="199">
        <f>BZ187+BY187</f>
        <v>691</v>
      </c>
      <c r="CC187" s="201">
        <f>BY187+CA187</f>
        <v>1029</v>
      </c>
      <c r="CD187" s="201">
        <v>1444</v>
      </c>
      <c r="CE187" s="198">
        <v>230</v>
      </c>
      <c r="CF187" s="199">
        <f>CI187-CE187</f>
        <v>240</v>
      </c>
      <c r="CG187" s="199">
        <v>272</v>
      </c>
      <c r="CH187" s="200">
        <f>+CL187-CG187-CF187-CE187</f>
        <v>325</v>
      </c>
      <c r="CI187" s="199">
        <v>470</v>
      </c>
      <c r="CJ187" s="199">
        <f>+CL187-CI187</f>
        <v>597</v>
      </c>
      <c r="CK187" s="201">
        <f>+CE187+CF187+CG187</f>
        <v>742</v>
      </c>
      <c r="CL187" s="201">
        <f>+Interiors!F4</f>
        <v>1067</v>
      </c>
      <c r="CM187" s="198">
        <v>288</v>
      </c>
      <c r="CN187" s="199">
        <f>CQ187-CM187</f>
        <v>325</v>
      </c>
      <c r="CO187" s="199">
        <v>363</v>
      </c>
      <c r="CP187" s="200">
        <f>+CT187-CO187-CN187-CM187</f>
        <v>413</v>
      </c>
      <c r="CQ187" s="199">
        <v>613</v>
      </c>
      <c r="CR187" s="199">
        <f>+CT187-CQ187</f>
        <v>776</v>
      </c>
      <c r="CS187" s="201">
        <f>+CM187+CN187+CO187</f>
        <v>976</v>
      </c>
      <c r="CT187" s="201">
        <f>+Interiors!G4</f>
        <v>1389</v>
      </c>
      <c r="CU187" s="198">
        <f>+Interiors!H4</f>
        <v>395</v>
      </c>
      <c r="CV187" s="199">
        <f>+Interiors!I4</f>
        <v>368</v>
      </c>
      <c r="CW187" s="199">
        <f>+Interiors!J4</f>
        <v>381</v>
      </c>
      <c r="CX187" s="200">
        <f>+Interiors!K4</f>
        <v>453</v>
      </c>
      <c r="CY187" s="199">
        <f>+Interiors!L4</f>
        <v>763</v>
      </c>
      <c r="CZ187" s="199">
        <f>+Interiors!M4</f>
        <v>834</v>
      </c>
      <c r="DA187" s="201">
        <f>+Interiors!N4</f>
        <v>1144</v>
      </c>
      <c r="DB187" s="201">
        <f>+Interiors!O4</f>
        <v>1597</v>
      </c>
      <c r="DC187" s="198">
        <f>+Interiors!P4</f>
        <v>417</v>
      </c>
      <c r="DD187" s="199">
        <f>+Interiors!Q4</f>
        <v>463</v>
      </c>
      <c r="DE187" s="199">
        <f>+Interiors!R4</f>
        <v>487</v>
      </c>
      <c r="DF187" s="200">
        <f>+Interiors!S4</f>
        <v>549</v>
      </c>
      <c r="DG187" s="199">
        <f>+Interiors!T4</f>
        <v>880</v>
      </c>
      <c r="DH187" s="199">
        <f>+Interiors!U4</f>
        <v>1036</v>
      </c>
      <c r="DI187" s="201">
        <f>+Interiors!V4</f>
        <v>1367</v>
      </c>
      <c r="DJ187" s="201">
        <f>+Interiors!W4</f>
        <v>1916</v>
      </c>
      <c r="DK187" s="198">
        <f>+Interiors!X4</f>
        <v>477</v>
      </c>
      <c r="DL187" s="199">
        <f>+Interiors!Y4</f>
        <v>523</v>
      </c>
      <c r="DM187" s="199">
        <f>+Interiors!Z4</f>
        <v>503</v>
      </c>
      <c r="DN187" s="200">
        <f>+Interiors!AA4</f>
        <v>612</v>
      </c>
      <c r="DO187" s="199">
        <f>+Interiors!AB4</f>
        <v>1000</v>
      </c>
      <c r="DP187" s="199">
        <f>+Interiors!AC4</f>
        <v>1115</v>
      </c>
      <c r="DQ187" s="201">
        <f>+Interiors!AD4</f>
        <v>1503</v>
      </c>
      <c r="DR187" s="201">
        <f>+Interiors!AE4</f>
        <v>2115</v>
      </c>
      <c r="DS187" s="199">
        <f>+Interiors!AF4</f>
        <v>424</v>
      </c>
      <c r="DT187" s="199">
        <f>+Interiors!AG4</f>
        <v>456</v>
      </c>
      <c r="DU187" s="280">
        <f>+Interiors!AH4</f>
        <v>490.39551716694723</v>
      </c>
      <c r="DV187" s="358">
        <f>+Interiors!AI4</f>
        <v>638.73051426067377</v>
      </c>
      <c r="DW187" s="199">
        <f>+Interiors!AJ4</f>
        <v>880</v>
      </c>
      <c r="DX187" s="280">
        <f>+Interiors!AK4</f>
        <v>1129.126031427621</v>
      </c>
      <c r="DY187" s="373">
        <f>+Interiors!AL4</f>
        <v>1370.3955171669472</v>
      </c>
      <c r="DZ187" s="373">
        <f>+Interiors!AM4</f>
        <v>2009.126031427621</v>
      </c>
      <c r="EA187" s="280">
        <f>+Interiors!AN4</f>
        <v>463.27012687427913</v>
      </c>
      <c r="EB187" s="280">
        <f>+Interiors!AO4</f>
        <v>498.23391003460216</v>
      </c>
      <c r="EC187" s="280">
        <f>+Interiors!AP4</f>
        <v>535.8150789068618</v>
      </c>
      <c r="ED187" s="358">
        <f>+Interiors!AQ4</f>
        <v>697.88859995286771</v>
      </c>
      <c r="EE187" s="280">
        <f>+Interiors!AR4</f>
        <v>961.50403690888129</v>
      </c>
      <c r="EF187" s="280">
        <f>+Interiors!AS4</f>
        <v>1233.7036788597295</v>
      </c>
      <c r="EG187" s="373">
        <f>+Interiors!AT4</f>
        <v>1497.3191158157431</v>
      </c>
      <c r="EH187" s="373">
        <f>+Interiors!AU4</f>
        <v>2195.2077157686108</v>
      </c>
      <c r="EI187" s="280">
        <f>+Interiors!AV4</f>
        <v>507.9176104008335</v>
      </c>
      <c r="EJ187" s="280">
        <f>+Interiors!AW4</f>
        <v>546.25101495938713</v>
      </c>
      <c r="EK187" s="280">
        <f>+Interiors!AX4</f>
        <v>587.45405478942644</v>
      </c>
      <c r="EL187" s="358">
        <f>+Interiors!AY4</f>
        <v>765.14735022022865</v>
      </c>
      <c r="EM187" s="280">
        <f>+Interiors!AZ4</f>
        <v>1054.1686253602206</v>
      </c>
      <c r="EN187" s="280">
        <f>+Interiors!BA4</f>
        <v>1352.6014050096551</v>
      </c>
      <c r="EO187" s="373">
        <f>+Interiors!BB4</f>
        <v>1641.6226801496471</v>
      </c>
      <c r="EP187" s="373">
        <f>+Interiors!BC4</f>
        <v>2406.7700303698757</v>
      </c>
      <c r="EQ187" s="280">
        <f>+Interiors!BD4</f>
        <v>552.55545081644186</v>
      </c>
      <c r="ER187" s="280">
        <f>+Interiors!BE4</f>
        <v>594.25774899126804</v>
      </c>
      <c r="ES187" s="280">
        <f>+Interiors!BF4</f>
        <v>639.08187751543574</v>
      </c>
      <c r="ET187" s="358">
        <f>+Interiors!BG4</f>
        <v>832.39157372057639</v>
      </c>
      <c r="EU187" s="280">
        <f>+Interiors!BH4</f>
        <v>1146.8131998077099</v>
      </c>
      <c r="EV187" s="280">
        <f>+Interiors!BI4</f>
        <v>1471.4734512360121</v>
      </c>
      <c r="EW187" s="373">
        <f>+Interiors!BJ4</f>
        <v>1785.8950773231456</v>
      </c>
      <c r="EX187" s="373">
        <f>+Interiors!BK4</f>
        <v>2618.286651043722</v>
      </c>
      <c r="EY187" s="280">
        <f>+Interiors!BL4</f>
        <v>582.54491683549691</v>
      </c>
      <c r="EZ187" s="280">
        <f>+Interiors!BM4</f>
        <v>626.51057093628947</v>
      </c>
      <c r="FA187" s="280">
        <f>+Interiors!BN4</f>
        <v>673.76749001066003</v>
      </c>
      <c r="FB187" s="358">
        <f>+Interiors!BO4</f>
        <v>877.5689016751852</v>
      </c>
      <c r="FC187" s="280">
        <f>+Interiors!BP4</f>
        <v>1209.0554877717864</v>
      </c>
      <c r="FD187" s="280">
        <f>+Interiors!BQ4</f>
        <v>1551.3363916858452</v>
      </c>
      <c r="FE187" s="373">
        <f>+Interiors!BR4</f>
        <v>1882.8229777824463</v>
      </c>
      <c r="FF187" s="373">
        <f>+Interiors!BS4</f>
        <v>2760.3918794576316</v>
      </c>
    </row>
    <row r="188" spans="1:162" ht="11.25" customHeight="1" outlineLevel="1" x14ac:dyDescent="0.2">
      <c r="A188" s="186"/>
      <c r="B188" s="4" t="s">
        <v>334</v>
      </c>
      <c r="C188" s="198"/>
      <c r="D188" s="199"/>
      <c r="E188" s="199"/>
      <c r="F188" s="200"/>
      <c r="G188" s="199"/>
      <c r="H188" s="199"/>
      <c r="I188" s="201"/>
      <c r="J188" s="201"/>
      <c r="K188" s="198"/>
      <c r="L188" s="199"/>
      <c r="M188" s="199"/>
      <c r="N188" s="200"/>
      <c r="O188" s="199"/>
      <c r="P188" s="199"/>
      <c r="Q188" s="201"/>
      <c r="R188" s="201"/>
      <c r="S188" s="198"/>
      <c r="T188" s="199"/>
      <c r="U188" s="199"/>
      <c r="V188" s="200"/>
      <c r="W188" s="199"/>
      <c r="X188" s="199"/>
      <c r="Y188" s="201"/>
      <c r="Z188" s="201"/>
      <c r="AA188" s="198"/>
      <c r="AB188" s="199"/>
      <c r="AC188" s="199"/>
      <c r="AD188" s="200"/>
      <c r="AE188" s="199"/>
      <c r="AF188" s="199"/>
      <c r="AG188" s="201"/>
      <c r="AH188" s="201"/>
      <c r="AI188" s="198"/>
      <c r="AJ188" s="199"/>
      <c r="AK188" s="199"/>
      <c r="AL188" s="200"/>
      <c r="AM188" s="199"/>
      <c r="AN188" s="199"/>
      <c r="AO188" s="201"/>
      <c r="AP188" s="201"/>
      <c r="AQ188" s="198"/>
      <c r="AR188" s="199"/>
      <c r="AS188" s="199"/>
      <c r="AT188" s="200"/>
      <c r="AU188" s="199"/>
      <c r="AV188" s="199"/>
      <c r="AW188" s="201"/>
      <c r="AX188" s="201"/>
      <c r="AY188" s="198"/>
      <c r="AZ188" s="199"/>
      <c r="BA188" s="199"/>
      <c r="BB188" s="200"/>
      <c r="BC188" s="199"/>
      <c r="BD188" s="199"/>
      <c r="BE188" s="201"/>
      <c r="BF188" s="201"/>
      <c r="BG188" s="198"/>
      <c r="BH188" s="199"/>
      <c r="BI188" s="199">
        <v>203</v>
      </c>
      <c r="BJ188" s="200">
        <f>BN188-BM188</f>
        <v>194</v>
      </c>
      <c r="BK188" s="199">
        <f>BM188-BI188</f>
        <v>259</v>
      </c>
      <c r="BL188" s="199">
        <f>BJ188+BI188</f>
        <v>397</v>
      </c>
      <c r="BM188" s="201">
        <v>462</v>
      </c>
      <c r="BN188" s="201">
        <v>656</v>
      </c>
      <c r="BO188" s="198">
        <v>212</v>
      </c>
      <c r="BP188" s="199">
        <f>BS188-BO188</f>
        <v>235</v>
      </c>
      <c r="BQ188" s="199">
        <v>231</v>
      </c>
      <c r="BR188" s="200">
        <f>BV188-BU188</f>
        <v>217</v>
      </c>
      <c r="BS188" s="199">
        <f>BU188-BQ188</f>
        <v>447</v>
      </c>
      <c r="BT188" s="199">
        <f>BR188+BQ188</f>
        <v>448</v>
      </c>
      <c r="BU188" s="201">
        <v>678</v>
      </c>
      <c r="BV188" s="201">
        <v>895</v>
      </c>
      <c r="BW188" s="198">
        <v>216</v>
      </c>
      <c r="BX188" s="199">
        <f>CA188-BW188</f>
        <v>103</v>
      </c>
      <c r="BY188" s="199">
        <v>81</v>
      </c>
      <c r="BZ188" s="200">
        <f>CD188-SUM(BW188:BY188)</f>
        <v>78</v>
      </c>
      <c r="CA188" s="199">
        <v>319</v>
      </c>
      <c r="CB188" s="199">
        <f>BZ188+BY188</f>
        <v>159</v>
      </c>
      <c r="CC188" s="201">
        <f>BY188+CA188</f>
        <v>400</v>
      </c>
      <c r="CD188" s="201">
        <v>478</v>
      </c>
      <c r="CE188" s="198">
        <v>83</v>
      </c>
      <c r="CF188" s="199">
        <f>CI188-CE188</f>
        <v>93</v>
      </c>
      <c r="CG188" s="199">
        <v>113</v>
      </c>
      <c r="CH188" s="200">
        <f>+CL188-CG188-CF188-CE188</f>
        <v>119</v>
      </c>
      <c r="CI188" s="199">
        <v>176</v>
      </c>
      <c r="CJ188" s="199">
        <f>+CL188-CI188</f>
        <v>232</v>
      </c>
      <c r="CK188" s="201">
        <f>+CE188+CF188+CG188</f>
        <v>289</v>
      </c>
      <c r="CL188" s="201">
        <f>+Interiors!F9</f>
        <v>408</v>
      </c>
      <c r="CM188" s="198">
        <v>121</v>
      </c>
      <c r="CN188" s="199">
        <f>CQ188-CM188</f>
        <v>136</v>
      </c>
      <c r="CO188" s="199">
        <v>159</v>
      </c>
      <c r="CP188" s="200">
        <f>+CT188-CO188-CN188-CM188</f>
        <v>173</v>
      </c>
      <c r="CQ188" s="199">
        <v>257</v>
      </c>
      <c r="CR188" s="199">
        <f>+CT188-CQ188</f>
        <v>332</v>
      </c>
      <c r="CS188" s="201">
        <f>+CM188+CN188+CO188</f>
        <v>416</v>
      </c>
      <c r="CT188" s="201">
        <f>+Interiors!G9</f>
        <v>589</v>
      </c>
      <c r="CU188" s="198">
        <f>+Interiors!H9</f>
        <v>189</v>
      </c>
      <c r="CV188" s="199">
        <f>+Interiors!I9</f>
        <v>211</v>
      </c>
      <c r="CW188" s="199">
        <f>+Interiors!J9</f>
        <v>224</v>
      </c>
      <c r="CX188" s="200">
        <f>+Interiors!K9</f>
        <v>256</v>
      </c>
      <c r="CY188" s="199">
        <f>+Interiors!L9</f>
        <v>400</v>
      </c>
      <c r="CZ188" s="199">
        <f>+Interiors!M9</f>
        <v>480</v>
      </c>
      <c r="DA188" s="201">
        <f>+Interiors!N9</f>
        <v>624</v>
      </c>
      <c r="DB188" s="201">
        <f>+Interiors!O9</f>
        <v>880</v>
      </c>
      <c r="DC188" s="198">
        <f>+Interiors!P9</f>
        <v>259</v>
      </c>
      <c r="DD188" s="199">
        <f>+Interiors!Q9</f>
        <v>272</v>
      </c>
      <c r="DE188" s="199">
        <f>+Interiors!R9</f>
        <v>284</v>
      </c>
      <c r="DF188" s="200">
        <f>+Interiors!S9</f>
        <v>306</v>
      </c>
      <c r="DG188" s="199">
        <f>+Interiors!T9</f>
        <v>531</v>
      </c>
      <c r="DH188" s="199">
        <f>+Interiors!U9</f>
        <v>590</v>
      </c>
      <c r="DI188" s="201">
        <f>+Interiors!V9</f>
        <v>815</v>
      </c>
      <c r="DJ188" s="201">
        <f>+Interiors!W9</f>
        <v>1121</v>
      </c>
      <c r="DK188" s="198">
        <f>+Interiors!X9</f>
        <v>311</v>
      </c>
      <c r="DL188" s="199">
        <f>+Interiors!Y9</f>
        <v>305</v>
      </c>
      <c r="DM188" s="199">
        <f>+Interiors!Z9</f>
        <v>299</v>
      </c>
      <c r="DN188" s="200">
        <f>+Interiors!AA9</f>
        <v>319</v>
      </c>
      <c r="DO188" s="199">
        <f>+Interiors!AB9</f>
        <v>616</v>
      </c>
      <c r="DP188" s="199">
        <f>+Interiors!AC9</f>
        <v>618</v>
      </c>
      <c r="DQ188" s="201">
        <f>+Interiors!AD9</f>
        <v>915</v>
      </c>
      <c r="DR188" s="201">
        <f>+Interiors!AE9</f>
        <v>1234</v>
      </c>
      <c r="DS188" s="199">
        <f>+Interiors!AF9</f>
        <v>276</v>
      </c>
      <c r="DT188" s="199">
        <f>+Interiors!AG9</f>
        <v>299</v>
      </c>
      <c r="DU188" s="280">
        <f>+Interiors!AH9</f>
        <v>291.5074744193185</v>
      </c>
      <c r="DV188" s="358">
        <f>+Interiors!AI9</f>
        <v>305.72019592663145</v>
      </c>
      <c r="DW188" s="199">
        <f>+Interiors!AJ9</f>
        <v>575</v>
      </c>
      <c r="DX188" s="280">
        <f>+Interiors!AK9</f>
        <v>597.22767034594995</v>
      </c>
      <c r="DY188" s="373">
        <f>+Interiors!AL9</f>
        <v>866.50747441931844</v>
      </c>
      <c r="DZ188" s="373">
        <f>+Interiors!AM9</f>
        <v>1172.2276703459499</v>
      </c>
      <c r="EA188" s="280">
        <f>+Interiors!AN9</f>
        <v>301.56262975778549</v>
      </c>
      <c r="EB188" s="280">
        <f>+Interiors!AO9</f>
        <v>326.69284890426758</v>
      </c>
      <c r="EC188" s="280">
        <f>+Interiors!AP9</f>
        <v>318.50637891282634</v>
      </c>
      <c r="ED188" s="358">
        <f>+Interiors!AQ9</f>
        <v>334.03545744094356</v>
      </c>
      <c r="EE188" s="280">
        <f>+Interiors!AR9</f>
        <v>628.25547866205306</v>
      </c>
      <c r="EF188" s="280">
        <f>+Interiors!AS9</f>
        <v>652.5418363537699</v>
      </c>
      <c r="EG188" s="373">
        <f>+Interiors!AT9</f>
        <v>946.7618575748794</v>
      </c>
      <c r="EH188" s="373">
        <f>+Interiors!AU9</f>
        <v>1280.797315015823</v>
      </c>
      <c r="EI188" s="280">
        <f>+Interiors!AV9</f>
        <v>323.08654857357908</v>
      </c>
      <c r="EJ188" s="280">
        <f>+Interiors!AW9</f>
        <v>350.01042762137729</v>
      </c>
      <c r="EK188" s="280">
        <f>+Interiors!AX9</f>
        <v>341.23965142586417</v>
      </c>
      <c r="EL188" s="358">
        <f>+Interiors!AY9</f>
        <v>357.87711206947029</v>
      </c>
      <c r="EM188" s="280">
        <f>+Interiors!AZ9</f>
        <v>673.09697619495637</v>
      </c>
      <c r="EN188" s="280">
        <f>+Interiors!BA9</f>
        <v>699.11676349533445</v>
      </c>
      <c r="EO188" s="373">
        <f>+Interiors!BB9</f>
        <v>1014.3366276208205</v>
      </c>
      <c r="EP188" s="373">
        <f>+Interiors!BC9</f>
        <v>1372.2137396902908</v>
      </c>
      <c r="EQ188" s="280">
        <f>+Interiors!BD9</f>
        <v>343.40352891003516</v>
      </c>
      <c r="ER188" s="280">
        <f>+Interiors!BE9</f>
        <v>372.02048965253806</v>
      </c>
      <c r="ES188" s="280">
        <f>+Interiors!BF9</f>
        <v>362.6981718088615</v>
      </c>
      <c r="ET188" s="358">
        <f>+Interiors!BG9</f>
        <v>380.38186282707488</v>
      </c>
      <c r="EU188" s="280">
        <f>+Interiors!BH9</f>
        <v>715.42401856257322</v>
      </c>
      <c r="EV188" s="280">
        <f>+Interiors!BI9</f>
        <v>743.08003463593639</v>
      </c>
      <c r="EW188" s="373">
        <f>+Interiors!BJ9</f>
        <v>1078.1221903714347</v>
      </c>
      <c r="EX188" s="373">
        <f>+Interiors!BK9</f>
        <v>1458.5040531985096</v>
      </c>
      <c r="EY188" s="280">
        <f>+Interiors!BL9</f>
        <v>353.45636823981192</v>
      </c>
      <c r="EZ188" s="280">
        <f>+Interiors!BM9</f>
        <v>382.91106559312959</v>
      </c>
      <c r="FA188" s="280">
        <f>+Interiors!BN9</f>
        <v>373.31584501091379</v>
      </c>
      <c r="FB188" s="358">
        <f>+Interiors!BO9</f>
        <v>391.51721068764846</v>
      </c>
      <c r="FC188" s="280">
        <f>+Interiors!BP9</f>
        <v>736.36743383294151</v>
      </c>
      <c r="FD188" s="280">
        <f>+Interiors!BQ9</f>
        <v>764.83305569856225</v>
      </c>
      <c r="FE188" s="373">
        <f>+Interiors!BR9</f>
        <v>1109.6832788438553</v>
      </c>
      <c r="FF188" s="373">
        <f>+Interiors!BS9</f>
        <v>1501.2004895315038</v>
      </c>
    </row>
    <row r="189" spans="1:162" ht="11.25" customHeight="1" outlineLevel="1" x14ac:dyDescent="0.2">
      <c r="A189" s="186" t="s">
        <v>351</v>
      </c>
      <c r="C189" s="337"/>
      <c r="D189" s="338"/>
      <c r="E189" s="338"/>
      <c r="F189" s="339"/>
      <c r="G189" s="338"/>
      <c r="H189" s="338"/>
      <c r="I189" s="340"/>
      <c r="J189" s="340"/>
      <c r="K189" s="337"/>
      <c r="L189" s="338"/>
      <c r="M189" s="338"/>
      <c r="N189" s="339"/>
      <c r="O189" s="338"/>
      <c r="P189" s="338"/>
      <c r="Q189" s="340"/>
      <c r="R189" s="340"/>
      <c r="S189" s="337"/>
      <c r="T189" s="338"/>
      <c r="U189" s="338"/>
      <c r="V189" s="339"/>
      <c r="W189" s="338"/>
      <c r="X189" s="338"/>
      <c r="Y189" s="340"/>
      <c r="Z189" s="340"/>
      <c r="AA189" s="337"/>
      <c r="AB189" s="338"/>
      <c r="AC189" s="338"/>
      <c r="AD189" s="339"/>
      <c r="AE189" s="338"/>
      <c r="AF189" s="338"/>
      <c r="AG189" s="340"/>
      <c r="AH189" s="340"/>
      <c r="AI189" s="337"/>
      <c r="AJ189" s="338"/>
      <c r="AK189" s="338"/>
      <c r="AL189" s="339"/>
      <c r="AM189" s="338"/>
      <c r="AN189" s="338"/>
      <c r="AO189" s="340"/>
      <c r="AP189" s="340"/>
      <c r="AQ189" s="337"/>
      <c r="AR189" s="338"/>
      <c r="AS189" s="338"/>
      <c r="AT189" s="339"/>
      <c r="AU189" s="338"/>
      <c r="AV189" s="338"/>
      <c r="AW189" s="340"/>
      <c r="AX189" s="340"/>
      <c r="AY189" s="337"/>
      <c r="AZ189" s="338"/>
      <c r="BA189" s="338"/>
      <c r="BB189" s="339"/>
      <c r="BC189" s="338"/>
      <c r="BD189" s="338"/>
      <c r="BE189" s="340"/>
      <c r="BF189" s="340"/>
      <c r="BG189" s="337"/>
      <c r="BH189" s="338"/>
      <c r="BI189" s="338">
        <f>SUM(BI187:BI188)</f>
        <v>769</v>
      </c>
      <c r="BJ189" s="339">
        <f>BN189-BM189</f>
        <v>762</v>
      </c>
      <c r="BK189" s="338">
        <f>SUM(BK187:BK188)</f>
        <v>980</v>
      </c>
      <c r="BL189" s="338">
        <f>BJ189+BI189</f>
        <v>1531</v>
      </c>
      <c r="BM189" s="340">
        <f>SUM(BM187:BM188)</f>
        <v>1749</v>
      </c>
      <c r="BN189" s="340">
        <f>BN188+BN187</f>
        <v>2511</v>
      </c>
      <c r="BO189" s="337">
        <f>BO188+BO187</f>
        <v>806</v>
      </c>
      <c r="BP189" s="338">
        <f>BP188+BP187</f>
        <v>834</v>
      </c>
      <c r="BQ189" s="338">
        <f>SUM(BQ187:BQ188)</f>
        <v>805</v>
      </c>
      <c r="BR189" s="339">
        <f>BV189-BU189</f>
        <v>876</v>
      </c>
      <c r="BS189" s="338">
        <f>SUM(BS187:BS188)</f>
        <v>1640</v>
      </c>
      <c r="BT189" s="338">
        <f>BR189+BQ189</f>
        <v>1681</v>
      </c>
      <c r="BU189" s="340">
        <f>SUM(BU187:BU188)</f>
        <v>2445</v>
      </c>
      <c r="BV189" s="340">
        <f t="shared" ref="BV189:CE189" si="246">BV188+BV187</f>
        <v>3321</v>
      </c>
      <c r="BW189" s="337">
        <f t="shared" si="246"/>
        <v>694</v>
      </c>
      <c r="BX189" s="338">
        <f t="shared" si="246"/>
        <v>378</v>
      </c>
      <c r="BY189" s="338">
        <f t="shared" si="246"/>
        <v>357</v>
      </c>
      <c r="BZ189" s="339">
        <f t="shared" si="246"/>
        <v>493</v>
      </c>
      <c r="CA189" s="338">
        <f t="shared" si="246"/>
        <v>1072</v>
      </c>
      <c r="CB189" s="338">
        <f t="shared" si="246"/>
        <v>850</v>
      </c>
      <c r="CC189" s="340">
        <f t="shared" si="246"/>
        <v>1429</v>
      </c>
      <c r="CD189" s="340">
        <f t="shared" si="246"/>
        <v>1922</v>
      </c>
      <c r="CE189" s="337">
        <f t="shared" si="246"/>
        <v>313</v>
      </c>
      <c r="CF189" s="338">
        <f>CF188+CF187</f>
        <v>333</v>
      </c>
      <c r="CG189" s="338">
        <f>CG188+CG187</f>
        <v>385</v>
      </c>
      <c r="CH189" s="339">
        <f>+CL189-CG189-CF189-CE189</f>
        <v>444</v>
      </c>
      <c r="CI189" s="338">
        <f>SUM(CI187:CI188)</f>
        <v>646</v>
      </c>
      <c r="CJ189" s="338">
        <f>+CL189-CI189</f>
        <v>829</v>
      </c>
      <c r="CK189" s="340">
        <f>+CE189+CF189+CG189</f>
        <v>1031</v>
      </c>
      <c r="CL189" s="340">
        <f>+Interiors!F14</f>
        <v>1475</v>
      </c>
      <c r="CM189" s="337">
        <f>CM188+CM187</f>
        <v>409</v>
      </c>
      <c r="CN189" s="338">
        <f>CN188+CN187</f>
        <v>461</v>
      </c>
      <c r="CO189" s="338">
        <f>CO188+CO187</f>
        <v>522</v>
      </c>
      <c r="CP189" s="339">
        <f>+CT189-CO189-CN189-CM189</f>
        <v>586</v>
      </c>
      <c r="CQ189" s="338">
        <f>SUM(CQ187:CQ188)</f>
        <v>870</v>
      </c>
      <c r="CR189" s="338">
        <f>+CT189-CQ189</f>
        <v>1108</v>
      </c>
      <c r="CS189" s="340">
        <f>+CM189+CN189+CO189</f>
        <v>1392</v>
      </c>
      <c r="CT189" s="340">
        <f>+Interiors!G14</f>
        <v>1978</v>
      </c>
      <c r="CU189" s="337">
        <f>SUM(CU187:CU188)</f>
        <v>584</v>
      </c>
      <c r="CV189" s="338">
        <f t="shared" ref="CV189:FF189" si="247">SUM(CV187:CV188)</f>
        <v>579</v>
      </c>
      <c r="CW189" s="338">
        <f t="shared" si="247"/>
        <v>605</v>
      </c>
      <c r="CX189" s="339">
        <f t="shared" si="247"/>
        <v>709</v>
      </c>
      <c r="CY189" s="338">
        <f t="shared" si="247"/>
        <v>1163</v>
      </c>
      <c r="CZ189" s="338">
        <f t="shared" si="247"/>
        <v>1314</v>
      </c>
      <c r="DA189" s="340">
        <f t="shared" si="247"/>
        <v>1768</v>
      </c>
      <c r="DB189" s="340">
        <f t="shared" si="247"/>
        <v>2477</v>
      </c>
      <c r="DC189" s="337">
        <f>SUM(DC187:DC188)</f>
        <v>676</v>
      </c>
      <c r="DD189" s="338">
        <f t="shared" ref="DD189" si="248">SUM(DD187:DD188)</f>
        <v>735</v>
      </c>
      <c r="DE189" s="338">
        <f>SUM(DE187:DE188)</f>
        <v>771</v>
      </c>
      <c r="DF189" s="339">
        <f t="shared" ref="DF189" si="249">SUM(DF187:DF188)</f>
        <v>855</v>
      </c>
      <c r="DG189" s="338">
        <f t="shared" ref="DG189:DH189" si="250">SUM(DG187:DG188)</f>
        <v>1411</v>
      </c>
      <c r="DH189" s="338">
        <f t="shared" si="250"/>
        <v>1626</v>
      </c>
      <c r="DI189" s="340">
        <f t="shared" si="247"/>
        <v>2182</v>
      </c>
      <c r="DJ189" s="340">
        <f t="shared" ref="DJ189" si="251">SUM(DJ187:DJ188)</f>
        <v>3037</v>
      </c>
      <c r="DK189" s="337">
        <f>SUM(DK187:DK188)</f>
        <v>788</v>
      </c>
      <c r="DL189" s="338">
        <f t="shared" ref="DL189" si="252">SUM(DL187:DL188)</f>
        <v>828</v>
      </c>
      <c r="DM189" s="338">
        <f>SUM(DM187:DM188)</f>
        <v>802</v>
      </c>
      <c r="DN189" s="339">
        <f t="shared" si="247"/>
        <v>931</v>
      </c>
      <c r="DO189" s="338">
        <f t="shared" si="247"/>
        <v>1616</v>
      </c>
      <c r="DP189" s="338">
        <f t="shared" si="247"/>
        <v>1733</v>
      </c>
      <c r="DQ189" s="340">
        <f t="shared" ref="DQ189:DR189" si="253">SUM(DQ187:DQ188)</f>
        <v>2418</v>
      </c>
      <c r="DR189" s="340">
        <f t="shared" si="253"/>
        <v>3349</v>
      </c>
      <c r="DS189" s="338">
        <f t="shared" si="247"/>
        <v>700</v>
      </c>
      <c r="DT189" s="338">
        <f t="shared" si="247"/>
        <v>755</v>
      </c>
      <c r="DU189" s="297">
        <f t="shared" si="247"/>
        <v>781.90299158626567</v>
      </c>
      <c r="DV189" s="360">
        <f t="shared" si="247"/>
        <v>944.45071018730528</v>
      </c>
      <c r="DW189" s="338">
        <f t="shared" si="247"/>
        <v>1455</v>
      </c>
      <c r="DX189" s="297">
        <f t="shared" si="247"/>
        <v>1726.3537017735709</v>
      </c>
      <c r="DY189" s="375">
        <f t="shared" si="247"/>
        <v>2236.9029915862657</v>
      </c>
      <c r="DZ189" s="375">
        <f t="shared" si="247"/>
        <v>3181.3537017735707</v>
      </c>
      <c r="EA189" s="297">
        <f t="shared" si="247"/>
        <v>764.83275663206462</v>
      </c>
      <c r="EB189" s="297">
        <f t="shared" si="247"/>
        <v>824.92675893886974</v>
      </c>
      <c r="EC189" s="297">
        <f t="shared" si="247"/>
        <v>854.32145781968813</v>
      </c>
      <c r="ED189" s="360">
        <f t="shared" si="247"/>
        <v>1031.9240573938114</v>
      </c>
      <c r="EE189" s="297">
        <f t="shared" si="247"/>
        <v>1589.7595155709344</v>
      </c>
      <c r="EF189" s="297">
        <f t="shared" si="247"/>
        <v>1886.2455152134994</v>
      </c>
      <c r="EG189" s="375">
        <f t="shared" si="247"/>
        <v>2444.0809733906226</v>
      </c>
      <c r="EH189" s="375">
        <f t="shared" si="247"/>
        <v>3476.005030784434</v>
      </c>
      <c r="EI189" s="297">
        <f t="shared" si="247"/>
        <v>831.00415897441258</v>
      </c>
      <c r="EJ189" s="297">
        <f t="shared" si="247"/>
        <v>896.26144258076442</v>
      </c>
      <c r="EK189" s="297">
        <f t="shared" si="247"/>
        <v>928.6937062152906</v>
      </c>
      <c r="EL189" s="360">
        <f t="shared" si="247"/>
        <v>1123.0244622896989</v>
      </c>
      <c r="EM189" s="297">
        <f t="shared" si="247"/>
        <v>1727.265601555177</v>
      </c>
      <c r="EN189" s="297">
        <f t="shared" si="247"/>
        <v>2051.7181685049895</v>
      </c>
      <c r="EO189" s="375">
        <f t="shared" si="247"/>
        <v>2655.9593077704676</v>
      </c>
      <c r="EP189" s="375">
        <f t="shared" si="247"/>
        <v>3778.9837700601665</v>
      </c>
      <c r="EQ189" s="297">
        <f t="shared" si="247"/>
        <v>895.95897972647708</v>
      </c>
      <c r="ER189" s="297">
        <f t="shared" si="247"/>
        <v>966.27823864380616</v>
      </c>
      <c r="ES189" s="297">
        <f t="shared" si="247"/>
        <v>1001.7800493242972</v>
      </c>
      <c r="ET189" s="360">
        <f t="shared" si="247"/>
        <v>1212.7734365476513</v>
      </c>
      <c r="EU189" s="297">
        <f t="shared" si="247"/>
        <v>1862.2372183702832</v>
      </c>
      <c r="EV189" s="297">
        <f t="shared" si="247"/>
        <v>2214.5534858719484</v>
      </c>
      <c r="EW189" s="375">
        <f t="shared" si="247"/>
        <v>2864.0172676945804</v>
      </c>
      <c r="EX189" s="375">
        <f t="shared" si="247"/>
        <v>4076.7907042422316</v>
      </c>
      <c r="EY189" s="297">
        <f t="shared" si="247"/>
        <v>936.00128507530883</v>
      </c>
      <c r="EZ189" s="297">
        <f t="shared" si="247"/>
        <v>1009.4216365294191</v>
      </c>
      <c r="FA189" s="297">
        <f t="shared" si="247"/>
        <v>1047.0833350215739</v>
      </c>
      <c r="FB189" s="360">
        <f t="shared" si="247"/>
        <v>1269.0861123628338</v>
      </c>
      <c r="FC189" s="297">
        <f t="shared" si="247"/>
        <v>1945.4229216047279</v>
      </c>
      <c r="FD189" s="297">
        <f t="shared" si="247"/>
        <v>2316.1694473844072</v>
      </c>
      <c r="FE189" s="375">
        <f t="shared" si="247"/>
        <v>2992.5062566263014</v>
      </c>
      <c r="FF189" s="375">
        <f t="shared" si="247"/>
        <v>4261.5923689891351</v>
      </c>
    </row>
    <row r="190" spans="1:162" ht="11.25" customHeight="1" outlineLevel="1" x14ac:dyDescent="0.2">
      <c r="A190" s="186"/>
      <c r="C190" s="198"/>
      <c r="D190" s="199"/>
      <c r="E190" s="199"/>
      <c r="F190" s="200"/>
      <c r="G190" s="199"/>
      <c r="H190" s="199"/>
      <c r="I190" s="201"/>
      <c r="J190" s="201"/>
      <c r="K190" s="198"/>
      <c r="L190" s="199"/>
      <c r="M190" s="199"/>
      <c r="N190" s="200"/>
      <c r="O190" s="199"/>
      <c r="P190" s="199"/>
      <c r="Q190" s="201"/>
      <c r="R190" s="201"/>
      <c r="S190" s="198"/>
      <c r="T190" s="199"/>
      <c r="U190" s="199"/>
      <c r="V190" s="200"/>
      <c r="W190" s="199"/>
      <c r="X190" s="199"/>
      <c r="Y190" s="201"/>
      <c r="Z190" s="201"/>
      <c r="AA190" s="198"/>
      <c r="AB190" s="199"/>
      <c r="AC190" s="199"/>
      <c r="AD190" s="200"/>
      <c r="AE190" s="199"/>
      <c r="AF190" s="199"/>
      <c r="AG190" s="201"/>
      <c r="AH190" s="201"/>
      <c r="AI190" s="198"/>
      <c r="AJ190" s="199"/>
      <c r="AK190" s="199"/>
      <c r="AL190" s="200"/>
      <c r="AM190" s="199"/>
      <c r="AN190" s="199"/>
      <c r="AO190" s="201"/>
      <c r="AP190" s="201"/>
      <c r="AQ190" s="198"/>
      <c r="AR190" s="199"/>
      <c r="AS190" s="199"/>
      <c r="AT190" s="200"/>
      <c r="AU190" s="199"/>
      <c r="AV190" s="199"/>
      <c r="AW190" s="201"/>
      <c r="AX190" s="201"/>
      <c r="AY190" s="198"/>
      <c r="AZ190" s="199"/>
      <c r="BA190" s="199"/>
      <c r="BB190" s="200"/>
      <c r="BC190" s="199"/>
      <c r="BD190" s="199"/>
      <c r="BE190" s="201"/>
      <c r="BF190" s="201"/>
      <c r="BG190" s="198"/>
      <c r="BH190" s="199"/>
      <c r="BI190" s="199"/>
      <c r="BJ190" s="200"/>
      <c r="BK190" s="199"/>
      <c r="BL190" s="199"/>
      <c r="BM190" s="201"/>
      <c r="BN190" s="201"/>
      <c r="BO190" s="198"/>
      <c r="BP190" s="199"/>
      <c r="BQ190" s="199"/>
      <c r="BR190" s="200"/>
      <c r="BS190" s="199"/>
      <c r="BT190" s="199"/>
      <c r="BU190" s="201"/>
      <c r="BV190" s="201"/>
      <c r="BW190" s="198"/>
      <c r="BX190" s="199"/>
      <c r="BY190" s="199"/>
      <c r="BZ190" s="200"/>
      <c r="CA190" s="199"/>
      <c r="CB190" s="199"/>
      <c r="CC190" s="201"/>
      <c r="CD190" s="201"/>
      <c r="CE190" s="198"/>
      <c r="CF190" s="199"/>
      <c r="CG190" s="199"/>
      <c r="CH190" s="200"/>
      <c r="CI190" s="199"/>
      <c r="CJ190" s="199"/>
      <c r="CK190" s="201"/>
      <c r="CL190" s="201"/>
      <c r="CM190" s="198"/>
      <c r="CN190" s="199"/>
      <c r="CO190" s="199"/>
      <c r="CP190" s="200"/>
      <c r="CQ190" s="199"/>
      <c r="CR190" s="199"/>
      <c r="CS190" s="201"/>
      <c r="CT190" s="201"/>
      <c r="CU190" s="199"/>
      <c r="CV190" s="199"/>
      <c r="CW190" s="199"/>
      <c r="CX190" s="200"/>
      <c r="CY190" s="199"/>
      <c r="CZ190" s="199"/>
      <c r="DA190" s="201"/>
      <c r="DB190" s="180"/>
      <c r="DC190" s="199"/>
      <c r="DD190" s="199"/>
      <c r="DE190" s="199"/>
      <c r="DF190" s="200"/>
      <c r="DG190" s="199"/>
      <c r="DH190" s="199"/>
      <c r="DI190" s="201"/>
      <c r="DJ190" s="180"/>
      <c r="DK190" s="199"/>
      <c r="DL190" s="199"/>
      <c r="DM190" s="199"/>
      <c r="DN190" s="200"/>
      <c r="DO190" s="199"/>
      <c r="DP190" s="199"/>
      <c r="DQ190" s="201"/>
      <c r="DR190" s="180"/>
      <c r="DS190" s="199"/>
      <c r="DT190" s="199"/>
      <c r="DU190" s="199"/>
      <c r="DV190" s="200"/>
      <c r="DW190" s="199"/>
      <c r="DX190" s="199"/>
      <c r="DY190" s="201"/>
      <c r="DZ190" s="180"/>
      <c r="EA190" s="199"/>
      <c r="EB190" s="199"/>
      <c r="EC190" s="199"/>
      <c r="ED190" s="200"/>
      <c r="EE190" s="199"/>
      <c r="EF190" s="199"/>
      <c r="EG190" s="201"/>
      <c r="EH190" s="180"/>
      <c r="EI190" s="199"/>
      <c r="EJ190" s="199"/>
      <c r="EK190" s="199"/>
      <c r="EL190" s="200"/>
      <c r="EM190" s="199"/>
      <c r="EN190" s="199"/>
      <c r="EO190" s="201"/>
      <c r="EP190" s="180"/>
      <c r="EQ190" s="199"/>
      <c r="ER190" s="199"/>
      <c r="ES190" s="199"/>
      <c r="ET190" s="200"/>
      <c r="EU190" s="199"/>
      <c r="EV190" s="199"/>
      <c r="EW190" s="201"/>
      <c r="EX190" s="180"/>
      <c r="EY190" s="199"/>
      <c r="EZ190" s="199"/>
      <c r="FA190" s="199"/>
      <c r="FB190" s="200"/>
      <c r="FC190" s="199"/>
      <c r="FD190" s="199"/>
      <c r="FE190" s="201"/>
      <c r="FF190" s="180"/>
    </row>
    <row r="191" spans="1:162" ht="11.25" customHeight="1" outlineLevel="1" x14ac:dyDescent="0.2">
      <c r="A191" s="186"/>
      <c r="B191" s="197" t="s">
        <v>336</v>
      </c>
      <c r="C191" s="268"/>
      <c r="D191" s="278"/>
      <c r="E191" s="278"/>
      <c r="F191" s="298"/>
      <c r="G191" s="278"/>
      <c r="H191" s="278"/>
      <c r="I191" s="250"/>
      <c r="J191" s="250"/>
      <c r="K191" s="268"/>
      <c r="L191" s="278"/>
      <c r="M191" s="278"/>
      <c r="N191" s="298"/>
      <c r="O191" s="278"/>
      <c r="P191" s="278"/>
      <c r="Q191" s="250"/>
      <c r="R191" s="250"/>
      <c r="S191" s="268"/>
      <c r="T191" s="278"/>
      <c r="U191" s="278"/>
      <c r="V191" s="298"/>
      <c r="W191" s="278"/>
      <c r="X191" s="278"/>
      <c r="Y191" s="250"/>
      <c r="Z191" s="250"/>
      <c r="AA191" s="268"/>
      <c r="AB191" s="278"/>
      <c r="AC191" s="278"/>
      <c r="AD191" s="298"/>
      <c r="AE191" s="278"/>
      <c r="AF191" s="278"/>
      <c r="AG191" s="250"/>
      <c r="AH191" s="250"/>
      <c r="AI191" s="268"/>
      <c r="AJ191" s="278"/>
      <c r="AK191" s="278"/>
      <c r="AL191" s="298"/>
      <c r="AM191" s="278"/>
      <c r="AN191" s="278"/>
      <c r="AO191" s="250"/>
      <c r="AP191" s="250"/>
      <c r="AQ191" s="268"/>
      <c r="AR191" s="278"/>
      <c r="AS191" s="278"/>
      <c r="AT191" s="298"/>
      <c r="AU191" s="278"/>
      <c r="AV191" s="278"/>
      <c r="AW191" s="250"/>
      <c r="AX191" s="250"/>
      <c r="AY191" s="268"/>
      <c r="AZ191" s="278"/>
      <c r="BA191" s="278"/>
      <c r="BB191" s="298"/>
      <c r="BC191" s="278"/>
      <c r="BD191" s="278"/>
      <c r="BE191" s="250"/>
      <c r="BF191" s="250"/>
      <c r="BG191" s="268"/>
      <c r="BH191" s="278"/>
      <c r="BI191" s="278"/>
      <c r="BJ191" s="298"/>
      <c r="BK191" s="278"/>
      <c r="BL191" s="278"/>
      <c r="BM191" s="250"/>
      <c r="BN191" s="250"/>
      <c r="BO191" s="268"/>
      <c r="BP191" s="278"/>
      <c r="BQ191" s="278">
        <f t="shared" ref="BQ191:EB193" si="254">BQ187/BI187-1</f>
        <v>1.4134275618374659E-2</v>
      </c>
      <c r="BR191" s="298">
        <f t="shared" si="254"/>
        <v>0.16021126760563376</v>
      </c>
      <c r="BS191" s="278">
        <f t="shared" si="254"/>
        <v>0.6546463245492371</v>
      </c>
      <c r="BT191" s="278">
        <f t="shared" si="254"/>
        <v>8.7301587301587213E-2</v>
      </c>
      <c r="BU191" s="250">
        <f t="shared" si="254"/>
        <v>0.37296037296037299</v>
      </c>
      <c r="BV191" s="250">
        <f t="shared" si="254"/>
        <v>0.30781671159029655</v>
      </c>
      <c r="BW191" s="268">
        <f t="shared" si="254"/>
        <v>-0.19528619528619529</v>
      </c>
      <c r="BX191" s="278">
        <f t="shared" si="254"/>
        <v>-0.54090150250417368</v>
      </c>
      <c r="BY191" s="278">
        <f t="shared" si="254"/>
        <v>-0.51916376306620204</v>
      </c>
      <c r="BZ191" s="298">
        <f t="shared" si="254"/>
        <v>-0.37025796661608501</v>
      </c>
      <c r="CA191" s="278">
        <f t="shared" si="254"/>
        <v>-0.36881810561609385</v>
      </c>
      <c r="CB191" s="278">
        <f t="shared" si="254"/>
        <v>-0.43957826439578263</v>
      </c>
      <c r="CC191" s="250">
        <f t="shared" si="254"/>
        <v>-0.41765704584040741</v>
      </c>
      <c r="CD191" s="250">
        <f t="shared" si="254"/>
        <v>-0.40478153338829348</v>
      </c>
      <c r="CE191" s="268">
        <f t="shared" si="254"/>
        <v>-0.51882845188284521</v>
      </c>
      <c r="CF191" s="278">
        <f t="shared" si="254"/>
        <v>-0.12727272727272732</v>
      </c>
      <c r="CG191" s="278">
        <f t="shared" si="254"/>
        <v>-1.4492753623188359E-2</v>
      </c>
      <c r="CH191" s="298">
        <f t="shared" si="254"/>
        <v>-0.2168674698795181</v>
      </c>
      <c r="CI191" s="278">
        <f t="shared" si="254"/>
        <v>-0.37583001328021248</v>
      </c>
      <c r="CJ191" s="278">
        <f t="shared" si="254"/>
        <v>-0.13603473227206941</v>
      </c>
      <c r="CK191" s="250">
        <f t="shared" si="254"/>
        <v>-0.27891156462585032</v>
      </c>
      <c r="CL191" s="250">
        <f t="shared" si="254"/>
        <v>-0.2610803324099723</v>
      </c>
      <c r="CM191" s="268">
        <f t="shared" si="254"/>
        <v>0.25217391304347836</v>
      </c>
      <c r="CN191" s="278">
        <f t="shared" si="254"/>
        <v>0.35416666666666674</v>
      </c>
      <c r="CO191" s="278">
        <f t="shared" si="254"/>
        <v>0.33455882352941169</v>
      </c>
      <c r="CP191" s="298">
        <f t="shared" si="254"/>
        <v>0.27076923076923087</v>
      </c>
      <c r="CQ191" s="278">
        <f t="shared" si="254"/>
        <v>0.30425531914893611</v>
      </c>
      <c r="CR191" s="278">
        <f t="shared" si="254"/>
        <v>0.29983249581239524</v>
      </c>
      <c r="CS191" s="250">
        <f t="shared" si="254"/>
        <v>0.31536388140161731</v>
      </c>
      <c r="CT191" s="250">
        <f t="shared" si="254"/>
        <v>0.30178069353327075</v>
      </c>
      <c r="CU191" s="268">
        <f t="shared" si="254"/>
        <v>0.37152777777777768</v>
      </c>
      <c r="CV191" s="278">
        <f t="shared" si="254"/>
        <v>0.13230769230769224</v>
      </c>
      <c r="CW191" s="278">
        <f t="shared" si="254"/>
        <v>4.9586776859504189E-2</v>
      </c>
      <c r="CX191" s="298">
        <f t="shared" si="254"/>
        <v>9.6852300242130651E-2</v>
      </c>
      <c r="CY191" s="278">
        <f t="shared" si="254"/>
        <v>0.24469820554649258</v>
      </c>
      <c r="CZ191" s="278">
        <f t="shared" si="254"/>
        <v>7.474226804123707E-2</v>
      </c>
      <c r="DA191" s="250">
        <f t="shared" si="254"/>
        <v>0.17213114754098369</v>
      </c>
      <c r="DB191" s="250">
        <f t="shared" si="254"/>
        <v>0.1497480201583874</v>
      </c>
      <c r="DC191" s="268">
        <f t="shared" si="254"/>
        <v>5.5696202531645644E-2</v>
      </c>
      <c r="DD191" s="278">
        <f t="shared" si="254"/>
        <v>0.25815217391304346</v>
      </c>
      <c r="DE191" s="278">
        <f t="shared" si="254"/>
        <v>0.27821522309711288</v>
      </c>
      <c r="DF191" s="298">
        <f t="shared" si="254"/>
        <v>0.21192052980132448</v>
      </c>
      <c r="DG191" s="278">
        <f t="shared" si="254"/>
        <v>0.15334207077326334</v>
      </c>
      <c r="DH191" s="278">
        <f t="shared" si="254"/>
        <v>0.24220623501199046</v>
      </c>
      <c r="DI191" s="250">
        <f t="shared" si="254"/>
        <v>0.19493006993007</v>
      </c>
      <c r="DJ191" s="250">
        <f t="shared" si="254"/>
        <v>0.19974953036944276</v>
      </c>
      <c r="DK191" s="268">
        <f t="shared" si="254"/>
        <v>0.14388489208633093</v>
      </c>
      <c r="DL191" s="278">
        <f t="shared" si="254"/>
        <v>0.12958963282937375</v>
      </c>
      <c r="DM191" s="278">
        <f t="shared" si="254"/>
        <v>3.2854209445585258E-2</v>
      </c>
      <c r="DN191" s="298">
        <f t="shared" si="254"/>
        <v>0.11475409836065564</v>
      </c>
      <c r="DO191" s="278">
        <f t="shared" si="254"/>
        <v>0.13636363636363646</v>
      </c>
      <c r="DP191" s="278">
        <f t="shared" si="254"/>
        <v>7.6254826254826158E-2</v>
      </c>
      <c r="DQ191" s="250">
        <f t="shared" si="254"/>
        <v>9.9487929773226069E-2</v>
      </c>
      <c r="DR191" s="250">
        <f t="shared" si="254"/>
        <v>0.10386221294363263</v>
      </c>
      <c r="DS191" s="268">
        <f t="shared" si="254"/>
        <v>-0.11111111111111116</v>
      </c>
      <c r="DT191" s="278">
        <f t="shared" si="254"/>
        <v>-0.12810707456978965</v>
      </c>
      <c r="DU191" s="299">
        <f t="shared" si="254"/>
        <v>-2.5058613982212319E-2</v>
      </c>
      <c r="DV191" s="362">
        <f t="shared" si="254"/>
        <v>4.3677310883453835E-2</v>
      </c>
      <c r="DW191" s="278">
        <f t="shared" si="254"/>
        <v>-0.12</v>
      </c>
      <c r="DX191" s="299">
        <f t="shared" si="254"/>
        <v>1.2669086482171243E-2</v>
      </c>
      <c r="DY191" s="300">
        <f t="shared" si="254"/>
        <v>-8.8226535484399737E-2</v>
      </c>
      <c r="DZ191" s="300">
        <f t="shared" si="254"/>
        <v>-5.0058613982212341E-2</v>
      </c>
      <c r="EA191" s="363">
        <f t="shared" si="254"/>
        <v>9.2618223760092322E-2</v>
      </c>
      <c r="EB191" s="299">
        <f t="shared" si="254"/>
        <v>9.2618223760092544E-2</v>
      </c>
      <c r="EC191" s="299">
        <f t="shared" ref="DZ191:FF193" si="255">EC187/DU187-1</f>
        <v>9.2618223760092544E-2</v>
      </c>
      <c r="ED191" s="362">
        <f t="shared" si="255"/>
        <v>9.2618223760092322E-2</v>
      </c>
      <c r="EE191" s="299">
        <f t="shared" si="255"/>
        <v>9.2618223760092322E-2</v>
      </c>
      <c r="EF191" s="299">
        <f t="shared" si="255"/>
        <v>9.2618223760092322E-2</v>
      </c>
      <c r="EG191" s="300">
        <f t="shared" si="255"/>
        <v>9.2618223760092322E-2</v>
      </c>
      <c r="EH191" s="300">
        <f t="shared" si="255"/>
        <v>9.2618223760092322E-2</v>
      </c>
      <c r="EI191" s="363">
        <f t="shared" si="255"/>
        <v>9.637462235649541E-2</v>
      </c>
      <c r="EJ191" s="299">
        <f t="shared" si="255"/>
        <v>9.6374622356495632E-2</v>
      </c>
      <c r="EK191" s="299">
        <f t="shared" si="255"/>
        <v>9.637462235649541E-2</v>
      </c>
      <c r="EL191" s="362">
        <f t="shared" si="255"/>
        <v>9.637462235649541E-2</v>
      </c>
      <c r="EM191" s="299">
        <f t="shared" si="255"/>
        <v>9.637462235649541E-2</v>
      </c>
      <c r="EN191" s="299">
        <f t="shared" si="255"/>
        <v>9.637462235649541E-2</v>
      </c>
      <c r="EO191" s="300">
        <f t="shared" si="255"/>
        <v>9.637462235649541E-2</v>
      </c>
      <c r="EP191" s="300">
        <f t="shared" si="255"/>
        <v>9.637462235649541E-2</v>
      </c>
      <c r="EQ191" s="363">
        <f t="shared" si="255"/>
        <v>8.7884018001229691E-2</v>
      </c>
      <c r="ER191" s="299">
        <f t="shared" si="255"/>
        <v>8.7884018001229913E-2</v>
      </c>
      <c r="ES191" s="299">
        <f t="shared" si="255"/>
        <v>8.7884018001229691E-2</v>
      </c>
      <c r="ET191" s="362">
        <f t="shared" si="255"/>
        <v>8.7884018001229691E-2</v>
      </c>
      <c r="EU191" s="299">
        <f t="shared" si="255"/>
        <v>8.7884018001229691E-2</v>
      </c>
      <c r="EV191" s="299">
        <f t="shared" si="255"/>
        <v>8.7884018001229691E-2</v>
      </c>
      <c r="EW191" s="300">
        <f t="shared" si="255"/>
        <v>8.7884018001229691E-2</v>
      </c>
      <c r="EX191" s="300">
        <f t="shared" si="255"/>
        <v>8.7884018001229691E-2</v>
      </c>
      <c r="EY191" s="363">
        <f t="shared" si="255"/>
        <v>5.4274129365194712E-2</v>
      </c>
      <c r="EZ191" s="299">
        <f t="shared" si="255"/>
        <v>5.4274129365194712E-2</v>
      </c>
      <c r="FA191" s="299">
        <f t="shared" si="255"/>
        <v>5.4274129365194712E-2</v>
      </c>
      <c r="FB191" s="362">
        <f t="shared" si="255"/>
        <v>5.4274129365194934E-2</v>
      </c>
      <c r="FC191" s="299">
        <f t="shared" si="255"/>
        <v>5.4274129365194712E-2</v>
      </c>
      <c r="FD191" s="299">
        <f t="shared" si="255"/>
        <v>5.4274129365194934E-2</v>
      </c>
      <c r="FE191" s="300">
        <f t="shared" si="255"/>
        <v>5.4274129365194712E-2</v>
      </c>
      <c r="FF191" s="300">
        <f t="shared" si="255"/>
        <v>5.4274129365194712E-2</v>
      </c>
    </row>
    <row r="192" spans="1:162" ht="11.25" customHeight="1" outlineLevel="1" x14ac:dyDescent="0.2">
      <c r="A192" s="186"/>
      <c r="B192" s="197" t="s">
        <v>337</v>
      </c>
      <c r="C192" s="268"/>
      <c r="D192" s="278"/>
      <c r="E192" s="278"/>
      <c r="F192" s="298"/>
      <c r="G192" s="278"/>
      <c r="H192" s="278"/>
      <c r="I192" s="250"/>
      <c r="J192" s="250"/>
      <c r="K192" s="268"/>
      <c r="L192" s="278"/>
      <c r="M192" s="278"/>
      <c r="N192" s="298"/>
      <c r="O192" s="278"/>
      <c r="P192" s="278"/>
      <c r="Q192" s="250"/>
      <c r="R192" s="250"/>
      <c r="S192" s="268"/>
      <c r="T192" s="278"/>
      <c r="U192" s="278"/>
      <c r="V192" s="298"/>
      <c r="W192" s="278"/>
      <c r="X192" s="278"/>
      <c r="Y192" s="250"/>
      <c r="Z192" s="250"/>
      <c r="AA192" s="268"/>
      <c r="AB192" s="278"/>
      <c r="AC192" s="278"/>
      <c r="AD192" s="298"/>
      <c r="AE192" s="278"/>
      <c r="AF192" s="278"/>
      <c r="AG192" s="250"/>
      <c r="AH192" s="250"/>
      <c r="AI192" s="268"/>
      <c r="AJ192" s="278"/>
      <c r="AK192" s="278"/>
      <c r="AL192" s="298"/>
      <c r="AM192" s="278"/>
      <c r="AN192" s="278"/>
      <c r="AO192" s="250"/>
      <c r="AP192" s="250"/>
      <c r="AQ192" s="268"/>
      <c r="AR192" s="278"/>
      <c r="AS192" s="278"/>
      <c r="AT192" s="298"/>
      <c r="AU192" s="278"/>
      <c r="AV192" s="278"/>
      <c r="AW192" s="250"/>
      <c r="AX192" s="250"/>
      <c r="AY192" s="268"/>
      <c r="AZ192" s="278"/>
      <c r="BA192" s="278"/>
      <c r="BB192" s="298"/>
      <c r="BC192" s="278"/>
      <c r="BD192" s="278"/>
      <c r="BE192" s="250"/>
      <c r="BF192" s="250"/>
      <c r="BG192" s="268"/>
      <c r="BH192" s="278"/>
      <c r="BI192" s="278"/>
      <c r="BJ192" s="298"/>
      <c r="BK192" s="278"/>
      <c r="BL192" s="278"/>
      <c r="BM192" s="250"/>
      <c r="BN192" s="250"/>
      <c r="BO192" s="268"/>
      <c r="BP192" s="278"/>
      <c r="BQ192" s="278">
        <f t="shared" si="254"/>
        <v>0.13793103448275867</v>
      </c>
      <c r="BR192" s="298">
        <f t="shared" si="254"/>
        <v>0.11855670103092786</v>
      </c>
      <c r="BS192" s="278">
        <f t="shared" si="254"/>
        <v>0.72586872586872597</v>
      </c>
      <c r="BT192" s="278">
        <f t="shared" si="254"/>
        <v>0.12846347607052899</v>
      </c>
      <c r="BU192" s="250">
        <f t="shared" si="254"/>
        <v>0.46753246753246747</v>
      </c>
      <c r="BV192" s="250">
        <f t="shared" si="254"/>
        <v>0.36432926829268286</v>
      </c>
      <c r="BW192" s="268">
        <f t="shared" si="254"/>
        <v>1.8867924528301883E-2</v>
      </c>
      <c r="BX192" s="278">
        <f t="shared" si="254"/>
        <v>-0.56170212765957439</v>
      </c>
      <c r="BY192" s="278">
        <f t="shared" si="254"/>
        <v>-0.64935064935064934</v>
      </c>
      <c r="BZ192" s="298">
        <f t="shared" si="254"/>
        <v>-0.64055299539170507</v>
      </c>
      <c r="CA192" s="278">
        <f t="shared" si="254"/>
        <v>-0.28635346756152125</v>
      </c>
      <c r="CB192" s="278">
        <f t="shared" si="254"/>
        <v>-0.6450892857142857</v>
      </c>
      <c r="CC192" s="250">
        <f t="shared" si="254"/>
        <v>-0.41002949852507375</v>
      </c>
      <c r="CD192" s="250">
        <f t="shared" si="254"/>
        <v>-0.46592178770949721</v>
      </c>
      <c r="CE192" s="268">
        <f t="shared" si="254"/>
        <v>-0.6157407407407407</v>
      </c>
      <c r="CF192" s="278">
        <f t="shared" si="254"/>
        <v>-9.7087378640776656E-2</v>
      </c>
      <c r="CG192" s="278">
        <f t="shared" si="254"/>
        <v>0.39506172839506171</v>
      </c>
      <c r="CH192" s="298">
        <f t="shared" si="254"/>
        <v>0.52564102564102555</v>
      </c>
      <c r="CI192" s="278">
        <f t="shared" si="254"/>
        <v>-0.44827586206896552</v>
      </c>
      <c r="CJ192" s="278">
        <f t="shared" si="254"/>
        <v>0.45911949685534581</v>
      </c>
      <c r="CK192" s="250">
        <f t="shared" si="254"/>
        <v>-0.27749999999999997</v>
      </c>
      <c r="CL192" s="250">
        <f t="shared" si="254"/>
        <v>-0.14644351464435146</v>
      </c>
      <c r="CM192" s="268">
        <f t="shared" si="254"/>
        <v>0.45783132530120474</v>
      </c>
      <c r="CN192" s="278">
        <f t="shared" si="254"/>
        <v>0.4623655913978495</v>
      </c>
      <c r="CO192" s="278">
        <f t="shared" si="254"/>
        <v>0.40707964601769908</v>
      </c>
      <c r="CP192" s="298">
        <f t="shared" si="254"/>
        <v>0.45378151260504196</v>
      </c>
      <c r="CQ192" s="278">
        <f t="shared" si="254"/>
        <v>0.46022727272727271</v>
      </c>
      <c r="CR192" s="278">
        <f t="shared" si="254"/>
        <v>0.43103448275862077</v>
      </c>
      <c r="CS192" s="250">
        <f t="shared" si="254"/>
        <v>0.43944636678200699</v>
      </c>
      <c r="CT192" s="250">
        <f t="shared" si="254"/>
        <v>0.44362745098039214</v>
      </c>
      <c r="CU192" s="268">
        <f t="shared" si="254"/>
        <v>0.56198347107438007</v>
      </c>
      <c r="CV192" s="278">
        <f t="shared" si="254"/>
        <v>0.55147058823529416</v>
      </c>
      <c r="CW192" s="278">
        <f t="shared" si="254"/>
        <v>0.40880503144654079</v>
      </c>
      <c r="CX192" s="298">
        <f t="shared" si="254"/>
        <v>0.47976878612716756</v>
      </c>
      <c r="CY192" s="278">
        <f t="shared" si="254"/>
        <v>0.55642023346303504</v>
      </c>
      <c r="CZ192" s="278">
        <f t="shared" si="254"/>
        <v>0.44578313253012047</v>
      </c>
      <c r="DA192" s="250">
        <f t="shared" si="254"/>
        <v>0.5</v>
      </c>
      <c r="DB192" s="250">
        <f t="shared" si="254"/>
        <v>0.49405772495755529</v>
      </c>
      <c r="DC192" s="268">
        <f t="shared" si="254"/>
        <v>0.37037037037037046</v>
      </c>
      <c r="DD192" s="278">
        <f t="shared" si="254"/>
        <v>0.2890995260663507</v>
      </c>
      <c r="DE192" s="278">
        <f t="shared" si="254"/>
        <v>0.26785714285714279</v>
      </c>
      <c r="DF192" s="298">
        <f t="shared" si="254"/>
        <v>0.1953125</v>
      </c>
      <c r="DG192" s="278">
        <f t="shared" si="254"/>
        <v>0.3274999999999999</v>
      </c>
      <c r="DH192" s="278">
        <f t="shared" si="254"/>
        <v>0.22916666666666674</v>
      </c>
      <c r="DI192" s="250">
        <f t="shared" si="254"/>
        <v>0.30608974358974361</v>
      </c>
      <c r="DJ192" s="250">
        <f t="shared" si="254"/>
        <v>0.27386363636363642</v>
      </c>
      <c r="DK192" s="268">
        <f t="shared" si="254"/>
        <v>0.20077220077220082</v>
      </c>
      <c r="DL192" s="278">
        <f t="shared" si="254"/>
        <v>0.12132352941176472</v>
      </c>
      <c r="DM192" s="278">
        <f t="shared" si="254"/>
        <v>5.2816901408450745E-2</v>
      </c>
      <c r="DN192" s="298">
        <f t="shared" si="254"/>
        <v>4.2483660130719025E-2</v>
      </c>
      <c r="DO192" s="278">
        <f t="shared" si="254"/>
        <v>0.16007532956685488</v>
      </c>
      <c r="DP192" s="278">
        <f t="shared" si="254"/>
        <v>4.7457627118643986E-2</v>
      </c>
      <c r="DQ192" s="250">
        <f t="shared" si="254"/>
        <v>0.12269938650306744</v>
      </c>
      <c r="DR192" s="250">
        <f t="shared" si="254"/>
        <v>0.10080285459411242</v>
      </c>
      <c r="DS192" s="268">
        <f t="shared" si="254"/>
        <v>-0.112540192926045</v>
      </c>
      <c r="DT192" s="278">
        <f t="shared" si="254"/>
        <v>-1.9672131147540961E-2</v>
      </c>
      <c r="DU192" s="299">
        <f t="shared" si="254"/>
        <v>-2.505861398221243E-2</v>
      </c>
      <c r="DV192" s="362">
        <f t="shared" si="254"/>
        <v>-4.1629479853819928E-2</v>
      </c>
      <c r="DW192" s="278">
        <f t="shared" si="254"/>
        <v>-6.6558441558441594E-2</v>
      </c>
      <c r="DX192" s="299">
        <f t="shared" si="254"/>
        <v>-3.3612183906229887E-2</v>
      </c>
      <c r="DY192" s="300">
        <f t="shared" si="254"/>
        <v>-5.2997295716591841E-2</v>
      </c>
      <c r="DZ192" s="300">
        <f t="shared" si="255"/>
        <v>-5.0058613982212341E-2</v>
      </c>
      <c r="EA192" s="363">
        <f t="shared" si="255"/>
        <v>9.2618223760092322E-2</v>
      </c>
      <c r="EB192" s="299">
        <f t="shared" si="255"/>
        <v>9.2618223760092322E-2</v>
      </c>
      <c r="EC192" s="299">
        <f t="shared" si="255"/>
        <v>9.2618223760092322E-2</v>
      </c>
      <c r="ED192" s="362">
        <f t="shared" si="255"/>
        <v>9.2618223760092544E-2</v>
      </c>
      <c r="EE192" s="299">
        <f t="shared" si="255"/>
        <v>9.2618223760092322E-2</v>
      </c>
      <c r="EF192" s="299">
        <f t="shared" si="255"/>
        <v>9.2618223760092544E-2</v>
      </c>
      <c r="EG192" s="300">
        <f t="shared" si="255"/>
        <v>9.2618223760092322E-2</v>
      </c>
      <c r="EH192" s="300">
        <f t="shared" si="255"/>
        <v>9.2618223760092322E-2</v>
      </c>
      <c r="EI192" s="363">
        <f t="shared" si="255"/>
        <v>7.1374622356495498E-2</v>
      </c>
      <c r="EJ192" s="299">
        <f t="shared" si="255"/>
        <v>7.1374622356495498E-2</v>
      </c>
      <c r="EK192" s="299">
        <f t="shared" si="255"/>
        <v>7.1374622356495498E-2</v>
      </c>
      <c r="EL192" s="362">
        <f t="shared" si="255"/>
        <v>7.1374622356495943E-2</v>
      </c>
      <c r="EM192" s="299">
        <f t="shared" si="255"/>
        <v>7.1374622356495498E-2</v>
      </c>
      <c r="EN192" s="299">
        <f t="shared" si="255"/>
        <v>7.1374622356495721E-2</v>
      </c>
      <c r="EO192" s="300">
        <f t="shared" si="255"/>
        <v>7.1374622356495498E-2</v>
      </c>
      <c r="EP192" s="300">
        <f t="shared" si="255"/>
        <v>7.1374622356495498E-2</v>
      </c>
      <c r="EQ192" s="363">
        <f t="shared" si="255"/>
        <v>6.2884018001229558E-2</v>
      </c>
      <c r="ER192" s="299">
        <f t="shared" si="255"/>
        <v>6.2884018001229558E-2</v>
      </c>
      <c r="ES192" s="299">
        <f t="shared" si="255"/>
        <v>6.2884018001229558E-2</v>
      </c>
      <c r="ET192" s="362">
        <f t="shared" si="255"/>
        <v>6.2884018001229558E-2</v>
      </c>
      <c r="EU192" s="299">
        <f t="shared" si="255"/>
        <v>6.2884018001229558E-2</v>
      </c>
      <c r="EV192" s="299">
        <f t="shared" si="255"/>
        <v>6.2884018001229558E-2</v>
      </c>
      <c r="EW192" s="300">
        <f t="shared" si="255"/>
        <v>6.2884018001229558E-2</v>
      </c>
      <c r="EX192" s="300">
        <f t="shared" si="255"/>
        <v>6.2884018001229558E-2</v>
      </c>
      <c r="EY192" s="363">
        <f t="shared" si="255"/>
        <v>2.9274129365194801E-2</v>
      </c>
      <c r="EZ192" s="299">
        <f t="shared" si="255"/>
        <v>2.9274129365194801E-2</v>
      </c>
      <c r="FA192" s="299">
        <f t="shared" si="255"/>
        <v>2.9274129365194801E-2</v>
      </c>
      <c r="FB192" s="362">
        <f t="shared" si="255"/>
        <v>2.9274129365194801E-2</v>
      </c>
      <c r="FC192" s="299">
        <f t="shared" si="255"/>
        <v>2.9274129365194801E-2</v>
      </c>
      <c r="FD192" s="299">
        <f t="shared" si="255"/>
        <v>2.9274129365194801E-2</v>
      </c>
      <c r="FE192" s="300">
        <f t="shared" si="255"/>
        <v>2.9274129365194801E-2</v>
      </c>
      <c r="FF192" s="300">
        <f t="shared" si="255"/>
        <v>2.9274129365194801E-2</v>
      </c>
    </row>
    <row r="193" spans="1:162" ht="11.25" customHeight="1" outlineLevel="1" x14ac:dyDescent="0.2">
      <c r="A193" s="202" t="s">
        <v>338</v>
      </c>
      <c r="C193" s="259"/>
      <c r="D193" s="260"/>
      <c r="E193" s="260"/>
      <c r="F193" s="262"/>
      <c r="G193" s="260"/>
      <c r="H193" s="260"/>
      <c r="I193" s="263"/>
      <c r="J193" s="263"/>
      <c r="K193" s="259"/>
      <c r="L193" s="260"/>
      <c r="M193" s="260"/>
      <c r="N193" s="262"/>
      <c r="O193" s="260"/>
      <c r="P193" s="260"/>
      <c r="Q193" s="263"/>
      <c r="R193" s="263"/>
      <c r="S193" s="259"/>
      <c r="T193" s="260"/>
      <c r="U193" s="260"/>
      <c r="V193" s="262"/>
      <c r="W193" s="260"/>
      <c r="X193" s="260"/>
      <c r="Y193" s="263"/>
      <c r="Z193" s="263"/>
      <c r="AA193" s="259"/>
      <c r="AB193" s="260"/>
      <c r="AC193" s="260"/>
      <c r="AD193" s="262"/>
      <c r="AE193" s="260"/>
      <c r="AF193" s="260"/>
      <c r="AG193" s="263"/>
      <c r="AH193" s="263"/>
      <c r="AI193" s="259"/>
      <c r="AJ193" s="260"/>
      <c r="AK193" s="260"/>
      <c r="AL193" s="262"/>
      <c r="AM193" s="260"/>
      <c r="AN193" s="260"/>
      <c r="AO193" s="263"/>
      <c r="AP193" s="263"/>
      <c r="AQ193" s="259"/>
      <c r="AR193" s="260"/>
      <c r="AS193" s="260"/>
      <c r="AT193" s="262"/>
      <c r="AU193" s="260"/>
      <c r="AV193" s="260"/>
      <c r="AW193" s="263"/>
      <c r="AX193" s="263"/>
      <c r="AY193" s="259"/>
      <c r="AZ193" s="260"/>
      <c r="BA193" s="260"/>
      <c r="BB193" s="262"/>
      <c r="BC193" s="260"/>
      <c r="BD193" s="260"/>
      <c r="BE193" s="263"/>
      <c r="BF193" s="263"/>
      <c r="BG193" s="259"/>
      <c r="BH193" s="260"/>
      <c r="BI193" s="260"/>
      <c r="BJ193" s="262"/>
      <c r="BK193" s="260"/>
      <c r="BL193" s="260"/>
      <c r="BM193" s="263"/>
      <c r="BN193" s="263"/>
      <c r="BO193" s="259"/>
      <c r="BP193" s="260"/>
      <c r="BQ193" s="260">
        <f t="shared" si="254"/>
        <v>4.6814044213264072E-2</v>
      </c>
      <c r="BR193" s="262">
        <f t="shared" si="254"/>
        <v>0.14960629921259838</v>
      </c>
      <c r="BS193" s="260">
        <f t="shared" si="254"/>
        <v>0.67346938775510212</v>
      </c>
      <c r="BT193" s="260">
        <f t="shared" si="254"/>
        <v>9.7975179621162534E-2</v>
      </c>
      <c r="BU193" s="263">
        <f t="shared" si="254"/>
        <v>0.39794168096054894</v>
      </c>
      <c r="BV193" s="263">
        <f t="shared" si="254"/>
        <v>0.32258064516129026</v>
      </c>
      <c r="BW193" s="259">
        <f>BW189/BO189-1</f>
        <v>-0.13895781637717119</v>
      </c>
      <c r="BX193" s="260">
        <f t="shared" si="254"/>
        <v>-0.54676258992805749</v>
      </c>
      <c r="BY193" s="260">
        <f t="shared" si="254"/>
        <v>-0.55652173913043479</v>
      </c>
      <c r="BZ193" s="262">
        <f t="shared" si="254"/>
        <v>-0.43721461187214616</v>
      </c>
      <c r="CA193" s="260">
        <f t="shared" si="254"/>
        <v>-0.34634146341463412</v>
      </c>
      <c r="CB193" s="260">
        <f t="shared" si="254"/>
        <v>-0.49434860202260555</v>
      </c>
      <c r="CC193" s="263">
        <f t="shared" si="254"/>
        <v>-0.41554192229038855</v>
      </c>
      <c r="CD193" s="263">
        <f t="shared" si="254"/>
        <v>-0.42125865703101473</v>
      </c>
      <c r="CE193" s="259">
        <f t="shared" si="254"/>
        <v>-0.54899135446685876</v>
      </c>
      <c r="CF193" s="260">
        <f t="shared" si="254"/>
        <v>-0.11904761904761907</v>
      </c>
      <c r="CG193" s="260">
        <f t="shared" si="254"/>
        <v>7.8431372549019551E-2</v>
      </c>
      <c r="CH193" s="262">
        <f t="shared" si="254"/>
        <v>-9.9391480730223081E-2</v>
      </c>
      <c r="CI193" s="260">
        <f t="shared" si="254"/>
        <v>-0.39738805970149249</v>
      </c>
      <c r="CJ193" s="260">
        <f t="shared" si="254"/>
        <v>-2.4705882352941133E-2</v>
      </c>
      <c r="CK193" s="263">
        <f t="shared" si="254"/>
        <v>-0.2785164450664801</v>
      </c>
      <c r="CL193" s="263">
        <f t="shared" si="254"/>
        <v>-0.2325702393340271</v>
      </c>
      <c r="CM193" s="259">
        <f t="shared" si="254"/>
        <v>0.30670926517571884</v>
      </c>
      <c r="CN193" s="260">
        <f t="shared" si="254"/>
        <v>0.38438438438438438</v>
      </c>
      <c r="CO193" s="260">
        <f>CO189/CG189-1</f>
        <v>0.35584415584415585</v>
      </c>
      <c r="CP193" s="262">
        <f t="shared" si="254"/>
        <v>0.31981981981981988</v>
      </c>
      <c r="CQ193" s="260">
        <f t="shared" si="254"/>
        <v>0.34674922600619196</v>
      </c>
      <c r="CR193" s="260">
        <f t="shared" si="254"/>
        <v>0.33655006031363088</v>
      </c>
      <c r="CS193" s="263">
        <f t="shared" si="254"/>
        <v>0.35014548981571281</v>
      </c>
      <c r="CT193" s="263">
        <f t="shared" si="254"/>
        <v>0.34101694915254233</v>
      </c>
      <c r="CU193" s="259">
        <f t="shared" si="254"/>
        <v>0.42787286063569674</v>
      </c>
      <c r="CV193" s="260">
        <f t="shared" si="254"/>
        <v>0.25596529284164848</v>
      </c>
      <c r="CW193" s="260">
        <f t="shared" si="254"/>
        <v>0.15900383141762453</v>
      </c>
      <c r="CX193" s="262">
        <f t="shared" si="254"/>
        <v>0.20989761092150161</v>
      </c>
      <c r="CY193" s="260">
        <f t="shared" si="254"/>
        <v>0.33678160919540234</v>
      </c>
      <c r="CZ193" s="260">
        <f t="shared" si="254"/>
        <v>0.1859205776173285</v>
      </c>
      <c r="DA193" s="263">
        <f t="shared" si="254"/>
        <v>0.27011494252873569</v>
      </c>
      <c r="DB193" s="263">
        <f t="shared" si="254"/>
        <v>0.25227502527805856</v>
      </c>
      <c r="DC193" s="259">
        <f t="shared" si="254"/>
        <v>0.15753424657534243</v>
      </c>
      <c r="DD193" s="260">
        <f t="shared" si="254"/>
        <v>0.26943005181347157</v>
      </c>
      <c r="DE193" s="260">
        <f t="shared" si="254"/>
        <v>0.27438016528925613</v>
      </c>
      <c r="DF193" s="262">
        <f t="shared" si="254"/>
        <v>0.20592383638928058</v>
      </c>
      <c r="DG193" s="260">
        <f t="shared" si="254"/>
        <v>0.21324161650902829</v>
      </c>
      <c r="DH193" s="260">
        <f t="shared" si="254"/>
        <v>0.23744292237442921</v>
      </c>
      <c r="DI193" s="263">
        <f t="shared" si="254"/>
        <v>0.23416289592760187</v>
      </c>
      <c r="DJ193" s="263">
        <f t="shared" si="254"/>
        <v>0.22607993540573279</v>
      </c>
      <c r="DK193" s="259">
        <f t="shared" si="254"/>
        <v>0.16568047337278102</v>
      </c>
      <c r="DL193" s="260">
        <f t="shared" si="254"/>
        <v>0.12653061224489792</v>
      </c>
      <c r="DM193" s="260">
        <f t="shared" si="254"/>
        <v>4.0207522697795151E-2</v>
      </c>
      <c r="DN193" s="262">
        <f t="shared" si="254"/>
        <v>8.8888888888888795E-2</v>
      </c>
      <c r="DO193" s="260">
        <f t="shared" si="254"/>
        <v>0.14528703047484059</v>
      </c>
      <c r="DP193" s="260">
        <f t="shared" si="254"/>
        <v>6.5805658056580674E-2</v>
      </c>
      <c r="DQ193" s="263">
        <f t="shared" si="254"/>
        <v>0.10815765352887263</v>
      </c>
      <c r="DR193" s="263">
        <f t="shared" si="254"/>
        <v>0.10273296015805067</v>
      </c>
      <c r="DS193" s="259">
        <f t="shared" si="254"/>
        <v>-0.1116751269035533</v>
      </c>
      <c r="DT193" s="260">
        <f t="shared" si="254"/>
        <v>-8.8164251207729416E-2</v>
      </c>
      <c r="DU193" s="265">
        <f t="shared" si="254"/>
        <v>-2.505861398221243E-2</v>
      </c>
      <c r="DV193" s="264">
        <f t="shared" si="254"/>
        <v>1.4447594186149493E-2</v>
      </c>
      <c r="DW193" s="260">
        <f t="shared" si="254"/>
        <v>-9.9628712871287162E-2</v>
      </c>
      <c r="DX193" s="265">
        <f t="shared" si="254"/>
        <v>-3.8351403499301551E-3</v>
      </c>
      <c r="DY193" s="267">
        <f t="shared" si="254"/>
        <v>-7.4895371552412882E-2</v>
      </c>
      <c r="DZ193" s="267">
        <f t="shared" si="255"/>
        <v>-5.0058613982212341E-2</v>
      </c>
      <c r="EA193" s="364">
        <f t="shared" si="255"/>
        <v>9.2618223760092322E-2</v>
      </c>
      <c r="EB193" s="265">
        <f t="shared" si="255"/>
        <v>9.2618223760092322E-2</v>
      </c>
      <c r="EC193" s="265">
        <f t="shared" si="255"/>
        <v>9.2618223760092544E-2</v>
      </c>
      <c r="ED193" s="264">
        <f t="shared" si="255"/>
        <v>9.2618223760092544E-2</v>
      </c>
      <c r="EE193" s="265">
        <f t="shared" si="255"/>
        <v>9.2618223760092322E-2</v>
      </c>
      <c r="EF193" s="265">
        <f t="shared" si="255"/>
        <v>9.2618223760092322E-2</v>
      </c>
      <c r="EG193" s="267">
        <f t="shared" si="255"/>
        <v>9.2618223760092544E-2</v>
      </c>
      <c r="EH193" s="267">
        <f t="shared" si="255"/>
        <v>9.2618223760092544E-2</v>
      </c>
      <c r="EI193" s="364">
        <f t="shared" si="255"/>
        <v>8.6517479499352623E-2</v>
      </c>
      <c r="EJ193" s="265">
        <f t="shared" si="255"/>
        <v>8.6473960104839875E-2</v>
      </c>
      <c r="EK193" s="265">
        <f t="shared" si="255"/>
        <v>8.7054173478690045E-2</v>
      </c>
      <c r="EL193" s="264">
        <f t="shared" si="255"/>
        <v>8.828208262337367E-2</v>
      </c>
      <c r="EM193" s="265">
        <f t="shared" si="255"/>
        <v>8.6494897270584792E-2</v>
      </c>
      <c r="EN193" s="265">
        <f t="shared" si="255"/>
        <v>8.7725935970090596E-2</v>
      </c>
      <c r="EO193" s="267">
        <f t="shared" si="255"/>
        <v>8.669039065670181E-2</v>
      </c>
      <c r="EP193" s="267">
        <f t="shared" si="255"/>
        <v>8.7162917369932202E-2</v>
      </c>
      <c r="EQ193" s="364">
        <f t="shared" si="255"/>
        <v>7.816425471591959E-2</v>
      </c>
      <c r="ER193" s="265">
        <f t="shared" si="255"/>
        <v>7.8120950803629352E-2</v>
      </c>
      <c r="ES193" s="265">
        <f t="shared" si="255"/>
        <v>7.8698006263933529E-2</v>
      </c>
      <c r="ET193" s="264">
        <f t="shared" si="255"/>
        <v>7.9917203294900707E-2</v>
      </c>
      <c r="EU193" s="265">
        <f t="shared" si="255"/>
        <v>7.8141784733964492E-2</v>
      </c>
      <c r="EV193" s="265">
        <f t="shared" si="255"/>
        <v>7.9365343577188607E-2</v>
      </c>
      <c r="EW193" s="267">
        <f t="shared" si="255"/>
        <v>7.8336275452490334E-2</v>
      </c>
      <c r="EX193" s="267">
        <f t="shared" si="255"/>
        <v>7.8806089759237974E-2</v>
      </c>
      <c r="EY193" s="364">
        <f t="shared" si="255"/>
        <v>4.4692119008680642E-2</v>
      </c>
      <c r="EZ193" s="265">
        <f t="shared" si="255"/>
        <v>4.4649042232562053E-2</v>
      </c>
      <c r="FA193" s="265">
        <f t="shared" si="255"/>
        <v>4.5222786906001788E-2</v>
      </c>
      <c r="FB193" s="264">
        <f t="shared" si="255"/>
        <v>4.6432972654385729E-2</v>
      </c>
      <c r="FC193" s="265">
        <f t="shared" si="255"/>
        <v>4.466976731742256E-2</v>
      </c>
      <c r="FD193" s="265">
        <f t="shared" si="255"/>
        <v>4.5885530496658555E-2</v>
      </c>
      <c r="FE193" s="267">
        <f t="shared" si="255"/>
        <v>4.486320329875304E-2</v>
      </c>
      <c r="FF193" s="267">
        <f t="shared" si="255"/>
        <v>4.5330182036228184E-2</v>
      </c>
    </row>
    <row r="194" spans="1:162" ht="11.25" customHeight="1" outlineLevel="1" x14ac:dyDescent="0.2">
      <c r="A194" s="186"/>
      <c r="C194" s="198"/>
      <c r="D194" s="199"/>
      <c r="E194" s="199"/>
      <c r="F194" s="200"/>
      <c r="G194" s="199"/>
      <c r="H194" s="199"/>
      <c r="I194" s="201"/>
      <c r="J194" s="201"/>
      <c r="K194" s="198"/>
      <c r="L194" s="199"/>
      <c r="M194" s="199"/>
      <c r="N194" s="200"/>
      <c r="O194" s="199"/>
      <c r="P194" s="199"/>
      <c r="Q194" s="201"/>
      <c r="R194" s="201"/>
      <c r="S194" s="198"/>
      <c r="T194" s="199"/>
      <c r="U194" s="199"/>
      <c r="V194" s="200"/>
      <c r="W194" s="199"/>
      <c r="X194" s="199"/>
      <c r="Y194" s="201"/>
      <c r="Z194" s="201"/>
      <c r="AA194" s="198"/>
      <c r="AB194" s="199"/>
      <c r="AC194" s="199"/>
      <c r="AD194" s="200"/>
      <c r="AE194" s="199"/>
      <c r="AF194" s="199"/>
      <c r="AG194" s="201"/>
      <c r="AH194" s="201"/>
      <c r="AI194" s="198"/>
      <c r="AJ194" s="199"/>
      <c r="AK194" s="199"/>
      <c r="AL194" s="200"/>
      <c r="AM194" s="199"/>
      <c r="AN194" s="199"/>
      <c r="AO194" s="201"/>
      <c r="AP194" s="201"/>
      <c r="AQ194" s="198"/>
      <c r="AR194" s="199"/>
      <c r="AS194" s="199"/>
      <c r="AT194" s="200"/>
      <c r="AU194" s="199"/>
      <c r="AV194" s="199"/>
      <c r="AW194" s="201"/>
      <c r="AX194" s="201"/>
      <c r="AY194" s="198"/>
      <c r="AZ194" s="199"/>
      <c r="BA194" s="199"/>
      <c r="BB194" s="200"/>
      <c r="BC194" s="199"/>
      <c r="BD194" s="199"/>
      <c r="BE194" s="201"/>
      <c r="BF194" s="201"/>
      <c r="BG194" s="198"/>
      <c r="BH194" s="199"/>
      <c r="BI194" s="199"/>
      <c r="BJ194" s="200"/>
      <c r="BK194" s="199"/>
      <c r="BL194" s="199"/>
      <c r="BM194" s="201"/>
      <c r="BN194" s="201"/>
      <c r="BO194" s="198"/>
      <c r="BP194" s="199"/>
      <c r="BQ194" s="199"/>
      <c r="BR194" s="200"/>
      <c r="BS194" s="199"/>
      <c r="BT194" s="199"/>
      <c r="BU194" s="201"/>
      <c r="BV194" s="201"/>
      <c r="BW194" s="198"/>
      <c r="BX194" s="199"/>
      <c r="BY194" s="199"/>
      <c r="BZ194" s="200"/>
      <c r="CA194" s="199"/>
      <c r="CB194" s="199"/>
      <c r="CC194" s="201"/>
      <c r="CD194" s="201"/>
      <c r="CE194" s="198"/>
      <c r="CF194" s="199"/>
      <c r="CG194" s="199"/>
      <c r="CH194" s="200"/>
      <c r="CI194" s="199"/>
      <c r="CJ194" s="199"/>
      <c r="CK194" s="201"/>
      <c r="CL194" s="201"/>
      <c r="CM194" s="198"/>
      <c r="CN194" s="199"/>
      <c r="CO194" s="199"/>
      <c r="CP194" s="200"/>
      <c r="CQ194" s="199"/>
      <c r="CR194" s="199"/>
      <c r="CS194" s="201"/>
      <c r="CT194" s="201"/>
      <c r="CU194" s="199"/>
      <c r="CV194" s="199"/>
      <c r="CW194" s="199"/>
      <c r="CX194" s="200"/>
      <c r="CY194" s="199"/>
      <c r="CZ194" s="199"/>
      <c r="DA194" s="201"/>
      <c r="DB194" s="180"/>
      <c r="DC194" s="199"/>
      <c r="DD194" s="199"/>
      <c r="DE194" s="199"/>
      <c r="DF194" s="200"/>
      <c r="DG194" s="199"/>
      <c r="DH194" s="199"/>
      <c r="DI194" s="201"/>
      <c r="DJ194" s="180"/>
      <c r="DK194" s="199"/>
      <c r="DL194" s="199"/>
      <c r="DM194" s="199"/>
      <c r="DN194" s="200"/>
      <c r="DO194" s="199"/>
      <c r="DP194" s="199"/>
      <c r="DQ194" s="201"/>
      <c r="DR194" s="180"/>
      <c r="DS194" s="199"/>
      <c r="DT194" s="199"/>
      <c r="DU194" s="199"/>
      <c r="DV194" s="200"/>
      <c r="DW194" s="199"/>
      <c r="DX194" s="199"/>
      <c r="DY194" s="201"/>
      <c r="DZ194" s="180"/>
      <c r="EA194" s="199"/>
      <c r="EB194" s="199"/>
      <c r="EC194" s="199"/>
      <c r="ED194" s="200"/>
      <c r="EE194" s="199"/>
      <c r="EF194" s="199"/>
      <c r="EG194" s="201"/>
      <c r="EH194" s="180"/>
      <c r="EI194" s="199"/>
      <c r="EJ194" s="199"/>
      <c r="EK194" s="199"/>
      <c r="EL194" s="200"/>
      <c r="EM194" s="199"/>
      <c r="EN194" s="199"/>
      <c r="EO194" s="201"/>
      <c r="EP194" s="180"/>
      <c r="EQ194" s="199"/>
      <c r="ER194" s="199"/>
      <c r="ES194" s="199"/>
      <c r="ET194" s="200"/>
      <c r="EU194" s="199"/>
      <c r="EV194" s="199"/>
      <c r="EW194" s="201"/>
      <c r="EX194" s="180"/>
      <c r="EY194" s="199"/>
      <c r="EZ194" s="199"/>
      <c r="FA194" s="199"/>
      <c r="FB194" s="200"/>
      <c r="FC194" s="199"/>
      <c r="FD194" s="199"/>
      <c r="FE194" s="201"/>
      <c r="FF194" s="180"/>
    </row>
    <row r="195" spans="1:162" ht="11.25" customHeight="1" outlineLevel="1" x14ac:dyDescent="0.2">
      <c r="A195" s="219" t="s">
        <v>352</v>
      </c>
      <c r="C195" s="198"/>
      <c r="D195" s="199"/>
      <c r="E195" s="199"/>
      <c r="F195" s="387"/>
      <c r="H195" s="199"/>
      <c r="I195" s="201"/>
      <c r="J195" s="201"/>
      <c r="K195" s="198"/>
      <c r="L195" s="199"/>
      <c r="M195" s="199"/>
      <c r="N195" s="387"/>
      <c r="P195" s="199"/>
      <c r="Q195" s="201"/>
      <c r="R195" s="201"/>
      <c r="S195" s="198"/>
      <c r="T195" s="199"/>
      <c r="U195" s="199"/>
      <c r="V195" s="387"/>
      <c r="X195" s="199"/>
      <c r="Y195" s="201"/>
      <c r="Z195" s="201"/>
      <c r="AA195" s="198"/>
      <c r="AB195" s="199"/>
      <c r="AC195" s="199"/>
      <c r="AD195" s="387"/>
      <c r="AF195" s="199"/>
      <c r="AG195" s="201"/>
      <c r="AH195" s="201"/>
      <c r="AI195" s="198"/>
      <c r="AJ195" s="199"/>
      <c r="AK195" s="199"/>
      <c r="AL195" s="387"/>
      <c r="AN195" s="199"/>
      <c r="AO195" s="201"/>
      <c r="AP195" s="201"/>
      <c r="AQ195" s="198"/>
      <c r="AR195" s="199"/>
      <c r="AS195" s="199"/>
      <c r="AT195" s="387"/>
      <c r="AV195" s="199"/>
      <c r="AW195" s="201"/>
      <c r="AX195" s="201"/>
      <c r="AY195" s="198"/>
      <c r="AZ195" s="199"/>
      <c r="BA195" s="199"/>
      <c r="BB195" s="387"/>
      <c r="BD195" s="199"/>
      <c r="BE195" s="201"/>
      <c r="BF195" s="201"/>
      <c r="BG195" s="198"/>
      <c r="BH195" s="199"/>
      <c r="BI195" s="199"/>
      <c r="BJ195" s="387"/>
      <c r="BL195" s="199"/>
      <c r="BM195" s="201"/>
      <c r="BN195" s="201"/>
      <c r="BO195" s="198"/>
      <c r="BP195" s="199"/>
      <c r="BQ195" s="199"/>
      <c r="BR195" s="387"/>
      <c r="BT195" s="199"/>
      <c r="BU195" s="201"/>
      <c r="BV195" s="201"/>
      <c r="BW195" s="198"/>
      <c r="BX195" s="199"/>
      <c r="BY195" s="199"/>
      <c r="BZ195" s="387"/>
      <c r="CB195" s="199"/>
      <c r="CC195" s="201"/>
      <c r="CD195" s="201"/>
      <c r="CE195" s="198"/>
      <c r="CF195" s="199"/>
      <c r="CG195" s="199"/>
      <c r="CH195" s="387"/>
      <c r="CJ195" s="199"/>
      <c r="CK195" s="201"/>
      <c r="CL195" s="201"/>
      <c r="CM195" s="198"/>
      <c r="CN195" s="199"/>
      <c r="CO195" s="199"/>
      <c r="CP195" s="387"/>
      <c r="CR195" s="199"/>
      <c r="CS195" s="201"/>
      <c r="CT195" s="201"/>
      <c r="CU195" s="199"/>
      <c r="CV195" s="199"/>
      <c r="CW195" s="199"/>
      <c r="CX195" s="200"/>
      <c r="CY195" s="199"/>
      <c r="CZ195" s="199"/>
      <c r="DA195" s="201"/>
      <c r="DB195" s="180"/>
      <c r="DC195" s="199"/>
      <c r="DD195" s="199"/>
      <c r="DE195" s="199"/>
      <c r="DF195" s="200"/>
      <c r="DG195" s="199"/>
      <c r="DH195" s="199"/>
      <c r="DI195" s="201"/>
      <c r="DJ195" s="180"/>
      <c r="DK195" s="199"/>
      <c r="DL195" s="199"/>
      <c r="DM195" s="199"/>
      <c r="DN195" s="200"/>
      <c r="DO195" s="199"/>
      <c r="DP195" s="199"/>
      <c r="DQ195" s="201"/>
      <c r="DR195" s="180"/>
      <c r="DS195" s="199"/>
      <c r="DT195" s="199"/>
      <c r="DU195" s="199"/>
      <c r="DV195" s="200"/>
      <c r="DW195" s="199"/>
      <c r="DX195" s="199"/>
      <c r="DY195" s="201"/>
      <c r="DZ195" s="180"/>
      <c r="EA195" s="199"/>
      <c r="EB195" s="199"/>
      <c r="EC195" s="199"/>
      <c r="ED195" s="200"/>
      <c r="EE195" s="199"/>
      <c r="EF195" s="199"/>
      <c r="EG195" s="201"/>
      <c r="EH195" s="180"/>
      <c r="EI195" s="199"/>
      <c r="EJ195" s="199"/>
      <c r="EK195" s="199"/>
      <c r="EL195" s="200"/>
      <c r="EM195" s="199"/>
      <c r="EN195" s="199"/>
      <c r="EO195" s="201"/>
      <c r="EP195" s="180"/>
      <c r="EQ195" s="199"/>
      <c r="ER195" s="199"/>
      <c r="ES195" s="199"/>
      <c r="ET195" s="200"/>
      <c r="EU195" s="199"/>
      <c r="EV195" s="199"/>
      <c r="EW195" s="201"/>
      <c r="EX195" s="180"/>
      <c r="EY195" s="199"/>
      <c r="EZ195" s="199"/>
      <c r="FA195" s="199"/>
      <c r="FB195" s="200"/>
      <c r="FC195" s="199"/>
      <c r="FD195" s="199"/>
      <c r="FE195" s="201"/>
      <c r="FF195" s="180"/>
    </row>
    <row r="196" spans="1:162" ht="11.25" customHeight="1" outlineLevel="1" x14ac:dyDescent="0.2">
      <c r="A196" s="4" t="s">
        <v>354</v>
      </c>
      <c r="C196" s="198"/>
      <c r="D196" s="199"/>
      <c r="E196" s="199"/>
      <c r="F196" s="200"/>
      <c r="G196" s="199"/>
      <c r="H196" s="199"/>
      <c r="I196" s="201"/>
      <c r="J196" s="201"/>
      <c r="K196" s="198"/>
      <c r="L196" s="199"/>
      <c r="M196" s="199"/>
      <c r="N196" s="200"/>
      <c r="O196" s="199"/>
      <c r="P196" s="199"/>
      <c r="Q196" s="201"/>
      <c r="R196" s="201"/>
      <c r="S196" s="198"/>
      <c r="T196" s="199"/>
      <c r="U196" s="199"/>
      <c r="V196" s="200"/>
      <c r="W196" s="199"/>
      <c r="X196" s="199"/>
      <c r="Y196" s="201"/>
      <c r="Z196" s="201"/>
      <c r="AA196" s="198"/>
      <c r="AB196" s="199">
        <v>11</v>
      </c>
      <c r="AC196" s="199">
        <v>22</v>
      </c>
      <c r="AD196" s="200">
        <f t="shared" ref="AD196:AD213" si="256">AH196-AG196</f>
        <v>44</v>
      </c>
      <c r="AE196" s="199">
        <v>11</v>
      </c>
      <c r="AF196" s="199">
        <f t="shared" ref="AF196:AF213" si="257">AH196-AE196</f>
        <v>66</v>
      </c>
      <c r="AG196" s="201">
        <f t="shared" ref="AG196:AG213" si="258">AC196+AE196</f>
        <v>33</v>
      </c>
      <c r="AH196" s="201">
        <v>77</v>
      </c>
      <c r="AI196" s="198">
        <v>81</v>
      </c>
      <c r="AJ196" s="199">
        <f t="shared" ref="AJ196:AJ212" si="259">AM196-AI196</f>
        <v>66</v>
      </c>
      <c r="AK196" s="199">
        <v>110</v>
      </c>
      <c r="AL196" s="200">
        <f>+AN196-AK196</f>
        <v>204</v>
      </c>
      <c r="AM196" s="199">
        <v>147</v>
      </c>
      <c r="AN196" s="199">
        <f>+AP196-AM196</f>
        <v>314</v>
      </c>
      <c r="AO196" s="201">
        <f t="shared" ref="AO196:AO213" si="260">+AM196+AK196</f>
        <v>257</v>
      </c>
      <c r="AP196" s="201">
        <f>+'Civil OE'!E50</f>
        <v>461</v>
      </c>
      <c r="AQ196" s="198">
        <f t="shared" ref="AQ196:AQ213" si="261">AI196</f>
        <v>81</v>
      </c>
      <c r="AR196" s="199">
        <f t="shared" ref="AR196:AX213" si="262">AJ196</f>
        <v>66</v>
      </c>
      <c r="AS196" s="199">
        <f t="shared" si="262"/>
        <v>110</v>
      </c>
      <c r="AT196" s="200">
        <f t="shared" si="262"/>
        <v>204</v>
      </c>
      <c r="AU196" s="199">
        <f t="shared" si="262"/>
        <v>147</v>
      </c>
      <c r="AV196" s="199">
        <f t="shared" si="262"/>
        <v>314</v>
      </c>
      <c r="AW196" s="201">
        <f t="shared" si="262"/>
        <v>257</v>
      </c>
      <c r="AX196" s="201">
        <f t="shared" si="262"/>
        <v>461</v>
      </c>
      <c r="AY196" s="198">
        <v>186</v>
      </c>
      <c r="AZ196" s="199">
        <f t="shared" ref="AZ196:AZ213" si="263">BC196-AY196</f>
        <v>252</v>
      </c>
      <c r="BA196" s="199">
        <v>303</v>
      </c>
      <c r="BB196" s="200">
        <f>BF196-BE196</f>
        <v>378</v>
      </c>
      <c r="BC196" s="199">
        <v>438</v>
      </c>
      <c r="BD196" s="199">
        <f>BF196-BC196</f>
        <v>681</v>
      </c>
      <c r="BE196" s="201">
        <f t="shared" ref="BE196:BE213" si="264">AY196+AZ196+BA196</f>
        <v>741</v>
      </c>
      <c r="BF196" s="201">
        <f>'Civil OE'!F50</f>
        <v>1119</v>
      </c>
      <c r="BG196" s="198">
        <f t="shared" ref="BG196:BI213" si="265">AY196</f>
        <v>186</v>
      </c>
      <c r="BH196" s="199">
        <f t="shared" si="265"/>
        <v>252</v>
      </c>
      <c r="BI196" s="199">
        <f t="shared" si="265"/>
        <v>303</v>
      </c>
      <c r="BJ196" s="200">
        <f>BB196</f>
        <v>378</v>
      </c>
      <c r="BK196" s="199">
        <f t="shared" ref="BK196:BK213" si="266">BC196</f>
        <v>438</v>
      </c>
      <c r="BL196" s="199">
        <f>BD196</f>
        <v>681</v>
      </c>
      <c r="BM196" s="201">
        <f t="shared" ref="BM196:BN213" si="267">BE196</f>
        <v>741</v>
      </c>
      <c r="BN196" s="201">
        <f t="shared" si="267"/>
        <v>1119</v>
      </c>
      <c r="BO196" s="198">
        <v>424</v>
      </c>
      <c r="BP196" s="199">
        <f t="shared" ref="BP196:BP211" si="268">BS196-BO196</f>
        <v>437</v>
      </c>
      <c r="BQ196" s="199">
        <v>455</v>
      </c>
      <c r="BR196" s="200">
        <f t="shared" ref="BR196:BR213" si="269">BV196-BU196</f>
        <v>420</v>
      </c>
      <c r="BS196" s="199">
        <v>861</v>
      </c>
      <c r="BT196" s="199">
        <f t="shared" ref="BT196:BT213" si="270">BV196-BS196</f>
        <v>875</v>
      </c>
      <c r="BU196" s="201">
        <f t="shared" ref="BU196:BU213" si="271">BO196+BP196+BQ196</f>
        <v>1316</v>
      </c>
      <c r="BV196" s="201">
        <v>1736</v>
      </c>
      <c r="BW196" s="198">
        <v>272</v>
      </c>
      <c r="BX196" s="199">
        <f t="shared" ref="BX196:BX213" si="272">CA196-BW196</f>
        <v>178</v>
      </c>
      <c r="BY196" s="199">
        <v>172</v>
      </c>
      <c r="BZ196" s="200">
        <f t="shared" ref="BZ196:BZ213" si="273">CD196-SUM(BW196:BY196)</f>
        <v>193</v>
      </c>
      <c r="CA196" s="199">
        <v>450</v>
      </c>
      <c r="CB196" s="199">
        <f t="shared" ref="CB196:CB213" si="274">BZ196+BY196</f>
        <v>365</v>
      </c>
      <c r="CC196" s="201">
        <f t="shared" ref="CC196:CC213" si="275">BY196+CA196</f>
        <v>622</v>
      </c>
      <c r="CD196" s="201">
        <v>815</v>
      </c>
      <c r="CE196" s="198">
        <v>188</v>
      </c>
      <c r="CF196" s="199">
        <f t="shared" ref="CF196:CF207" si="276">CI196-CE196</f>
        <v>211</v>
      </c>
      <c r="CG196" s="199">
        <v>226</v>
      </c>
      <c r="CH196" s="200">
        <f t="shared" ref="CH196:CH207" si="277">CL196-SUM(CE196:CG196)</f>
        <v>220</v>
      </c>
      <c r="CI196" s="199">
        <v>399</v>
      </c>
      <c r="CJ196" s="199">
        <f t="shared" ref="CJ196:CJ207" si="278">CH196+CG196</f>
        <v>446</v>
      </c>
      <c r="CK196" s="201">
        <f t="shared" ref="CK196:CK207" si="279">CE196+CF196+CG196</f>
        <v>625</v>
      </c>
      <c r="CL196" s="201">
        <v>845</v>
      </c>
      <c r="CM196" s="198">
        <v>239</v>
      </c>
      <c r="CN196" s="199">
        <f t="shared" ref="CN196:CN207" si="280">+CQ196-CM196</f>
        <v>226</v>
      </c>
      <c r="CO196" s="199">
        <v>347</v>
      </c>
      <c r="CP196" s="200">
        <f t="shared" ref="CP196:CP207" si="281">CT196-SUM(CM196:CO196)</f>
        <v>324</v>
      </c>
      <c r="CQ196" s="199">
        <v>465</v>
      </c>
      <c r="CR196" s="199">
        <f t="shared" ref="CR196:CR207" si="282">CP196+CO196</f>
        <v>671</v>
      </c>
      <c r="CS196" s="201">
        <f t="shared" ref="CS196:CS207" si="283">CM196+CN196+CO196</f>
        <v>812</v>
      </c>
      <c r="CT196" s="201">
        <v>1136</v>
      </c>
      <c r="CU196" s="198">
        <f>'Civil OE'!K50</f>
        <v>366</v>
      </c>
      <c r="CV196" s="199">
        <f>'Civil OE'!L50</f>
        <v>419</v>
      </c>
      <c r="CW196" s="199">
        <f>'Civil OE'!M50</f>
        <v>389</v>
      </c>
      <c r="CX196" s="200">
        <f>'Civil OE'!N50</f>
        <v>396</v>
      </c>
      <c r="CY196" s="199">
        <f>'Civil OE'!O50</f>
        <v>785</v>
      </c>
      <c r="CZ196" s="199">
        <f>'Civil OE'!P50</f>
        <v>785</v>
      </c>
      <c r="DA196" s="201" t="e">
        <f>'Civil OE'!Q50</f>
        <v>#DIV/0!</v>
      </c>
      <c r="DB196" s="180">
        <f>'Civil OE'!R50</f>
        <v>1570</v>
      </c>
      <c r="DC196" s="198">
        <f>'Civil OE'!S50</f>
        <v>367</v>
      </c>
      <c r="DD196" s="199">
        <f>'Civil OE'!T50</f>
        <v>297</v>
      </c>
      <c r="DE196" s="199">
        <f>'Civil OE'!U50</f>
        <v>365</v>
      </c>
      <c r="DF196" s="200">
        <f>'Civil OE'!V50</f>
        <v>378</v>
      </c>
      <c r="DG196" s="199">
        <f>'Civil OE'!W50</f>
        <v>664</v>
      </c>
      <c r="DH196" s="199">
        <f>'Civil OE'!X50</f>
        <v>743</v>
      </c>
      <c r="DI196" s="201">
        <f>'Civil OE'!Y50</f>
        <v>1029</v>
      </c>
      <c r="DJ196" s="180">
        <f>'Civil OE'!Z50</f>
        <v>1407</v>
      </c>
      <c r="DK196" s="198">
        <f>'Civil OE'!AA50</f>
        <v>319</v>
      </c>
      <c r="DL196" s="199">
        <f>'Civil OE'!AB50</f>
        <v>410</v>
      </c>
      <c r="DM196" s="199">
        <f>'Civil OE'!AC50</f>
        <v>511</v>
      </c>
      <c r="DN196" s="200">
        <f>'Civil OE'!AD50</f>
        <v>562</v>
      </c>
      <c r="DO196" s="199">
        <f>'Civil OE'!AE50</f>
        <v>729</v>
      </c>
      <c r="DP196" s="199">
        <f>'Civil OE'!AF50</f>
        <v>1073</v>
      </c>
      <c r="DQ196" s="201">
        <f>'Civil OE'!AG50</f>
        <v>1240</v>
      </c>
      <c r="DR196" s="180">
        <f>'Civil OE'!AH50</f>
        <v>1802</v>
      </c>
      <c r="DS196" s="199">
        <f>'Civil OE'!AI50</f>
        <v>520</v>
      </c>
      <c r="DT196" s="199">
        <f>'Civil OE'!AJ50</f>
        <v>510</v>
      </c>
      <c r="DU196" s="280">
        <f>'Civil OE'!AK50</f>
        <v>524</v>
      </c>
      <c r="DV196" s="358">
        <f>'Civil OE'!AL50</f>
        <v>592</v>
      </c>
      <c r="DW196" s="199">
        <f>'Civil OE'!AM50</f>
        <v>1030</v>
      </c>
      <c r="DX196" s="280">
        <f>'Civil OE'!AN50</f>
        <v>1116</v>
      </c>
      <c r="DY196" s="373">
        <f>'Civil OE'!AO50</f>
        <v>1554</v>
      </c>
      <c r="DZ196" s="182">
        <f>'Civil OE'!AP50</f>
        <v>2146</v>
      </c>
      <c r="EA196" s="280">
        <f>'Civil OE'!AQ50</f>
        <v>568</v>
      </c>
      <c r="EB196" s="280">
        <f>'Civil OE'!AR50</f>
        <v>580</v>
      </c>
      <c r="EC196" s="280">
        <f>'Civil OE'!AS50</f>
        <v>580</v>
      </c>
      <c r="ED196" s="358">
        <f>'Civil OE'!AT50</f>
        <v>636</v>
      </c>
      <c r="EE196" s="280">
        <f>'Civil OE'!AU50</f>
        <v>1147</v>
      </c>
      <c r="EF196" s="280">
        <f>'Civil OE'!AV50</f>
        <v>1215</v>
      </c>
      <c r="EG196" s="373">
        <f>'Civil OE'!AW50</f>
        <v>1727</v>
      </c>
      <c r="EH196" s="182">
        <f>'Civil OE'!AX50</f>
        <v>2362</v>
      </c>
      <c r="EI196" s="280">
        <f>'Civil OE'!AY50</f>
        <v>632</v>
      </c>
      <c r="EJ196" s="280">
        <f>'Civil OE'!AZ50</f>
        <v>643</v>
      </c>
      <c r="EK196" s="280">
        <f>'Civil OE'!BA50</f>
        <v>643</v>
      </c>
      <c r="EL196" s="358">
        <f>'Civil OE'!BB50</f>
        <v>646</v>
      </c>
      <c r="EM196" s="280">
        <f>'Civil OE'!BC50</f>
        <v>1273</v>
      </c>
      <c r="EN196" s="280">
        <f>'Civil OE'!BD50</f>
        <v>1288</v>
      </c>
      <c r="EO196" s="373">
        <f>'Civil OE'!BE50</f>
        <v>1916</v>
      </c>
      <c r="EP196" s="182">
        <f>'Civil OE'!BF50</f>
        <v>2561</v>
      </c>
      <c r="EQ196" s="280">
        <f>'Civil OE'!BG50</f>
        <v>646</v>
      </c>
      <c r="ER196" s="280">
        <f>'Civil OE'!BH50</f>
        <v>646</v>
      </c>
      <c r="ES196" s="280">
        <f>'Civil OE'!BI50</f>
        <v>646</v>
      </c>
      <c r="ET196" s="358">
        <f>'Civil OE'!BJ50</f>
        <v>646</v>
      </c>
      <c r="EU196" s="280">
        <f>'Civil OE'!BK50</f>
        <v>1290</v>
      </c>
      <c r="EV196" s="280">
        <f>'Civil OE'!BL50</f>
        <v>1291</v>
      </c>
      <c r="EW196" s="373">
        <f>'Civil OE'!BM50</f>
        <v>1937</v>
      </c>
      <c r="EX196" s="182">
        <f>'Civil OE'!BN50</f>
        <v>2581</v>
      </c>
      <c r="EY196" s="280">
        <f>'Civil OE'!BO50</f>
        <v>636</v>
      </c>
      <c r="EZ196" s="280">
        <f>'Civil OE'!BP50</f>
        <v>636</v>
      </c>
      <c r="FA196" s="280">
        <f>'Civil OE'!BQ50</f>
        <v>636</v>
      </c>
      <c r="FB196" s="358">
        <f>'Civil OE'!BR50</f>
        <v>274</v>
      </c>
      <c r="FC196" s="280">
        <f>'Civil OE'!BS50</f>
        <v>1271</v>
      </c>
      <c r="FD196" s="280">
        <f>'Civil OE'!BT50</f>
        <v>910</v>
      </c>
      <c r="FE196" s="373">
        <f>'Civil OE'!BU50</f>
        <v>1909</v>
      </c>
      <c r="FF196" s="182">
        <f>'Civil OE'!BV50</f>
        <v>2581</v>
      </c>
    </row>
    <row r="197" spans="1:162" ht="11.25" customHeight="1" outlineLevel="1" x14ac:dyDescent="0.2">
      <c r="A197" s="4" t="s">
        <v>353</v>
      </c>
      <c r="C197" s="198"/>
      <c r="D197" s="199"/>
      <c r="E197" s="199"/>
      <c r="F197" s="200"/>
      <c r="G197" s="199"/>
      <c r="H197" s="199"/>
      <c r="I197" s="201"/>
      <c r="J197" s="201">
        <v>1502</v>
      </c>
      <c r="K197" s="198">
        <v>402</v>
      </c>
      <c r="L197" s="199">
        <f>O197-K197</f>
        <v>390</v>
      </c>
      <c r="M197" s="199">
        <f>Q197-O197</f>
        <v>382</v>
      </c>
      <c r="N197" s="200">
        <f>R197-Q197</f>
        <v>386</v>
      </c>
      <c r="O197" s="199">
        <v>792</v>
      </c>
      <c r="P197" s="199">
        <f>R197-O197</f>
        <v>768</v>
      </c>
      <c r="Q197" s="201">
        <v>1174</v>
      </c>
      <c r="R197" s="201">
        <v>1560</v>
      </c>
      <c r="S197" s="198">
        <v>402</v>
      </c>
      <c r="T197" s="199">
        <f>W197-S197</f>
        <v>414</v>
      </c>
      <c r="U197" s="199">
        <v>398</v>
      </c>
      <c r="V197" s="200">
        <f>Z197-Y197</f>
        <v>398</v>
      </c>
      <c r="W197" s="199">
        <v>816</v>
      </c>
      <c r="X197" s="199">
        <f>Z197-W197</f>
        <v>796</v>
      </c>
      <c r="Y197" s="201">
        <f>SUM(S197:U197)</f>
        <v>1214</v>
      </c>
      <c r="Z197" s="201">
        <v>1612</v>
      </c>
      <c r="AA197" s="198">
        <v>442</v>
      </c>
      <c r="AB197" s="199">
        <f>AE197-AA197</f>
        <v>444</v>
      </c>
      <c r="AC197" s="199">
        <v>407</v>
      </c>
      <c r="AD197" s="200">
        <f>AH197-AG197</f>
        <v>400</v>
      </c>
      <c r="AE197" s="199">
        <v>886</v>
      </c>
      <c r="AF197" s="199">
        <f>AH197-AE197</f>
        <v>807</v>
      </c>
      <c r="AG197" s="201">
        <f>AC197+AE197</f>
        <v>1293</v>
      </c>
      <c r="AH197" s="201">
        <v>1693</v>
      </c>
      <c r="AI197" s="198">
        <v>345</v>
      </c>
      <c r="AJ197" s="199">
        <f>AM197-AI197</f>
        <v>365</v>
      </c>
      <c r="AK197" s="199">
        <v>366</v>
      </c>
      <c r="AL197" s="200">
        <f>+AN197-AK197</f>
        <v>368</v>
      </c>
      <c r="AM197" s="199">
        <v>710</v>
      </c>
      <c r="AN197" s="199">
        <f>+AP197-AM197</f>
        <v>734</v>
      </c>
      <c r="AO197" s="201">
        <f>+AM197+AK197</f>
        <v>1076</v>
      </c>
      <c r="AP197" s="201">
        <f>+'Civil OE'!E49</f>
        <v>1444</v>
      </c>
      <c r="AQ197" s="198">
        <f t="shared" ref="AQ197:AX197" si="284">AI197</f>
        <v>345</v>
      </c>
      <c r="AR197" s="199">
        <f t="shared" si="284"/>
        <v>365</v>
      </c>
      <c r="AS197" s="199">
        <f t="shared" si="284"/>
        <v>366</v>
      </c>
      <c r="AT197" s="200">
        <f t="shared" si="284"/>
        <v>368</v>
      </c>
      <c r="AU197" s="199">
        <f t="shared" si="284"/>
        <v>710</v>
      </c>
      <c r="AV197" s="199">
        <f t="shared" si="284"/>
        <v>734</v>
      </c>
      <c r="AW197" s="201">
        <f t="shared" si="284"/>
        <v>1076</v>
      </c>
      <c r="AX197" s="201">
        <f t="shared" si="284"/>
        <v>1444</v>
      </c>
      <c r="AY197" s="198">
        <v>312</v>
      </c>
      <c r="AZ197" s="199">
        <f>BC197-AY197</f>
        <v>279</v>
      </c>
      <c r="BA197" s="199">
        <v>243</v>
      </c>
      <c r="BB197" s="200">
        <f>BF197-BE197</f>
        <v>210</v>
      </c>
      <c r="BC197" s="199">
        <v>591</v>
      </c>
      <c r="BD197" s="199">
        <f>BF197-BC197</f>
        <v>453</v>
      </c>
      <c r="BE197" s="201">
        <f>AY197+AZ197+BA197</f>
        <v>834</v>
      </c>
      <c r="BF197" s="201">
        <f>'Civil OE'!F49</f>
        <v>1044</v>
      </c>
      <c r="BG197" s="198">
        <f>AY197</f>
        <v>312</v>
      </c>
      <c r="BH197" s="199">
        <f>AZ197</f>
        <v>279</v>
      </c>
      <c r="BI197" s="199">
        <f>BA197</f>
        <v>243</v>
      </c>
      <c r="BJ197" s="200">
        <f>BB197</f>
        <v>210</v>
      </c>
      <c r="BK197" s="199">
        <f>BC197</f>
        <v>591</v>
      </c>
      <c r="BL197" s="199">
        <f>BD197</f>
        <v>453</v>
      </c>
      <c r="BM197" s="201">
        <f>BE197</f>
        <v>834</v>
      </c>
      <c r="BN197" s="201">
        <f>BF197</f>
        <v>1044</v>
      </c>
      <c r="BO197" s="198">
        <v>153</v>
      </c>
      <c r="BP197" s="199">
        <f>BS197-BO197</f>
        <v>105</v>
      </c>
      <c r="BQ197" s="199">
        <v>69</v>
      </c>
      <c r="BR197" s="200">
        <f>BV197-BU197</f>
        <v>64</v>
      </c>
      <c r="BS197" s="199">
        <v>258</v>
      </c>
      <c r="BT197" s="199">
        <f>BV197-BS197</f>
        <v>133</v>
      </c>
      <c r="BU197" s="201">
        <f>BO197+BP197+BQ197</f>
        <v>327</v>
      </c>
      <c r="BV197" s="201">
        <v>391</v>
      </c>
      <c r="BW197" s="198">
        <v>54</v>
      </c>
      <c r="BX197" s="199">
        <f>CA197-BW197</f>
        <v>30</v>
      </c>
      <c r="BY197" s="199">
        <v>39</v>
      </c>
      <c r="BZ197" s="200">
        <f>CD197-SUM(BW197:BY197)</f>
        <v>34</v>
      </c>
      <c r="CA197" s="199">
        <v>84</v>
      </c>
      <c r="CB197" s="199">
        <f>BZ197+BY197</f>
        <v>73</v>
      </c>
      <c r="CC197" s="201">
        <f>BY197+CA197</f>
        <v>123</v>
      </c>
      <c r="CD197" s="201">
        <v>157</v>
      </c>
      <c r="CE197" s="198">
        <v>26</v>
      </c>
      <c r="CF197" s="199">
        <f>CI197-CE197</f>
        <v>23</v>
      </c>
      <c r="CG197" s="199">
        <v>30</v>
      </c>
      <c r="CH197" s="200">
        <f>CL197-SUM(CE197:CG197)</f>
        <v>28</v>
      </c>
      <c r="CI197" s="199">
        <v>49</v>
      </c>
      <c r="CJ197" s="199">
        <f>CH197+CG197</f>
        <v>58</v>
      </c>
      <c r="CK197" s="201">
        <f>CE197+CF197+CG197</f>
        <v>79</v>
      </c>
      <c r="CL197" s="201">
        <v>107</v>
      </c>
      <c r="CM197" s="198">
        <v>15</v>
      </c>
      <c r="CN197" s="199">
        <f>+CQ197-CM197</f>
        <v>12</v>
      </c>
      <c r="CO197" s="199">
        <v>17</v>
      </c>
      <c r="CP197" s="200">
        <f>CT197-SUM(CM197:CO197)</f>
        <v>16</v>
      </c>
      <c r="CQ197" s="199">
        <v>27</v>
      </c>
      <c r="CR197" s="199">
        <f>CP197+CO197</f>
        <v>33</v>
      </c>
      <c r="CS197" s="201">
        <f>CM197+CN197+CO197</f>
        <v>44</v>
      </c>
      <c r="CT197" s="201">
        <v>60</v>
      </c>
      <c r="CU197" s="198">
        <f>'Civil OE'!K49</f>
        <v>15</v>
      </c>
      <c r="CV197" s="199">
        <f>'Civil OE'!L49</f>
        <v>9</v>
      </c>
      <c r="CW197" s="199">
        <f>'Civil OE'!M49</f>
        <v>14</v>
      </c>
      <c r="CX197" s="200">
        <f>'Civil OE'!N49</f>
        <v>14</v>
      </c>
      <c r="CY197" s="199">
        <f>'Civil OE'!O49</f>
        <v>24</v>
      </c>
      <c r="CZ197" s="199">
        <f>'Civil OE'!P49</f>
        <v>28</v>
      </c>
      <c r="DA197" s="201">
        <f>'Civil OE'!Q49</f>
        <v>46</v>
      </c>
      <c r="DB197" s="180">
        <f>'Civil OE'!R49</f>
        <v>52</v>
      </c>
      <c r="DC197" s="198">
        <f>'Civil OE'!S49</f>
        <v>12</v>
      </c>
      <c r="DD197" s="199">
        <f>'Civil OE'!T49</f>
        <v>16</v>
      </c>
      <c r="DE197" s="199">
        <f>'Civil OE'!U49</f>
        <v>13</v>
      </c>
      <c r="DF197" s="200">
        <f>'Civil OE'!V49</f>
        <v>19</v>
      </c>
      <c r="DG197" s="199">
        <f>'Civil OE'!W49</f>
        <v>28</v>
      </c>
      <c r="DH197" s="199">
        <f>'Civil OE'!X49</f>
        <v>32</v>
      </c>
      <c r="DI197" s="201">
        <f>'Civil OE'!Y49</f>
        <v>41</v>
      </c>
      <c r="DJ197" s="180">
        <f>'Civil OE'!Z49</f>
        <v>60</v>
      </c>
      <c r="DK197" s="198">
        <f>'Civil OE'!AA49</f>
        <v>12</v>
      </c>
      <c r="DL197" s="199">
        <f>'Civil OE'!AB49</f>
        <v>14</v>
      </c>
      <c r="DM197" s="199">
        <f>'Civil OE'!AC49</f>
        <v>15</v>
      </c>
      <c r="DN197" s="200">
        <f>'Civil OE'!AD49</f>
        <v>11</v>
      </c>
      <c r="DO197" s="199">
        <f>'Civil OE'!AE49</f>
        <v>26</v>
      </c>
      <c r="DP197" s="199">
        <f>'Civil OE'!AF49</f>
        <v>26</v>
      </c>
      <c r="DQ197" s="201">
        <f>'Civil OE'!AG49</f>
        <v>41</v>
      </c>
      <c r="DR197" s="180">
        <f>'Civil OE'!AH49</f>
        <v>52</v>
      </c>
      <c r="DS197" s="199">
        <f>'Civil OE'!AI49</f>
        <v>12</v>
      </c>
      <c r="DT197" s="199">
        <f>'Civil OE'!AJ49</f>
        <v>10</v>
      </c>
      <c r="DU197" s="280">
        <f>'Civil OE'!AK49</f>
        <v>9</v>
      </c>
      <c r="DV197" s="358">
        <f>'Civil OE'!AL49</f>
        <v>7</v>
      </c>
      <c r="DW197" s="199">
        <f>'Civil OE'!AM49</f>
        <v>22</v>
      </c>
      <c r="DX197" s="280">
        <f>'Civil OE'!AN49</f>
        <v>16</v>
      </c>
      <c r="DY197" s="373">
        <f>'Civil OE'!AO49</f>
        <v>31</v>
      </c>
      <c r="DZ197" s="182">
        <f>'Civil OE'!AP49</f>
        <v>38</v>
      </c>
      <c r="EA197" s="280">
        <f>'Civil OE'!AQ49</f>
        <v>7</v>
      </c>
      <c r="EB197" s="280">
        <f>'Civil OE'!AR49</f>
        <v>7</v>
      </c>
      <c r="EC197" s="280">
        <f>'Civil OE'!AS49</f>
        <v>7</v>
      </c>
      <c r="ED197" s="358">
        <f>'Civil OE'!AT49</f>
        <v>7</v>
      </c>
      <c r="EE197" s="280">
        <f>'Civil OE'!AU49</f>
        <v>15</v>
      </c>
      <c r="EF197" s="280">
        <f>'Civil OE'!AV49</f>
        <v>15</v>
      </c>
      <c r="EG197" s="373">
        <f>'Civil OE'!AW49</f>
        <v>22</v>
      </c>
      <c r="EH197" s="182">
        <f>'Civil OE'!AX49</f>
        <v>30</v>
      </c>
      <c r="EI197" s="280">
        <f>'Civil OE'!AY49</f>
        <v>7</v>
      </c>
      <c r="EJ197" s="280">
        <f>'Civil OE'!AZ49</f>
        <v>7</v>
      </c>
      <c r="EK197" s="280">
        <f>'Civil OE'!BA49</f>
        <v>7</v>
      </c>
      <c r="EL197" s="358">
        <f>'Civil OE'!BB49</f>
        <v>7</v>
      </c>
      <c r="EM197" s="280">
        <f>'Civil OE'!BC49</f>
        <v>15</v>
      </c>
      <c r="EN197" s="280">
        <f>'Civil OE'!BD49</f>
        <v>15</v>
      </c>
      <c r="EO197" s="373">
        <f>'Civil OE'!BE49</f>
        <v>22</v>
      </c>
      <c r="EP197" s="182">
        <f>'Civil OE'!BF49</f>
        <v>30</v>
      </c>
      <c r="EQ197" s="280">
        <f>'Civil OE'!BG49</f>
        <v>7</v>
      </c>
      <c r="ER197" s="280">
        <f>'Civil OE'!BH49</f>
        <v>7</v>
      </c>
      <c r="ES197" s="280">
        <f>'Civil OE'!BI49</f>
        <v>7</v>
      </c>
      <c r="ET197" s="358">
        <f>'Civil OE'!BJ49</f>
        <v>7</v>
      </c>
      <c r="EU197" s="280">
        <f>'Civil OE'!BK49</f>
        <v>15</v>
      </c>
      <c r="EV197" s="280">
        <f>'Civil OE'!BL49</f>
        <v>15</v>
      </c>
      <c r="EW197" s="373">
        <f>'Civil OE'!BM49</f>
        <v>22</v>
      </c>
      <c r="EX197" s="182">
        <f>'Civil OE'!BN49</f>
        <v>30</v>
      </c>
      <c r="EY197" s="280">
        <f>'Civil OE'!BO49</f>
        <v>7</v>
      </c>
      <c r="EZ197" s="280">
        <f>'Civil OE'!BP49</f>
        <v>7</v>
      </c>
      <c r="FA197" s="280">
        <f>'Civil OE'!BQ49</f>
        <v>7</v>
      </c>
      <c r="FB197" s="358">
        <f>'Civil OE'!BR49</f>
        <v>7</v>
      </c>
      <c r="FC197" s="280">
        <f>'Civil OE'!BS49</f>
        <v>15</v>
      </c>
      <c r="FD197" s="280">
        <f>'Civil OE'!BT49</f>
        <v>15</v>
      </c>
      <c r="FE197" s="373">
        <f>'Civil OE'!BU49</f>
        <v>22</v>
      </c>
      <c r="FF197" s="182">
        <f>'Civil OE'!BV49</f>
        <v>30</v>
      </c>
    </row>
    <row r="198" spans="1:162" ht="11.25" customHeight="1" outlineLevel="1" x14ac:dyDescent="0.2">
      <c r="A198" s="4" t="s">
        <v>355</v>
      </c>
      <c r="C198" s="198"/>
      <c r="D198" s="199"/>
      <c r="E198" s="199"/>
      <c r="F198" s="200"/>
      <c r="G198" s="199"/>
      <c r="H198" s="199"/>
      <c r="I198" s="201"/>
      <c r="J198" s="201">
        <v>619</v>
      </c>
      <c r="K198" s="198">
        <v>182</v>
      </c>
      <c r="L198" s="199">
        <f t="shared" ref="L198:L214" si="285">O198-K198</f>
        <v>166</v>
      </c>
      <c r="M198" s="199">
        <f t="shared" ref="M198:M214" si="286">Q198-O198</f>
        <v>155</v>
      </c>
      <c r="N198" s="200">
        <f t="shared" ref="N198:N214" si="287">R198-Q198</f>
        <v>187</v>
      </c>
      <c r="O198" s="199">
        <v>348</v>
      </c>
      <c r="P198" s="199">
        <f t="shared" ref="P198:P214" si="288">R198-O198</f>
        <v>342</v>
      </c>
      <c r="Q198" s="201">
        <v>503</v>
      </c>
      <c r="R198" s="201">
        <v>690</v>
      </c>
      <c r="S198" s="198">
        <v>160</v>
      </c>
      <c r="T198" s="199">
        <f t="shared" ref="T198:T213" si="289">W198-S198</f>
        <v>199</v>
      </c>
      <c r="U198" s="199">
        <v>150</v>
      </c>
      <c r="V198" s="200">
        <f t="shared" ref="V198:V213" si="290">Z198-Y198</f>
        <v>186</v>
      </c>
      <c r="W198" s="199">
        <v>359</v>
      </c>
      <c r="X198" s="199">
        <f t="shared" ref="X198:X213" si="291">Z198-W198</f>
        <v>336</v>
      </c>
      <c r="Y198" s="201">
        <f t="shared" ref="Y198:Y213" si="292">SUM(S198:U198)</f>
        <v>509</v>
      </c>
      <c r="Z198" s="201">
        <v>695</v>
      </c>
      <c r="AA198" s="198">
        <v>186</v>
      </c>
      <c r="AB198" s="199">
        <f t="shared" ref="AB198:AB213" si="293">AE198-AA198</f>
        <v>181</v>
      </c>
      <c r="AC198" s="199">
        <v>148</v>
      </c>
      <c r="AD198" s="200">
        <f t="shared" si="256"/>
        <v>171</v>
      </c>
      <c r="AE198" s="199">
        <v>367</v>
      </c>
      <c r="AF198" s="199">
        <f t="shared" si="257"/>
        <v>319</v>
      </c>
      <c r="AG198" s="201">
        <f t="shared" si="258"/>
        <v>515</v>
      </c>
      <c r="AH198" s="201">
        <v>686</v>
      </c>
      <c r="AI198" s="198">
        <v>137</v>
      </c>
      <c r="AJ198" s="199">
        <f t="shared" si="259"/>
        <v>119</v>
      </c>
      <c r="AK198" s="199">
        <v>115</v>
      </c>
      <c r="AL198" s="200">
        <f>+AN198-AK198</f>
        <v>115</v>
      </c>
      <c r="AM198" s="199">
        <v>256</v>
      </c>
      <c r="AN198" s="199">
        <f>+AP198-AM198</f>
        <v>230</v>
      </c>
      <c r="AO198" s="201">
        <f t="shared" si="260"/>
        <v>371</v>
      </c>
      <c r="AP198" s="201">
        <f>+'Civil OE'!E59</f>
        <v>486</v>
      </c>
      <c r="AQ198" s="198">
        <f t="shared" si="261"/>
        <v>137</v>
      </c>
      <c r="AR198" s="199">
        <f t="shared" si="262"/>
        <v>119</v>
      </c>
      <c r="AS198" s="199">
        <f t="shared" si="262"/>
        <v>115</v>
      </c>
      <c r="AT198" s="200">
        <f t="shared" si="262"/>
        <v>115</v>
      </c>
      <c r="AU198" s="199">
        <f t="shared" si="262"/>
        <v>256</v>
      </c>
      <c r="AV198" s="199">
        <f t="shared" si="262"/>
        <v>230</v>
      </c>
      <c r="AW198" s="201">
        <f t="shared" si="262"/>
        <v>371</v>
      </c>
      <c r="AX198" s="201">
        <f t="shared" si="262"/>
        <v>486</v>
      </c>
      <c r="AY198" s="198">
        <v>92</v>
      </c>
      <c r="AZ198" s="199">
        <f t="shared" si="263"/>
        <v>109</v>
      </c>
      <c r="BA198" s="199">
        <v>108</v>
      </c>
      <c r="BB198" s="200">
        <f t="shared" ref="BB198:BB212" si="294">BF198-BE198</f>
        <v>126</v>
      </c>
      <c r="BC198" s="199">
        <v>201</v>
      </c>
      <c r="BD198" s="199"/>
      <c r="BE198" s="201">
        <f t="shared" si="264"/>
        <v>309</v>
      </c>
      <c r="BF198" s="201">
        <v>435</v>
      </c>
      <c r="BG198" s="198">
        <f t="shared" si="265"/>
        <v>92</v>
      </c>
      <c r="BH198" s="199">
        <f t="shared" si="265"/>
        <v>109</v>
      </c>
      <c r="BI198" s="199">
        <f t="shared" si="265"/>
        <v>108</v>
      </c>
      <c r="BJ198" s="200">
        <f t="shared" ref="BJ198:BJ212" si="295">BN198-BM198</f>
        <v>126</v>
      </c>
      <c r="BK198" s="199">
        <f t="shared" si="266"/>
        <v>201</v>
      </c>
      <c r="BL198" s="199">
        <f t="shared" ref="BL198:BL212" si="296">BN198-BK198</f>
        <v>234</v>
      </c>
      <c r="BM198" s="201">
        <f t="shared" si="267"/>
        <v>309</v>
      </c>
      <c r="BN198" s="201">
        <f t="shared" si="267"/>
        <v>435</v>
      </c>
      <c r="BO198" s="198">
        <v>118</v>
      </c>
      <c r="BP198" s="199">
        <f t="shared" si="268"/>
        <v>116</v>
      </c>
      <c r="BQ198" s="199">
        <v>126</v>
      </c>
      <c r="BR198" s="200">
        <f t="shared" si="269"/>
        <v>129</v>
      </c>
      <c r="BS198" s="199">
        <v>234</v>
      </c>
      <c r="BT198" s="199">
        <f t="shared" si="270"/>
        <v>255</v>
      </c>
      <c r="BU198" s="201">
        <f t="shared" si="271"/>
        <v>360</v>
      </c>
      <c r="BV198" s="201">
        <v>489</v>
      </c>
      <c r="BW198" s="198">
        <v>98</v>
      </c>
      <c r="BX198" s="199">
        <f t="shared" si="272"/>
        <v>99</v>
      </c>
      <c r="BY198" s="199">
        <v>88</v>
      </c>
      <c r="BZ198" s="200">
        <f t="shared" si="273"/>
        <v>84</v>
      </c>
      <c r="CA198" s="199">
        <v>197</v>
      </c>
      <c r="CB198" s="199">
        <f t="shared" si="274"/>
        <v>172</v>
      </c>
      <c r="CC198" s="201">
        <f t="shared" si="275"/>
        <v>285</v>
      </c>
      <c r="CD198" s="201">
        <v>369</v>
      </c>
      <c r="CE198" s="198">
        <v>70</v>
      </c>
      <c r="CF198" s="199">
        <f t="shared" si="276"/>
        <v>68</v>
      </c>
      <c r="CG198" s="199">
        <v>58</v>
      </c>
      <c r="CH198" s="200">
        <f t="shared" si="277"/>
        <v>39</v>
      </c>
      <c r="CI198" s="199">
        <v>138</v>
      </c>
      <c r="CJ198" s="199">
        <f t="shared" si="278"/>
        <v>97</v>
      </c>
      <c r="CK198" s="201">
        <f t="shared" si="279"/>
        <v>196</v>
      </c>
      <c r="CL198" s="201">
        <v>235</v>
      </c>
      <c r="CM198" s="198">
        <v>48</v>
      </c>
      <c r="CN198" s="199">
        <f t="shared" si="280"/>
        <v>43</v>
      </c>
      <c r="CO198" s="199">
        <v>40</v>
      </c>
      <c r="CP198" s="200">
        <f t="shared" si="281"/>
        <v>50</v>
      </c>
      <c r="CQ198" s="199">
        <v>91</v>
      </c>
      <c r="CR198" s="199">
        <f t="shared" si="282"/>
        <v>90</v>
      </c>
      <c r="CS198" s="201">
        <f t="shared" si="283"/>
        <v>131</v>
      </c>
      <c r="CT198" s="201">
        <v>181</v>
      </c>
      <c r="CU198" s="198">
        <f>'Civil OE'!K59</f>
        <v>37</v>
      </c>
      <c r="CV198" s="199">
        <f>'Civil OE'!L59</f>
        <v>46</v>
      </c>
      <c r="CW198" s="199">
        <f>'Civil OE'!M59</f>
        <v>58</v>
      </c>
      <c r="CX198" s="200">
        <f>'Civil OE'!N59</f>
        <v>49</v>
      </c>
      <c r="CY198" s="199">
        <f>'Civil OE'!O59</f>
        <v>83</v>
      </c>
      <c r="CZ198" s="199">
        <f>'Civil OE'!P59</f>
        <v>107</v>
      </c>
      <c r="DA198" s="201">
        <f>'Civil OE'!Q59</f>
        <v>141</v>
      </c>
      <c r="DB198" s="180">
        <f>'Civil OE'!R59</f>
        <v>190</v>
      </c>
      <c r="DC198" s="198">
        <f>'Civil OE'!S59</f>
        <v>56</v>
      </c>
      <c r="DD198" s="199">
        <f>'Civil OE'!T59</f>
        <v>35</v>
      </c>
      <c r="DE198" s="199">
        <f>'Civil OE'!U59</f>
        <v>51</v>
      </c>
      <c r="DF198" s="200">
        <f>'Civil OE'!V59</f>
        <v>53</v>
      </c>
      <c r="DG198" s="199">
        <f>'Civil OE'!W59</f>
        <v>91</v>
      </c>
      <c r="DH198" s="199">
        <f>'Civil OE'!X59</f>
        <v>104</v>
      </c>
      <c r="DI198" s="201">
        <f>'Civil OE'!Y59</f>
        <v>142</v>
      </c>
      <c r="DJ198" s="180">
        <f>'Civil OE'!Z59</f>
        <v>195</v>
      </c>
      <c r="DK198" s="198">
        <f>'Civil OE'!AA59</f>
        <v>48</v>
      </c>
      <c r="DL198" s="199">
        <f>'Civil OE'!AB59</f>
        <v>59</v>
      </c>
      <c r="DM198" s="199">
        <f>'Civil OE'!AC59</f>
        <v>55</v>
      </c>
      <c r="DN198" s="200">
        <f>'Civil OE'!AD59</f>
        <v>72</v>
      </c>
      <c r="DO198" s="199">
        <f>'Civil OE'!AE59</f>
        <v>107</v>
      </c>
      <c r="DP198" s="199">
        <f>'Civil OE'!AF59</f>
        <v>127</v>
      </c>
      <c r="DQ198" s="201">
        <f>'Civil OE'!AG59</f>
        <v>162</v>
      </c>
      <c r="DR198" s="180">
        <f>'Civil OE'!AH59</f>
        <v>234</v>
      </c>
      <c r="DS198" s="199">
        <f>'Civil OE'!AI59</f>
        <v>57</v>
      </c>
      <c r="DT198" s="199">
        <f>'Civil OE'!AJ59</f>
        <v>78</v>
      </c>
      <c r="DU198" s="280">
        <f>'Civil OE'!AK59</f>
        <v>64.000000000000014</v>
      </c>
      <c r="DV198" s="358">
        <f>'Civil OE'!AL59</f>
        <v>64.000000000000014</v>
      </c>
      <c r="DW198" s="199">
        <f>'Civil OE'!AM59</f>
        <v>135</v>
      </c>
      <c r="DX198" s="280">
        <f>'Civil OE'!AN59</f>
        <v>128.00000000000003</v>
      </c>
      <c r="DY198" s="373">
        <f>'Civil OE'!AO59</f>
        <v>199</v>
      </c>
      <c r="DZ198" s="182">
        <f>'Civil OE'!AP59</f>
        <v>263</v>
      </c>
      <c r="EA198" s="280">
        <f>'Civil OE'!AQ59</f>
        <v>74</v>
      </c>
      <c r="EB198" s="280">
        <f>'Civil OE'!AR59</f>
        <v>74</v>
      </c>
      <c r="EC198" s="280">
        <f>'Civil OE'!AS59</f>
        <v>74</v>
      </c>
      <c r="ED198" s="358">
        <f>'Civil OE'!AT59</f>
        <v>74</v>
      </c>
      <c r="EE198" s="280">
        <f>'Civil OE'!AU59</f>
        <v>148</v>
      </c>
      <c r="EF198" s="280">
        <f>'Civil OE'!AV59</f>
        <v>148</v>
      </c>
      <c r="EG198" s="373">
        <f>'Civil OE'!AW59</f>
        <v>222</v>
      </c>
      <c r="EH198" s="182">
        <f>'Civil OE'!AX59</f>
        <v>296</v>
      </c>
      <c r="EI198" s="280">
        <f>'Civil OE'!AY59</f>
        <v>74</v>
      </c>
      <c r="EJ198" s="280">
        <f>'Civil OE'!AZ59</f>
        <v>74</v>
      </c>
      <c r="EK198" s="280">
        <f>'Civil OE'!BA59</f>
        <v>74</v>
      </c>
      <c r="EL198" s="358">
        <f>'Civil OE'!BB59</f>
        <v>74</v>
      </c>
      <c r="EM198" s="280">
        <f>'Civil OE'!BC59</f>
        <v>148</v>
      </c>
      <c r="EN198" s="280">
        <f>'Civil OE'!BD59</f>
        <v>148</v>
      </c>
      <c r="EO198" s="373">
        <f>'Civil OE'!BE59</f>
        <v>222</v>
      </c>
      <c r="EP198" s="182">
        <f>'Civil OE'!BF59</f>
        <v>296</v>
      </c>
      <c r="EQ198" s="280">
        <f>'Civil OE'!BG59</f>
        <v>74</v>
      </c>
      <c r="ER198" s="280">
        <f>'Civil OE'!BH59</f>
        <v>74</v>
      </c>
      <c r="ES198" s="280">
        <f>'Civil OE'!BI59</f>
        <v>74</v>
      </c>
      <c r="ET198" s="358">
        <f>'Civil OE'!BJ59</f>
        <v>74</v>
      </c>
      <c r="EU198" s="280">
        <f>'Civil OE'!BK59</f>
        <v>148</v>
      </c>
      <c r="EV198" s="280">
        <f>'Civil OE'!BL59</f>
        <v>148</v>
      </c>
      <c r="EW198" s="373">
        <f>'Civil OE'!BM59</f>
        <v>222</v>
      </c>
      <c r="EX198" s="182">
        <f>'Civil OE'!BN59</f>
        <v>296</v>
      </c>
      <c r="EY198" s="280">
        <f>'Civil OE'!BO59</f>
        <v>74</v>
      </c>
      <c r="EZ198" s="280">
        <f>'Civil OE'!BP59</f>
        <v>74</v>
      </c>
      <c r="FA198" s="280">
        <f>'Civil OE'!BQ59</f>
        <v>74</v>
      </c>
      <c r="FB198" s="358">
        <f>'Civil OE'!BR59</f>
        <v>74</v>
      </c>
      <c r="FC198" s="280">
        <f>'Civil OE'!BS59</f>
        <v>148</v>
      </c>
      <c r="FD198" s="280">
        <f>'Civil OE'!BT59</f>
        <v>148</v>
      </c>
      <c r="FE198" s="373">
        <f>'Civil OE'!BU59</f>
        <v>222</v>
      </c>
      <c r="FF198" s="182">
        <f>'Civil OE'!BV59</f>
        <v>296</v>
      </c>
    </row>
    <row r="199" spans="1:162" ht="11.25" customHeight="1" outlineLevel="1" x14ac:dyDescent="0.2">
      <c r="A199" s="4" t="s">
        <v>356</v>
      </c>
      <c r="C199" s="198"/>
      <c r="D199" s="199"/>
      <c r="E199" s="199"/>
      <c r="F199" s="200"/>
      <c r="G199" s="199"/>
      <c r="H199" s="199"/>
      <c r="I199" s="201"/>
      <c r="J199" s="201">
        <v>934</v>
      </c>
      <c r="K199" s="198">
        <v>180</v>
      </c>
      <c r="L199" s="199">
        <f t="shared" si="285"/>
        <v>181</v>
      </c>
      <c r="M199" s="199">
        <f t="shared" si="286"/>
        <v>170</v>
      </c>
      <c r="N199" s="200">
        <f t="shared" si="287"/>
        <v>301</v>
      </c>
      <c r="O199" s="199">
        <v>361</v>
      </c>
      <c r="P199" s="199">
        <f t="shared" si="288"/>
        <v>471</v>
      </c>
      <c r="Q199" s="201">
        <v>531</v>
      </c>
      <c r="R199" s="201">
        <v>832</v>
      </c>
      <c r="S199" s="198">
        <v>159</v>
      </c>
      <c r="T199" s="199">
        <f t="shared" si="289"/>
        <v>184</v>
      </c>
      <c r="U199" s="199">
        <v>121</v>
      </c>
      <c r="V199" s="200">
        <f t="shared" si="290"/>
        <v>161</v>
      </c>
      <c r="W199" s="199">
        <v>343</v>
      </c>
      <c r="X199" s="199">
        <f t="shared" si="291"/>
        <v>282</v>
      </c>
      <c r="Y199" s="201">
        <f t="shared" si="292"/>
        <v>464</v>
      </c>
      <c r="Z199" s="201">
        <v>625</v>
      </c>
      <c r="AA199" s="198">
        <v>133</v>
      </c>
      <c r="AB199" s="199">
        <f t="shared" si="293"/>
        <v>216</v>
      </c>
      <c r="AC199" s="199">
        <v>136</v>
      </c>
      <c r="AD199" s="200">
        <f t="shared" si="256"/>
        <v>229</v>
      </c>
      <c r="AE199" s="199">
        <v>349</v>
      </c>
      <c r="AF199" s="199">
        <f t="shared" si="257"/>
        <v>365</v>
      </c>
      <c r="AG199" s="201">
        <f t="shared" si="258"/>
        <v>485</v>
      </c>
      <c r="AH199" s="201">
        <v>714</v>
      </c>
      <c r="AI199" s="198">
        <v>147</v>
      </c>
      <c r="AJ199" s="199">
        <f t="shared" si="259"/>
        <v>167</v>
      </c>
      <c r="AK199" s="199">
        <v>130</v>
      </c>
      <c r="AL199" s="200">
        <f>+AN199-AK199</f>
        <v>228</v>
      </c>
      <c r="AM199" s="199">
        <v>314</v>
      </c>
      <c r="AN199" s="199">
        <f>+AP199-AM199</f>
        <v>358</v>
      </c>
      <c r="AO199" s="201">
        <f t="shared" si="260"/>
        <v>444</v>
      </c>
      <c r="AP199" s="201">
        <f>+Propulsion!Q224</f>
        <v>672</v>
      </c>
      <c r="AQ199" s="198">
        <f t="shared" si="261"/>
        <v>147</v>
      </c>
      <c r="AR199" s="199">
        <f t="shared" si="262"/>
        <v>167</v>
      </c>
      <c r="AS199" s="199">
        <f t="shared" si="262"/>
        <v>130</v>
      </c>
      <c r="AT199" s="200">
        <f t="shared" si="262"/>
        <v>228</v>
      </c>
      <c r="AU199" s="199">
        <f t="shared" si="262"/>
        <v>314</v>
      </c>
      <c r="AV199" s="199">
        <f t="shared" si="262"/>
        <v>358</v>
      </c>
      <c r="AW199" s="201">
        <f t="shared" si="262"/>
        <v>444</v>
      </c>
      <c r="AX199" s="201">
        <f t="shared" si="262"/>
        <v>672</v>
      </c>
      <c r="AY199" s="198">
        <v>127</v>
      </c>
      <c r="AZ199" s="199">
        <f t="shared" si="263"/>
        <v>208</v>
      </c>
      <c r="BA199" s="199">
        <v>175</v>
      </c>
      <c r="BB199" s="200">
        <f t="shared" si="294"/>
        <v>263</v>
      </c>
      <c r="BC199" s="199">
        <v>335</v>
      </c>
      <c r="BD199" s="199"/>
      <c r="BE199" s="201">
        <f t="shared" si="264"/>
        <v>510</v>
      </c>
      <c r="BF199" s="201">
        <v>773</v>
      </c>
      <c r="BG199" s="198">
        <f t="shared" si="265"/>
        <v>127</v>
      </c>
      <c r="BH199" s="199">
        <f t="shared" si="265"/>
        <v>208</v>
      </c>
      <c r="BI199" s="199">
        <f t="shared" si="265"/>
        <v>175</v>
      </c>
      <c r="BJ199" s="200">
        <f t="shared" si="295"/>
        <v>263</v>
      </c>
      <c r="BK199" s="199">
        <f t="shared" si="266"/>
        <v>335</v>
      </c>
      <c r="BL199" s="199">
        <f t="shared" si="296"/>
        <v>438</v>
      </c>
      <c r="BM199" s="201">
        <f t="shared" si="267"/>
        <v>510</v>
      </c>
      <c r="BN199" s="201">
        <f t="shared" si="267"/>
        <v>773</v>
      </c>
      <c r="BO199" s="198">
        <v>139</v>
      </c>
      <c r="BP199" s="199">
        <f t="shared" si="268"/>
        <v>196</v>
      </c>
      <c r="BQ199" s="199">
        <v>137</v>
      </c>
      <c r="BR199" s="200">
        <f t="shared" si="269"/>
        <v>224</v>
      </c>
      <c r="BS199" s="199">
        <v>335</v>
      </c>
      <c r="BT199" s="199">
        <f t="shared" si="270"/>
        <v>361</v>
      </c>
      <c r="BU199" s="201">
        <f t="shared" si="271"/>
        <v>472</v>
      </c>
      <c r="BV199" s="201">
        <v>696</v>
      </c>
      <c r="BW199" s="198">
        <v>139</v>
      </c>
      <c r="BX199" s="199">
        <f t="shared" si="272"/>
        <v>136</v>
      </c>
      <c r="BY199" s="199">
        <v>161</v>
      </c>
      <c r="BZ199" s="200">
        <f t="shared" si="273"/>
        <v>193</v>
      </c>
      <c r="CA199" s="199">
        <v>275</v>
      </c>
      <c r="CB199" s="199">
        <f t="shared" si="274"/>
        <v>354</v>
      </c>
      <c r="CC199" s="201">
        <f t="shared" si="275"/>
        <v>436</v>
      </c>
      <c r="CD199" s="201">
        <v>629</v>
      </c>
      <c r="CE199" s="198">
        <v>133</v>
      </c>
      <c r="CF199" s="199">
        <f t="shared" si="276"/>
        <v>151</v>
      </c>
      <c r="CG199" s="199">
        <v>110</v>
      </c>
      <c r="CH199" s="200">
        <f t="shared" si="277"/>
        <v>180</v>
      </c>
      <c r="CI199" s="199">
        <v>284</v>
      </c>
      <c r="CJ199" s="199">
        <f t="shared" si="278"/>
        <v>290</v>
      </c>
      <c r="CK199" s="201">
        <f t="shared" si="279"/>
        <v>394</v>
      </c>
      <c r="CL199" s="201">
        <v>574</v>
      </c>
      <c r="CM199" s="198">
        <v>110</v>
      </c>
      <c r="CN199" s="199">
        <f t="shared" si="280"/>
        <v>117</v>
      </c>
      <c r="CO199" s="199">
        <v>128</v>
      </c>
      <c r="CP199" s="200">
        <f t="shared" si="281"/>
        <v>153</v>
      </c>
      <c r="CQ199" s="199">
        <v>227</v>
      </c>
      <c r="CR199" s="199">
        <f t="shared" si="282"/>
        <v>281</v>
      </c>
      <c r="CS199" s="201">
        <f t="shared" si="283"/>
        <v>355</v>
      </c>
      <c r="CT199" s="201">
        <v>508</v>
      </c>
      <c r="CU199" s="198">
        <f>Propulsion!Y224</f>
        <v>136</v>
      </c>
      <c r="CV199" s="199">
        <f>Propulsion!Z224</f>
        <v>138</v>
      </c>
      <c r="CW199" s="199">
        <f>Propulsion!AA224</f>
        <v>140</v>
      </c>
      <c r="CX199" s="200">
        <f>Propulsion!AB224</f>
        <v>174</v>
      </c>
      <c r="CY199" s="199">
        <f>Propulsion!AC224</f>
        <v>274</v>
      </c>
      <c r="CZ199" s="199">
        <f>Propulsion!AD224</f>
        <v>314</v>
      </c>
      <c r="DA199" s="201">
        <f>Propulsion!AE224</f>
        <v>414</v>
      </c>
      <c r="DB199" s="201">
        <f>Propulsion!AF224</f>
        <v>588</v>
      </c>
      <c r="DC199" s="198">
        <f>Propulsion!AG224</f>
        <v>136</v>
      </c>
      <c r="DD199" s="199">
        <f>Propulsion!AH224</f>
        <v>169</v>
      </c>
      <c r="DE199" s="199">
        <f>Propulsion!AI224</f>
        <v>181</v>
      </c>
      <c r="DF199" s="200">
        <f>Propulsion!AJ224</f>
        <v>196</v>
      </c>
      <c r="DG199" s="199">
        <f>Propulsion!AK224</f>
        <v>305</v>
      </c>
      <c r="DH199" s="199">
        <f>Propulsion!AL224</f>
        <v>377</v>
      </c>
      <c r="DI199" s="201">
        <f>Propulsion!AM224</f>
        <v>486</v>
      </c>
      <c r="DJ199" s="201">
        <f>Propulsion!AN224</f>
        <v>682</v>
      </c>
      <c r="DK199" s="198">
        <f>Propulsion!AO224</f>
        <v>153</v>
      </c>
      <c r="DL199" s="199">
        <f>Propulsion!AP224</f>
        <v>175</v>
      </c>
      <c r="DM199" s="199">
        <f>Propulsion!AQ224</f>
        <v>192</v>
      </c>
      <c r="DN199" s="200">
        <f>Propulsion!AR224</f>
        <v>237</v>
      </c>
      <c r="DO199" s="199">
        <f>Propulsion!AS224</f>
        <v>328</v>
      </c>
      <c r="DP199" s="199">
        <f>Propulsion!AT224</f>
        <v>429</v>
      </c>
      <c r="DQ199" s="201">
        <f>Propulsion!AU224</f>
        <v>520</v>
      </c>
      <c r="DR199" s="201">
        <f>Propulsion!AV224</f>
        <v>757</v>
      </c>
      <c r="DS199" s="199">
        <f>Propulsion!AW224</f>
        <v>134</v>
      </c>
      <c r="DT199" s="199">
        <f>Propulsion!AX224</f>
        <v>183</v>
      </c>
      <c r="DU199" s="280">
        <f>Propulsion!AY224</f>
        <v>200</v>
      </c>
      <c r="DV199" s="358">
        <f>Propulsion!AZ224</f>
        <v>240</v>
      </c>
      <c r="DW199" s="199">
        <f>Propulsion!BA224</f>
        <v>317</v>
      </c>
      <c r="DX199" s="280">
        <f>Propulsion!BB224</f>
        <v>440</v>
      </c>
      <c r="DY199" s="373">
        <f>Propulsion!BC224</f>
        <v>517</v>
      </c>
      <c r="DZ199" s="373">
        <f>Propulsion!BD224</f>
        <v>757</v>
      </c>
      <c r="EA199" s="280">
        <f>Propulsion!BE224</f>
        <v>189.25</v>
      </c>
      <c r="EB199" s="280">
        <f>Propulsion!BF224</f>
        <v>189.25</v>
      </c>
      <c r="EC199" s="280">
        <f>Propulsion!BG224</f>
        <v>189.25</v>
      </c>
      <c r="ED199" s="358">
        <f>Propulsion!BH224</f>
        <v>189.25</v>
      </c>
      <c r="EE199" s="280">
        <f>Propulsion!BI224</f>
        <v>378.5</v>
      </c>
      <c r="EF199" s="280">
        <f>Propulsion!BJ224</f>
        <v>378.5</v>
      </c>
      <c r="EG199" s="373">
        <f>Propulsion!BK224</f>
        <v>567.75</v>
      </c>
      <c r="EH199" s="373">
        <f>Propulsion!BL224</f>
        <v>757</v>
      </c>
      <c r="EI199" s="280">
        <f>Propulsion!BM224</f>
        <v>189.25</v>
      </c>
      <c r="EJ199" s="280">
        <f>Propulsion!BN224</f>
        <v>189.25</v>
      </c>
      <c r="EK199" s="280">
        <f>Propulsion!BO224</f>
        <v>189.25</v>
      </c>
      <c r="EL199" s="358">
        <f>Propulsion!BP224</f>
        <v>189.25</v>
      </c>
      <c r="EM199" s="280">
        <f>Propulsion!BQ224</f>
        <v>378.5</v>
      </c>
      <c r="EN199" s="280">
        <f>Propulsion!BR224</f>
        <v>378.5</v>
      </c>
      <c r="EO199" s="373">
        <f>Propulsion!BS224</f>
        <v>567.75</v>
      </c>
      <c r="EP199" s="373">
        <f>Propulsion!BT224</f>
        <v>757</v>
      </c>
      <c r="EQ199" s="280">
        <f>Propulsion!BU224</f>
        <v>189.25</v>
      </c>
      <c r="ER199" s="280">
        <f>Propulsion!BV224</f>
        <v>189.25</v>
      </c>
      <c r="ES199" s="280">
        <f>Propulsion!BW224</f>
        <v>189.25</v>
      </c>
      <c r="ET199" s="358">
        <f>Propulsion!BX224</f>
        <v>189.25</v>
      </c>
      <c r="EU199" s="280">
        <f>Propulsion!BY224</f>
        <v>378.5</v>
      </c>
      <c r="EV199" s="280">
        <f>Propulsion!BZ224</f>
        <v>378.5</v>
      </c>
      <c r="EW199" s="373">
        <f>Propulsion!CA224</f>
        <v>567.75</v>
      </c>
      <c r="EX199" s="373">
        <f>Propulsion!CB224</f>
        <v>757</v>
      </c>
      <c r="EY199" s="280">
        <f>Propulsion!CC224</f>
        <v>189.25</v>
      </c>
      <c r="EZ199" s="280">
        <f>Propulsion!CD224</f>
        <v>189.25</v>
      </c>
      <c r="FA199" s="280">
        <f>Propulsion!CE224</f>
        <v>189.25</v>
      </c>
      <c r="FB199" s="358">
        <f>Propulsion!CF224</f>
        <v>189.25</v>
      </c>
      <c r="FC199" s="280">
        <f>Propulsion!CG224</f>
        <v>378.5</v>
      </c>
      <c r="FD199" s="280">
        <f>Propulsion!CH224</f>
        <v>378.5</v>
      </c>
      <c r="FE199" s="373">
        <f>Propulsion!CI224</f>
        <v>567.75</v>
      </c>
      <c r="FF199" s="373">
        <f>Propulsion!CJ224</f>
        <v>757</v>
      </c>
    </row>
    <row r="200" spans="1:162" ht="11.25" customHeight="1" outlineLevel="1" x14ac:dyDescent="0.2">
      <c r="A200" s="4" t="s">
        <v>357</v>
      </c>
      <c r="C200" s="198"/>
      <c r="D200" s="199"/>
      <c r="E200" s="199"/>
      <c r="F200" s="200"/>
      <c r="G200" s="199"/>
      <c r="H200" s="199"/>
      <c r="I200" s="201"/>
      <c r="J200" s="201">
        <v>20</v>
      </c>
      <c r="K200" s="198">
        <v>6</v>
      </c>
      <c r="L200" s="199">
        <f t="shared" si="285"/>
        <v>6</v>
      </c>
      <c r="M200" s="199">
        <f t="shared" si="286"/>
        <v>6</v>
      </c>
      <c r="N200" s="200">
        <f t="shared" si="287"/>
        <v>8</v>
      </c>
      <c r="O200" s="199">
        <v>12</v>
      </c>
      <c r="P200" s="199">
        <f t="shared" si="288"/>
        <v>14</v>
      </c>
      <c r="Q200" s="201">
        <v>18</v>
      </c>
      <c r="R200" s="201">
        <v>26</v>
      </c>
      <c r="S200" s="198">
        <v>0</v>
      </c>
      <c r="T200" s="199">
        <v>0</v>
      </c>
      <c r="U200" s="199">
        <v>8</v>
      </c>
      <c r="V200" s="200">
        <f t="shared" si="290"/>
        <v>4</v>
      </c>
      <c r="W200" s="199">
        <v>0</v>
      </c>
      <c r="X200" s="199">
        <f t="shared" si="291"/>
        <v>12</v>
      </c>
      <c r="Y200" s="201">
        <f t="shared" si="292"/>
        <v>8</v>
      </c>
      <c r="Z200" s="201">
        <v>12</v>
      </c>
      <c r="AA200" s="198">
        <v>7</v>
      </c>
      <c r="AB200" s="199">
        <f t="shared" si="293"/>
        <v>2</v>
      </c>
      <c r="AC200" s="199">
        <v>0</v>
      </c>
      <c r="AD200" s="200">
        <f t="shared" si="256"/>
        <v>2</v>
      </c>
      <c r="AE200" s="199">
        <v>9</v>
      </c>
      <c r="AF200" s="199">
        <f t="shared" si="257"/>
        <v>2</v>
      </c>
      <c r="AG200" s="201">
        <f t="shared" si="258"/>
        <v>9</v>
      </c>
      <c r="AH200" s="201">
        <v>11</v>
      </c>
      <c r="AI200" s="198">
        <v>7</v>
      </c>
      <c r="AJ200" s="199">
        <f t="shared" si="259"/>
        <v>5</v>
      </c>
      <c r="AK200" s="199">
        <v>12</v>
      </c>
      <c r="AL200" s="200"/>
      <c r="AM200" s="199">
        <v>12</v>
      </c>
      <c r="AN200" s="199"/>
      <c r="AO200" s="201">
        <f t="shared" si="260"/>
        <v>24</v>
      </c>
      <c r="AP200" s="201">
        <v>33</v>
      </c>
      <c r="AQ200" s="198">
        <f t="shared" si="261"/>
        <v>7</v>
      </c>
      <c r="AR200" s="199">
        <f t="shared" si="262"/>
        <v>5</v>
      </c>
      <c r="AS200" s="199">
        <f t="shared" si="262"/>
        <v>12</v>
      </c>
      <c r="AT200" s="200"/>
      <c r="AU200" s="199">
        <f t="shared" si="262"/>
        <v>12</v>
      </c>
      <c r="AV200" s="199"/>
      <c r="AW200" s="201">
        <f t="shared" si="262"/>
        <v>24</v>
      </c>
      <c r="AX200" s="201">
        <f t="shared" si="262"/>
        <v>33</v>
      </c>
      <c r="AY200" s="198">
        <v>3</v>
      </c>
      <c r="AZ200" s="199">
        <f t="shared" si="263"/>
        <v>1</v>
      </c>
      <c r="BA200" s="199">
        <v>7</v>
      </c>
      <c r="BB200" s="200">
        <f t="shared" si="294"/>
        <v>12</v>
      </c>
      <c r="BC200" s="199">
        <v>4</v>
      </c>
      <c r="BD200" s="199"/>
      <c r="BE200" s="201">
        <f t="shared" si="264"/>
        <v>11</v>
      </c>
      <c r="BF200" s="201">
        <v>23</v>
      </c>
      <c r="BG200" s="198">
        <f t="shared" si="265"/>
        <v>3</v>
      </c>
      <c r="BH200" s="199">
        <f t="shared" si="265"/>
        <v>1</v>
      </c>
      <c r="BI200" s="199">
        <f t="shared" si="265"/>
        <v>7</v>
      </c>
      <c r="BJ200" s="200">
        <f t="shared" si="295"/>
        <v>12</v>
      </c>
      <c r="BK200" s="199">
        <f t="shared" si="266"/>
        <v>4</v>
      </c>
      <c r="BL200" s="199">
        <f t="shared" si="296"/>
        <v>19</v>
      </c>
      <c r="BM200" s="201">
        <f t="shared" si="267"/>
        <v>11</v>
      </c>
      <c r="BN200" s="201">
        <f t="shared" si="267"/>
        <v>23</v>
      </c>
      <c r="BO200" s="198">
        <v>8</v>
      </c>
      <c r="BP200" s="199">
        <f t="shared" si="268"/>
        <v>14</v>
      </c>
      <c r="BQ200" s="199">
        <v>20</v>
      </c>
      <c r="BR200" s="200">
        <f t="shared" si="269"/>
        <v>20</v>
      </c>
      <c r="BS200" s="199">
        <v>22</v>
      </c>
      <c r="BT200" s="199">
        <f t="shared" si="270"/>
        <v>40</v>
      </c>
      <c r="BU200" s="201">
        <f t="shared" si="271"/>
        <v>42</v>
      </c>
      <c r="BV200" s="201">
        <v>62</v>
      </c>
      <c r="BW200" s="198">
        <v>10</v>
      </c>
      <c r="BX200" s="199">
        <f t="shared" si="272"/>
        <v>9</v>
      </c>
      <c r="BY200" s="199">
        <v>6</v>
      </c>
      <c r="BZ200" s="200">
        <f t="shared" si="273"/>
        <v>8</v>
      </c>
      <c r="CA200" s="199">
        <v>19</v>
      </c>
      <c r="CB200" s="199">
        <f t="shared" si="274"/>
        <v>14</v>
      </c>
      <c r="CC200" s="201">
        <f t="shared" si="275"/>
        <v>25</v>
      </c>
      <c r="CD200" s="201">
        <v>33</v>
      </c>
      <c r="CE200" s="198">
        <v>15</v>
      </c>
      <c r="CF200" s="199">
        <f t="shared" si="276"/>
        <v>16</v>
      </c>
      <c r="CG200" s="199">
        <v>15</v>
      </c>
      <c r="CH200" s="200">
        <f t="shared" si="277"/>
        <v>18</v>
      </c>
      <c r="CI200" s="199">
        <v>31</v>
      </c>
      <c r="CJ200" s="199">
        <f t="shared" si="278"/>
        <v>33</v>
      </c>
      <c r="CK200" s="201">
        <f t="shared" si="279"/>
        <v>46</v>
      </c>
      <c r="CL200" s="201">
        <v>64</v>
      </c>
      <c r="CM200" s="198">
        <v>12</v>
      </c>
      <c r="CN200" s="199">
        <f t="shared" si="280"/>
        <v>8</v>
      </c>
      <c r="CO200" s="199">
        <v>9</v>
      </c>
      <c r="CP200" s="200">
        <f t="shared" si="281"/>
        <v>22</v>
      </c>
      <c r="CQ200" s="199">
        <v>20</v>
      </c>
      <c r="CR200" s="199">
        <f t="shared" si="282"/>
        <v>31</v>
      </c>
      <c r="CS200" s="201">
        <f t="shared" si="283"/>
        <v>29</v>
      </c>
      <c r="CT200" s="201">
        <v>51</v>
      </c>
      <c r="CU200" s="198">
        <f>Propulsion!Y248</f>
        <v>17</v>
      </c>
      <c r="CV200" s="199">
        <f>Propulsion!Z248</f>
        <v>14</v>
      </c>
      <c r="CW200" s="199">
        <f>Propulsion!AA248</f>
        <v>8</v>
      </c>
      <c r="CX200" s="200">
        <f>Propulsion!AB248</f>
        <v>3</v>
      </c>
      <c r="CY200" s="199">
        <f>Propulsion!AC248</f>
        <v>31</v>
      </c>
      <c r="CZ200" s="199">
        <f>Propulsion!AD248</f>
        <v>11</v>
      </c>
      <c r="DA200" s="201">
        <f>Propulsion!AE248</f>
        <v>39</v>
      </c>
      <c r="DB200" s="180">
        <f>Propulsion!AF248</f>
        <v>42</v>
      </c>
      <c r="DC200" s="198">
        <f>Propulsion!AG248</f>
        <v>8</v>
      </c>
      <c r="DD200" s="199">
        <f>Propulsion!AH248</f>
        <v>6</v>
      </c>
      <c r="DE200" s="199">
        <f>Propulsion!AI248</f>
        <v>10</v>
      </c>
      <c r="DF200" s="200">
        <f>Propulsion!AJ248</f>
        <v>16</v>
      </c>
      <c r="DG200" s="199">
        <f>Propulsion!AK248</f>
        <v>14</v>
      </c>
      <c r="DH200" s="199">
        <f>Propulsion!AL248</f>
        <v>26</v>
      </c>
      <c r="DI200" s="201">
        <f>Propulsion!AM248</f>
        <v>24</v>
      </c>
      <c r="DJ200" s="180">
        <f>Propulsion!AN248</f>
        <v>40</v>
      </c>
      <c r="DK200" s="198">
        <f>Propulsion!AO248</f>
        <v>2</v>
      </c>
      <c r="DL200" s="199">
        <f>Propulsion!AP248</f>
        <v>8</v>
      </c>
      <c r="DM200" s="199">
        <f>Propulsion!AQ248</f>
        <v>7</v>
      </c>
      <c r="DN200" s="200">
        <f>Propulsion!AR248</f>
        <v>-17</v>
      </c>
      <c r="DO200" s="199">
        <f>Propulsion!AS248</f>
        <v>10</v>
      </c>
      <c r="DP200" s="199">
        <f>Propulsion!AT248</f>
        <v>-10</v>
      </c>
      <c r="DQ200" s="201">
        <f>Propulsion!AU248</f>
        <v>17</v>
      </c>
      <c r="DR200" s="180">
        <f>Propulsion!AV248</f>
        <v>0</v>
      </c>
      <c r="DS200" s="199">
        <f>Propulsion!AW248</f>
        <v>0</v>
      </c>
      <c r="DT200" s="199">
        <f>Propulsion!AX248</f>
        <v>0</v>
      </c>
      <c r="DU200" s="280">
        <f>Propulsion!AY248</f>
        <v>0</v>
      </c>
      <c r="DV200" s="358">
        <f>Propulsion!AZ248</f>
        <v>0</v>
      </c>
      <c r="DW200" s="199">
        <f>Propulsion!BA248</f>
        <v>0</v>
      </c>
      <c r="DX200" s="280">
        <f>Propulsion!BB248</f>
        <v>0</v>
      </c>
      <c r="DY200" s="373">
        <f>Propulsion!BC248</f>
        <v>0</v>
      </c>
      <c r="DZ200" s="182">
        <f>Propulsion!BD248</f>
        <v>0</v>
      </c>
      <c r="EA200" s="280">
        <f>Propulsion!BE248</f>
        <v>0</v>
      </c>
      <c r="EB200" s="280">
        <f>Propulsion!BF248</f>
        <v>0</v>
      </c>
      <c r="EC200" s="280">
        <f>Propulsion!BG248</f>
        <v>0</v>
      </c>
      <c r="ED200" s="358">
        <f>Propulsion!BH248</f>
        <v>0</v>
      </c>
      <c r="EE200" s="280">
        <f>Propulsion!BI248</f>
        <v>0</v>
      </c>
      <c r="EF200" s="280">
        <f>Propulsion!BJ248</f>
        <v>0</v>
      </c>
      <c r="EG200" s="373">
        <f>Propulsion!BK248</f>
        <v>0</v>
      </c>
      <c r="EH200" s="182">
        <f>Propulsion!BL248</f>
        <v>0</v>
      </c>
      <c r="EI200" s="280">
        <f>Propulsion!BM248</f>
        <v>0</v>
      </c>
      <c r="EJ200" s="280">
        <f>Propulsion!BN248</f>
        <v>0</v>
      </c>
      <c r="EK200" s="280">
        <f>Propulsion!BO248</f>
        <v>0</v>
      </c>
      <c r="EL200" s="358">
        <f>Propulsion!BP248</f>
        <v>0</v>
      </c>
      <c r="EM200" s="280">
        <f>Propulsion!BQ248</f>
        <v>0</v>
      </c>
      <c r="EN200" s="280">
        <f>Propulsion!BR248</f>
        <v>0</v>
      </c>
      <c r="EO200" s="373">
        <f>Propulsion!BS248</f>
        <v>0</v>
      </c>
      <c r="EP200" s="182">
        <f>Propulsion!BT248</f>
        <v>0</v>
      </c>
      <c r="EQ200" s="280">
        <f>Propulsion!BU248</f>
        <v>0</v>
      </c>
      <c r="ER200" s="280">
        <f>Propulsion!BV248</f>
        <v>0</v>
      </c>
      <c r="ES200" s="280">
        <f>Propulsion!BW248</f>
        <v>0</v>
      </c>
      <c r="ET200" s="358">
        <f>Propulsion!BX248</f>
        <v>0</v>
      </c>
      <c r="EU200" s="280">
        <f>Propulsion!BY248</f>
        <v>0</v>
      </c>
      <c r="EV200" s="280">
        <f>Propulsion!BZ248</f>
        <v>0</v>
      </c>
      <c r="EW200" s="373">
        <f>Propulsion!CA248</f>
        <v>0</v>
      </c>
      <c r="EX200" s="182">
        <f>Propulsion!CB248</f>
        <v>0</v>
      </c>
      <c r="EY200" s="280">
        <f>Propulsion!CC248</f>
        <v>0</v>
      </c>
      <c r="EZ200" s="280">
        <f>Propulsion!CD248</f>
        <v>0</v>
      </c>
      <c r="FA200" s="280">
        <f>Propulsion!CE248</f>
        <v>0</v>
      </c>
      <c r="FB200" s="358">
        <f>Propulsion!CF248</f>
        <v>0</v>
      </c>
      <c r="FC200" s="280">
        <f>Propulsion!CG248</f>
        <v>0</v>
      </c>
      <c r="FD200" s="280">
        <f>Propulsion!CH248</f>
        <v>0</v>
      </c>
      <c r="FE200" s="373">
        <f>Propulsion!CI248</f>
        <v>0</v>
      </c>
      <c r="FF200" s="182">
        <f>Propulsion!CJ248</f>
        <v>0</v>
      </c>
    </row>
    <row r="201" spans="1:162" ht="11.25" customHeight="1" outlineLevel="1" x14ac:dyDescent="0.2">
      <c r="A201" s="4" t="s">
        <v>363</v>
      </c>
      <c r="C201" s="198"/>
      <c r="D201" s="199"/>
      <c r="E201" s="199"/>
      <c r="F201" s="200"/>
      <c r="G201" s="199"/>
      <c r="H201" s="199"/>
      <c r="I201" s="201"/>
      <c r="J201" s="201"/>
      <c r="K201" s="198"/>
      <c r="L201" s="199"/>
      <c r="M201" s="199"/>
      <c r="N201" s="200"/>
      <c r="O201" s="199"/>
      <c r="P201" s="199"/>
      <c r="Q201" s="201"/>
      <c r="R201" s="201"/>
      <c r="S201" s="198"/>
      <c r="T201" s="199"/>
      <c r="U201" s="199"/>
      <c r="V201" s="200"/>
      <c r="W201" s="199"/>
      <c r="X201" s="199"/>
      <c r="Y201" s="201"/>
      <c r="Z201" s="201"/>
      <c r="AA201" s="198"/>
      <c r="AB201" s="199">
        <v>8</v>
      </c>
      <c r="AC201" s="199">
        <v>18</v>
      </c>
      <c r="AD201" s="200">
        <f>AH201-AG201</f>
        <v>39</v>
      </c>
      <c r="AE201" s="199">
        <v>8</v>
      </c>
      <c r="AF201" s="199">
        <f>AH201-AE201</f>
        <v>57</v>
      </c>
      <c r="AG201" s="201">
        <f>AC201+AE201</f>
        <v>26</v>
      </c>
      <c r="AH201" s="201">
        <v>65</v>
      </c>
      <c r="AI201" s="198">
        <v>41</v>
      </c>
      <c r="AJ201" s="199">
        <v>8</v>
      </c>
      <c r="AK201" s="199">
        <v>38</v>
      </c>
      <c r="AL201" s="200"/>
      <c r="AM201" s="199">
        <v>105</v>
      </c>
      <c r="AN201" s="199"/>
      <c r="AO201" s="201">
        <f>+AM201+AK201</f>
        <v>143</v>
      </c>
      <c r="AP201" s="201">
        <v>235</v>
      </c>
      <c r="AQ201" s="198">
        <f>AI201</f>
        <v>41</v>
      </c>
      <c r="AR201" s="199">
        <f>AJ201</f>
        <v>8</v>
      </c>
      <c r="AS201" s="199">
        <f>AK201</f>
        <v>38</v>
      </c>
      <c r="AT201" s="200"/>
      <c r="AU201" s="199">
        <f>AM201</f>
        <v>105</v>
      </c>
      <c r="AV201" s="199"/>
      <c r="AW201" s="201">
        <f>AO201</f>
        <v>143</v>
      </c>
      <c r="AX201" s="201">
        <f>AP201</f>
        <v>235</v>
      </c>
      <c r="AY201" s="198">
        <v>66</v>
      </c>
      <c r="AZ201" s="199">
        <f>BC201-AY201</f>
        <v>106</v>
      </c>
      <c r="BA201" s="199">
        <v>124</v>
      </c>
      <c r="BB201" s="200">
        <f>BF201-BE201</f>
        <v>142</v>
      </c>
      <c r="BC201" s="199">
        <v>172</v>
      </c>
      <c r="BD201" s="199"/>
      <c r="BE201" s="201">
        <f>AY201+AZ201+BA201</f>
        <v>296</v>
      </c>
      <c r="BF201" s="201">
        <v>438</v>
      </c>
      <c r="BG201" s="198">
        <f>AY201</f>
        <v>66</v>
      </c>
      <c r="BH201" s="199">
        <f>AZ201</f>
        <v>106</v>
      </c>
      <c r="BI201" s="199">
        <f>BA201</f>
        <v>124</v>
      </c>
      <c r="BJ201" s="200">
        <f>BN201-BM201</f>
        <v>142</v>
      </c>
      <c r="BK201" s="199">
        <f>BC201</f>
        <v>172</v>
      </c>
      <c r="BL201" s="199">
        <f>BN201-BK201</f>
        <v>266</v>
      </c>
      <c r="BM201" s="201">
        <f>BE201</f>
        <v>296</v>
      </c>
      <c r="BN201" s="201">
        <f>BF201</f>
        <v>438</v>
      </c>
      <c r="BO201" s="198">
        <v>120</v>
      </c>
      <c r="BP201" s="199">
        <f>BS201-BO201</f>
        <v>160</v>
      </c>
      <c r="BQ201" s="199">
        <v>157</v>
      </c>
      <c r="BR201" s="200">
        <f>BV201-BU201</f>
        <v>165</v>
      </c>
      <c r="BS201" s="199">
        <v>280</v>
      </c>
      <c r="BT201" s="199">
        <f>BV201-BS201</f>
        <v>322</v>
      </c>
      <c r="BU201" s="201">
        <f>BO201+BP201+BQ201</f>
        <v>437</v>
      </c>
      <c r="BV201" s="201">
        <v>602</v>
      </c>
      <c r="BW201" s="198">
        <v>174</v>
      </c>
      <c r="BX201" s="199">
        <f>CA201-BW201</f>
        <v>74</v>
      </c>
      <c r="BY201" s="199">
        <v>102</v>
      </c>
      <c r="BZ201" s="200">
        <f>CD201-SUM(BW201:BY201)</f>
        <v>124</v>
      </c>
      <c r="CA201" s="199">
        <v>248</v>
      </c>
      <c r="CB201" s="199">
        <f>BZ201+BY201</f>
        <v>226</v>
      </c>
      <c r="CC201" s="201">
        <f>BY201+CA201</f>
        <v>350</v>
      </c>
      <c r="CD201" s="201">
        <v>474</v>
      </c>
      <c r="CE201" s="198">
        <v>128</v>
      </c>
      <c r="CF201" s="199">
        <f>CI201-CE201</f>
        <v>136</v>
      </c>
      <c r="CG201" s="199">
        <v>142</v>
      </c>
      <c r="CH201" s="200">
        <f>CL201-SUM(CE201:CG201)</f>
        <v>170</v>
      </c>
      <c r="CI201" s="199">
        <v>264</v>
      </c>
      <c r="CJ201" s="199">
        <f>CH201+CG201</f>
        <v>312</v>
      </c>
      <c r="CK201" s="201">
        <f>CE201+CF201+CG201</f>
        <v>406</v>
      </c>
      <c r="CL201" s="201">
        <v>576</v>
      </c>
      <c r="CM201" s="198">
        <v>141</v>
      </c>
      <c r="CN201" s="199">
        <f>+CQ201-CM201</f>
        <v>143</v>
      </c>
      <c r="CO201" s="199">
        <v>153</v>
      </c>
      <c r="CP201" s="200">
        <f>CT201-SUM(CM201:CO201)</f>
        <v>151</v>
      </c>
      <c r="CQ201" s="199">
        <v>284</v>
      </c>
      <c r="CR201" s="199">
        <f>CP201+CO201</f>
        <v>304</v>
      </c>
      <c r="CS201" s="201">
        <f>CM201+CN201+CO201</f>
        <v>437</v>
      </c>
      <c r="CT201" s="201">
        <v>588</v>
      </c>
      <c r="CU201" s="198">
        <f>'Equipment &amp; Defense'!W46</f>
        <v>135</v>
      </c>
      <c r="CV201" s="199">
        <f>'Equipment &amp; Defense'!X46</f>
        <v>140</v>
      </c>
      <c r="CW201" s="199">
        <f>'Equipment &amp; Defense'!Y46</f>
        <v>126</v>
      </c>
      <c r="CX201" s="200">
        <f>'Equipment &amp; Defense'!Z46</f>
        <v>178</v>
      </c>
      <c r="CY201" s="199">
        <f>'Equipment &amp; Defense'!AA46</f>
        <v>275</v>
      </c>
      <c r="CZ201" s="199">
        <f>'Equipment &amp; Defense'!AB46</f>
        <v>304</v>
      </c>
      <c r="DA201" s="201">
        <f>'Equipment &amp; Defense'!AC46</f>
        <v>401</v>
      </c>
      <c r="DB201" s="201">
        <f>'Equipment &amp; Defense'!AD46</f>
        <v>579</v>
      </c>
      <c r="DC201" s="198">
        <f>'Equipment &amp; Defense'!AE46</f>
        <v>135</v>
      </c>
      <c r="DD201" s="199">
        <f>'Equipment &amp; Defense'!AF46</f>
        <v>162</v>
      </c>
      <c r="DE201" s="199">
        <f>'Equipment &amp; Defense'!AG46</f>
        <v>159</v>
      </c>
      <c r="DF201" s="200">
        <f>'Equipment &amp; Defense'!AH46</f>
        <v>166</v>
      </c>
      <c r="DG201" s="199">
        <f>'Equipment &amp; Defense'!AI46</f>
        <v>297</v>
      </c>
      <c r="DH201" s="199">
        <f>'Equipment &amp; Defense'!AJ46</f>
        <v>325</v>
      </c>
      <c r="DI201" s="201">
        <f>'Equipment &amp; Defense'!AK46</f>
        <v>456</v>
      </c>
      <c r="DJ201" s="201">
        <f>'Equipment &amp; Defense'!AL46</f>
        <v>622</v>
      </c>
      <c r="DK201" s="198">
        <f>'Equipment &amp; Defense'!AM46</f>
        <v>155</v>
      </c>
      <c r="DL201" s="199">
        <f>'Equipment &amp; Defense'!AN46</f>
        <v>152</v>
      </c>
      <c r="DM201" s="199">
        <f>'Equipment &amp; Defense'!AO46</f>
        <v>186</v>
      </c>
      <c r="DN201" s="200">
        <f>'Equipment &amp; Defense'!AP46</f>
        <v>224</v>
      </c>
      <c r="DO201" s="199">
        <f>'Equipment &amp; Defense'!AQ46</f>
        <v>307</v>
      </c>
      <c r="DP201" s="199">
        <f>'Equipment &amp; Defense'!AR46</f>
        <v>410</v>
      </c>
      <c r="DQ201" s="201">
        <f>'Equipment &amp; Defense'!AS46</f>
        <v>493</v>
      </c>
      <c r="DR201" s="201">
        <f>'Equipment &amp; Defense'!AT46</f>
        <v>717</v>
      </c>
      <c r="DS201" s="199">
        <f>'Equipment &amp; Defense'!AU46</f>
        <v>204</v>
      </c>
      <c r="DT201" s="199">
        <f>'Equipment &amp; Defense'!AV46</f>
        <v>197</v>
      </c>
      <c r="DU201" s="280">
        <f>'Equipment &amp; Defense'!AW46</f>
        <v>0</v>
      </c>
      <c r="DV201" s="358">
        <f>'Equipment &amp; Defense'!AX46</f>
        <v>0</v>
      </c>
      <c r="DW201" s="199">
        <f>'Equipment &amp; Defense'!AY46</f>
        <v>401</v>
      </c>
      <c r="DX201" s="280">
        <f>'Equipment &amp; Defense'!AZ46</f>
        <v>0</v>
      </c>
      <c r="DY201" s="373">
        <f>'Equipment &amp; Defense'!BA46</f>
        <v>0</v>
      </c>
      <c r="DZ201" s="373">
        <f>'Equipment &amp; Defense'!BB46</f>
        <v>0</v>
      </c>
      <c r="EA201" s="280">
        <f>'Equipment &amp; Defense'!BC46</f>
        <v>0</v>
      </c>
      <c r="EB201" s="280">
        <f>'Equipment &amp; Defense'!BD46</f>
        <v>0</v>
      </c>
      <c r="EC201" s="280">
        <f>'Equipment &amp; Defense'!BE46</f>
        <v>0</v>
      </c>
      <c r="ED201" s="358">
        <f>'Equipment &amp; Defense'!BF46</f>
        <v>0</v>
      </c>
      <c r="EE201" s="280">
        <f>'Equipment &amp; Defense'!BG46</f>
        <v>0</v>
      </c>
      <c r="EF201" s="280">
        <f>'Equipment &amp; Defense'!BH46</f>
        <v>0</v>
      </c>
      <c r="EG201" s="373">
        <f>'Equipment &amp; Defense'!BI46</f>
        <v>0</v>
      </c>
      <c r="EH201" s="373">
        <f>'Equipment &amp; Defense'!BJ46</f>
        <v>0</v>
      </c>
      <c r="EI201" s="280">
        <f>'Equipment &amp; Defense'!BK46</f>
        <v>0</v>
      </c>
      <c r="EJ201" s="280">
        <f>'Equipment &amp; Defense'!BL46</f>
        <v>0</v>
      </c>
      <c r="EK201" s="280">
        <f>'Equipment &amp; Defense'!BM46</f>
        <v>0</v>
      </c>
      <c r="EL201" s="358">
        <f>'Equipment &amp; Defense'!BN46</f>
        <v>0</v>
      </c>
      <c r="EM201" s="280">
        <f>'Equipment &amp; Defense'!BO46</f>
        <v>0</v>
      </c>
      <c r="EN201" s="280">
        <f>'Equipment &amp; Defense'!BP46</f>
        <v>0</v>
      </c>
      <c r="EO201" s="373">
        <f>'Equipment &amp; Defense'!BQ46</f>
        <v>0</v>
      </c>
      <c r="EP201" s="373">
        <f>'Equipment &amp; Defense'!BR46</f>
        <v>0</v>
      </c>
      <c r="EQ201" s="280">
        <f>'Equipment &amp; Defense'!BS46</f>
        <v>0</v>
      </c>
      <c r="ER201" s="280">
        <f>'Equipment &amp; Defense'!BT46</f>
        <v>0</v>
      </c>
      <c r="ES201" s="280">
        <f>'Equipment &amp; Defense'!BU46</f>
        <v>0</v>
      </c>
      <c r="ET201" s="358">
        <f>'Equipment &amp; Defense'!BV46</f>
        <v>0</v>
      </c>
      <c r="EU201" s="280">
        <f>'Equipment &amp; Defense'!BW46</f>
        <v>0</v>
      </c>
      <c r="EV201" s="280">
        <f>'Equipment &amp; Defense'!BX46</f>
        <v>0</v>
      </c>
      <c r="EW201" s="373">
        <f>'Equipment &amp; Defense'!BY46</f>
        <v>0</v>
      </c>
      <c r="EX201" s="373">
        <f>'Equipment &amp; Defense'!BZ46</f>
        <v>0</v>
      </c>
      <c r="EY201" s="280">
        <f>'Equipment &amp; Defense'!CA46</f>
        <v>0</v>
      </c>
      <c r="EZ201" s="280">
        <f>'Equipment &amp; Defense'!CB46</f>
        <v>0</v>
      </c>
      <c r="FA201" s="280">
        <f>'Equipment &amp; Defense'!CC46</f>
        <v>0</v>
      </c>
      <c r="FB201" s="358">
        <f>'Equipment &amp; Defense'!CD46</f>
        <v>0</v>
      </c>
      <c r="FC201" s="280">
        <f>'Equipment &amp; Defense'!CE46</f>
        <v>0</v>
      </c>
      <c r="FD201" s="280">
        <f>'Equipment &amp; Defense'!CF46</f>
        <v>0</v>
      </c>
      <c r="FE201" s="373">
        <f>'Equipment &amp; Defense'!CG46</f>
        <v>0</v>
      </c>
      <c r="FF201" s="373">
        <f>'Equipment &amp; Defense'!CH46</f>
        <v>0</v>
      </c>
    </row>
    <row r="202" spans="1:162" ht="11.25" customHeight="1" outlineLevel="1" x14ac:dyDescent="0.2">
      <c r="A202" s="4" t="s">
        <v>1144</v>
      </c>
      <c r="C202" s="198"/>
      <c r="D202" s="199"/>
      <c r="E202" s="199"/>
      <c r="F202" s="200"/>
      <c r="G202" s="199"/>
      <c r="H202" s="199"/>
      <c r="I202" s="201"/>
      <c r="J202" s="201"/>
      <c r="K202" s="198"/>
      <c r="L202" s="199"/>
      <c r="M202" s="199"/>
      <c r="N202" s="200"/>
      <c r="O202" s="199"/>
      <c r="P202" s="199"/>
      <c r="Q202" s="201"/>
      <c r="R202" s="201"/>
      <c r="S202" s="198"/>
      <c r="T202" s="199"/>
      <c r="U202" s="199"/>
      <c r="V202" s="200"/>
      <c r="W202" s="199"/>
      <c r="X202" s="199"/>
      <c r="Y202" s="201"/>
      <c r="Z202" s="201"/>
      <c r="AA202" s="198"/>
      <c r="AB202" s="199"/>
      <c r="AC202" s="199"/>
      <c r="AD202" s="200"/>
      <c r="AE202" s="199"/>
      <c r="AF202" s="199"/>
      <c r="AG202" s="201"/>
      <c r="AH202" s="201"/>
      <c r="AI202" s="198"/>
      <c r="AJ202" s="199"/>
      <c r="AK202" s="199"/>
      <c r="AL202" s="200"/>
      <c r="AM202" s="199"/>
      <c r="AN202" s="199"/>
      <c r="AO202" s="201"/>
      <c r="AP202" s="201"/>
      <c r="AQ202" s="198"/>
      <c r="AR202" s="199"/>
      <c r="AS202" s="199"/>
      <c r="AT202" s="200"/>
      <c r="AU202" s="199"/>
      <c r="AV202" s="199"/>
      <c r="AW202" s="201"/>
      <c r="AX202" s="201"/>
      <c r="AY202" s="198"/>
      <c r="AZ202" s="199"/>
      <c r="BA202" s="199"/>
      <c r="BB202" s="200"/>
      <c r="BC202" s="199"/>
      <c r="BD202" s="199"/>
      <c r="BE202" s="201"/>
      <c r="BF202" s="201"/>
      <c r="BG202" s="198"/>
      <c r="BH202" s="199"/>
      <c r="BI202" s="199"/>
      <c r="BJ202" s="200"/>
      <c r="BK202" s="199"/>
      <c r="BL202" s="199"/>
      <c r="BM202" s="201"/>
      <c r="BN202" s="201"/>
      <c r="BO202" s="198"/>
      <c r="BP202" s="199"/>
      <c r="BQ202" s="199"/>
      <c r="BR202" s="200"/>
      <c r="BS202" s="199"/>
      <c r="BT202" s="199"/>
      <c r="BU202" s="201"/>
      <c r="BV202" s="201"/>
      <c r="BW202" s="198"/>
      <c r="BX202" s="199"/>
      <c r="BY202" s="199"/>
      <c r="BZ202" s="200"/>
      <c r="CA202" s="199"/>
      <c r="CB202" s="199"/>
      <c r="CC202" s="201"/>
      <c r="CD202" s="201"/>
      <c r="CE202" s="198"/>
      <c r="CF202" s="199"/>
      <c r="CG202" s="199"/>
      <c r="CH202" s="200"/>
      <c r="CI202" s="199"/>
      <c r="CJ202" s="199"/>
      <c r="CK202" s="201"/>
      <c r="CL202" s="201"/>
      <c r="CM202" s="198"/>
      <c r="CN202" s="199"/>
      <c r="CO202" s="199"/>
      <c r="CP202" s="200"/>
      <c r="CQ202" s="199"/>
      <c r="CR202" s="199"/>
      <c r="CS202" s="201"/>
      <c r="CT202" s="201"/>
      <c r="CU202" s="198">
        <f>'Equipment &amp; Defense'!W47</f>
        <v>123</v>
      </c>
      <c r="CV202" s="199">
        <f>'Equipment &amp; Defense'!X47</f>
        <v>148</v>
      </c>
      <c r="CW202" s="199">
        <f>'Equipment &amp; Defense'!Y47</f>
        <v>153</v>
      </c>
      <c r="CX202" s="200">
        <f>'Equipment &amp; Defense'!Z47</f>
        <v>157</v>
      </c>
      <c r="CY202" s="199">
        <f>'Equipment &amp; Defense'!AA47</f>
        <v>271</v>
      </c>
      <c r="CZ202" s="199">
        <f>'Equipment &amp; Defense'!AB47</f>
        <v>310</v>
      </c>
      <c r="DA202" s="201">
        <f>'Equipment &amp; Defense'!AC47</f>
        <v>424</v>
      </c>
      <c r="DB202" s="201">
        <f>'Equipment &amp; Defense'!AD47</f>
        <v>581</v>
      </c>
      <c r="DC202" s="198">
        <f>'Equipment &amp; Defense'!AE47</f>
        <v>167</v>
      </c>
      <c r="DD202" s="199">
        <f>'Equipment &amp; Defense'!AF47</f>
        <v>137</v>
      </c>
      <c r="DE202" s="199">
        <f>'Equipment &amp; Defense'!AG47</f>
        <v>142</v>
      </c>
      <c r="DF202" s="200">
        <f>'Equipment &amp; Defense'!AH47</f>
        <v>155</v>
      </c>
      <c r="DG202" s="199">
        <f>'Equipment &amp; Defense'!AI47</f>
        <v>304</v>
      </c>
      <c r="DH202" s="199">
        <f>'Equipment &amp; Defense'!AJ47</f>
        <v>297</v>
      </c>
      <c r="DI202" s="201">
        <f>'Equipment &amp; Defense'!AK47</f>
        <v>446</v>
      </c>
      <c r="DJ202" s="201">
        <f>'Equipment &amp; Defense'!AL47</f>
        <v>601</v>
      </c>
      <c r="DK202" s="198">
        <f>'Equipment &amp; Defense'!AM47</f>
        <v>171</v>
      </c>
      <c r="DL202" s="199">
        <f>'Equipment &amp; Defense'!AN47</f>
        <v>149</v>
      </c>
      <c r="DM202" s="199">
        <f>'Equipment &amp; Defense'!AO47</f>
        <v>166</v>
      </c>
      <c r="DN202" s="200">
        <f>'Equipment &amp; Defense'!AP47</f>
        <v>171</v>
      </c>
      <c r="DO202" s="199">
        <f>'Equipment &amp; Defense'!AQ47</f>
        <v>320</v>
      </c>
      <c r="DP202" s="199">
        <f>'Equipment &amp; Defense'!AR47</f>
        <v>337</v>
      </c>
      <c r="DQ202" s="201">
        <f>'Equipment &amp; Defense'!AS47</f>
        <v>486</v>
      </c>
      <c r="DR202" s="201">
        <f>'Equipment &amp; Defense'!AT47</f>
        <v>657</v>
      </c>
      <c r="DS202" s="199">
        <f>'Equipment &amp; Defense'!AU47</f>
        <v>154</v>
      </c>
      <c r="DT202" s="199">
        <f>'Equipment &amp; Defense'!AV47</f>
        <v>161</v>
      </c>
      <c r="DU202" s="280">
        <f>'Equipment &amp; Defense'!AW47</f>
        <v>0</v>
      </c>
      <c r="DV202" s="358">
        <f>'Equipment &amp; Defense'!AX47</f>
        <v>0</v>
      </c>
      <c r="DW202" s="199">
        <f>'Equipment &amp; Defense'!AY47</f>
        <v>315</v>
      </c>
      <c r="DX202" s="280">
        <f>'Equipment &amp; Defense'!AZ47</f>
        <v>0</v>
      </c>
      <c r="DY202" s="373">
        <f>'Equipment &amp; Defense'!BA47</f>
        <v>0</v>
      </c>
      <c r="DZ202" s="373">
        <f>'Equipment &amp; Defense'!BB47</f>
        <v>0</v>
      </c>
      <c r="EA202" s="280">
        <f>'Equipment &amp; Defense'!BC47</f>
        <v>0</v>
      </c>
      <c r="EB202" s="280">
        <f>'Equipment &amp; Defense'!BD47</f>
        <v>0</v>
      </c>
      <c r="EC202" s="280">
        <f>'Equipment &amp; Defense'!BE47</f>
        <v>0</v>
      </c>
      <c r="ED202" s="358">
        <f>'Equipment &amp; Defense'!BF47</f>
        <v>0</v>
      </c>
      <c r="EE202" s="280">
        <f>'Equipment &amp; Defense'!BG47</f>
        <v>0</v>
      </c>
      <c r="EF202" s="280">
        <f>'Equipment &amp; Defense'!BH47</f>
        <v>0</v>
      </c>
      <c r="EG202" s="373">
        <f>'Equipment &amp; Defense'!BI47</f>
        <v>0</v>
      </c>
      <c r="EH202" s="373">
        <f>'Equipment &amp; Defense'!BJ47</f>
        <v>0</v>
      </c>
      <c r="EI202" s="280">
        <f>'Equipment &amp; Defense'!BK47</f>
        <v>0</v>
      </c>
      <c r="EJ202" s="280">
        <f>'Equipment &amp; Defense'!BL47</f>
        <v>0</v>
      </c>
      <c r="EK202" s="280">
        <f>'Equipment &amp; Defense'!BM47</f>
        <v>0</v>
      </c>
      <c r="EL202" s="358">
        <f>'Equipment &amp; Defense'!BN47</f>
        <v>0</v>
      </c>
      <c r="EM202" s="280">
        <f>'Equipment &amp; Defense'!BO47</f>
        <v>0</v>
      </c>
      <c r="EN202" s="280">
        <f>'Equipment &amp; Defense'!BP47</f>
        <v>0</v>
      </c>
      <c r="EO202" s="373">
        <f>'Equipment &amp; Defense'!BQ47</f>
        <v>0</v>
      </c>
      <c r="EP202" s="373">
        <f>'Equipment &amp; Defense'!BR47</f>
        <v>0</v>
      </c>
      <c r="EQ202" s="280">
        <f>'Equipment &amp; Defense'!BS47</f>
        <v>0</v>
      </c>
      <c r="ER202" s="280">
        <f>'Equipment &amp; Defense'!BT47</f>
        <v>0</v>
      </c>
      <c r="ES202" s="280">
        <f>'Equipment &amp; Defense'!BU47</f>
        <v>0</v>
      </c>
      <c r="ET202" s="358">
        <f>'Equipment &amp; Defense'!BV47</f>
        <v>0</v>
      </c>
      <c r="EU202" s="280">
        <f>'Equipment &amp; Defense'!BW47</f>
        <v>0</v>
      </c>
      <c r="EV202" s="280">
        <f>'Equipment &amp; Defense'!BX47</f>
        <v>0</v>
      </c>
      <c r="EW202" s="373">
        <f>'Equipment &amp; Defense'!BY47</f>
        <v>0</v>
      </c>
      <c r="EX202" s="373">
        <f>'Equipment &amp; Defense'!BZ47</f>
        <v>0</v>
      </c>
      <c r="EY202" s="280">
        <f>'Equipment &amp; Defense'!CA47</f>
        <v>0</v>
      </c>
      <c r="EZ202" s="280">
        <f>'Equipment &amp; Defense'!CB47</f>
        <v>0</v>
      </c>
      <c r="FA202" s="280">
        <f>'Equipment &amp; Defense'!CC47</f>
        <v>0</v>
      </c>
      <c r="FB202" s="358">
        <f>'Equipment &amp; Defense'!CD47</f>
        <v>0</v>
      </c>
      <c r="FC202" s="280">
        <f>'Equipment &amp; Defense'!CE47</f>
        <v>0</v>
      </c>
      <c r="FD202" s="280">
        <f>'Equipment &amp; Defense'!CF47</f>
        <v>0</v>
      </c>
      <c r="FE202" s="373">
        <f>'Equipment &amp; Defense'!CG47</f>
        <v>0</v>
      </c>
      <c r="FF202" s="373">
        <f>'Equipment &amp; Defense'!CH47</f>
        <v>0</v>
      </c>
    </row>
    <row r="203" spans="1:162" ht="11.25" customHeight="1" outlineLevel="1" x14ac:dyDescent="0.2">
      <c r="A203" s="4" t="s">
        <v>1145</v>
      </c>
      <c r="C203" s="198"/>
      <c r="D203" s="199"/>
      <c r="E203" s="199"/>
      <c r="F203" s="200"/>
      <c r="G203" s="199"/>
      <c r="H203" s="199"/>
      <c r="I203" s="201"/>
      <c r="J203" s="201"/>
      <c r="K203" s="198"/>
      <c r="L203" s="199"/>
      <c r="M203" s="199"/>
      <c r="N203" s="200"/>
      <c r="O203" s="199"/>
      <c r="P203" s="199"/>
      <c r="Q203" s="201"/>
      <c r="R203" s="201"/>
      <c r="S203" s="198"/>
      <c r="T203" s="199"/>
      <c r="U203" s="199"/>
      <c r="V203" s="200"/>
      <c r="W203" s="199"/>
      <c r="X203" s="199"/>
      <c r="Y203" s="201"/>
      <c r="Z203" s="201"/>
      <c r="AA203" s="198"/>
      <c r="AB203" s="199"/>
      <c r="AC203" s="199"/>
      <c r="AD203" s="200"/>
      <c r="AE203" s="199"/>
      <c r="AF203" s="199"/>
      <c r="AG203" s="201"/>
      <c r="AH203" s="201"/>
      <c r="AI203" s="198"/>
      <c r="AJ203" s="199"/>
      <c r="AK203" s="199"/>
      <c r="AL203" s="200"/>
      <c r="AM203" s="199"/>
      <c r="AN203" s="199"/>
      <c r="AO203" s="201"/>
      <c r="AP203" s="201"/>
      <c r="AQ203" s="198"/>
      <c r="AR203" s="199"/>
      <c r="AS203" s="199"/>
      <c r="AT203" s="200"/>
      <c r="AU203" s="199"/>
      <c r="AV203" s="199"/>
      <c r="AW203" s="201"/>
      <c r="AX203" s="201"/>
      <c r="AY203" s="198"/>
      <c r="AZ203" s="199"/>
      <c r="BA203" s="199">
        <v>1195</v>
      </c>
      <c r="BB203" s="200"/>
      <c r="BC203" s="199">
        <v>1296</v>
      </c>
      <c r="BD203" s="199"/>
      <c r="BE203" s="201">
        <f>BA203+BC203</f>
        <v>2491</v>
      </c>
      <c r="BF203" s="201">
        <v>3626</v>
      </c>
      <c r="BG203" s="198"/>
      <c r="BH203" s="199"/>
      <c r="BI203" s="199"/>
      <c r="BJ203" s="200"/>
      <c r="BK203" s="199"/>
      <c r="BL203" s="199"/>
      <c r="BM203" s="201"/>
      <c r="BN203" s="201"/>
      <c r="BO203" s="198">
        <v>1223</v>
      </c>
      <c r="BP203" s="199">
        <f>BS203-BO203</f>
        <v>1175</v>
      </c>
      <c r="BQ203" s="199">
        <v>1155</v>
      </c>
      <c r="BR203" s="200">
        <f>BV203-BU203</f>
        <v>1368</v>
      </c>
      <c r="BS203" s="199">
        <f>BU203-BQ203</f>
        <v>2398</v>
      </c>
      <c r="BT203" s="199">
        <f>BV203-BS203</f>
        <v>2523</v>
      </c>
      <c r="BU203" s="201">
        <v>3553</v>
      </c>
      <c r="BV203" s="201">
        <v>4921</v>
      </c>
      <c r="BW203" s="198">
        <v>1272</v>
      </c>
      <c r="BX203" s="199">
        <f>CA203-BW203</f>
        <v>252</v>
      </c>
      <c r="BY203" s="199">
        <v>545</v>
      </c>
      <c r="BZ203" s="200">
        <f>CD203-SUM(BW203:BY203)</f>
        <v>880</v>
      </c>
      <c r="CA203" s="199">
        <v>1524</v>
      </c>
      <c r="CB203" s="199">
        <f>BZ203+BY203</f>
        <v>1425</v>
      </c>
      <c r="CC203" s="201">
        <f>BY203+CA203</f>
        <v>2069</v>
      </c>
      <c r="CD203" s="201">
        <v>2949</v>
      </c>
      <c r="CE203" s="198">
        <v>797</v>
      </c>
      <c r="CF203" s="199">
        <f>CI203-CE203</f>
        <v>911</v>
      </c>
      <c r="CG203" s="199">
        <v>1083</v>
      </c>
      <c r="CH203" s="200">
        <f>CL203-SUM(CE203:CG203)</f>
        <v>807</v>
      </c>
      <c r="CI203" s="199">
        <v>1708</v>
      </c>
      <c r="CJ203" s="199">
        <f>CH203+CG203</f>
        <v>1890</v>
      </c>
      <c r="CK203" s="201">
        <f>CE203+CF203+CG203</f>
        <v>2791</v>
      </c>
      <c r="CL203" s="201">
        <v>3598</v>
      </c>
      <c r="CM203" s="198">
        <v>1106</v>
      </c>
      <c r="CN203" s="199">
        <f>CQ203-CM203</f>
        <v>974</v>
      </c>
      <c r="CO203" s="199">
        <v>1335</v>
      </c>
      <c r="CP203" s="200">
        <f>CT203-SUM(CM203:CO203)</f>
        <v>1039</v>
      </c>
      <c r="CQ203" s="199">
        <v>2080</v>
      </c>
      <c r="CR203" s="199">
        <f>CP203+CO203</f>
        <v>2374</v>
      </c>
      <c r="CS203" s="201">
        <f>CM203+CN203+CO203</f>
        <v>3415</v>
      </c>
      <c r="CT203" s="201">
        <v>4454</v>
      </c>
      <c r="CU203" s="198">
        <f>'Equipment &amp; Defense'!W48</f>
        <v>779</v>
      </c>
      <c r="CV203" s="199">
        <f>'Equipment &amp; Defense'!X48</f>
        <v>678</v>
      </c>
      <c r="CW203" s="199">
        <f>'Equipment &amp; Defense'!Y48</f>
        <v>1165</v>
      </c>
      <c r="CX203" s="200">
        <f>'Equipment &amp; Defense'!Z48</f>
        <v>1328</v>
      </c>
      <c r="CY203" s="199">
        <f>'Equipment &amp; Defense'!AA48</f>
        <v>1457</v>
      </c>
      <c r="CZ203" s="199">
        <f>'Equipment &amp; Defense'!AB48</f>
        <v>2493</v>
      </c>
      <c r="DA203" s="201">
        <f>'Equipment &amp; Defense'!AC48</f>
        <v>2622</v>
      </c>
      <c r="DB203" s="201">
        <f>'Equipment &amp; Defense'!AD48</f>
        <v>3950</v>
      </c>
      <c r="DC203" s="198">
        <f>'Equipment &amp; Defense'!AE48</f>
        <v>1080</v>
      </c>
      <c r="DD203" s="199">
        <f>'Equipment &amp; Defense'!AF48</f>
        <v>882</v>
      </c>
      <c r="DE203" s="199">
        <f>'Equipment &amp; Defense'!AG48</f>
        <v>1256</v>
      </c>
      <c r="DF203" s="200">
        <f>'Equipment &amp; Defense'!AH48</f>
        <v>1223</v>
      </c>
      <c r="DG203" s="199">
        <f>'Equipment &amp; Defense'!AI48</f>
        <v>1962</v>
      </c>
      <c r="DH203" s="199">
        <f>'Equipment &amp; Defense'!AJ48</f>
        <v>2479</v>
      </c>
      <c r="DI203" s="201">
        <f>'Equipment &amp; Defense'!AK48</f>
        <v>3218</v>
      </c>
      <c r="DJ203" s="201">
        <f>'Equipment &amp; Defense'!AL48</f>
        <v>4441</v>
      </c>
      <c r="DK203" s="198">
        <f>'Equipment &amp; Defense'!AM48</f>
        <v>1186</v>
      </c>
      <c r="DL203" s="199">
        <f>'Equipment &amp; Defense'!AN48</f>
        <v>946</v>
      </c>
      <c r="DM203" s="199">
        <f>'Equipment &amp; Defense'!AO48</f>
        <v>1186</v>
      </c>
      <c r="DN203" s="200">
        <f>'Equipment &amp; Defense'!AP48</f>
        <v>1215</v>
      </c>
      <c r="DO203" s="199">
        <f>'Equipment &amp; Defense'!AQ48</f>
        <v>2132</v>
      </c>
      <c r="DP203" s="199">
        <f>'Equipment &amp; Defense'!AR48</f>
        <v>2401</v>
      </c>
      <c r="DQ203" s="201">
        <f>'Equipment &amp; Defense'!AS48</f>
        <v>3318</v>
      </c>
      <c r="DR203" s="201">
        <f>'Equipment &amp; Defense'!AT48</f>
        <v>4533</v>
      </c>
      <c r="DS203" s="199">
        <f>'Equipment &amp; Defense'!AU48</f>
        <v>1329</v>
      </c>
      <c r="DT203" s="199">
        <f>'Equipment &amp; Defense'!AV48</f>
        <v>992</v>
      </c>
      <c r="DU203" s="280">
        <f>'Equipment &amp; Defense'!AW48</f>
        <v>0</v>
      </c>
      <c r="DV203" s="358">
        <f>'Equipment &amp; Defense'!AX48</f>
        <v>0</v>
      </c>
      <c r="DW203" s="199">
        <f>'Equipment &amp; Defense'!AY48</f>
        <v>2321</v>
      </c>
      <c r="DX203" s="280">
        <f>'Equipment &amp; Defense'!AZ48</f>
        <v>0</v>
      </c>
      <c r="DY203" s="373">
        <f>'Equipment &amp; Defense'!BA48</f>
        <v>0</v>
      </c>
      <c r="DZ203" s="373">
        <f>'Equipment &amp; Defense'!BB48</f>
        <v>0</v>
      </c>
      <c r="EA203" s="280">
        <f>'Equipment &amp; Defense'!BC48</f>
        <v>0</v>
      </c>
      <c r="EB203" s="280">
        <f>'Equipment &amp; Defense'!BD48</f>
        <v>0</v>
      </c>
      <c r="EC203" s="280">
        <f>'Equipment &amp; Defense'!BE48</f>
        <v>0</v>
      </c>
      <c r="ED203" s="358">
        <f>'Equipment &amp; Defense'!BF48</f>
        <v>0</v>
      </c>
      <c r="EE203" s="280">
        <f>'Equipment &amp; Defense'!BG48</f>
        <v>0</v>
      </c>
      <c r="EF203" s="280">
        <f>'Equipment &amp; Defense'!BH48</f>
        <v>0</v>
      </c>
      <c r="EG203" s="373">
        <f>'Equipment &amp; Defense'!BI48</f>
        <v>0</v>
      </c>
      <c r="EH203" s="373">
        <f>'Equipment &amp; Defense'!BJ48</f>
        <v>0</v>
      </c>
      <c r="EI203" s="280">
        <f>'Equipment &amp; Defense'!BK48</f>
        <v>0</v>
      </c>
      <c r="EJ203" s="280">
        <f>'Equipment &amp; Defense'!BL48</f>
        <v>0</v>
      </c>
      <c r="EK203" s="280">
        <f>'Equipment &amp; Defense'!BM48</f>
        <v>0</v>
      </c>
      <c r="EL203" s="358">
        <f>'Equipment &amp; Defense'!BN48</f>
        <v>0</v>
      </c>
      <c r="EM203" s="280">
        <f>'Equipment &amp; Defense'!BO48</f>
        <v>0</v>
      </c>
      <c r="EN203" s="280">
        <f>'Equipment &amp; Defense'!BP48</f>
        <v>0</v>
      </c>
      <c r="EO203" s="373">
        <f>'Equipment &amp; Defense'!BQ48</f>
        <v>0</v>
      </c>
      <c r="EP203" s="373">
        <f>'Equipment &amp; Defense'!BR48</f>
        <v>0</v>
      </c>
      <c r="EQ203" s="280">
        <f>'Equipment &amp; Defense'!BS48</f>
        <v>0</v>
      </c>
      <c r="ER203" s="280">
        <f>'Equipment &amp; Defense'!BT48</f>
        <v>0</v>
      </c>
      <c r="ES203" s="280">
        <f>'Equipment &amp; Defense'!BU48</f>
        <v>0</v>
      </c>
      <c r="ET203" s="358">
        <f>'Equipment &amp; Defense'!BV48</f>
        <v>0</v>
      </c>
      <c r="EU203" s="280">
        <f>'Equipment &amp; Defense'!BW48</f>
        <v>0</v>
      </c>
      <c r="EV203" s="280">
        <f>'Equipment &amp; Defense'!BX48</f>
        <v>0</v>
      </c>
      <c r="EW203" s="373">
        <f>'Equipment &amp; Defense'!BY48</f>
        <v>0</v>
      </c>
      <c r="EX203" s="373">
        <f>'Equipment &amp; Defense'!BZ48</f>
        <v>0</v>
      </c>
      <c r="EY203" s="280">
        <f>'Equipment &amp; Defense'!CA48</f>
        <v>0</v>
      </c>
      <c r="EZ203" s="280">
        <f>'Equipment &amp; Defense'!CB48</f>
        <v>0</v>
      </c>
      <c r="FA203" s="280">
        <f>'Equipment &amp; Defense'!CC48</f>
        <v>0</v>
      </c>
      <c r="FB203" s="358">
        <f>'Equipment &amp; Defense'!CD48</f>
        <v>0</v>
      </c>
      <c r="FC203" s="280">
        <f>'Equipment &amp; Defense'!CE48</f>
        <v>0</v>
      </c>
      <c r="FD203" s="280">
        <f>'Equipment &amp; Defense'!CF48</f>
        <v>0</v>
      </c>
      <c r="FE203" s="373">
        <f>'Equipment &amp; Defense'!CG48</f>
        <v>0</v>
      </c>
      <c r="FF203" s="373">
        <f>'Equipment &amp; Defense'!CH48</f>
        <v>0</v>
      </c>
    </row>
    <row r="204" spans="1:162" ht="11.25" customHeight="1" outlineLevel="1" x14ac:dyDescent="0.2">
      <c r="A204" s="4" t="s">
        <v>362</v>
      </c>
      <c r="C204" s="198"/>
      <c r="D204" s="199"/>
      <c r="E204" s="199"/>
      <c r="F204" s="200"/>
      <c r="G204" s="199"/>
      <c r="H204" s="199"/>
      <c r="I204" s="201"/>
      <c r="J204" s="201"/>
      <c r="K204" s="198"/>
      <c r="L204" s="199"/>
      <c r="M204" s="199"/>
      <c r="N204" s="200"/>
      <c r="O204" s="199"/>
      <c r="P204" s="199"/>
      <c r="Q204" s="201"/>
      <c r="R204" s="201"/>
      <c r="S204" s="198"/>
      <c r="T204" s="199"/>
      <c r="U204" s="199"/>
      <c r="V204" s="200"/>
      <c r="W204" s="199"/>
      <c r="X204" s="199"/>
      <c r="Y204" s="201"/>
      <c r="Z204" s="201"/>
      <c r="AA204" s="198"/>
      <c r="AB204" s="199"/>
      <c r="AC204" s="199"/>
      <c r="AD204" s="200"/>
      <c r="AE204" s="199"/>
      <c r="AF204" s="199"/>
      <c r="AG204" s="201"/>
      <c r="AH204" s="201"/>
      <c r="AI204" s="198"/>
      <c r="AJ204" s="199"/>
      <c r="AK204" s="199"/>
      <c r="AL204" s="200"/>
      <c r="AM204" s="199"/>
      <c r="AN204" s="199"/>
      <c r="AO204" s="201"/>
      <c r="AP204" s="201"/>
      <c r="AQ204" s="198"/>
      <c r="AR204" s="199"/>
      <c r="AS204" s="199"/>
      <c r="AT204" s="200"/>
      <c r="AU204" s="199"/>
      <c r="AV204" s="199"/>
      <c r="AW204" s="201"/>
      <c r="AX204" s="201"/>
      <c r="AY204" s="198"/>
      <c r="AZ204" s="199"/>
      <c r="BA204" s="199"/>
      <c r="BB204" s="200"/>
      <c r="BC204" s="199"/>
      <c r="BD204" s="199"/>
      <c r="BE204" s="201"/>
      <c r="BF204" s="201"/>
      <c r="BG204" s="198"/>
      <c r="BH204" s="199"/>
      <c r="BI204" s="199"/>
      <c r="BJ204" s="200"/>
      <c r="BK204" s="199"/>
      <c r="BL204" s="199"/>
      <c r="BM204" s="201"/>
      <c r="BN204" s="201"/>
      <c r="BO204" s="198">
        <v>24</v>
      </c>
      <c r="BP204" s="199">
        <f>BS204-BO204</f>
        <v>27</v>
      </c>
      <c r="BQ204" s="199">
        <v>25</v>
      </c>
      <c r="BR204" s="200">
        <f>BV204-BU204</f>
        <v>16</v>
      </c>
      <c r="BS204" s="199">
        <v>51</v>
      </c>
      <c r="BT204" s="199">
        <f>BV204-BS204</f>
        <v>41</v>
      </c>
      <c r="BU204" s="201">
        <f>BO204+BP204+BQ204</f>
        <v>76</v>
      </c>
      <c r="BV204" s="201">
        <v>92</v>
      </c>
      <c r="BW204" s="198">
        <v>18</v>
      </c>
      <c r="BX204" s="199">
        <f>CA204-BW204</f>
        <v>2</v>
      </c>
      <c r="BY204" s="199">
        <v>2</v>
      </c>
      <c r="BZ204" s="200">
        <f>CD204-SUM(BW204:BY204)</f>
        <v>14</v>
      </c>
      <c r="CA204" s="199">
        <v>20</v>
      </c>
      <c r="CB204" s="199">
        <f>BZ204+BY204</f>
        <v>16</v>
      </c>
      <c r="CC204" s="201">
        <f>BY204+CA204</f>
        <v>22</v>
      </c>
      <c r="CD204" s="201">
        <v>36</v>
      </c>
      <c r="CE204" s="198">
        <v>4</v>
      </c>
      <c r="CF204" s="199">
        <f>CI204-CE204</f>
        <v>2</v>
      </c>
      <c r="CG204" s="199">
        <v>6</v>
      </c>
      <c r="CH204" s="200">
        <f>CL204-SUM(CE204:CG204)</f>
        <v>8</v>
      </c>
      <c r="CI204" s="199">
        <v>6</v>
      </c>
      <c r="CJ204" s="199">
        <f>CH204+CG204</f>
        <v>14</v>
      </c>
      <c r="CK204" s="201">
        <f>CE204+CF204+CG204</f>
        <v>12</v>
      </c>
      <c r="CL204" s="201">
        <v>20</v>
      </c>
      <c r="CM204" s="198">
        <v>12</v>
      </c>
      <c r="CN204" s="199">
        <f>+CQ204-CM204</f>
        <v>16</v>
      </c>
      <c r="CO204" s="199">
        <v>10</v>
      </c>
      <c r="CP204" s="200">
        <f>CT204-SUM(CM204:CO204)</f>
        <v>14</v>
      </c>
      <c r="CQ204" s="199">
        <v>28</v>
      </c>
      <c r="CR204" s="199">
        <f>CP204+CO204</f>
        <v>24</v>
      </c>
      <c r="CS204" s="201">
        <f>CM204+CN204+CO204</f>
        <v>38</v>
      </c>
      <c r="CT204" s="201">
        <v>52</v>
      </c>
      <c r="CU204" s="198">
        <f>'Equipment &amp; Defense'!W49</f>
        <v>8</v>
      </c>
      <c r="CV204" s="199">
        <f>'Equipment &amp; Defense'!X49</f>
        <v>18</v>
      </c>
      <c r="CW204" s="199">
        <f>'Equipment &amp; Defense'!Y49</f>
        <v>12</v>
      </c>
      <c r="CX204" s="200">
        <f>'Equipment &amp; Defense'!Z49</f>
        <v>16</v>
      </c>
      <c r="CY204" s="199">
        <f>'Equipment &amp; Defense'!AA49</f>
        <v>26</v>
      </c>
      <c r="CZ204" s="199">
        <f>'Equipment &amp; Defense'!AB49</f>
        <v>28</v>
      </c>
      <c r="DA204" s="201">
        <f>'Equipment &amp; Defense'!AC49</f>
        <v>38</v>
      </c>
      <c r="DB204" s="201">
        <f>'Equipment &amp; Defense'!AD49</f>
        <v>54</v>
      </c>
      <c r="DC204" s="198">
        <f>'Equipment &amp; Defense'!AE49</f>
        <v>16</v>
      </c>
      <c r="DD204" s="199">
        <f>'Equipment &amp; Defense'!AF49</f>
        <v>13</v>
      </c>
      <c r="DE204" s="199">
        <f>'Equipment &amp; Defense'!AG49</f>
        <v>13</v>
      </c>
      <c r="DF204" s="200">
        <f>'Equipment &amp; Defense'!AH49</f>
        <v>20</v>
      </c>
      <c r="DG204" s="199">
        <f>'Equipment &amp; Defense'!AI49</f>
        <v>29</v>
      </c>
      <c r="DH204" s="199">
        <f>'Equipment &amp; Defense'!AJ49</f>
        <v>33</v>
      </c>
      <c r="DI204" s="201">
        <f>'Equipment &amp; Defense'!AK49</f>
        <v>42</v>
      </c>
      <c r="DJ204" s="201">
        <f>'Equipment &amp; Defense'!AL49</f>
        <v>62</v>
      </c>
      <c r="DK204" s="198">
        <f>'Equipment &amp; Defense'!AM49</f>
        <v>20</v>
      </c>
      <c r="DL204" s="199">
        <f>'Equipment &amp; Defense'!AN49</f>
        <v>16</v>
      </c>
      <c r="DM204" s="199">
        <f>'Equipment &amp; Defense'!AO49</f>
        <v>14</v>
      </c>
      <c r="DN204" s="200">
        <f>'Equipment &amp; Defense'!AP49</f>
        <v>19</v>
      </c>
      <c r="DO204" s="199">
        <f>'Equipment &amp; Defense'!AQ49</f>
        <v>36</v>
      </c>
      <c r="DP204" s="199">
        <f>'Equipment &amp; Defense'!AR49</f>
        <v>33</v>
      </c>
      <c r="DQ204" s="201">
        <f>'Equipment &amp; Defense'!AS49</f>
        <v>50</v>
      </c>
      <c r="DR204" s="201">
        <f>'Equipment &amp; Defense'!AT49</f>
        <v>69</v>
      </c>
      <c r="DS204" s="199">
        <f>'Equipment &amp; Defense'!AU49</f>
        <v>11</v>
      </c>
      <c r="DT204" s="199">
        <f>'Equipment &amp; Defense'!AV49</f>
        <v>19</v>
      </c>
      <c r="DU204" s="280">
        <f>'Equipment &amp; Defense'!AW49</f>
        <v>0</v>
      </c>
      <c r="DV204" s="358">
        <f>'Equipment &amp; Defense'!AX49</f>
        <v>0</v>
      </c>
      <c r="DW204" s="199">
        <f>'Equipment &amp; Defense'!AY49</f>
        <v>30</v>
      </c>
      <c r="DX204" s="280">
        <f>'Equipment &amp; Defense'!AZ49</f>
        <v>0</v>
      </c>
      <c r="DY204" s="373">
        <f>'Equipment &amp; Defense'!BA49</f>
        <v>0</v>
      </c>
      <c r="DZ204" s="373">
        <f>'Equipment &amp; Defense'!BB49</f>
        <v>0</v>
      </c>
      <c r="EA204" s="280">
        <f>'Equipment &amp; Defense'!BC49</f>
        <v>0</v>
      </c>
      <c r="EB204" s="280">
        <f>'Equipment &amp; Defense'!BD49</f>
        <v>0</v>
      </c>
      <c r="EC204" s="280">
        <f>'Equipment &amp; Defense'!BE49</f>
        <v>0</v>
      </c>
      <c r="ED204" s="358">
        <f>'Equipment &amp; Defense'!BF49</f>
        <v>0</v>
      </c>
      <c r="EE204" s="280">
        <f>'Equipment &amp; Defense'!BG49</f>
        <v>0</v>
      </c>
      <c r="EF204" s="280">
        <f>'Equipment &amp; Defense'!BH49</f>
        <v>0</v>
      </c>
      <c r="EG204" s="373">
        <f>'Equipment &amp; Defense'!BI49</f>
        <v>0</v>
      </c>
      <c r="EH204" s="373">
        <f>'Equipment &amp; Defense'!BJ49</f>
        <v>0</v>
      </c>
      <c r="EI204" s="280">
        <f>'Equipment &amp; Defense'!BK49</f>
        <v>0</v>
      </c>
      <c r="EJ204" s="280">
        <f>'Equipment &amp; Defense'!BL49</f>
        <v>0</v>
      </c>
      <c r="EK204" s="280">
        <f>'Equipment &amp; Defense'!BM49</f>
        <v>0</v>
      </c>
      <c r="EL204" s="358">
        <f>'Equipment &amp; Defense'!BN49</f>
        <v>0</v>
      </c>
      <c r="EM204" s="280">
        <f>'Equipment &amp; Defense'!BO49</f>
        <v>0</v>
      </c>
      <c r="EN204" s="280">
        <f>'Equipment &amp; Defense'!BP49</f>
        <v>0</v>
      </c>
      <c r="EO204" s="373">
        <f>'Equipment &amp; Defense'!BQ49</f>
        <v>0</v>
      </c>
      <c r="EP204" s="373">
        <f>'Equipment &amp; Defense'!BR49</f>
        <v>0</v>
      </c>
      <c r="EQ204" s="280">
        <f>'Equipment &amp; Defense'!BS49</f>
        <v>0</v>
      </c>
      <c r="ER204" s="280">
        <f>'Equipment &amp; Defense'!BT49</f>
        <v>0</v>
      </c>
      <c r="ES204" s="280">
        <f>'Equipment &amp; Defense'!BU49</f>
        <v>0</v>
      </c>
      <c r="ET204" s="358">
        <f>'Equipment &amp; Defense'!BV49</f>
        <v>0</v>
      </c>
      <c r="EU204" s="280">
        <f>'Equipment &amp; Defense'!BW49</f>
        <v>0</v>
      </c>
      <c r="EV204" s="280">
        <f>'Equipment &amp; Defense'!BX49</f>
        <v>0</v>
      </c>
      <c r="EW204" s="373">
        <f>'Equipment &amp; Defense'!BY49</f>
        <v>0</v>
      </c>
      <c r="EX204" s="373">
        <f>'Equipment &amp; Defense'!BZ49</f>
        <v>0</v>
      </c>
      <c r="EY204" s="280">
        <f>'Equipment &amp; Defense'!CA49</f>
        <v>0</v>
      </c>
      <c r="EZ204" s="280">
        <f>'Equipment &amp; Defense'!CB49</f>
        <v>0</v>
      </c>
      <c r="FA204" s="280">
        <f>'Equipment &amp; Defense'!CC49</f>
        <v>0</v>
      </c>
      <c r="FB204" s="358">
        <f>'Equipment &amp; Defense'!CD49</f>
        <v>0</v>
      </c>
      <c r="FC204" s="280">
        <f>'Equipment &amp; Defense'!CE49</f>
        <v>0</v>
      </c>
      <c r="FD204" s="280">
        <f>'Equipment &amp; Defense'!CF49</f>
        <v>0</v>
      </c>
      <c r="FE204" s="373">
        <f>'Equipment &amp; Defense'!CG49</f>
        <v>0</v>
      </c>
      <c r="FF204" s="373">
        <f>'Equipment &amp; Defense'!CH49</f>
        <v>0</v>
      </c>
    </row>
    <row r="205" spans="1:162" ht="11.25" customHeight="1" outlineLevel="1" x14ac:dyDescent="0.2">
      <c r="A205" s="4" t="s">
        <v>358</v>
      </c>
      <c r="C205" s="198"/>
      <c r="D205" s="199"/>
      <c r="E205" s="199"/>
      <c r="F205" s="200"/>
      <c r="G205" s="199"/>
      <c r="H205" s="199"/>
      <c r="I205" s="201"/>
      <c r="J205" s="201">
        <v>0</v>
      </c>
      <c r="K205" s="198">
        <v>0</v>
      </c>
      <c r="L205" s="199">
        <f t="shared" si="285"/>
        <v>0</v>
      </c>
      <c r="M205" s="199"/>
      <c r="N205" s="200"/>
      <c r="O205" s="199">
        <v>0</v>
      </c>
      <c r="P205" s="199">
        <f t="shared" si="288"/>
        <v>16</v>
      </c>
      <c r="Q205" s="201"/>
      <c r="R205" s="201">
        <v>16</v>
      </c>
      <c r="S205" s="198">
        <v>6</v>
      </c>
      <c r="T205" s="199">
        <f t="shared" si="289"/>
        <v>6</v>
      </c>
      <c r="U205" s="199">
        <v>8</v>
      </c>
      <c r="V205" s="200">
        <f t="shared" si="290"/>
        <v>12</v>
      </c>
      <c r="W205" s="199">
        <v>12</v>
      </c>
      <c r="X205" s="199">
        <f t="shared" si="291"/>
        <v>20</v>
      </c>
      <c r="Y205" s="201">
        <f t="shared" si="292"/>
        <v>20</v>
      </c>
      <c r="Z205" s="201">
        <v>32</v>
      </c>
      <c r="AA205" s="198">
        <v>10</v>
      </c>
      <c r="AB205" s="199">
        <f t="shared" si="293"/>
        <v>15</v>
      </c>
      <c r="AC205" s="199">
        <v>13</v>
      </c>
      <c r="AD205" s="200">
        <f t="shared" si="256"/>
        <v>18</v>
      </c>
      <c r="AE205" s="199">
        <v>25</v>
      </c>
      <c r="AF205" s="199">
        <f t="shared" si="257"/>
        <v>31</v>
      </c>
      <c r="AG205" s="201">
        <f t="shared" si="258"/>
        <v>38</v>
      </c>
      <c r="AH205" s="201">
        <v>56</v>
      </c>
      <c r="AI205" s="198">
        <v>21</v>
      </c>
      <c r="AJ205" s="199">
        <f t="shared" si="259"/>
        <v>22</v>
      </c>
      <c r="AK205" s="199">
        <v>19</v>
      </c>
      <c r="AL205" s="200"/>
      <c r="AM205" s="199">
        <v>43</v>
      </c>
      <c r="AN205" s="199"/>
      <c r="AO205" s="201">
        <f t="shared" si="260"/>
        <v>62</v>
      </c>
      <c r="AP205" s="201">
        <v>81</v>
      </c>
      <c r="AQ205" s="198">
        <f t="shared" si="261"/>
        <v>21</v>
      </c>
      <c r="AR205" s="199">
        <f t="shared" si="262"/>
        <v>22</v>
      </c>
      <c r="AS205" s="199">
        <f t="shared" si="262"/>
        <v>19</v>
      </c>
      <c r="AT205" s="200"/>
      <c r="AU205" s="199">
        <f t="shared" si="262"/>
        <v>43</v>
      </c>
      <c r="AV205" s="199"/>
      <c r="AW205" s="201">
        <f t="shared" si="262"/>
        <v>62</v>
      </c>
      <c r="AX205" s="201">
        <f t="shared" si="262"/>
        <v>81</v>
      </c>
      <c r="AY205" s="198">
        <v>20</v>
      </c>
      <c r="AZ205" s="199">
        <f t="shared" si="263"/>
        <v>20</v>
      </c>
      <c r="BA205" s="199">
        <v>35</v>
      </c>
      <c r="BB205" s="200">
        <f t="shared" si="294"/>
        <v>5</v>
      </c>
      <c r="BC205" s="199">
        <v>40</v>
      </c>
      <c r="BD205" s="199"/>
      <c r="BE205" s="201">
        <f t="shared" si="264"/>
        <v>75</v>
      </c>
      <c r="BF205" s="201">
        <v>80</v>
      </c>
      <c r="BG205" s="198">
        <f t="shared" si="265"/>
        <v>20</v>
      </c>
      <c r="BH205" s="199">
        <f t="shared" si="265"/>
        <v>20</v>
      </c>
      <c r="BI205" s="199">
        <f t="shared" si="265"/>
        <v>35</v>
      </c>
      <c r="BJ205" s="200">
        <f t="shared" si="295"/>
        <v>5</v>
      </c>
      <c r="BK205" s="199">
        <f t="shared" si="266"/>
        <v>40</v>
      </c>
      <c r="BL205" s="199">
        <f t="shared" si="296"/>
        <v>40</v>
      </c>
      <c r="BM205" s="201">
        <f t="shared" si="267"/>
        <v>75</v>
      </c>
      <c r="BN205" s="201">
        <f t="shared" si="267"/>
        <v>80</v>
      </c>
      <c r="BO205" s="198">
        <v>23</v>
      </c>
      <c r="BP205" s="199">
        <f t="shared" si="268"/>
        <v>18</v>
      </c>
      <c r="BQ205" s="199">
        <v>21</v>
      </c>
      <c r="BR205" s="200">
        <f t="shared" si="269"/>
        <v>20</v>
      </c>
      <c r="BS205" s="199">
        <v>41</v>
      </c>
      <c r="BT205" s="199">
        <f t="shared" si="270"/>
        <v>41</v>
      </c>
      <c r="BU205" s="201">
        <f t="shared" si="271"/>
        <v>62</v>
      </c>
      <c r="BV205" s="201">
        <v>82</v>
      </c>
      <c r="BW205" s="198">
        <v>20</v>
      </c>
      <c r="BX205" s="199">
        <f t="shared" si="272"/>
        <v>6</v>
      </c>
      <c r="BY205" s="199">
        <v>13</v>
      </c>
      <c r="BZ205" s="200">
        <f t="shared" si="273"/>
        <v>13</v>
      </c>
      <c r="CA205" s="199">
        <v>26</v>
      </c>
      <c r="CB205" s="199">
        <f t="shared" si="274"/>
        <v>26</v>
      </c>
      <c r="CC205" s="201">
        <f t="shared" si="275"/>
        <v>39</v>
      </c>
      <c r="CD205" s="201">
        <v>52</v>
      </c>
      <c r="CE205" s="198">
        <v>9</v>
      </c>
      <c r="CF205" s="199">
        <f t="shared" si="276"/>
        <v>11</v>
      </c>
      <c r="CG205" s="199">
        <v>8</v>
      </c>
      <c r="CH205" s="200">
        <f t="shared" si="277"/>
        <v>11</v>
      </c>
      <c r="CI205" s="199">
        <v>20</v>
      </c>
      <c r="CJ205" s="199">
        <f t="shared" si="278"/>
        <v>19</v>
      </c>
      <c r="CK205" s="201">
        <f t="shared" si="279"/>
        <v>28</v>
      </c>
      <c r="CL205" s="201">
        <v>39</v>
      </c>
      <c r="CM205" s="198">
        <v>10</v>
      </c>
      <c r="CN205" s="199">
        <f t="shared" si="280"/>
        <v>13</v>
      </c>
      <c r="CO205" s="199">
        <v>8</v>
      </c>
      <c r="CP205" s="200">
        <f t="shared" si="281"/>
        <v>12</v>
      </c>
      <c r="CQ205" s="199">
        <v>23</v>
      </c>
      <c r="CR205" s="199">
        <f t="shared" si="282"/>
        <v>20</v>
      </c>
      <c r="CS205" s="201">
        <f t="shared" si="283"/>
        <v>31</v>
      </c>
      <c r="CT205" s="201">
        <v>43</v>
      </c>
      <c r="CU205" s="198">
        <f>'Equipment &amp; Defense'!W50</f>
        <v>12</v>
      </c>
      <c r="CV205" s="199">
        <f>'Equipment &amp; Defense'!X50</f>
        <v>11</v>
      </c>
      <c r="CW205" s="199">
        <f>'Equipment &amp; Defense'!Y50</f>
        <v>11</v>
      </c>
      <c r="CX205" s="200">
        <f>'Equipment &amp; Defense'!Z50</f>
        <v>12</v>
      </c>
      <c r="CY205" s="199">
        <f>'Equipment &amp; Defense'!AA50</f>
        <v>23</v>
      </c>
      <c r="CZ205" s="199">
        <f>'Equipment &amp; Defense'!AB50</f>
        <v>23</v>
      </c>
      <c r="DA205" s="201">
        <f>'Equipment &amp; Defense'!AC50</f>
        <v>34</v>
      </c>
      <c r="DB205" s="201">
        <f>'Equipment &amp; Defense'!AD50</f>
        <v>46</v>
      </c>
      <c r="DC205" s="198">
        <f>'Equipment &amp; Defense'!AE50</f>
        <v>15</v>
      </c>
      <c r="DD205" s="199">
        <f>'Equipment &amp; Defense'!AF50</f>
        <v>11</v>
      </c>
      <c r="DE205" s="199">
        <f>'Equipment &amp; Defense'!AG50</f>
        <v>11</v>
      </c>
      <c r="DF205" s="200">
        <f>'Equipment &amp; Defense'!AH50</f>
        <v>11</v>
      </c>
      <c r="DG205" s="199">
        <f>'Equipment &amp; Defense'!AI50</f>
        <v>26</v>
      </c>
      <c r="DH205" s="199">
        <f>'Equipment &amp; Defense'!AJ50</f>
        <v>22</v>
      </c>
      <c r="DI205" s="201">
        <f>'Equipment &amp; Defense'!AK50</f>
        <v>37</v>
      </c>
      <c r="DJ205" s="201">
        <f>'Equipment &amp; Defense'!AL50</f>
        <v>48</v>
      </c>
      <c r="DK205" s="198">
        <f>'Equipment &amp; Defense'!AM50</f>
        <v>13</v>
      </c>
      <c r="DL205" s="199">
        <f>'Equipment &amp; Defense'!AN50</f>
        <v>10</v>
      </c>
      <c r="DM205" s="199">
        <f>'Equipment &amp; Defense'!AO50</f>
        <v>9</v>
      </c>
      <c r="DN205" s="200">
        <f>'Equipment &amp; Defense'!AP50</f>
        <v>10</v>
      </c>
      <c r="DO205" s="199">
        <f>'Equipment &amp; Defense'!AQ50</f>
        <v>23</v>
      </c>
      <c r="DP205" s="199">
        <f>'Equipment &amp; Defense'!AR50</f>
        <v>19</v>
      </c>
      <c r="DQ205" s="201">
        <f>'Equipment &amp; Defense'!AS50</f>
        <v>32</v>
      </c>
      <c r="DR205" s="201">
        <f>'Equipment &amp; Defense'!AT50</f>
        <v>42</v>
      </c>
      <c r="DS205" s="199">
        <f>'Equipment &amp; Defense'!AU50</f>
        <v>12</v>
      </c>
      <c r="DT205" s="199">
        <f>'Equipment &amp; Defense'!AV50</f>
        <v>11</v>
      </c>
      <c r="DU205" s="280">
        <f>'Equipment &amp; Defense'!AW50</f>
        <v>0</v>
      </c>
      <c r="DV205" s="358">
        <f>'Equipment &amp; Defense'!AX50</f>
        <v>0</v>
      </c>
      <c r="DW205" s="199">
        <f>'Equipment &amp; Defense'!AY50</f>
        <v>23</v>
      </c>
      <c r="DX205" s="280">
        <f>'Equipment &amp; Defense'!AZ50</f>
        <v>0</v>
      </c>
      <c r="DY205" s="373">
        <f>'Equipment &amp; Defense'!BA50</f>
        <v>0</v>
      </c>
      <c r="DZ205" s="373">
        <f>'Equipment &amp; Defense'!BB50</f>
        <v>0</v>
      </c>
      <c r="EA205" s="280">
        <f>'Equipment &amp; Defense'!BC50</f>
        <v>0</v>
      </c>
      <c r="EB205" s="280">
        <f>'Equipment &amp; Defense'!BD50</f>
        <v>0</v>
      </c>
      <c r="EC205" s="280">
        <f>'Equipment &amp; Defense'!BE50</f>
        <v>0</v>
      </c>
      <c r="ED205" s="358">
        <f>'Equipment &amp; Defense'!BF50</f>
        <v>0</v>
      </c>
      <c r="EE205" s="280">
        <f>'Equipment &amp; Defense'!BG50</f>
        <v>0</v>
      </c>
      <c r="EF205" s="280">
        <f>'Equipment &amp; Defense'!BH50</f>
        <v>0</v>
      </c>
      <c r="EG205" s="373">
        <f>'Equipment &amp; Defense'!BI50</f>
        <v>0</v>
      </c>
      <c r="EH205" s="373">
        <f>'Equipment &amp; Defense'!BJ50</f>
        <v>0</v>
      </c>
      <c r="EI205" s="280">
        <f>'Equipment &amp; Defense'!BK50</f>
        <v>0</v>
      </c>
      <c r="EJ205" s="280">
        <f>'Equipment &amp; Defense'!BL50</f>
        <v>0</v>
      </c>
      <c r="EK205" s="280">
        <f>'Equipment &amp; Defense'!BM50</f>
        <v>0</v>
      </c>
      <c r="EL205" s="358">
        <f>'Equipment &amp; Defense'!BN50</f>
        <v>0</v>
      </c>
      <c r="EM205" s="280">
        <f>'Equipment &amp; Defense'!BO50</f>
        <v>0</v>
      </c>
      <c r="EN205" s="280">
        <f>'Equipment &amp; Defense'!BP50</f>
        <v>0</v>
      </c>
      <c r="EO205" s="373">
        <f>'Equipment &amp; Defense'!BQ50</f>
        <v>0</v>
      </c>
      <c r="EP205" s="373">
        <f>'Equipment &amp; Defense'!BR50</f>
        <v>0</v>
      </c>
      <c r="EQ205" s="280">
        <f>'Equipment &amp; Defense'!BS50</f>
        <v>0</v>
      </c>
      <c r="ER205" s="280">
        <f>'Equipment &amp; Defense'!BT50</f>
        <v>0</v>
      </c>
      <c r="ES205" s="280">
        <f>'Equipment &amp; Defense'!BU50</f>
        <v>0</v>
      </c>
      <c r="ET205" s="358">
        <f>'Equipment &amp; Defense'!BV50</f>
        <v>0</v>
      </c>
      <c r="EU205" s="280">
        <f>'Equipment &amp; Defense'!BW50</f>
        <v>0</v>
      </c>
      <c r="EV205" s="280">
        <f>'Equipment &amp; Defense'!BX50</f>
        <v>0</v>
      </c>
      <c r="EW205" s="373">
        <f>'Equipment &amp; Defense'!BY50</f>
        <v>0</v>
      </c>
      <c r="EX205" s="373">
        <f>'Equipment &amp; Defense'!BZ50</f>
        <v>0</v>
      </c>
      <c r="EY205" s="280">
        <f>'Equipment &amp; Defense'!CA50</f>
        <v>0</v>
      </c>
      <c r="EZ205" s="280">
        <f>'Equipment &amp; Defense'!CB50</f>
        <v>0</v>
      </c>
      <c r="FA205" s="280">
        <f>'Equipment &amp; Defense'!CC50</f>
        <v>0</v>
      </c>
      <c r="FB205" s="358">
        <f>'Equipment &amp; Defense'!CD50</f>
        <v>0</v>
      </c>
      <c r="FC205" s="280">
        <f>'Equipment &amp; Defense'!CE50</f>
        <v>0</v>
      </c>
      <c r="FD205" s="280">
        <f>'Equipment &amp; Defense'!CF50</f>
        <v>0</v>
      </c>
      <c r="FE205" s="373">
        <f>'Equipment &amp; Defense'!CG50</f>
        <v>0</v>
      </c>
      <c r="FF205" s="373">
        <f>'Equipment &amp; Defense'!CH50</f>
        <v>0</v>
      </c>
    </row>
    <row r="206" spans="1:162" ht="11.25" customHeight="1" outlineLevel="1" x14ac:dyDescent="0.2">
      <c r="A206" s="4" t="s">
        <v>1146</v>
      </c>
      <c r="C206" s="198"/>
      <c r="D206" s="199"/>
      <c r="E206" s="199"/>
      <c r="F206" s="200"/>
      <c r="G206" s="199"/>
      <c r="H206" s="199"/>
      <c r="I206" s="201"/>
      <c r="J206" s="201"/>
      <c r="K206" s="198"/>
      <c r="L206" s="199"/>
      <c r="M206" s="199"/>
      <c r="N206" s="200"/>
      <c r="O206" s="199"/>
      <c r="P206" s="199"/>
      <c r="Q206" s="201"/>
      <c r="R206" s="201"/>
      <c r="S206" s="198"/>
      <c r="T206" s="199"/>
      <c r="U206" s="199"/>
      <c r="V206" s="200"/>
      <c r="W206" s="199"/>
      <c r="X206" s="199"/>
      <c r="Y206" s="201"/>
      <c r="Z206" s="201"/>
      <c r="AA206" s="198"/>
      <c r="AB206" s="199"/>
      <c r="AC206" s="199"/>
      <c r="AD206" s="200"/>
      <c r="AE206" s="199"/>
      <c r="AF206" s="199"/>
      <c r="AG206" s="201"/>
      <c r="AH206" s="201"/>
      <c r="AI206" s="198"/>
      <c r="AJ206" s="199"/>
      <c r="AK206" s="199"/>
      <c r="AL206" s="200"/>
      <c r="AM206" s="199"/>
      <c r="AN206" s="199"/>
      <c r="AO206" s="201"/>
      <c r="AP206" s="201"/>
      <c r="AQ206" s="198"/>
      <c r="AR206" s="199"/>
      <c r="AS206" s="199"/>
      <c r="AT206" s="200"/>
      <c r="AU206" s="199"/>
      <c r="AV206" s="199"/>
      <c r="AW206" s="201"/>
      <c r="AX206" s="201"/>
      <c r="AY206" s="198"/>
      <c r="AZ206" s="199"/>
      <c r="BA206" s="199">
        <v>143</v>
      </c>
      <c r="BB206" s="200"/>
      <c r="BC206" s="199">
        <v>241</v>
      </c>
      <c r="BD206" s="199"/>
      <c r="BE206" s="201">
        <f>BA206+BC206</f>
        <v>384</v>
      </c>
      <c r="BF206" s="201">
        <v>551</v>
      </c>
      <c r="BG206" s="198"/>
      <c r="BH206" s="199"/>
      <c r="BI206" s="199"/>
      <c r="BJ206" s="200"/>
      <c r="BK206" s="199"/>
      <c r="BL206" s="199"/>
      <c r="BM206" s="201"/>
      <c r="BN206" s="201"/>
      <c r="BO206" s="198">
        <v>170</v>
      </c>
      <c r="BP206" s="199">
        <f>BS206-BO206</f>
        <v>230</v>
      </c>
      <c r="BQ206" s="199">
        <v>180</v>
      </c>
      <c r="BR206" s="200">
        <f>BV206-BU206</f>
        <v>191</v>
      </c>
      <c r="BS206" s="199">
        <f>BU206-BQ206</f>
        <v>400</v>
      </c>
      <c r="BT206" s="199">
        <f>BV206-BS206</f>
        <v>371</v>
      </c>
      <c r="BU206" s="201">
        <v>580</v>
      </c>
      <c r="BV206" s="201">
        <v>771</v>
      </c>
      <c r="BW206" s="198">
        <v>140</v>
      </c>
      <c r="BX206" s="199">
        <f>CA206-BW206</f>
        <v>59</v>
      </c>
      <c r="BY206" s="199">
        <v>75</v>
      </c>
      <c r="BZ206" s="200">
        <f>CD206-SUM(BW206:BY206)</f>
        <v>78</v>
      </c>
      <c r="CA206" s="199">
        <v>199</v>
      </c>
      <c r="CB206" s="199">
        <f>BZ206+BY206</f>
        <v>153</v>
      </c>
      <c r="CC206" s="201">
        <f>BY206+CA206</f>
        <v>274</v>
      </c>
      <c r="CD206" s="201">
        <v>352</v>
      </c>
      <c r="CE206" s="198">
        <v>55</v>
      </c>
      <c r="CF206" s="199">
        <f>CI206-CE206</f>
        <v>81</v>
      </c>
      <c r="CG206" s="199">
        <v>59</v>
      </c>
      <c r="CH206" s="200">
        <f>CL206-SUM(CE206:CG206)</f>
        <v>69</v>
      </c>
      <c r="CI206" s="199">
        <v>136</v>
      </c>
      <c r="CJ206" s="199">
        <f>CH206+CG206</f>
        <v>128</v>
      </c>
      <c r="CK206" s="201">
        <f>CE206+CF206+CG206</f>
        <v>195</v>
      </c>
      <c r="CL206" s="201">
        <v>264</v>
      </c>
      <c r="CM206" s="198">
        <v>71</v>
      </c>
      <c r="CN206" s="199">
        <f>CQ206-CM206</f>
        <v>117</v>
      </c>
      <c r="CO206" s="199">
        <v>53</v>
      </c>
      <c r="CP206" s="200">
        <f>CT206-SUM(CM206:CO206)</f>
        <v>97</v>
      </c>
      <c r="CQ206" s="199">
        <v>188</v>
      </c>
      <c r="CR206" s="199">
        <f>CP206+CO206</f>
        <v>150</v>
      </c>
      <c r="CS206" s="201">
        <f>CM206+CN206+CO206</f>
        <v>241</v>
      </c>
      <c r="CT206" s="201">
        <v>338</v>
      </c>
      <c r="CU206" s="198">
        <f>'Equipment &amp; Defense'!W51</f>
        <v>106</v>
      </c>
      <c r="CV206" s="199">
        <f>'Equipment &amp; Defense'!X51</f>
        <v>114</v>
      </c>
      <c r="CW206" s="199">
        <f>'Equipment &amp; Defense'!Y51</f>
        <v>99</v>
      </c>
      <c r="CX206" s="200">
        <f>'Equipment &amp; Defense'!Z51</f>
        <v>95</v>
      </c>
      <c r="CY206" s="199">
        <f>'Equipment &amp; Defense'!AA51</f>
        <v>220</v>
      </c>
      <c r="CZ206" s="199">
        <f>'Equipment &amp; Defense'!AB51</f>
        <v>194</v>
      </c>
      <c r="DA206" s="201">
        <f>'Equipment &amp; Defense'!AC51</f>
        <v>319</v>
      </c>
      <c r="DB206" s="201">
        <f>'Equipment &amp; Defense'!AD51</f>
        <v>414</v>
      </c>
      <c r="DC206" s="198">
        <f>'Equipment &amp; Defense'!AE51</f>
        <v>81</v>
      </c>
      <c r="DD206" s="199">
        <f>'Equipment &amp; Defense'!AF51</f>
        <v>112</v>
      </c>
      <c r="DE206" s="199">
        <f>'Equipment &amp; Defense'!AG51</f>
        <v>139</v>
      </c>
      <c r="DF206" s="200">
        <f>'Equipment &amp; Defense'!AH51</f>
        <v>116</v>
      </c>
      <c r="DG206" s="199">
        <f>'Equipment &amp; Defense'!AI51</f>
        <v>193</v>
      </c>
      <c r="DH206" s="199">
        <f>'Equipment &amp; Defense'!AJ51</f>
        <v>255</v>
      </c>
      <c r="DI206" s="201">
        <f>'Equipment &amp; Defense'!AK51</f>
        <v>332</v>
      </c>
      <c r="DJ206" s="201">
        <f>'Equipment &amp; Defense'!AL51</f>
        <v>448</v>
      </c>
      <c r="DK206" s="198">
        <f>'Equipment &amp; Defense'!AM51</f>
        <v>51</v>
      </c>
      <c r="DL206" s="199">
        <f>'Equipment &amp; Defense'!AN51</f>
        <v>112</v>
      </c>
      <c r="DM206" s="199">
        <f>'Equipment &amp; Defense'!AO51</f>
        <v>126</v>
      </c>
      <c r="DN206" s="200">
        <f>'Equipment &amp; Defense'!AP51</f>
        <v>134</v>
      </c>
      <c r="DO206" s="199">
        <f>'Equipment &amp; Defense'!AQ51</f>
        <v>163</v>
      </c>
      <c r="DP206" s="199">
        <f>'Equipment &amp; Defense'!AR51</f>
        <v>260</v>
      </c>
      <c r="DQ206" s="201">
        <f>'Equipment &amp; Defense'!AS51</f>
        <v>289</v>
      </c>
      <c r="DR206" s="201">
        <f>'Equipment &amp; Defense'!AT51</f>
        <v>423</v>
      </c>
      <c r="DS206" s="199">
        <f>'Equipment &amp; Defense'!AU51</f>
        <v>154</v>
      </c>
      <c r="DT206" s="199">
        <f>'Equipment &amp; Defense'!AV51</f>
        <v>155</v>
      </c>
      <c r="DU206" s="280">
        <f>'Equipment &amp; Defense'!AW51</f>
        <v>0</v>
      </c>
      <c r="DV206" s="358">
        <f>'Equipment &amp; Defense'!AX51</f>
        <v>0</v>
      </c>
      <c r="DW206" s="199">
        <f>'Equipment &amp; Defense'!AY51</f>
        <v>309</v>
      </c>
      <c r="DX206" s="280">
        <f>'Equipment &amp; Defense'!AZ51</f>
        <v>0</v>
      </c>
      <c r="DY206" s="373">
        <f>'Equipment &amp; Defense'!BA51</f>
        <v>0</v>
      </c>
      <c r="DZ206" s="373">
        <f>'Equipment &amp; Defense'!BB51</f>
        <v>0</v>
      </c>
      <c r="EA206" s="280">
        <f>'Equipment &amp; Defense'!BC51</f>
        <v>0</v>
      </c>
      <c r="EB206" s="280">
        <f>'Equipment &amp; Defense'!BD51</f>
        <v>0</v>
      </c>
      <c r="EC206" s="280">
        <f>'Equipment &amp; Defense'!BE51</f>
        <v>0</v>
      </c>
      <c r="ED206" s="358">
        <f>'Equipment &amp; Defense'!BF51</f>
        <v>0</v>
      </c>
      <c r="EE206" s="280">
        <f>'Equipment &amp; Defense'!BG51</f>
        <v>0</v>
      </c>
      <c r="EF206" s="280">
        <f>'Equipment &amp; Defense'!BH51</f>
        <v>0</v>
      </c>
      <c r="EG206" s="373">
        <f>'Equipment &amp; Defense'!BI51</f>
        <v>0</v>
      </c>
      <c r="EH206" s="373">
        <f>'Equipment &amp; Defense'!BJ51</f>
        <v>0</v>
      </c>
      <c r="EI206" s="280">
        <f>'Equipment &amp; Defense'!BK51</f>
        <v>0</v>
      </c>
      <c r="EJ206" s="280">
        <f>'Equipment &amp; Defense'!BL51</f>
        <v>0</v>
      </c>
      <c r="EK206" s="280">
        <f>'Equipment &amp; Defense'!BM51</f>
        <v>0</v>
      </c>
      <c r="EL206" s="358">
        <f>'Equipment &amp; Defense'!BN51</f>
        <v>0</v>
      </c>
      <c r="EM206" s="280">
        <f>'Equipment &amp; Defense'!BO51</f>
        <v>0</v>
      </c>
      <c r="EN206" s="280">
        <f>'Equipment &amp; Defense'!BP51</f>
        <v>0</v>
      </c>
      <c r="EO206" s="373">
        <f>'Equipment &amp; Defense'!BQ51</f>
        <v>0</v>
      </c>
      <c r="EP206" s="373">
        <f>'Equipment &amp; Defense'!BR51</f>
        <v>0</v>
      </c>
      <c r="EQ206" s="280">
        <f>'Equipment &amp; Defense'!BS51</f>
        <v>0</v>
      </c>
      <c r="ER206" s="280">
        <f>'Equipment &amp; Defense'!BT51</f>
        <v>0</v>
      </c>
      <c r="ES206" s="280">
        <f>'Equipment &amp; Defense'!BU51</f>
        <v>0</v>
      </c>
      <c r="ET206" s="358">
        <f>'Equipment &amp; Defense'!BV51</f>
        <v>0</v>
      </c>
      <c r="EU206" s="280">
        <f>'Equipment &amp; Defense'!BW51</f>
        <v>0</v>
      </c>
      <c r="EV206" s="280">
        <f>'Equipment &amp; Defense'!BX51</f>
        <v>0</v>
      </c>
      <c r="EW206" s="373">
        <f>'Equipment &amp; Defense'!BY51</f>
        <v>0</v>
      </c>
      <c r="EX206" s="373">
        <f>'Equipment &amp; Defense'!BZ51</f>
        <v>0</v>
      </c>
      <c r="EY206" s="280">
        <f>'Equipment &amp; Defense'!CA51</f>
        <v>0</v>
      </c>
      <c r="EZ206" s="280">
        <f>'Equipment &amp; Defense'!CB51</f>
        <v>0</v>
      </c>
      <c r="FA206" s="280">
        <f>'Equipment &amp; Defense'!CC51</f>
        <v>0</v>
      </c>
      <c r="FB206" s="358">
        <f>'Equipment &amp; Defense'!CD51</f>
        <v>0</v>
      </c>
      <c r="FC206" s="280">
        <f>'Equipment &amp; Defense'!CE51</f>
        <v>0</v>
      </c>
      <c r="FD206" s="280">
        <f>'Equipment &amp; Defense'!CF51</f>
        <v>0</v>
      </c>
      <c r="FE206" s="373">
        <f>'Equipment &amp; Defense'!CG51</f>
        <v>0</v>
      </c>
      <c r="FF206" s="373">
        <f>'Equipment &amp; Defense'!CH51</f>
        <v>0</v>
      </c>
    </row>
    <row r="207" spans="1:162" ht="11.25" customHeight="1" outlineLevel="1" x14ac:dyDescent="0.2">
      <c r="A207" s="4" t="s">
        <v>359</v>
      </c>
      <c r="C207" s="198"/>
      <c r="D207" s="199"/>
      <c r="E207" s="199"/>
      <c r="F207" s="200"/>
      <c r="G207" s="199"/>
      <c r="H207" s="199"/>
      <c r="I207" s="201"/>
      <c r="J207" s="201">
        <v>61</v>
      </c>
      <c r="K207" s="198">
        <v>29</v>
      </c>
      <c r="L207" s="199">
        <f t="shared" si="285"/>
        <v>30</v>
      </c>
      <c r="M207" s="199">
        <f t="shared" si="286"/>
        <v>29</v>
      </c>
      <c r="N207" s="200">
        <f t="shared" si="287"/>
        <v>30</v>
      </c>
      <c r="O207" s="199">
        <v>59</v>
      </c>
      <c r="P207" s="199">
        <f t="shared" si="288"/>
        <v>59</v>
      </c>
      <c r="Q207" s="201">
        <v>88</v>
      </c>
      <c r="R207" s="201">
        <v>118</v>
      </c>
      <c r="S207" s="198">
        <v>31</v>
      </c>
      <c r="T207" s="199">
        <f t="shared" si="289"/>
        <v>33</v>
      </c>
      <c r="U207" s="199">
        <v>31</v>
      </c>
      <c r="V207" s="200">
        <f t="shared" si="290"/>
        <v>32</v>
      </c>
      <c r="W207" s="199">
        <v>64</v>
      </c>
      <c r="X207" s="199">
        <f t="shared" si="291"/>
        <v>63</v>
      </c>
      <c r="Y207" s="201">
        <f t="shared" si="292"/>
        <v>95</v>
      </c>
      <c r="Z207" s="201">
        <v>127</v>
      </c>
      <c r="AA207" s="198">
        <v>33</v>
      </c>
      <c r="AB207" s="199">
        <f t="shared" si="293"/>
        <v>36</v>
      </c>
      <c r="AC207" s="199">
        <v>30</v>
      </c>
      <c r="AD207" s="200">
        <f t="shared" si="256"/>
        <v>29</v>
      </c>
      <c r="AE207" s="199">
        <v>69</v>
      </c>
      <c r="AF207" s="199">
        <f t="shared" si="257"/>
        <v>59</v>
      </c>
      <c r="AG207" s="201">
        <f t="shared" si="258"/>
        <v>99</v>
      </c>
      <c r="AH207" s="201">
        <v>128</v>
      </c>
      <c r="AI207" s="198">
        <v>32</v>
      </c>
      <c r="AJ207" s="199">
        <f t="shared" si="259"/>
        <v>34</v>
      </c>
      <c r="AK207" s="199">
        <v>33</v>
      </c>
      <c r="AL207" s="200"/>
      <c r="AM207" s="199">
        <v>66</v>
      </c>
      <c r="AN207" s="199"/>
      <c r="AO207" s="201">
        <f t="shared" si="260"/>
        <v>99</v>
      </c>
      <c r="AP207" s="201">
        <v>134</v>
      </c>
      <c r="AQ207" s="198">
        <f t="shared" si="261"/>
        <v>32</v>
      </c>
      <c r="AR207" s="199">
        <f t="shared" si="262"/>
        <v>34</v>
      </c>
      <c r="AS207" s="199">
        <f t="shared" si="262"/>
        <v>33</v>
      </c>
      <c r="AT207" s="200"/>
      <c r="AU207" s="199">
        <f t="shared" si="262"/>
        <v>66</v>
      </c>
      <c r="AV207" s="199"/>
      <c r="AW207" s="201">
        <f t="shared" si="262"/>
        <v>99</v>
      </c>
      <c r="AX207" s="201">
        <f t="shared" si="262"/>
        <v>134</v>
      </c>
      <c r="AY207" s="198">
        <v>38</v>
      </c>
      <c r="AZ207" s="199">
        <f t="shared" si="263"/>
        <v>36</v>
      </c>
      <c r="BA207" s="199">
        <v>19</v>
      </c>
      <c r="BB207" s="200">
        <f t="shared" si="294"/>
        <v>51</v>
      </c>
      <c r="BC207" s="199">
        <v>74</v>
      </c>
      <c r="BD207" s="199"/>
      <c r="BE207" s="201">
        <f t="shared" si="264"/>
        <v>93</v>
      </c>
      <c r="BF207" s="201">
        <v>144</v>
      </c>
      <c r="BG207" s="198">
        <f t="shared" si="265"/>
        <v>38</v>
      </c>
      <c r="BH207" s="199">
        <f t="shared" si="265"/>
        <v>36</v>
      </c>
      <c r="BI207" s="199">
        <f t="shared" si="265"/>
        <v>19</v>
      </c>
      <c r="BJ207" s="200">
        <f t="shared" si="295"/>
        <v>51</v>
      </c>
      <c r="BK207" s="199">
        <f t="shared" si="266"/>
        <v>74</v>
      </c>
      <c r="BL207" s="199">
        <f t="shared" si="296"/>
        <v>70</v>
      </c>
      <c r="BM207" s="201">
        <f t="shared" si="267"/>
        <v>93</v>
      </c>
      <c r="BN207" s="201">
        <f t="shared" si="267"/>
        <v>144</v>
      </c>
      <c r="BO207" s="198">
        <v>41</v>
      </c>
      <c r="BP207" s="199">
        <f t="shared" si="268"/>
        <v>43</v>
      </c>
      <c r="BQ207" s="199">
        <v>42</v>
      </c>
      <c r="BR207" s="200">
        <f t="shared" si="269"/>
        <v>39</v>
      </c>
      <c r="BS207" s="199">
        <v>84</v>
      </c>
      <c r="BT207" s="199">
        <f t="shared" si="270"/>
        <v>81</v>
      </c>
      <c r="BU207" s="201">
        <f t="shared" si="271"/>
        <v>126</v>
      </c>
      <c r="BV207" s="201">
        <v>165</v>
      </c>
      <c r="BW207" s="198">
        <v>40</v>
      </c>
      <c r="BX207" s="199">
        <f t="shared" si="272"/>
        <v>22</v>
      </c>
      <c r="BY207" s="199">
        <v>32</v>
      </c>
      <c r="BZ207" s="200">
        <f t="shared" si="273"/>
        <v>26</v>
      </c>
      <c r="CA207" s="199">
        <v>62</v>
      </c>
      <c r="CB207" s="199">
        <f t="shared" si="274"/>
        <v>58</v>
      </c>
      <c r="CC207" s="201">
        <f t="shared" si="275"/>
        <v>94</v>
      </c>
      <c r="CD207" s="201">
        <v>120</v>
      </c>
      <c r="CE207" s="198">
        <v>11</v>
      </c>
      <c r="CF207" s="199">
        <f t="shared" si="276"/>
        <v>14</v>
      </c>
      <c r="CG207" s="199">
        <v>5</v>
      </c>
      <c r="CH207" s="200">
        <f t="shared" si="277"/>
        <v>11</v>
      </c>
      <c r="CI207" s="199">
        <v>25</v>
      </c>
      <c r="CJ207" s="199">
        <f t="shared" si="278"/>
        <v>16</v>
      </c>
      <c r="CK207" s="201">
        <f t="shared" si="279"/>
        <v>30</v>
      </c>
      <c r="CL207" s="201">
        <v>41</v>
      </c>
      <c r="CM207" s="198">
        <v>0</v>
      </c>
      <c r="CN207" s="199">
        <f t="shared" si="280"/>
        <v>1</v>
      </c>
      <c r="CO207" s="199">
        <v>6</v>
      </c>
      <c r="CP207" s="200">
        <f t="shared" si="281"/>
        <v>14</v>
      </c>
      <c r="CQ207" s="199">
        <v>1</v>
      </c>
      <c r="CR207" s="199">
        <f t="shared" si="282"/>
        <v>20</v>
      </c>
      <c r="CS207" s="201">
        <f t="shared" si="283"/>
        <v>7</v>
      </c>
      <c r="CT207" s="201">
        <v>21</v>
      </c>
      <c r="CU207" s="198">
        <f>'Equipment &amp; Defense'!W52</f>
        <v>0</v>
      </c>
      <c r="CV207" s="199">
        <f>'Equipment &amp; Defense'!X52</f>
        <v>10</v>
      </c>
      <c r="CW207" s="199">
        <f>'Equipment &amp; Defense'!Y52</f>
        <v>6</v>
      </c>
      <c r="CX207" s="200">
        <f>'Equipment &amp; Defense'!Z52</f>
        <v>14</v>
      </c>
      <c r="CY207" s="199">
        <f>'Equipment &amp; Defense'!AA52</f>
        <v>10</v>
      </c>
      <c r="CZ207" s="199">
        <f>'Equipment &amp; Defense'!AB52</f>
        <v>20</v>
      </c>
      <c r="DA207" s="201">
        <f>'Equipment &amp; Defense'!AC52</f>
        <v>16</v>
      </c>
      <c r="DB207" s="201">
        <f>'Equipment &amp; Defense'!AD52</f>
        <v>30</v>
      </c>
      <c r="DC207" s="198">
        <f>'Equipment &amp; Defense'!AE52</f>
        <v>11</v>
      </c>
      <c r="DD207" s="199">
        <f>'Equipment &amp; Defense'!AF52</f>
        <v>9</v>
      </c>
      <c r="DE207" s="199">
        <f>'Equipment &amp; Defense'!AG52</f>
        <v>14</v>
      </c>
      <c r="DF207" s="200">
        <f>'Equipment &amp; Defense'!AH52</f>
        <v>7</v>
      </c>
      <c r="DG207" s="199">
        <f>'Equipment &amp; Defense'!AI52</f>
        <v>20</v>
      </c>
      <c r="DH207" s="199">
        <f>'Equipment &amp; Defense'!AJ52</f>
        <v>21</v>
      </c>
      <c r="DI207" s="201">
        <f>'Equipment &amp; Defense'!AK52</f>
        <v>34</v>
      </c>
      <c r="DJ207" s="201">
        <f>'Equipment &amp; Defense'!AL52</f>
        <v>41</v>
      </c>
      <c r="DK207" s="198">
        <f>'Equipment &amp; Defense'!AM52</f>
        <v>16</v>
      </c>
      <c r="DL207" s="199">
        <f>'Equipment &amp; Defense'!AN52</f>
        <v>14</v>
      </c>
      <c r="DM207" s="199">
        <f>'Equipment &amp; Defense'!AO52</f>
        <v>18</v>
      </c>
      <c r="DN207" s="200">
        <f>'Equipment &amp; Defense'!AP52</f>
        <v>17</v>
      </c>
      <c r="DO207" s="199">
        <f>'Equipment &amp; Defense'!AQ52</f>
        <v>30</v>
      </c>
      <c r="DP207" s="199">
        <f>'Equipment &amp; Defense'!AR52</f>
        <v>35</v>
      </c>
      <c r="DQ207" s="201">
        <f>'Equipment &amp; Defense'!AS52</f>
        <v>48</v>
      </c>
      <c r="DR207" s="201">
        <f>'Equipment &amp; Defense'!AT52</f>
        <v>65</v>
      </c>
      <c r="DS207" s="199">
        <f>'Equipment &amp; Defense'!AU52</f>
        <v>22</v>
      </c>
      <c r="DT207" s="199">
        <f>'Equipment &amp; Defense'!AV52</f>
        <v>20</v>
      </c>
      <c r="DU207" s="280">
        <f>'Equipment &amp; Defense'!AW52</f>
        <v>0</v>
      </c>
      <c r="DV207" s="358">
        <f>'Equipment &amp; Defense'!AX52</f>
        <v>0</v>
      </c>
      <c r="DW207" s="199">
        <f>'Equipment &amp; Defense'!AY52</f>
        <v>42</v>
      </c>
      <c r="DX207" s="280">
        <f>'Equipment &amp; Defense'!AZ52</f>
        <v>0</v>
      </c>
      <c r="DY207" s="373">
        <f>'Equipment &amp; Defense'!BA52</f>
        <v>0</v>
      </c>
      <c r="DZ207" s="373">
        <f>'Equipment &amp; Defense'!BB52</f>
        <v>0</v>
      </c>
      <c r="EA207" s="280">
        <f>'Equipment &amp; Defense'!BC52</f>
        <v>0</v>
      </c>
      <c r="EB207" s="280">
        <f>'Equipment &amp; Defense'!BD52</f>
        <v>0</v>
      </c>
      <c r="EC207" s="280">
        <f>'Equipment &amp; Defense'!BE52</f>
        <v>0</v>
      </c>
      <c r="ED207" s="358">
        <f>'Equipment &amp; Defense'!BF52</f>
        <v>0</v>
      </c>
      <c r="EE207" s="280">
        <f>'Equipment &amp; Defense'!BG52</f>
        <v>0</v>
      </c>
      <c r="EF207" s="280">
        <f>'Equipment &amp; Defense'!BH52</f>
        <v>0</v>
      </c>
      <c r="EG207" s="373">
        <f>'Equipment &amp; Defense'!BI52</f>
        <v>0</v>
      </c>
      <c r="EH207" s="373">
        <f>'Equipment &amp; Defense'!BJ52</f>
        <v>0</v>
      </c>
      <c r="EI207" s="280">
        <f>'Equipment &amp; Defense'!BK52</f>
        <v>0</v>
      </c>
      <c r="EJ207" s="280">
        <f>'Equipment &amp; Defense'!BL52</f>
        <v>0</v>
      </c>
      <c r="EK207" s="280">
        <f>'Equipment &amp; Defense'!BM52</f>
        <v>0</v>
      </c>
      <c r="EL207" s="358">
        <f>'Equipment &amp; Defense'!BN52</f>
        <v>0</v>
      </c>
      <c r="EM207" s="280">
        <f>'Equipment &amp; Defense'!BO52</f>
        <v>0</v>
      </c>
      <c r="EN207" s="280">
        <f>'Equipment &amp; Defense'!BP52</f>
        <v>0</v>
      </c>
      <c r="EO207" s="373">
        <f>'Equipment &amp; Defense'!BQ52</f>
        <v>0</v>
      </c>
      <c r="EP207" s="373">
        <f>'Equipment &amp; Defense'!BR52</f>
        <v>0</v>
      </c>
      <c r="EQ207" s="280">
        <f>'Equipment &amp; Defense'!BS52</f>
        <v>0</v>
      </c>
      <c r="ER207" s="280">
        <f>'Equipment &amp; Defense'!BT52</f>
        <v>0</v>
      </c>
      <c r="ES207" s="280">
        <f>'Equipment &amp; Defense'!BU52</f>
        <v>0</v>
      </c>
      <c r="ET207" s="358">
        <f>'Equipment &amp; Defense'!BV52</f>
        <v>0</v>
      </c>
      <c r="EU207" s="280">
        <f>'Equipment &amp; Defense'!BW52</f>
        <v>0</v>
      </c>
      <c r="EV207" s="280">
        <f>'Equipment &amp; Defense'!BX52</f>
        <v>0</v>
      </c>
      <c r="EW207" s="373">
        <f>'Equipment &amp; Defense'!BY52</f>
        <v>0</v>
      </c>
      <c r="EX207" s="373">
        <f>'Equipment &amp; Defense'!BZ52</f>
        <v>0</v>
      </c>
      <c r="EY207" s="280">
        <f>'Equipment &amp; Defense'!CA52</f>
        <v>0</v>
      </c>
      <c r="EZ207" s="280">
        <f>'Equipment &amp; Defense'!CB52</f>
        <v>0</v>
      </c>
      <c r="FA207" s="280">
        <f>'Equipment &amp; Defense'!CC52</f>
        <v>0</v>
      </c>
      <c r="FB207" s="358">
        <f>'Equipment &amp; Defense'!CD52</f>
        <v>0</v>
      </c>
      <c r="FC207" s="280">
        <f>'Equipment &amp; Defense'!CE52</f>
        <v>0</v>
      </c>
      <c r="FD207" s="280">
        <f>'Equipment &amp; Defense'!CF52</f>
        <v>0</v>
      </c>
      <c r="FE207" s="373">
        <f>'Equipment &amp; Defense'!CG52</f>
        <v>0</v>
      </c>
      <c r="FF207" s="373">
        <f>'Equipment &amp; Defense'!CH52</f>
        <v>0</v>
      </c>
    </row>
    <row r="208" spans="1:162" ht="11.25" customHeight="1" outlineLevel="1" x14ac:dyDescent="0.2">
      <c r="A208" s="4" t="s">
        <v>1147</v>
      </c>
      <c r="C208" s="198"/>
      <c r="D208" s="199"/>
      <c r="E208" s="199"/>
      <c r="F208" s="200"/>
      <c r="G208" s="199"/>
      <c r="H208" s="199"/>
      <c r="I208" s="201"/>
      <c r="J208" s="201"/>
      <c r="K208" s="198"/>
      <c r="L208" s="199"/>
      <c r="M208" s="199"/>
      <c r="N208" s="200"/>
      <c r="O208" s="199"/>
      <c r="P208" s="199"/>
      <c r="Q208" s="201"/>
      <c r="R208" s="201"/>
      <c r="S208" s="198"/>
      <c r="T208" s="199"/>
      <c r="U208" s="199"/>
      <c r="V208" s="200"/>
      <c r="W208" s="199"/>
      <c r="X208" s="199"/>
      <c r="Y208" s="201"/>
      <c r="Z208" s="201"/>
      <c r="AA208" s="198"/>
      <c r="AB208" s="199"/>
      <c r="AC208" s="199"/>
      <c r="AD208" s="200"/>
      <c r="AE208" s="199"/>
      <c r="AF208" s="199"/>
      <c r="AG208" s="201"/>
      <c r="AH208" s="201"/>
      <c r="AI208" s="198"/>
      <c r="AJ208" s="199"/>
      <c r="AK208" s="199"/>
      <c r="AL208" s="200"/>
      <c r="AM208" s="199"/>
      <c r="AN208" s="199"/>
      <c r="AO208" s="201"/>
      <c r="AP208" s="201"/>
      <c r="AQ208" s="198"/>
      <c r="AR208" s="199"/>
      <c r="AS208" s="199"/>
      <c r="AT208" s="200"/>
      <c r="AU208" s="199"/>
      <c r="AV208" s="199"/>
      <c r="AW208" s="201"/>
      <c r="AX208" s="201"/>
      <c r="AY208" s="198"/>
      <c r="AZ208" s="199"/>
      <c r="BA208" s="199">
        <v>208</v>
      </c>
      <c r="BB208" s="200"/>
      <c r="BC208" s="199">
        <v>296</v>
      </c>
      <c r="BD208" s="199"/>
      <c r="BE208" s="201">
        <f>BA208+BC208</f>
        <v>504</v>
      </c>
      <c r="BF208" s="201">
        <v>720</v>
      </c>
      <c r="BG208" s="198"/>
      <c r="BH208" s="199"/>
      <c r="BI208" s="199"/>
      <c r="BJ208" s="200"/>
      <c r="BK208" s="199"/>
      <c r="BL208" s="199"/>
      <c r="BM208" s="201"/>
      <c r="BN208" s="201"/>
      <c r="BO208" s="198">
        <v>277</v>
      </c>
      <c r="BP208" s="199">
        <f>BS208-BO208</f>
        <v>284</v>
      </c>
      <c r="BQ208" s="199">
        <v>285</v>
      </c>
      <c r="BR208" s="200">
        <f>BV208-BU208</f>
        <v>208</v>
      </c>
      <c r="BS208" s="199">
        <f>BU208-BQ208</f>
        <v>561</v>
      </c>
      <c r="BT208" s="199">
        <f>BV208-BS208</f>
        <v>493</v>
      </c>
      <c r="BU208" s="201">
        <v>846</v>
      </c>
      <c r="BV208" s="201">
        <v>1054</v>
      </c>
      <c r="BW208" s="198">
        <v>252</v>
      </c>
      <c r="BX208" s="199">
        <f>CA208-BW208</f>
        <v>165</v>
      </c>
      <c r="BY208" s="199">
        <v>174</v>
      </c>
      <c r="BZ208" s="200">
        <f>CD208-SUM(BW208:BY208)</f>
        <v>166</v>
      </c>
      <c r="CA208" s="199">
        <v>417</v>
      </c>
      <c r="CB208" s="199">
        <f>BZ208+BY208</f>
        <v>340</v>
      </c>
      <c r="CC208" s="201">
        <f>BY208+CA208</f>
        <v>591</v>
      </c>
      <c r="CD208" s="201">
        <v>757</v>
      </c>
      <c r="CE208" s="198">
        <v>55</v>
      </c>
      <c r="CF208" s="199">
        <f>CI208-CE208</f>
        <v>79</v>
      </c>
      <c r="CG208" s="199">
        <v>20</v>
      </c>
      <c r="CH208" s="200">
        <f>CL208-SUM(CE208:CG208)</f>
        <v>5</v>
      </c>
      <c r="CI208" s="199">
        <v>134</v>
      </c>
      <c r="CJ208" s="199">
        <f>CH208+CG208</f>
        <v>25</v>
      </c>
      <c r="CK208" s="201">
        <f>CE208+CF208+CG208</f>
        <v>154</v>
      </c>
      <c r="CL208" s="201">
        <v>159</v>
      </c>
      <c r="CM208" s="198">
        <v>8</v>
      </c>
      <c r="CN208" s="199">
        <f>CQ208-CM208</f>
        <v>21</v>
      </c>
      <c r="CO208" s="199">
        <v>31</v>
      </c>
      <c r="CP208" s="200">
        <f>CT208-SUM(CM208:CO208)</f>
        <v>52</v>
      </c>
      <c r="CQ208" s="199">
        <v>29</v>
      </c>
      <c r="CR208" s="199">
        <f>CP208+CO208</f>
        <v>83</v>
      </c>
      <c r="CS208" s="201">
        <f>CM208+CN208+CO208</f>
        <v>60</v>
      </c>
      <c r="CT208" s="201">
        <v>112</v>
      </c>
      <c r="CU208" s="198">
        <f>'Equipment &amp; Defense'!W53</f>
        <v>61</v>
      </c>
      <c r="CV208" s="199">
        <f>'Equipment &amp; Defense'!X53</f>
        <v>66</v>
      </c>
      <c r="CW208" s="199">
        <f>'Equipment &amp; Defense'!Y53</f>
        <v>65</v>
      </c>
      <c r="CX208" s="200">
        <f>'Equipment &amp; Defense'!Z53</f>
        <v>90</v>
      </c>
      <c r="CY208" s="199">
        <f>'Equipment &amp; Defense'!AA53</f>
        <v>127</v>
      </c>
      <c r="CZ208" s="199">
        <f>'Equipment &amp; Defense'!AB53</f>
        <v>155</v>
      </c>
      <c r="DA208" s="201">
        <f>'Equipment &amp; Defense'!AC53</f>
        <v>192</v>
      </c>
      <c r="DB208" s="201">
        <f>'Equipment &amp; Defense'!AD53</f>
        <v>282</v>
      </c>
      <c r="DC208" s="198">
        <f>'Equipment &amp; Defense'!AE53</f>
        <v>88</v>
      </c>
      <c r="DD208" s="199">
        <f>'Equipment &amp; Defense'!AF53</f>
        <v>81</v>
      </c>
      <c r="DE208" s="199">
        <f>'Equipment &amp; Defense'!AG53</f>
        <v>86</v>
      </c>
      <c r="DF208" s="200">
        <f>'Equipment &amp; Defense'!AH53</f>
        <v>89</v>
      </c>
      <c r="DG208" s="199">
        <f>'Equipment &amp; Defense'!AI53</f>
        <v>169</v>
      </c>
      <c r="DH208" s="199">
        <f>'Equipment &amp; Defense'!AJ53</f>
        <v>175</v>
      </c>
      <c r="DI208" s="201">
        <f>'Equipment &amp; Defense'!AK53</f>
        <v>255</v>
      </c>
      <c r="DJ208" s="201">
        <f>'Equipment &amp; Defense'!AL53</f>
        <v>344</v>
      </c>
      <c r="DK208" s="198">
        <f>'Equipment &amp; Defense'!AM53</f>
        <v>88</v>
      </c>
      <c r="DL208" s="199">
        <f>'Equipment &amp; Defense'!AN53</f>
        <v>105</v>
      </c>
      <c r="DM208" s="199">
        <f>'Equipment &amp; Defense'!AO53</f>
        <v>97</v>
      </c>
      <c r="DN208" s="200">
        <f>'Equipment &amp; Defense'!AP53</f>
        <v>111</v>
      </c>
      <c r="DO208" s="199">
        <f>'Equipment &amp; Defense'!AQ53</f>
        <v>193</v>
      </c>
      <c r="DP208" s="199">
        <f>'Equipment &amp; Defense'!AR53</f>
        <v>208</v>
      </c>
      <c r="DQ208" s="201">
        <f>'Equipment &amp; Defense'!AS53</f>
        <v>290</v>
      </c>
      <c r="DR208" s="201">
        <f>'Equipment &amp; Defense'!AT53</f>
        <v>401</v>
      </c>
      <c r="DS208" s="199">
        <f>'Equipment &amp; Defense'!AU53</f>
        <v>128</v>
      </c>
      <c r="DT208" s="199">
        <f>'Equipment &amp; Defense'!AV53</f>
        <v>172</v>
      </c>
      <c r="DU208" s="280">
        <f>'Equipment &amp; Defense'!AW53</f>
        <v>0</v>
      </c>
      <c r="DV208" s="358">
        <f>'Equipment &amp; Defense'!AX53</f>
        <v>0</v>
      </c>
      <c r="DW208" s="199">
        <f>'Equipment &amp; Defense'!AY53</f>
        <v>300</v>
      </c>
      <c r="DX208" s="280">
        <f>'Equipment &amp; Defense'!AZ53</f>
        <v>0</v>
      </c>
      <c r="DY208" s="373">
        <f>'Equipment &amp; Defense'!BA53</f>
        <v>0</v>
      </c>
      <c r="DZ208" s="373">
        <f>'Equipment &amp; Defense'!BB53</f>
        <v>0</v>
      </c>
      <c r="EA208" s="280">
        <f>'Equipment &amp; Defense'!BC53</f>
        <v>0</v>
      </c>
      <c r="EB208" s="280">
        <f>'Equipment &amp; Defense'!BD53</f>
        <v>0</v>
      </c>
      <c r="EC208" s="280">
        <f>'Equipment &amp; Defense'!BE53</f>
        <v>0</v>
      </c>
      <c r="ED208" s="358">
        <f>'Equipment &amp; Defense'!BF53</f>
        <v>0</v>
      </c>
      <c r="EE208" s="280">
        <f>'Equipment &amp; Defense'!BG53</f>
        <v>0</v>
      </c>
      <c r="EF208" s="280">
        <f>'Equipment &amp; Defense'!BH53</f>
        <v>0</v>
      </c>
      <c r="EG208" s="373">
        <f>'Equipment &amp; Defense'!BI53</f>
        <v>0</v>
      </c>
      <c r="EH208" s="373">
        <f>'Equipment &amp; Defense'!BJ53</f>
        <v>0</v>
      </c>
      <c r="EI208" s="280">
        <f>'Equipment &amp; Defense'!BK53</f>
        <v>0</v>
      </c>
      <c r="EJ208" s="280">
        <f>'Equipment &amp; Defense'!BL53</f>
        <v>0</v>
      </c>
      <c r="EK208" s="280">
        <f>'Equipment &amp; Defense'!BM53</f>
        <v>0</v>
      </c>
      <c r="EL208" s="358">
        <f>'Equipment &amp; Defense'!BN53</f>
        <v>0</v>
      </c>
      <c r="EM208" s="280">
        <f>'Equipment &amp; Defense'!BO53</f>
        <v>0</v>
      </c>
      <c r="EN208" s="280">
        <f>'Equipment &amp; Defense'!BP53</f>
        <v>0</v>
      </c>
      <c r="EO208" s="373">
        <f>'Equipment &amp; Defense'!BQ53</f>
        <v>0</v>
      </c>
      <c r="EP208" s="373">
        <f>'Equipment &amp; Defense'!BR53</f>
        <v>0</v>
      </c>
      <c r="EQ208" s="280">
        <f>'Equipment &amp; Defense'!BS53</f>
        <v>0</v>
      </c>
      <c r="ER208" s="280">
        <f>'Equipment &amp; Defense'!BT53</f>
        <v>0</v>
      </c>
      <c r="ES208" s="280">
        <f>'Equipment &amp; Defense'!BU53</f>
        <v>0</v>
      </c>
      <c r="ET208" s="358">
        <f>'Equipment &amp; Defense'!BV53</f>
        <v>0</v>
      </c>
      <c r="EU208" s="280">
        <f>'Equipment &amp; Defense'!BW53</f>
        <v>0</v>
      </c>
      <c r="EV208" s="280">
        <f>'Equipment &amp; Defense'!BX53</f>
        <v>0</v>
      </c>
      <c r="EW208" s="373">
        <f>'Equipment &amp; Defense'!BY53</f>
        <v>0</v>
      </c>
      <c r="EX208" s="373">
        <f>'Equipment &amp; Defense'!BZ53</f>
        <v>0</v>
      </c>
      <c r="EY208" s="280">
        <f>'Equipment &amp; Defense'!CA53</f>
        <v>0</v>
      </c>
      <c r="EZ208" s="280">
        <f>'Equipment &amp; Defense'!CB53</f>
        <v>0</v>
      </c>
      <c r="FA208" s="280">
        <f>'Equipment &amp; Defense'!CC53</f>
        <v>0</v>
      </c>
      <c r="FB208" s="358">
        <f>'Equipment &amp; Defense'!CD53</f>
        <v>0</v>
      </c>
      <c r="FC208" s="280">
        <f>'Equipment &amp; Defense'!CE53</f>
        <v>0</v>
      </c>
      <c r="FD208" s="280">
        <f>'Equipment &amp; Defense'!CF53</f>
        <v>0</v>
      </c>
      <c r="FE208" s="373">
        <f>'Equipment &amp; Defense'!CG53</f>
        <v>0</v>
      </c>
      <c r="FF208" s="373">
        <f>'Equipment &amp; Defense'!CH53</f>
        <v>0</v>
      </c>
    </row>
    <row r="209" spans="1:162" ht="11.25" customHeight="1" outlineLevel="1" x14ac:dyDescent="0.2">
      <c r="A209" s="4" t="s">
        <v>365</v>
      </c>
      <c r="C209" s="198"/>
      <c r="D209" s="199"/>
      <c r="E209" s="199"/>
      <c r="F209" s="200"/>
      <c r="G209" s="199"/>
      <c r="H209" s="199"/>
      <c r="I209" s="201"/>
      <c r="J209" s="201">
        <v>605</v>
      </c>
      <c r="K209" s="198">
        <v>149</v>
      </c>
      <c r="L209" s="199">
        <f>O209-K209</f>
        <v>159</v>
      </c>
      <c r="M209" s="199">
        <f>Q209-O209</f>
        <v>179</v>
      </c>
      <c r="N209" s="200">
        <f>R209-Q209</f>
        <v>201</v>
      </c>
      <c r="O209" s="199">
        <v>308</v>
      </c>
      <c r="P209" s="199">
        <f>R209-O209</f>
        <v>380</v>
      </c>
      <c r="Q209" s="201">
        <v>487</v>
      </c>
      <c r="R209" s="201">
        <v>688</v>
      </c>
      <c r="S209" s="198">
        <v>156</v>
      </c>
      <c r="T209" s="199">
        <f>W209-S209</f>
        <v>182</v>
      </c>
      <c r="U209" s="199">
        <v>180</v>
      </c>
      <c r="V209" s="200">
        <f>Z209-Y209</f>
        <v>193</v>
      </c>
      <c r="W209" s="199">
        <v>338</v>
      </c>
      <c r="X209" s="199">
        <f>Z209-W209</f>
        <v>373</v>
      </c>
      <c r="Y209" s="201">
        <f>SUM(S209:U209)</f>
        <v>518</v>
      </c>
      <c r="Z209" s="201">
        <v>711</v>
      </c>
      <c r="AA209" s="198">
        <v>158</v>
      </c>
      <c r="AB209" s="199">
        <f>AE209-AA209</f>
        <v>168</v>
      </c>
      <c r="AC209" s="199">
        <v>138</v>
      </c>
      <c r="AD209" s="200">
        <f>AH209-AG209</f>
        <v>136</v>
      </c>
      <c r="AE209" s="199">
        <v>326</v>
      </c>
      <c r="AF209" s="199">
        <f>AH209-AE209</f>
        <v>274</v>
      </c>
      <c r="AG209" s="201">
        <f>AC209+AE209</f>
        <v>464</v>
      </c>
      <c r="AH209" s="201">
        <v>600</v>
      </c>
      <c r="AI209" s="198">
        <v>96</v>
      </c>
      <c r="AJ209" s="199">
        <f>AM209-AI209</f>
        <v>138</v>
      </c>
      <c r="AK209" s="199">
        <v>113</v>
      </c>
      <c r="AL209" s="200"/>
      <c r="AM209" s="199">
        <v>234</v>
      </c>
      <c r="AN209" s="199"/>
      <c r="AO209" s="201">
        <f>+AM209+AK209</f>
        <v>347</v>
      </c>
      <c r="AP209" s="201">
        <v>477</v>
      </c>
      <c r="AQ209" s="198">
        <f>AI209</f>
        <v>96</v>
      </c>
      <c r="AR209" s="199">
        <f>AJ209</f>
        <v>138</v>
      </c>
      <c r="AS209" s="199">
        <f>AK209</f>
        <v>113</v>
      </c>
      <c r="AT209" s="200"/>
      <c r="AU209" s="199">
        <f>AM209</f>
        <v>234</v>
      </c>
      <c r="AV209" s="199"/>
      <c r="AW209" s="201">
        <f>AO209</f>
        <v>347</v>
      </c>
      <c r="AX209" s="201">
        <f>AP209</f>
        <v>477</v>
      </c>
      <c r="AY209" s="198">
        <v>143</v>
      </c>
      <c r="AZ209" s="199">
        <f>BC209-AY209</f>
        <v>166</v>
      </c>
      <c r="BA209" s="199">
        <v>142</v>
      </c>
      <c r="BB209" s="200">
        <f>BF209-BE209</f>
        <v>197</v>
      </c>
      <c r="BC209" s="199">
        <v>309</v>
      </c>
      <c r="BD209" s="199"/>
      <c r="BE209" s="201">
        <f>AY209+AZ209+BA209</f>
        <v>451</v>
      </c>
      <c r="BF209" s="201">
        <v>648</v>
      </c>
      <c r="BG209" s="198">
        <f>AY209</f>
        <v>143</v>
      </c>
      <c r="BH209" s="199">
        <f>AZ209</f>
        <v>166</v>
      </c>
      <c r="BI209" s="199">
        <f>BA209</f>
        <v>142</v>
      </c>
      <c r="BJ209" s="200">
        <f>BN209-BM209</f>
        <v>197</v>
      </c>
      <c r="BK209" s="199">
        <f>BC209</f>
        <v>309</v>
      </c>
      <c r="BL209" s="199">
        <f>BN209-BK209</f>
        <v>339</v>
      </c>
      <c r="BM209" s="201">
        <f>BE209</f>
        <v>451</v>
      </c>
      <c r="BN209" s="201">
        <f>BF209</f>
        <v>648</v>
      </c>
      <c r="BO209" s="198">
        <v>153</v>
      </c>
      <c r="BP209" s="199">
        <f>BS209-BO209</f>
        <v>151</v>
      </c>
      <c r="BQ209" s="199">
        <v>147</v>
      </c>
      <c r="BR209" s="200">
        <f>BV209-BU209</f>
        <v>184</v>
      </c>
      <c r="BS209" s="199">
        <v>304</v>
      </c>
      <c r="BT209" s="199">
        <f>BV209-BS209</f>
        <v>331</v>
      </c>
      <c r="BU209" s="201">
        <f>BO209+BP209+BQ209</f>
        <v>451</v>
      </c>
      <c r="BV209" s="201">
        <v>635</v>
      </c>
      <c r="BW209" s="198">
        <v>175</v>
      </c>
      <c r="BX209" s="199">
        <f>CA209-BW209</f>
        <v>71</v>
      </c>
      <c r="BY209" s="199">
        <v>82</v>
      </c>
      <c r="BZ209" s="200">
        <f>CD209-SUM(BW209:BY209)</f>
        <v>107</v>
      </c>
      <c r="CA209" s="199">
        <v>246</v>
      </c>
      <c r="CB209" s="199">
        <f>BZ209+BY209</f>
        <v>189</v>
      </c>
      <c r="CC209" s="201">
        <f>BY209+CA209</f>
        <v>328</v>
      </c>
      <c r="CD209" s="201">
        <v>435</v>
      </c>
      <c r="CE209" s="198">
        <v>94</v>
      </c>
      <c r="CF209" s="199">
        <f>CI209-CE209</f>
        <v>93</v>
      </c>
      <c r="CG209" s="199">
        <v>95</v>
      </c>
      <c r="CH209" s="200">
        <f>CL209-SUM(CE209:CG209)</f>
        <v>110</v>
      </c>
      <c r="CI209" s="199">
        <v>187</v>
      </c>
      <c r="CJ209" s="199">
        <f>CH209+CG209</f>
        <v>205</v>
      </c>
      <c r="CK209" s="201">
        <f>CE209+CF209+CG209</f>
        <v>282</v>
      </c>
      <c r="CL209" s="201">
        <v>392</v>
      </c>
      <c r="CM209" s="198">
        <v>117</v>
      </c>
      <c r="CN209" s="199">
        <f>+CQ209-CM209</f>
        <v>153</v>
      </c>
      <c r="CO209" s="199">
        <v>113</v>
      </c>
      <c r="CP209" s="200">
        <f>CT209-SUM(CM209:CO209)</f>
        <v>133</v>
      </c>
      <c r="CQ209" s="199">
        <v>270</v>
      </c>
      <c r="CR209" s="199">
        <f>CP209+CO209</f>
        <v>246</v>
      </c>
      <c r="CS209" s="201">
        <f>CM209+CN209+CO209</f>
        <v>383</v>
      </c>
      <c r="CT209" s="201">
        <v>516</v>
      </c>
      <c r="CU209" s="198">
        <f>'Equipment &amp; Defense'!W54</f>
        <v>134</v>
      </c>
      <c r="CV209" s="199">
        <f>'Equipment &amp; Defense'!X54</f>
        <v>136</v>
      </c>
      <c r="CW209" s="199">
        <f>'Equipment &amp; Defense'!Y54</f>
        <v>137</v>
      </c>
      <c r="CX209" s="200">
        <f>'Equipment &amp; Defense'!Z54</f>
        <v>105</v>
      </c>
      <c r="CY209" s="199">
        <f>'Equipment &amp; Defense'!AA54</f>
        <v>270</v>
      </c>
      <c r="CZ209" s="199">
        <f>'Equipment &amp; Defense'!AB54</f>
        <v>242</v>
      </c>
      <c r="DA209" s="201">
        <f>'Equipment &amp; Defense'!AC54</f>
        <v>407</v>
      </c>
      <c r="DB209" s="201">
        <f>'Equipment &amp; Defense'!AD54</f>
        <v>512</v>
      </c>
      <c r="DC209" s="198">
        <f>'Equipment &amp; Defense'!AE54</f>
        <v>121</v>
      </c>
      <c r="DD209" s="199">
        <f>'Equipment &amp; Defense'!AF54</f>
        <v>275</v>
      </c>
      <c r="DE209" s="199">
        <f>'Equipment &amp; Defense'!AG54</f>
        <v>169</v>
      </c>
      <c r="DF209" s="200">
        <f>'Equipment &amp; Defense'!AH54</f>
        <v>189</v>
      </c>
      <c r="DG209" s="199">
        <f>'Equipment &amp; Defense'!AI54</f>
        <v>396</v>
      </c>
      <c r="DH209" s="199">
        <f>'Equipment &amp; Defense'!AJ54</f>
        <v>358</v>
      </c>
      <c r="DI209" s="201">
        <f>'Equipment &amp; Defense'!AK54</f>
        <v>565</v>
      </c>
      <c r="DJ209" s="201">
        <f>'Equipment &amp; Defense'!AL54</f>
        <v>754</v>
      </c>
      <c r="DK209" s="198">
        <f>'Equipment &amp; Defense'!AM54</f>
        <v>181</v>
      </c>
      <c r="DL209" s="199">
        <f>'Equipment &amp; Defense'!AN54</f>
        <v>180</v>
      </c>
      <c r="DM209" s="199">
        <f>'Equipment &amp; Defense'!AO54</f>
        <v>195</v>
      </c>
      <c r="DN209" s="200">
        <f>'Equipment &amp; Defense'!AP54</f>
        <v>179</v>
      </c>
      <c r="DO209" s="199">
        <f>'Equipment &amp; Defense'!AQ54</f>
        <v>361</v>
      </c>
      <c r="DP209" s="199">
        <f>'Equipment &amp; Defense'!AR54</f>
        <v>374</v>
      </c>
      <c r="DQ209" s="201">
        <f>'Equipment &amp; Defense'!AS54</f>
        <v>556</v>
      </c>
      <c r="DR209" s="201">
        <f>'Equipment &amp; Defense'!AT54</f>
        <v>735</v>
      </c>
      <c r="DS209" s="199">
        <f>'Equipment &amp; Defense'!AU54</f>
        <v>187</v>
      </c>
      <c r="DT209" s="199">
        <f>'Equipment &amp; Defense'!AV54</f>
        <v>206</v>
      </c>
      <c r="DU209" s="280">
        <f>'Equipment &amp; Defense'!AW54</f>
        <v>0</v>
      </c>
      <c r="DV209" s="358">
        <f>'Equipment &amp; Defense'!AX54</f>
        <v>0</v>
      </c>
      <c r="DW209" s="199">
        <f>'Equipment &amp; Defense'!AY54</f>
        <v>393</v>
      </c>
      <c r="DX209" s="280">
        <f>'Equipment &amp; Defense'!AZ54</f>
        <v>0</v>
      </c>
      <c r="DY209" s="373">
        <f>'Equipment &amp; Defense'!BA54</f>
        <v>0</v>
      </c>
      <c r="DZ209" s="373">
        <f>'Equipment &amp; Defense'!BB54</f>
        <v>0</v>
      </c>
      <c r="EA209" s="280">
        <f>'Equipment &amp; Defense'!BC54</f>
        <v>0</v>
      </c>
      <c r="EB209" s="280">
        <f>'Equipment &amp; Defense'!BD54</f>
        <v>0</v>
      </c>
      <c r="EC209" s="280">
        <f>'Equipment &amp; Defense'!BE54</f>
        <v>0</v>
      </c>
      <c r="ED209" s="358">
        <f>'Equipment &amp; Defense'!BF54</f>
        <v>0</v>
      </c>
      <c r="EE209" s="280">
        <f>'Equipment &amp; Defense'!BG54</f>
        <v>0</v>
      </c>
      <c r="EF209" s="280">
        <f>'Equipment &amp; Defense'!BH54</f>
        <v>0</v>
      </c>
      <c r="EG209" s="373">
        <f>'Equipment &amp; Defense'!BI54</f>
        <v>0</v>
      </c>
      <c r="EH209" s="373">
        <f>'Equipment &amp; Defense'!BJ54</f>
        <v>0</v>
      </c>
      <c r="EI209" s="280">
        <f>'Equipment &amp; Defense'!BK54</f>
        <v>0</v>
      </c>
      <c r="EJ209" s="280">
        <f>'Equipment &amp; Defense'!BL54</f>
        <v>0</v>
      </c>
      <c r="EK209" s="280">
        <f>'Equipment &amp; Defense'!BM54</f>
        <v>0</v>
      </c>
      <c r="EL209" s="358">
        <f>'Equipment &amp; Defense'!BN54</f>
        <v>0</v>
      </c>
      <c r="EM209" s="280">
        <f>'Equipment &amp; Defense'!BO54</f>
        <v>0</v>
      </c>
      <c r="EN209" s="280">
        <f>'Equipment &amp; Defense'!BP54</f>
        <v>0</v>
      </c>
      <c r="EO209" s="373">
        <f>'Equipment &amp; Defense'!BQ54</f>
        <v>0</v>
      </c>
      <c r="EP209" s="373">
        <f>'Equipment &amp; Defense'!BR54</f>
        <v>0</v>
      </c>
      <c r="EQ209" s="280">
        <f>'Equipment &amp; Defense'!BS54</f>
        <v>0</v>
      </c>
      <c r="ER209" s="280">
        <f>'Equipment &amp; Defense'!BT54</f>
        <v>0</v>
      </c>
      <c r="ES209" s="280">
        <f>'Equipment &amp; Defense'!BU54</f>
        <v>0</v>
      </c>
      <c r="ET209" s="358">
        <f>'Equipment &amp; Defense'!BV54</f>
        <v>0</v>
      </c>
      <c r="EU209" s="280">
        <f>'Equipment &amp; Defense'!BW54</f>
        <v>0</v>
      </c>
      <c r="EV209" s="280">
        <f>'Equipment &amp; Defense'!BX54</f>
        <v>0</v>
      </c>
      <c r="EW209" s="373">
        <f>'Equipment &amp; Defense'!BY54</f>
        <v>0</v>
      </c>
      <c r="EX209" s="373">
        <f>'Equipment &amp; Defense'!BZ54</f>
        <v>0</v>
      </c>
      <c r="EY209" s="280">
        <f>'Equipment &amp; Defense'!CA54</f>
        <v>0</v>
      </c>
      <c r="EZ209" s="280">
        <f>'Equipment &amp; Defense'!CB54</f>
        <v>0</v>
      </c>
      <c r="FA209" s="280">
        <f>'Equipment &amp; Defense'!CC54</f>
        <v>0</v>
      </c>
      <c r="FB209" s="358">
        <f>'Equipment &amp; Defense'!CD54</f>
        <v>0</v>
      </c>
      <c r="FC209" s="280">
        <f>'Equipment &amp; Defense'!CE54</f>
        <v>0</v>
      </c>
      <c r="FD209" s="280">
        <f>'Equipment &amp; Defense'!CF54</f>
        <v>0</v>
      </c>
      <c r="FE209" s="373">
        <f>'Equipment &amp; Defense'!CG54</f>
        <v>0</v>
      </c>
      <c r="FF209" s="373">
        <f>'Equipment &amp; Defense'!CH54</f>
        <v>0</v>
      </c>
    </row>
    <row r="210" spans="1:162" ht="11.25" customHeight="1" outlineLevel="1" x14ac:dyDescent="0.2">
      <c r="A210" s="4" t="s">
        <v>376</v>
      </c>
      <c r="C210" s="198"/>
      <c r="D210" s="199"/>
      <c r="E210" s="199"/>
      <c r="F210" s="200"/>
      <c r="G210" s="199"/>
      <c r="H210" s="199"/>
      <c r="I210" s="201"/>
      <c r="J210" s="201"/>
      <c r="K210" s="198"/>
      <c r="L210" s="199"/>
      <c r="M210" s="199"/>
      <c r="N210" s="200"/>
      <c r="O210" s="199"/>
      <c r="P210" s="199"/>
      <c r="Q210" s="201"/>
      <c r="R210" s="201"/>
      <c r="S210" s="198"/>
      <c r="T210" s="199"/>
      <c r="U210" s="199"/>
      <c r="V210" s="200"/>
      <c r="W210" s="199"/>
      <c r="X210" s="199"/>
      <c r="Y210" s="201"/>
      <c r="Z210" s="201"/>
      <c r="AA210" s="198"/>
      <c r="AB210" s="199"/>
      <c r="AC210" s="199"/>
      <c r="AD210" s="200"/>
      <c r="AE210" s="199"/>
      <c r="AF210" s="199"/>
      <c r="AG210" s="201"/>
      <c r="AH210" s="201"/>
      <c r="AI210" s="198"/>
      <c r="AJ210" s="199"/>
      <c r="AK210" s="199"/>
      <c r="AL210" s="200"/>
      <c r="AM210" s="199"/>
      <c r="AN210" s="199"/>
      <c r="AO210" s="201"/>
      <c r="AP210" s="201"/>
      <c r="AQ210" s="198"/>
      <c r="AR210" s="199"/>
      <c r="AS210" s="199"/>
      <c r="AT210" s="200"/>
      <c r="AU210" s="199"/>
      <c r="AV210" s="199"/>
      <c r="AW210" s="201"/>
      <c r="AX210" s="201"/>
      <c r="AY210" s="198"/>
      <c r="AZ210" s="199"/>
      <c r="BA210" s="199">
        <v>576</v>
      </c>
      <c r="BB210" s="200"/>
      <c r="BC210" s="199">
        <v>1495</v>
      </c>
      <c r="BD210" s="199"/>
      <c r="BE210" s="201">
        <f>BA210+BC210</f>
        <v>2071</v>
      </c>
      <c r="BF210" s="201">
        <v>3414</v>
      </c>
      <c r="BG210" s="198"/>
      <c r="BH210" s="199"/>
      <c r="BI210" s="199"/>
      <c r="BJ210" s="200"/>
      <c r="BK210" s="199"/>
      <c r="BL210" s="199"/>
      <c r="BM210" s="201"/>
      <c r="BN210" s="201"/>
      <c r="BO210" s="198">
        <v>1328</v>
      </c>
      <c r="BP210" s="199">
        <f>BS210-BO210</f>
        <v>1209</v>
      </c>
      <c r="BQ210" s="199">
        <v>1487</v>
      </c>
      <c r="BR210" s="200">
        <f>BV210-BU210</f>
        <v>1610</v>
      </c>
      <c r="BS210" s="199">
        <f>BU210-BQ210</f>
        <v>2537</v>
      </c>
      <c r="BT210" s="199">
        <f>BV210-BS210</f>
        <v>3097</v>
      </c>
      <c r="BU210" s="201">
        <v>4024</v>
      </c>
      <c r="BV210" s="201">
        <v>5634</v>
      </c>
      <c r="BW210" s="198">
        <v>1020</v>
      </c>
      <c r="BX210" s="199">
        <f>CA210-BW210</f>
        <v>669</v>
      </c>
      <c r="BY210" s="199">
        <v>401</v>
      </c>
      <c r="BZ210" s="200">
        <f>CD210-SUM(BW210:BY210)</f>
        <v>645</v>
      </c>
      <c r="CA210" s="199">
        <v>1689</v>
      </c>
      <c r="CB210" s="199">
        <f>BZ210+BY210</f>
        <v>1046</v>
      </c>
      <c r="CC210" s="201">
        <f>BY210+CA210</f>
        <v>2090</v>
      </c>
      <c r="CD210" s="201">
        <v>2735</v>
      </c>
      <c r="CE210" s="198">
        <v>363</v>
      </c>
      <c r="CF210" s="199">
        <f>CI210-CE210</f>
        <v>324</v>
      </c>
      <c r="CG210" s="199">
        <v>490</v>
      </c>
      <c r="CH210" s="200">
        <f>CL210-SUM(CE210:CG210)</f>
        <v>920</v>
      </c>
      <c r="CI210" s="199">
        <v>687</v>
      </c>
      <c r="CJ210" s="199">
        <f>CH210+CG210</f>
        <v>1410</v>
      </c>
      <c r="CK210" s="201">
        <f>CE210+CF210+CG210</f>
        <v>1177</v>
      </c>
      <c r="CL210" s="201">
        <v>2097</v>
      </c>
      <c r="CM210" s="198">
        <v>346</v>
      </c>
      <c r="CN210" s="199">
        <f>CQ210-CM210</f>
        <v>472</v>
      </c>
      <c r="CO210" s="199">
        <v>377</v>
      </c>
      <c r="CP210" s="200">
        <f>CT210-SUM(CM210:CO210)</f>
        <v>509</v>
      </c>
      <c r="CQ210" s="199">
        <v>818</v>
      </c>
      <c r="CR210" s="199">
        <f>CP210+CO210</f>
        <v>886</v>
      </c>
      <c r="CS210" s="201">
        <f>CM210+CN210+CO210</f>
        <v>1195</v>
      </c>
      <c r="CT210" s="201">
        <v>1704</v>
      </c>
      <c r="CU210" s="198">
        <f>'Equipment &amp; Defense'!W55</f>
        <v>324</v>
      </c>
      <c r="CV210" s="199">
        <f>'Equipment &amp; Defense'!X55</f>
        <v>112</v>
      </c>
      <c r="CW210" s="199">
        <f>'Equipment &amp; Defense'!Y55</f>
        <v>174</v>
      </c>
      <c r="CX210" s="200">
        <f>'Equipment &amp; Defense'!Z55</f>
        <v>373</v>
      </c>
      <c r="CY210" s="199">
        <f>'Equipment &amp; Defense'!AA55</f>
        <v>436</v>
      </c>
      <c r="CZ210" s="199">
        <f>'Equipment &amp; Defense'!AB55</f>
        <v>547</v>
      </c>
      <c r="DA210" s="201">
        <f>'Equipment &amp; Defense'!AC55</f>
        <v>610</v>
      </c>
      <c r="DB210" s="201">
        <f>'Equipment &amp; Defense'!AD55</f>
        <v>983</v>
      </c>
      <c r="DC210" s="198">
        <f>'Equipment &amp; Defense'!AE55</f>
        <v>242</v>
      </c>
      <c r="DD210" s="199">
        <f>'Equipment &amp; Defense'!AF55</f>
        <v>508</v>
      </c>
      <c r="DE210" s="199">
        <f>'Equipment &amp; Defense'!AG55</f>
        <v>592</v>
      </c>
      <c r="DF210" s="200">
        <f>'Equipment &amp; Defense'!AH55</f>
        <v>1140</v>
      </c>
      <c r="DG210" s="199">
        <f>'Equipment &amp; Defense'!AI55</f>
        <v>750</v>
      </c>
      <c r="DH210" s="199">
        <f>'Equipment &amp; Defense'!AJ55</f>
        <v>1732</v>
      </c>
      <c r="DI210" s="201">
        <f>'Equipment &amp; Defense'!AK55</f>
        <v>1342</v>
      </c>
      <c r="DJ210" s="201">
        <f>'Equipment &amp; Defense'!AL55</f>
        <v>2482</v>
      </c>
      <c r="DK210" s="198">
        <f>'Equipment &amp; Defense'!AM55</f>
        <v>704</v>
      </c>
      <c r="DL210" s="199">
        <f>'Equipment &amp; Defense'!AN55</f>
        <v>534</v>
      </c>
      <c r="DM210" s="199">
        <f>'Equipment &amp; Defense'!AO55</f>
        <v>428</v>
      </c>
      <c r="DN210" s="200">
        <f>'Equipment &amp; Defense'!AP55</f>
        <v>966</v>
      </c>
      <c r="DO210" s="199">
        <f>'Equipment &amp; Defense'!AQ55</f>
        <v>1238</v>
      </c>
      <c r="DP210" s="199">
        <f>'Equipment &amp; Defense'!AR55</f>
        <v>1394</v>
      </c>
      <c r="DQ210" s="201">
        <f>'Equipment &amp; Defense'!AS55</f>
        <v>1666</v>
      </c>
      <c r="DR210" s="201">
        <f>'Equipment &amp; Defense'!AT55</f>
        <v>2632</v>
      </c>
      <c r="DS210" s="199">
        <f>'Equipment &amp; Defense'!AU55</f>
        <v>634</v>
      </c>
      <c r="DT210" s="199">
        <f>'Equipment &amp; Defense'!AV55</f>
        <v>648</v>
      </c>
      <c r="DU210" s="280">
        <f>'Equipment &amp; Defense'!AW55</f>
        <v>0</v>
      </c>
      <c r="DV210" s="358">
        <f>'Equipment &amp; Defense'!AX55</f>
        <v>0</v>
      </c>
      <c r="DW210" s="199">
        <f>'Equipment &amp; Defense'!AY55</f>
        <v>1282</v>
      </c>
      <c r="DX210" s="280">
        <f>'Equipment &amp; Defense'!AZ55</f>
        <v>0</v>
      </c>
      <c r="DY210" s="373">
        <f>'Equipment &amp; Defense'!BA55</f>
        <v>0</v>
      </c>
      <c r="DZ210" s="373">
        <f>'Equipment &amp; Defense'!BB55</f>
        <v>0</v>
      </c>
      <c r="EA210" s="280">
        <f>'Equipment &amp; Defense'!BC55</f>
        <v>0</v>
      </c>
      <c r="EB210" s="280">
        <f>'Equipment &amp; Defense'!BD55</f>
        <v>0</v>
      </c>
      <c r="EC210" s="280">
        <f>'Equipment &amp; Defense'!BE55</f>
        <v>0</v>
      </c>
      <c r="ED210" s="358">
        <f>'Equipment &amp; Defense'!BF55</f>
        <v>0</v>
      </c>
      <c r="EE210" s="280">
        <f>'Equipment &amp; Defense'!BG55</f>
        <v>0</v>
      </c>
      <c r="EF210" s="280">
        <f>'Equipment &amp; Defense'!BH55</f>
        <v>0</v>
      </c>
      <c r="EG210" s="373">
        <f>'Equipment &amp; Defense'!BI55</f>
        <v>0</v>
      </c>
      <c r="EH210" s="373">
        <f>'Equipment &amp; Defense'!BJ55</f>
        <v>0</v>
      </c>
      <c r="EI210" s="280">
        <f>'Equipment &amp; Defense'!BK55</f>
        <v>0</v>
      </c>
      <c r="EJ210" s="280">
        <f>'Equipment &amp; Defense'!BL55</f>
        <v>0</v>
      </c>
      <c r="EK210" s="280">
        <f>'Equipment &amp; Defense'!BM55</f>
        <v>0</v>
      </c>
      <c r="EL210" s="358">
        <f>'Equipment &amp; Defense'!BN55</f>
        <v>0</v>
      </c>
      <c r="EM210" s="280">
        <f>'Equipment &amp; Defense'!BO55</f>
        <v>0</v>
      </c>
      <c r="EN210" s="280">
        <f>'Equipment &amp; Defense'!BP55</f>
        <v>0</v>
      </c>
      <c r="EO210" s="373">
        <f>'Equipment &amp; Defense'!BQ55</f>
        <v>0</v>
      </c>
      <c r="EP210" s="373">
        <f>'Equipment &amp; Defense'!BR55</f>
        <v>0</v>
      </c>
      <c r="EQ210" s="280">
        <f>'Equipment &amp; Defense'!BS55</f>
        <v>0</v>
      </c>
      <c r="ER210" s="280">
        <f>'Equipment &amp; Defense'!BT55</f>
        <v>0</v>
      </c>
      <c r="ES210" s="280">
        <f>'Equipment &amp; Defense'!BU55</f>
        <v>0</v>
      </c>
      <c r="ET210" s="358">
        <f>'Equipment &amp; Defense'!BV55</f>
        <v>0</v>
      </c>
      <c r="EU210" s="280">
        <f>'Equipment &amp; Defense'!BW55</f>
        <v>0</v>
      </c>
      <c r="EV210" s="280">
        <f>'Equipment &amp; Defense'!BX55</f>
        <v>0</v>
      </c>
      <c r="EW210" s="373">
        <f>'Equipment &amp; Defense'!BY55</f>
        <v>0</v>
      </c>
      <c r="EX210" s="373">
        <f>'Equipment &amp; Defense'!BZ55</f>
        <v>0</v>
      </c>
      <c r="EY210" s="280">
        <f>'Equipment &amp; Defense'!CA55</f>
        <v>0</v>
      </c>
      <c r="EZ210" s="280">
        <f>'Equipment &amp; Defense'!CB55</f>
        <v>0</v>
      </c>
      <c r="FA210" s="280">
        <f>'Equipment &amp; Defense'!CC55</f>
        <v>0</v>
      </c>
      <c r="FB210" s="358">
        <f>'Equipment &amp; Defense'!CD55</f>
        <v>0</v>
      </c>
      <c r="FC210" s="280">
        <f>'Equipment &amp; Defense'!CE55</f>
        <v>0</v>
      </c>
      <c r="FD210" s="280">
        <f>'Equipment &amp; Defense'!CF55</f>
        <v>0</v>
      </c>
      <c r="FE210" s="373">
        <f>'Equipment &amp; Defense'!CG55</f>
        <v>0</v>
      </c>
      <c r="FF210" s="373">
        <f>'Equipment &amp; Defense'!CH55</f>
        <v>0</v>
      </c>
    </row>
    <row r="211" spans="1:162" ht="11.25" customHeight="1" outlineLevel="1" x14ac:dyDescent="0.2">
      <c r="A211" s="4" t="s">
        <v>360</v>
      </c>
      <c r="C211" s="198"/>
      <c r="D211" s="199"/>
      <c r="E211" s="199"/>
      <c r="F211" s="200"/>
      <c r="G211" s="199"/>
      <c r="H211" s="199"/>
      <c r="I211" s="201"/>
      <c r="J211" s="201">
        <v>108</v>
      </c>
      <c r="K211" s="198">
        <v>28</v>
      </c>
      <c r="L211" s="199">
        <f t="shared" si="285"/>
        <v>29</v>
      </c>
      <c r="M211" s="199">
        <f t="shared" si="286"/>
        <v>27</v>
      </c>
      <c r="N211" s="200">
        <f t="shared" si="287"/>
        <v>28</v>
      </c>
      <c r="O211" s="199">
        <v>57</v>
      </c>
      <c r="P211" s="199">
        <f t="shared" si="288"/>
        <v>55</v>
      </c>
      <c r="Q211" s="201">
        <v>84</v>
      </c>
      <c r="R211" s="201">
        <v>112</v>
      </c>
      <c r="S211" s="198">
        <v>25</v>
      </c>
      <c r="T211" s="199">
        <f t="shared" si="289"/>
        <v>24</v>
      </c>
      <c r="U211" s="199">
        <v>21</v>
      </c>
      <c r="V211" s="200">
        <f t="shared" si="290"/>
        <v>34</v>
      </c>
      <c r="W211" s="199">
        <v>49</v>
      </c>
      <c r="X211" s="199">
        <f t="shared" si="291"/>
        <v>55</v>
      </c>
      <c r="Y211" s="201">
        <f>SUM(S211:U211)</f>
        <v>70</v>
      </c>
      <c r="Z211" s="201">
        <v>104</v>
      </c>
      <c r="AA211" s="198">
        <v>25</v>
      </c>
      <c r="AB211" s="199">
        <f t="shared" si="293"/>
        <v>31</v>
      </c>
      <c r="AC211" s="199">
        <v>24</v>
      </c>
      <c r="AD211" s="200">
        <f t="shared" si="256"/>
        <v>19</v>
      </c>
      <c r="AE211" s="199">
        <v>56</v>
      </c>
      <c r="AF211" s="199">
        <f t="shared" si="257"/>
        <v>43</v>
      </c>
      <c r="AG211" s="201">
        <f t="shared" si="258"/>
        <v>80</v>
      </c>
      <c r="AH211" s="201">
        <v>99</v>
      </c>
      <c r="AI211" s="198">
        <v>13</v>
      </c>
      <c r="AJ211" s="199">
        <f t="shared" si="259"/>
        <v>8</v>
      </c>
      <c r="AK211" s="199">
        <v>19</v>
      </c>
      <c r="AL211" s="200"/>
      <c r="AM211" s="199">
        <v>21</v>
      </c>
      <c r="AN211" s="199"/>
      <c r="AO211" s="201">
        <f t="shared" si="260"/>
        <v>40</v>
      </c>
      <c r="AP211" s="201">
        <v>49</v>
      </c>
      <c r="AQ211" s="198">
        <f t="shared" si="261"/>
        <v>13</v>
      </c>
      <c r="AR211" s="199">
        <f t="shared" si="262"/>
        <v>8</v>
      </c>
      <c r="AS211" s="199">
        <f t="shared" si="262"/>
        <v>19</v>
      </c>
      <c r="AT211" s="200"/>
      <c r="AU211" s="199">
        <f t="shared" si="262"/>
        <v>21</v>
      </c>
      <c r="AV211" s="199"/>
      <c r="AW211" s="201">
        <f t="shared" si="262"/>
        <v>40</v>
      </c>
      <c r="AX211" s="201">
        <f t="shared" si="262"/>
        <v>49</v>
      </c>
      <c r="AY211" s="198">
        <v>16</v>
      </c>
      <c r="AZ211" s="199">
        <f t="shared" si="263"/>
        <v>4</v>
      </c>
      <c r="BA211" s="199">
        <v>8</v>
      </c>
      <c r="BB211" s="200">
        <f t="shared" si="294"/>
        <v>8</v>
      </c>
      <c r="BC211" s="199">
        <v>20</v>
      </c>
      <c r="BD211" s="199"/>
      <c r="BE211" s="201">
        <f t="shared" si="264"/>
        <v>28</v>
      </c>
      <c r="BF211" s="201">
        <v>36</v>
      </c>
      <c r="BG211" s="198">
        <f t="shared" si="265"/>
        <v>16</v>
      </c>
      <c r="BH211" s="199">
        <f t="shared" si="265"/>
        <v>4</v>
      </c>
      <c r="BI211" s="199">
        <f t="shared" si="265"/>
        <v>8</v>
      </c>
      <c r="BJ211" s="200">
        <f t="shared" si="295"/>
        <v>8</v>
      </c>
      <c r="BK211" s="199">
        <f t="shared" si="266"/>
        <v>20</v>
      </c>
      <c r="BL211" s="199">
        <f t="shared" si="296"/>
        <v>16</v>
      </c>
      <c r="BM211" s="201">
        <f t="shared" si="267"/>
        <v>28</v>
      </c>
      <c r="BN211" s="201">
        <f t="shared" si="267"/>
        <v>36</v>
      </c>
      <c r="BO211" s="198">
        <v>4</v>
      </c>
      <c r="BP211" s="199">
        <f t="shared" si="268"/>
        <v>8</v>
      </c>
      <c r="BQ211" s="199">
        <v>4</v>
      </c>
      <c r="BR211" s="200">
        <f t="shared" si="269"/>
        <v>8</v>
      </c>
      <c r="BS211" s="199">
        <v>12</v>
      </c>
      <c r="BT211" s="199">
        <f t="shared" si="270"/>
        <v>12</v>
      </c>
      <c r="BU211" s="201">
        <f t="shared" si="271"/>
        <v>16</v>
      </c>
      <c r="BV211" s="201">
        <v>24</v>
      </c>
      <c r="BW211" s="198">
        <v>4</v>
      </c>
      <c r="BX211" s="199">
        <f t="shared" si="272"/>
        <v>4</v>
      </c>
      <c r="BY211" s="199">
        <v>3</v>
      </c>
      <c r="BZ211" s="200">
        <f t="shared" si="273"/>
        <v>6</v>
      </c>
      <c r="CA211" s="199">
        <v>8</v>
      </c>
      <c r="CB211" s="199">
        <f t="shared" si="274"/>
        <v>9</v>
      </c>
      <c r="CC211" s="201">
        <f t="shared" si="275"/>
        <v>11</v>
      </c>
      <c r="CD211" s="201">
        <v>17</v>
      </c>
      <c r="CE211" s="198"/>
      <c r="CF211" s="199"/>
      <c r="CG211" s="199"/>
      <c r="CH211" s="200"/>
      <c r="CI211" s="199"/>
      <c r="CJ211" s="199"/>
      <c r="CK211" s="201"/>
      <c r="CL211" s="201"/>
      <c r="CM211" s="198"/>
      <c r="CN211" s="199"/>
      <c r="CO211" s="199"/>
      <c r="CP211" s="200"/>
      <c r="CQ211" s="199"/>
      <c r="CR211" s="199"/>
      <c r="CS211" s="201"/>
      <c r="CT211" s="201"/>
      <c r="CU211" s="198"/>
      <c r="CV211" s="199"/>
      <c r="CW211" s="199"/>
      <c r="CX211" s="200"/>
      <c r="CY211" s="199"/>
      <c r="CZ211" s="199"/>
      <c r="DA211" s="201"/>
      <c r="DB211" s="180"/>
      <c r="DC211" s="198"/>
      <c r="DD211" s="199"/>
      <c r="DE211" s="199"/>
      <c r="DF211" s="200"/>
      <c r="DG211" s="199"/>
      <c r="DH211" s="199"/>
      <c r="DI211" s="201"/>
      <c r="DJ211" s="180"/>
      <c r="DK211" s="199"/>
      <c r="DL211" s="199"/>
      <c r="DM211" s="199"/>
      <c r="DN211" s="200"/>
      <c r="DO211" s="199"/>
      <c r="DP211" s="199"/>
      <c r="DQ211" s="201"/>
      <c r="DR211" s="180"/>
      <c r="DS211" s="199"/>
      <c r="DT211" s="199"/>
      <c r="DU211" s="199"/>
      <c r="DV211" s="200"/>
      <c r="DW211" s="199"/>
      <c r="DX211" s="199"/>
      <c r="DY211" s="201"/>
      <c r="DZ211" s="180"/>
      <c r="EA211" s="199"/>
      <c r="EB211" s="199"/>
      <c r="EC211" s="199"/>
      <c r="ED211" s="200"/>
      <c r="EE211" s="199"/>
      <c r="EF211" s="199"/>
      <c r="EG211" s="201"/>
      <c r="EH211" s="180"/>
      <c r="EI211" s="199"/>
      <c r="EJ211" s="199"/>
      <c r="EK211" s="199"/>
      <c r="EL211" s="200"/>
      <c r="EM211" s="199"/>
      <c r="EN211" s="199"/>
      <c r="EO211" s="201"/>
      <c r="EP211" s="180"/>
      <c r="EQ211" s="199"/>
      <c r="ER211" s="199"/>
      <c r="ES211" s="199"/>
      <c r="ET211" s="200"/>
      <c r="EU211" s="199"/>
      <c r="EV211" s="199"/>
      <c r="EW211" s="201"/>
      <c r="EX211" s="180"/>
      <c r="EY211" s="199"/>
      <c r="EZ211" s="199"/>
      <c r="FA211" s="199"/>
      <c r="FB211" s="200"/>
      <c r="FC211" s="199"/>
      <c r="FD211" s="199"/>
      <c r="FE211" s="201"/>
      <c r="FF211" s="180"/>
    </row>
    <row r="212" spans="1:162" ht="11.25" customHeight="1" outlineLevel="1" x14ac:dyDescent="0.2">
      <c r="A212" s="4" t="s">
        <v>361</v>
      </c>
      <c r="C212" s="198"/>
      <c r="D212" s="199"/>
      <c r="E212" s="199"/>
      <c r="F212" s="200"/>
      <c r="G212" s="199"/>
      <c r="H212" s="199"/>
      <c r="I212" s="201"/>
      <c r="J212" s="201">
        <v>166</v>
      </c>
      <c r="K212" s="198">
        <v>44</v>
      </c>
      <c r="L212" s="199">
        <f t="shared" si="285"/>
        <v>40</v>
      </c>
      <c r="M212" s="199">
        <f t="shared" si="286"/>
        <v>38</v>
      </c>
      <c r="N212" s="200">
        <f t="shared" si="287"/>
        <v>40</v>
      </c>
      <c r="O212" s="199">
        <v>84</v>
      </c>
      <c r="P212" s="199">
        <f t="shared" si="288"/>
        <v>78</v>
      </c>
      <c r="Q212" s="201">
        <v>122</v>
      </c>
      <c r="R212" s="201">
        <v>162</v>
      </c>
      <c r="S212" s="198">
        <v>39</v>
      </c>
      <c r="T212" s="199">
        <f t="shared" si="289"/>
        <v>34</v>
      </c>
      <c r="U212" s="199">
        <v>35</v>
      </c>
      <c r="V212" s="200">
        <f t="shared" si="290"/>
        <v>22</v>
      </c>
      <c r="W212" s="199">
        <v>73</v>
      </c>
      <c r="X212" s="199">
        <f t="shared" si="291"/>
        <v>57</v>
      </c>
      <c r="Y212" s="201">
        <f t="shared" si="292"/>
        <v>108</v>
      </c>
      <c r="Z212" s="201">
        <v>130</v>
      </c>
      <c r="AA212" s="198">
        <v>17</v>
      </c>
      <c r="AB212" s="199">
        <f t="shared" si="293"/>
        <v>23</v>
      </c>
      <c r="AC212" s="199">
        <v>25</v>
      </c>
      <c r="AD212" s="200">
        <f t="shared" si="256"/>
        <v>26</v>
      </c>
      <c r="AE212" s="199">
        <v>40</v>
      </c>
      <c r="AF212" s="199">
        <f t="shared" si="257"/>
        <v>51</v>
      </c>
      <c r="AG212" s="201">
        <f t="shared" si="258"/>
        <v>65</v>
      </c>
      <c r="AH212" s="201">
        <v>91</v>
      </c>
      <c r="AI212" s="198">
        <v>23</v>
      </c>
      <c r="AJ212" s="199">
        <f t="shared" si="259"/>
        <v>29</v>
      </c>
      <c r="AK212" s="199">
        <v>25</v>
      </c>
      <c r="AL212" s="200"/>
      <c r="AM212" s="199">
        <v>52</v>
      </c>
      <c r="AN212" s="199"/>
      <c r="AO212" s="201">
        <f t="shared" si="260"/>
        <v>77</v>
      </c>
      <c r="AP212" s="201">
        <v>106</v>
      </c>
      <c r="AQ212" s="198">
        <f t="shared" si="261"/>
        <v>23</v>
      </c>
      <c r="AR212" s="199">
        <f t="shared" si="262"/>
        <v>29</v>
      </c>
      <c r="AS212" s="199">
        <f t="shared" si="262"/>
        <v>25</v>
      </c>
      <c r="AT212" s="200"/>
      <c r="AU212" s="199">
        <f t="shared" si="262"/>
        <v>52</v>
      </c>
      <c r="AV212" s="199"/>
      <c r="AW212" s="201">
        <f t="shared" si="262"/>
        <v>77</v>
      </c>
      <c r="AX212" s="201">
        <f t="shared" si="262"/>
        <v>106</v>
      </c>
      <c r="AY212" s="198">
        <v>25</v>
      </c>
      <c r="AZ212" s="199">
        <f t="shared" si="263"/>
        <v>25</v>
      </c>
      <c r="BA212" s="199">
        <v>15</v>
      </c>
      <c r="BB212" s="200">
        <f t="shared" si="294"/>
        <v>11</v>
      </c>
      <c r="BC212" s="199">
        <v>50</v>
      </c>
      <c r="BD212" s="199"/>
      <c r="BE212" s="201">
        <f t="shared" si="264"/>
        <v>65</v>
      </c>
      <c r="BF212" s="201">
        <v>76</v>
      </c>
      <c r="BG212" s="198">
        <f t="shared" si="265"/>
        <v>25</v>
      </c>
      <c r="BH212" s="199">
        <f t="shared" si="265"/>
        <v>25</v>
      </c>
      <c r="BI212" s="199">
        <f t="shared" si="265"/>
        <v>15</v>
      </c>
      <c r="BJ212" s="200">
        <f t="shared" si="295"/>
        <v>11</v>
      </c>
      <c r="BK212" s="199">
        <f t="shared" si="266"/>
        <v>50</v>
      </c>
      <c r="BL212" s="199">
        <f t="shared" si="296"/>
        <v>26</v>
      </c>
      <c r="BM212" s="201">
        <f t="shared" si="267"/>
        <v>65</v>
      </c>
      <c r="BN212" s="201">
        <f t="shared" si="267"/>
        <v>76</v>
      </c>
      <c r="BO212" s="198"/>
      <c r="BP212" s="199"/>
      <c r="BQ212" s="199"/>
      <c r="BR212" s="200"/>
      <c r="BS212" s="199"/>
      <c r="BT212" s="199"/>
      <c r="BU212" s="201"/>
      <c r="BV212" s="201"/>
      <c r="BW212" s="198"/>
      <c r="BX212" s="199"/>
      <c r="BY212" s="199"/>
      <c r="BZ212" s="200"/>
      <c r="CA212" s="199"/>
      <c r="CB212" s="199"/>
      <c r="CC212" s="201"/>
      <c r="CD212" s="201"/>
      <c r="CE212" s="198"/>
      <c r="CF212" s="199"/>
      <c r="CG212" s="199"/>
      <c r="CH212" s="200"/>
      <c r="CI212" s="199"/>
      <c r="CJ212" s="199"/>
      <c r="CK212" s="201"/>
      <c r="CL212" s="201"/>
      <c r="CM212" s="198"/>
      <c r="CN212" s="199"/>
      <c r="CO212" s="199"/>
      <c r="CP212" s="200"/>
      <c r="CQ212" s="199"/>
      <c r="CR212" s="199"/>
      <c r="CS212" s="201"/>
      <c r="CT212" s="201"/>
      <c r="CU212" s="198"/>
      <c r="CV212" s="199"/>
      <c r="CW212" s="199"/>
      <c r="CX212" s="200"/>
      <c r="CY212" s="199"/>
      <c r="CZ212" s="199"/>
      <c r="DA212" s="201"/>
      <c r="DB212" s="180"/>
      <c r="DC212" s="198"/>
      <c r="DD212" s="199"/>
      <c r="DE212" s="199"/>
      <c r="DF212" s="200"/>
      <c r="DG212" s="199"/>
      <c r="DH212" s="199"/>
      <c r="DI212" s="201"/>
      <c r="DJ212" s="180"/>
      <c r="DK212" s="199"/>
      <c r="DL212" s="199"/>
      <c r="DM212" s="199"/>
      <c r="DN212" s="200"/>
      <c r="DO212" s="199"/>
      <c r="DP212" s="199"/>
      <c r="DQ212" s="201"/>
      <c r="DR212" s="180"/>
      <c r="DS212" s="199"/>
      <c r="DT212" s="199"/>
      <c r="DU212" s="199"/>
      <c r="DV212" s="200"/>
      <c r="DW212" s="199"/>
      <c r="DX212" s="199"/>
      <c r="DY212" s="201"/>
      <c r="DZ212" s="180"/>
      <c r="EA212" s="199"/>
      <c r="EB212" s="199"/>
      <c r="EC212" s="199"/>
      <c r="ED212" s="200"/>
      <c r="EE212" s="199"/>
      <c r="EF212" s="199"/>
      <c r="EG212" s="201"/>
      <c r="EH212" s="180"/>
      <c r="EI212" s="199"/>
      <c r="EJ212" s="199"/>
      <c r="EK212" s="199"/>
      <c r="EL212" s="200"/>
      <c r="EM212" s="199"/>
      <c r="EN212" s="199"/>
      <c r="EO212" s="201"/>
      <c r="EP212" s="180"/>
      <c r="EQ212" s="199"/>
      <c r="ER212" s="199"/>
      <c r="ES212" s="199"/>
      <c r="ET212" s="200"/>
      <c r="EU212" s="199"/>
      <c r="EV212" s="199"/>
      <c r="EW212" s="201"/>
      <c r="EX212" s="180"/>
      <c r="EY212" s="199"/>
      <c r="EZ212" s="199"/>
      <c r="FA212" s="199"/>
      <c r="FB212" s="200"/>
      <c r="FC212" s="199"/>
      <c r="FD212" s="199"/>
      <c r="FE212" s="201"/>
      <c r="FF212" s="180"/>
    </row>
    <row r="213" spans="1:162" ht="11.25" customHeight="1" outlineLevel="1" x14ac:dyDescent="0.2">
      <c r="A213" s="4" t="s">
        <v>364</v>
      </c>
      <c r="C213" s="198"/>
      <c r="D213" s="199"/>
      <c r="E213" s="199"/>
      <c r="F213" s="200"/>
      <c r="G213" s="199"/>
      <c r="H213" s="199"/>
      <c r="I213" s="201"/>
      <c r="J213" s="201">
        <v>513</v>
      </c>
      <c r="K213" s="198">
        <v>147</v>
      </c>
      <c r="L213" s="199">
        <f t="shared" si="285"/>
        <v>111</v>
      </c>
      <c r="M213" s="199">
        <f t="shared" si="286"/>
        <v>111</v>
      </c>
      <c r="N213" s="200">
        <f t="shared" si="287"/>
        <v>137</v>
      </c>
      <c r="O213" s="199">
        <v>258</v>
      </c>
      <c r="P213" s="199">
        <f t="shared" si="288"/>
        <v>248</v>
      </c>
      <c r="Q213" s="201">
        <v>369</v>
      </c>
      <c r="R213" s="201">
        <v>506</v>
      </c>
      <c r="S213" s="198">
        <v>127</v>
      </c>
      <c r="T213" s="199">
        <f t="shared" si="289"/>
        <v>132</v>
      </c>
      <c r="U213" s="199">
        <v>121</v>
      </c>
      <c r="V213" s="200">
        <f t="shared" si="290"/>
        <v>184</v>
      </c>
      <c r="W213" s="199">
        <v>259</v>
      </c>
      <c r="X213" s="199">
        <f t="shared" si="291"/>
        <v>305</v>
      </c>
      <c r="Y213" s="201">
        <f t="shared" si="292"/>
        <v>380</v>
      </c>
      <c r="Z213" s="201">
        <v>564</v>
      </c>
      <c r="AA213" s="198">
        <v>131</v>
      </c>
      <c r="AB213" s="199">
        <f t="shared" si="293"/>
        <v>141</v>
      </c>
      <c r="AC213" s="199">
        <v>149</v>
      </c>
      <c r="AD213" s="200">
        <f t="shared" si="256"/>
        <v>127</v>
      </c>
      <c r="AE213" s="199">
        <v>272</v>
      </c>
      <c r="AF213" s="199">
        <f t="shared" si="257"/>
        <v>276</v>
      </c>
      <c r="AG213" s="201">
        <f t="shared" si="258"/>
        <v>421</v>
      </c>
      <c r="AH213" s="201">
        <v>548</v>
      </c>
      <c r="AI213" s="198">
        <v>119</v>
      </c>
      <c r="AJ213" s="199">
        <f>AM213-AI213</f>
        <v>144</v>
      </c>
      <c r="AK213" s="199">
        <v>115</v>
      </c>
      <c r="AL213" s="200"/>
      <c r="AM213" s="199">
        <v>263</v>
      </c>
      <c r="AN213" s="199"/>
      <c r="AO213" s="201">
        <f t="shared" si="260"/>
        <v>378</v>
      </c>
      <c r="AP213" s="201">
        <v>504</v>
      </c>
      <c r="AQ213" s="198">
        <f t="shared" si="261"/>
        <v>119</v>
      </c>
      <c r="AR213" s="199">
        <f t="shared" si="262"/>
        <v>144</v>
      </c>
      <c r="AS213" s="199">
        <f t="shared" si="262"/>
        <v>115</v>
      </c>
      <c r="AT213" s="200"/>
      <c r="AU213" s="199">
        <f t="shared" si="262"/>
        <v>263</v>
      </c>
      <c r="AV213" s="199"/>
      <c r="AW213" s="201">
        <f t="shared" si="262"/>
        <v>378</v>
      </c>
      <c r="AX213" s="201">
        <f t="shared" si="262"/>
        <v>504</v>
      </c>
      <c r="AY213" s="198">
        <v>86</v>
      </c>
      <c r="AZ213" s="199">
        <f t="shared" si="263"/>
        <v>90</v>
      </c>
      <c r="BA213" s="199">
        <v>74</v>
      </c>
      <c r="BB213" s="200">
        <f>BF213-BE213</f>
        <v>60</v>
      </c>
      <c r="BC213" s="199">
        <v>176</v>
      </c>
      <c r="BD213" s="199"/>
      <c r="BE213" s="201">
        <f t="shared" si="264"/>
        <v>250</v>
      </c>
      <c r="BF213" s="201">
        <v>310</v>
      </c>
      <c r="BG213" s="198">
        <f t="shared" si="265"/>
        <v>86</v>
      </c>
      <c r="BH213" s="199">
        <f t="shared" si="265"/>
        <v>90</v>
      </c>
      <c r="BI213" s="199">
        <f t="shared" si="265"/>
        <v>74</v>
      </c>
      <c r="BJ213" s="200">
        <f>BN213-BM213</f>
        <v>60</v>
      </c>
      <c r="BK213" s="199">
        <f t="shared" si="266"/>
        <v>176</v>
      </c>
      <c r="BL213" s="199">
        <f>BN213-BK213</f>
        <v>134</v>
      </c>
      <c r="BM213" s="201">
        <f t="shared" si="267"/>
        <v>250</v>
      </c>
      <c r="BN213" s="201">
        <f t="shared" si="267"/>
        <v>310</v>
      </c>
      <c r="BO213" s="198">
        <v>53</v>
      </c>
      <c r="BP213" s="199">
        <f>BS213-BO213</f>
        <v>52</v>
      </c>
      <c r="BQ213" s="199">
        <v>10</v>
      </c>
      <c r="BR213" s="200">
        <f t="shared" si="269"/>
        <v>28</v>
      </c>
      <c r="BS213" s="199">
        <v>105</v>
      </c>
      <c r="BT213" s="199">
        <f t="shared" si="270"/>
        <v>38</v>
      </c>
      <c r="BU213" s="201">
        <f t="shared" si="271"/>
        <v>115</v>
      </c>
      <c r="BV213" s="201">
        <v>143</v>
      </c>
      <c r="BW213" s="198">
        <v>18</v>
      </c>
      <c r="BX213" s="199">
        <f t="shared" si="272"/>
        <v>11</v>
      </c>
      <c r="BY213" s="199">
        <v>15</v>
      </c>
      <c r="BZ213" s="200">
        <f t="shared" si="273"/>
        <v>0</v>
      </c>
      <c r="CA213" s="199">
        <v>29</v>
      </c>
      <c r="CB213" s="199">
        <f t="shared" si="274"/>
        <v>15</v>
      </c>
      <c r="CC213" s="201">
        <f t="shared" si="275"/>
        <v>44</v>
      </c>
      <c r="CD213" s="201">
        <v>44</v>
      </c>
      <c r="CE213" s="198"/>
      <c r="CF213" s="199"/>
      <c r="CG213" s="199"/>
      <c r="CH213" s="200"/>
      <c r="CI213" s="199"/>
      <c r="CJ213" s="199"/>
      <c r="CK213" s="201"/>
      <c r="CL213" s="201"/>
      <c r="CM213" s="198"/>
      <c r="CN213" s="199"/>
      <c r="CO213" s="199"/>
      <c r="CP213" s="200"/>
      <c r="CQ213" s="199"/>
      <c r="CR213" s="199"/>
      <c r="CS213" s="201"/>
      <c r="CT213" s="201"/>
      <c r="CU213" s="198"/>
      <c r="CV213" s="199"/>
      <c r="CW213" s="199"/>
      <c r="CX213" s="200"/>
      <c r="CY213" s="199"/>
      <c r="CZ213" s="199"/>
      <c r="DA213" s="201"/>
      <c r="DB213" s="180"/>
      <c r="DC213" s="198"/>
      <c r="DD213" s="199"/>
      <c r="DE213" s="199"/>
      <c r="DF213" s="200"/>
      <c r="DG213" s="199"/>
      <c r="DH213" s="199"/>
      <c r="DI213" s="201"/>
      <c r="DJ213" s="180"/>
      <c r="DK213" s="199"/>
      <c r="DL213" s="199"/>
      <c r="DM213" s="199"/>
      <c r="DN213" s="200"/>
      <c r="DO213" s="199"/>
      <c r="DP213" s="199"/>
      <c r="DQ213" s="201"/>
      <c r="DR213" s="180"/>
      <c r="DS213" s="199"/>
      <c r="DT213" s="199"/>
      <c r="DU213" s="199"/>
      <c r="DV213" s="200"/>
      <c r="DW213" s="199"/>
      <c r="DX213" s="199"/>
      <c r="DY213" s="201"/>
      <c r="DZ213" s="180"/>
      <c r="EA213" s="199"/>
      <c r="EB213" s="199"/>
      <c r="EC213" s="199"/>
      <c r="ED213" s="200"/>
      <c r="EE213" s="199"/>
      <c r="EF213" s="199"/>
      <c r="EG213" s="201"/>
      <c r="EH213" s="180"/>
      <c r="EI213" s="199"/>
      <c r="EJ213" s="199"/>
      <c r="EK213" s="199"/>
      <c r="EL213" s="200"/>
      <c r="EM213" s="199"/>
      <c r="EN213" s="199"/>
      <c r="EO213" s="201"/>
      <c r="EP213" s="180"/>
      <c r="EQ213" s="199"/>
      <c r="ER213" s="199"/>
      <c r="ES213" s="199"/>
      <c r="ET213" s="200"/>
      <c r="EU213" s="199"/>
      <c r="EV213" s="199"/>
      <c r="EW213" s="201"/>
      <c r="EX213" s="180"/>
      <c r="EY213" s="199"/>
      <c r="EZ213" s="199"/>
      <c r="FA213" s="199"/>
      <c r="FB213" s="200"/>
      <c r="FC213" s="199"/>
      <c r="FD213" s="199"/>
      <c r="FE213" s="201"/>
      <c r="FF213" s="180"/>
    </row>
    <row r="214" spans="1:162" ht="11.25" customHeight="1" outlineLevel="1" x14ac:dyDescent="0.2">
      <c r="A214" s="4" t="s">
        <v>366</v>
      </c>
      <c r="C214" s="38"/>
      <c r="F214" s="179"/>
      <c r="I214" s="201"/>
      <c r="J214" s="180">
        <v>36</v>
      </c>
      <c r="K214" s="38">
        <v>4</v>
      </c>
      <c r="L214" s="4">
        <f t="shared" si="285"/>
        <v>8</v>
      </c>
      <c r="M214" s="4">
        <f t="shared" si="286"/>
        <v>14</v>
      </c>
      <c r="N214" s="179">
        <f t="shared" si="287"/>
        <v>27</v>
      </c>
      <c r="O214" s="4">
        <v>12</v>
      </c>
      <c r="P214" s="4">
        <f t="shared" si="288"/>
        <v>41</v>
      </c>
      <c r="Q214" s="201">
        <v>26</v>
      </c>
      <c r="R214" s="180">
        <v>53</v>
      </c>
      <c r="S214" s="38"/>
      <c r="V214" s="179"/>
      <c r="Y214" s="201"/>
      <c r="Z214" s="180"/>
      <c r="AA214" s="38"/>
      <c r="AD214" s="179"/>
      <c r="AG214" s="201"/>
      <c r="AH214" s="180"/>
      <c r="AI214" s="38"/>
      <c r="AL214" s="179"/>
      <c r="AO214" s="201"/>
      <c r="AP214" s="180"/>
      <c r="AQ214" s="38"/>
      <c r="AT214" s="179"/>
      <c r="AW214" s="201"/>
      <c r="AX214" s="180"/>
      <c r="AY214" s="38"/>
      <c r="BB214" s="179"/>
      <c r="BE214" s="201"/>
      <c r="BF214" s="180"/>
      <c r="BG214" s="38"/>
      <c r="BJ214" s="179"/>
      <c r="BM214" s="201"/>
      <c r="BN214" s="180"/>
      <c r="BO214" s="38"/>
      <c r="BR214" s="179"/>
      <c r="BU214" s="201"/>
      <c r="BV214" s="180"/>
      <c r="BW214" s="38"/>
      <c r="BZ214" s="179"/>
      <c r="CC214" s="201"/>
      <c r="CD214" s="180"/>
      <c r="CE214" s="38"/>
      <c r="CH214" s="179"/>
      <c r="CK214" s="201"/>
      <c r="CL214" s="180"/>
      <c r="CM214" s="38"/>
      <c r="CP214" s="179"/>
      <c r="CS214" s="201"/>
      <c r="CT214" s="180"/>
      <c r="CX214" s="179"/>
      <c r="DA214" s="180"/>
      <c r="DB214" s="180"/>
      <c r="DF214" s="179"/>
      <c r="DI214" s="180"/>
      <c r="DJ214" s="180"/>
      <c r="DN214" s="179"/>
      <c r="DQ214" s="180"/>
      <c r="DR214" s="180"/>
      <c r="DV214" s="179"/>
      <c r="DY214" s="180"/>
      <c r="DZ214" s="180"/>
      <c r="ED214" s="179"/>
      <c r="EG214" s="180"/>
      <c r="EH214" s="180"/>
      <c r="EL214" s="179"/>
      <c r="EO214" s="180"/>
      <c r="EP214" s="180"/>
      <c r="ET214" s="179"/>
      <c r="EW214" s="180"/>
      <c r="EX214" s="180"/>
      <c r="FB214" s="179"/>
      <c r="FE214" s="180"/>
      <c r="FF214" s="180"/>
    </row>
    <row r="215" spans="1:162" ht="11.25" customHeight="1" outlineLevel="1" x14ac:dyDescent="0.2">
      <c r="C215" s="38"/>
      <c r="F215" s="179"/>
      <c r="I215" s="180"/>
      <c r="J215" s="180"/>
      <c r="K215" s="38"/>
      <c r="N215" s="179"/>
      <c r="Q215" s="180"/>
      <c r="R215" s="180"/>
      <c r="S215" s="38"/>
      <c r="V215" s="179"/>
      <c r="Y215" s="180"/>
      <c r="Z215" s="180"/>
      <c r="AA215" s="38"/>
      <c r="AD215" s="179"/>
      <c r="AG215" s="180"/>
      <c r="AH215" s="180"/>
      <c r="AI215" s="38"/>
      <c r="AL215" s="179"/>
      <c r="AO215" s="180"/>
      <c r="AP215" s="180"/>
      <c r="AQ215" s="38"/>
      <c r="AT215" s="179"/>
      <c r="AW215" s="180"/>
      <c r="AX215" s="180"/>
      <c r="AY215" s="38"/>
      <c r="BB215" s="179"/>
      <c r="BE215" s="180"/>
      <c r="BF215" s="180"/>
      <c r="BG215" s="38"/>
      <c r="BJ215" s="179"/>
      <c r="BM215" s="180"/>
      <c r="BN215" s="180"/>
      <c r="BO215" s="38"/>
      <c r="BR215" s="179"/>
      <c r="BU215" s="180"/>
      <c r="BV215" s="180"/>
      <c r="BW215" s="38"/>
      <c r="BZ215" s="179"/>
      <c r="CC215" s="180"/>
      <c r="CD215" s="180"/>
      <c r="CE215" s="38"/>
      <c r="CH215" s="179"/>
      <c r="CK215" s="180"/>
      <c r="CL215" s="180"/>
      <c r="CM215" s="38"/>
      <c r="CP215" s="179"/>
      <c r="CS215" s="180"/>
      <c r="CT215" s="180"/>
      <c r="CX215" s="179"/>
      <c r="DA215" s="180"/>
      <c r="DB215" s="180"/>
      <c r="DF215" s="179"/>
      <c r="DI215" s="180"/>
      <c r="DJ215" s="180"/>
      <c r="DN215" s="179"/>
      <c r="DQ215" s="180"/>
      <c r="DR215" s="180"/>
      <c r="DV215" s="179"/>
      <c r="DY215" s="180"/>
      <c r="DZ215" s="180"/>
      <c r="ED215" s="179"/>
      <c r="EG215" s="180"/>
      <c r="EH215" s="180"/>
      <c r="EL215" s="179"/>
      <c r="EO215" s="180"/>
      <c r="EP215" s="180"/>
      <c r="ET215" s="179"/>
      <c r="EW215" s="180"/>
      <c r="EX215" s="180"/>
      <c r="FB215" s="179"/>
      <c r="FE215" s="180"/>
      <c r="FF215" s="180"/>
    </row>
    <row r="216" spans="1:162" ht="11.25" customHeight="1" outlineLevel="1" x14ac:dyDescent="0.2">
      <c r="A216" s="219" t="s">
        <v>367</v>
      </c>
      <c r="C216" s="38"/>
      <c r="F216" s="179"/>
      <c r="I216" s="180"/>
      <c r="J216" s="180"/>
      <c r="K216" s="38"/>
      <c r="N216" s="179"/>
      <c r="Q216" s="180"/>
      <c r="R216" s="180"/>
      <c r="S216" s="38"/>
      <c r="V216" s="179"/>
      <c r="Y216" s="180"/>
      <c r="Z216" s="180"/>
      <c r="AA216" s="38"/>
      <c r="AD216" s="179"/>
      <c r="AG216" s="180"/>
      <c r="AH216" s="180"/>
      <c r="AI216" s="38"/>
      <c r="AL216" s="179"/>
      <c r="AO216" s="180"/>
      <c r="AP216" s="180"/>
      <c r="AQ216" s="38"/>
      <c r="AT216" s="179"/>
      <c r="AW216" s="180"/>
      <c r="AX216" s="180"/>
      <c r="AY216" s="38"/>
      <c r="BB216" s="179"/>
      <c r="BE216" s="180"/>
      <c r="BF216" s="180"/>
      <c r="BG216" s="38"/>
      <c r="BJ216" s="179"/>
      <c r="BM216" s="180"/>
      <c r="BN216" s="180"/>
      <c r="BO216" s="38"/>
      <c r="BR216" s="179"/>
      <c r="BU216" s="180"/>
      <c r="BV216" s="180"/>
      <c r="BW216" s="38"/>
      <c r="BZ216" s="179"/>
      <c r="CC216" s="180"/>
      <c r="CD216" s="180"/>
      <c r="CE216" s="38"/>
      <c r="CH216" s="179"/>
      <c r="CK216" s="180"/>
      <c r="CL216" s="180"/>
      <c r="CM216" s="38"/>
      <c r="CP216" s="179"/>
      <c r="CS216" s="180"/>
      <c r="CT216" s="180"/>
      <c r="CX216" s="179"/>
      <c r="DA216" s="180"/>
      <c r="DB216" s="180"/>
      <c r="DF216" s="179"/>
      <c r="DI216" s="180"/>
      <c r="DJ216" s="180"/>
      <c r="DN216" s="179"/>
      <c r="DQ216" s="180"/>
      <c r="DR216" s="180"/>
      <c r="DV216" s="179"/>
      <c r="DY216" s="180"/>
      <c r="DZ216" s="180"/>
      <c r="ED216" s="179"/>
      <c r="EG216" s="180"/>
      <c r="EH216" s="180"/>
      <c r="EL216" s="179"/>
      <c r="EO216" s="180"/>
      <c r="EP216" s="180"/>
      <c r="ET216" s="179"/>
      <c r="EW216" s="180"/>
      <c r="EX216" s="180"/>
      <c r="FB216" s="179"/>
      <c r="FE216" s="180"/>
      <c r="FF216" s="180"/>
    </row>
    <row r="217" spans="1:162" ht="11.25" customHeight="1" outlineLevel="1" x14ac:dyDescent="0.2">
      <c r="A217" s="186" t="s">
        <v>368</v>
      </c>
      <c r="C217" s="38"/>
      <c r="F217" s="179"/>
      <c r="I217" s="180"/>
      <c r="J217" s="180"/>
      <c r="K217" s="38"/>
      <c r="N217" s="179"/>
      <c r="Q217" s="180"/>
      <c r="R217" s="180"/>
      <c r="S217" s="38"/>
      <c r="V217" s="179"/>
      <c r="Y217" s="180"/>
      <c r="Z217" s="180"/>
      <c r="AA217" s="38"/>
      <c r="AD217" s="179"/>
      <c r="AG217" s="180"/>
      <c r="AH217" s="180"/>
      <c r="AI217" s="38"/>
      <c r="AL217" s="179"/>
      <c r="AO217" s="180"/>
      <c r="AP217" s="180"/>
      <c r="AQ217" s="38"/>
      <c r="AT217" s="179"/>
      <c r="AW217" s="180"/>
      <c r="AX217" s="180"/>
      <c r="AY217" s="38">
        <f t="shared" ref="AY217:BF217" si="297">AY7</f>
        <v>369</v>
      </c>
      <c r="AZ217" s="4">
        <f t="shared" si="297"/>
        <v>1147</v>
      </c>
      <c r="BA217" s="4">
        <f t="shared" si="297"/>
        <v>1200</v>
      </c>
      <c r="BB217" s="179">
        <f t="shared" si="297"/>
        <v>1083</v>
      </c>
      <c r="BC217" s="4">
        <f t="shared" si="297"/>
        <v>1516</v>
      </c>
      <c r="BD217" s="4">
        <f t="shared" si="297"/>
        <v>2283</v>
      </c>
      <c r="BE217" s="180">
        <f t="shared" si="297"/>
        <v>2716</v>
      </c>
      <c r="BF217" s="180">
        <f t="shared" si="297"/>
        <v>3799</v>
      </c>
      <c r="BG217" s="38"/>
      <c r="BJ217" s="179"/>
      <c r="BM217" s="180"/>
      <c r="BN217" s="180"/>
      <c r="BO217" s="38">
        <f>BO218+BO219</f>
        <v>1225</v>
      </c>
      <c r="BR217" s="179"/>
      <c r="BU217" s="180"/>
      <c r="BV217" s="180"/>
      <c r="BW217" s="38"/>
      <c r="BZ217" s="179"/>
      <c r="CC217" s="180"/>
      <c r="CD217" s="180"/>
      <c r="CE217" s="38"/>
      <c r="CH217" s="179"/>
      <c r="CK217" s="180"/>
      <c r="CL217" s="180"/>
      <c r="CM217" s="38"/>
      <c r="CP217" s="179"/>
      <c r="CS217" s="180"/>
      <c r="CT217" s="180"/>
      <c r="CX217" s="179"/>
      <c r="DA217" s="180"/>
      <c r="DB217" s="180"/>
      <c r="DF217" s="179"/>
      <c r="DI217" s="180"/>
      <c r="DJ217" s="180"/>
      <c r="DN217" s="179"/>
      <c r="DQ217" s="180"/>
      <c r="DR217" s="180"/>
      <c r="DV217" s="179"/>
      <c r="DY217" s="180"/>
      <c r="DZ217" s="180"/>
      <c r="ED217" s="179"/>
      <c r="EG217" s="180"/>
      <c r="EH217" s="180"/>
      <c r="EL217" s="179"/>
      <c r="EO217" s="180"/>
      <c r="EP217" s="180"/>
      <c r="ET217" s="179"/>
      <c r="EW217" s="180"/>
      <c r="EX217" s="180"/>
      <c r="FB217" s="179"/>
      <c r="FE217" s="180"/>
      <c r="FF217" s="180"/>
    </row>
    <row r="218" spans="1:162" ht="11.25" customHeight="1" outlineLevel="1" x14ac:dyDescent="0.2">
      <c r="A218" s="186"/>
      <c r="B218" s="4" t="s">
        <v>369</v>
      </c>
      <c r="C218" s="38"/>
      <c r="F218" s="179"/>
      <c r="I218" s="180"/>
      <c r="J218" s="180"/>
      <c r="K218" s="38"/>
      <c r="N218" s="179"/>
      <c r="Q218" s="180"/>
      <c r="R218" s="180"/>
      <c r="S218" s="38"/>
      <c r="V218" s="179"/>
      <c r="Y218" s="180"/>
      <c r="Z218" s="180"/>
      <c r="AA218" s="38"/>
      <c r="AD218" s="179"/>
      <c r="AG218" s="180"/>
      <c r="AH218" s="180"/>
      <c r="AI218" s="38"/>
      <c r="AL218" s="179"/>
      <c r="AO218" s="180"/>
      <c r="AP218" s="180"/>
      <c r="AQ218" s="38"/>
      <c r="AT218" s="179"/>
      <c r="AW218" s="180"/>
      <c r="AX218" s="180"/>
      <c r="AY218" s="38"/>
      <c r="BB218" s="179"/>
      <c r="BC218" s="4">
        <v>742</v>
      </c>
      <c r="BD218" s="4">
        <f>BF218-BC218</f>
        <v>1043</v>
      </c>
      <c r="BE218" s="180"/>
      <c r="BF218" s="180">
        <f>Interiors!B47</f>
        <v>1785</v>
      </c>
      <c r="BG218" s="38"/>
      <c r="BJ218" s="179"/>
      <c r="BM218" s="180"/>
      <c r="BN218" s="180"/>
      <c r="BO218" s="38">
        <v>587</v>
      </c>
      <c r="BR218" s="179"/>
      <c r="BU218" s="180"/>
      <c r="BV218" s="180"/>
      <c r="BW218" s="38"/>
      <c r="BZ218" s="179"/>
      <c r="CC218" s="180"/>
      <c r="CD218" s="180"/>
      <c r="CE218" s="38"/>
      <c r="CH218" s="179"/>
      <c r="CK218" s="180"/>
      <c r="CL218" s="180"/>
      <c r="CM218" s="38"/>
      <c r="CP218" s="179"/>
      <c r="CS218" s="180"/>
      <c r="CT218" s="180"/>
      <c r="CX218" s="179"/>
      <c r="DA218" s="180"/>
      <c r="DB218" s="180"/>
      <c r="DF218" s="179"/>
      <c r="DI218" s="180"/>
      <c r="DJ218" s="180"/>
      <c r="DN218" s="179"/>
      <c r="DQ218" s="180"/>
      <c r="DR218" s="180"/>
      <c r="DV218" s="179"/>
      <c r="DY218" s="180"/>
      <c r="DZ218" s="180"/>
      <c r="ED218" s="179"/>
      <c r="EG218" s="180"/>
      <c r="EH218" s="180"/>
      <c r="EL218" s="179"/>
      <c r="EO218" s="180"/>
      <c r="EP218" s="180"/>
      <c r="ET218" s="179"/>
      <c r="EW218" s="180"/>
      <c r="EX218" s="180"/>
      <c r="FB218" s="179"/>
      <c r="FE218" s="180"/>
      <c r="FF218" s="180"/>
    </row>
    <row r="219" spans="1:162" ht="11.25" customHeight="1" outlineLevel="1" x14ac:dyDescent="0.2">
      <c r="A219" s="186"/>
      <c r="B219" s="4" t="s">
        <v>370</v>
      </c>
      <c r="C219" s="38"/>
      <c r="F219" s="179"/>
      <c r="I219" s="180"/>
      <c r="J219" s="180"/>
      <c r="K219" s="38"/>
      <c r="N219" s="179"/>
      <c r="Q219" s="180"/>
      <c r="R219" s="180"/>
      <c r="S219" s="38"/>
      <c r="V219" s="179"/>
      <c r="Y219" s="180"/>
      <c r="Z219" s="180"/>
      <c r="AA219" s="38"/>
      <c r="AD219" s="179"/>
      <c r="AG219" s="180"/>
      <c r="AH219" s="180"/>
      <c r="AI219" s="38"/>
      <c r="AL219" s="179"/>
      <c r="AO219" s="180"/>
      <c r="AP219" s="180"/>
      <c r="AQ219" s="38"/>
      <c r="AT219" s="179"/>
      <c r="AW219" s="180"/>
      <c r="AX219" s="180"/>
      <c r="AY219" s="38"/>
      <c r="BB219" s="179"/>
      <c r="BC219" s="4">
        <f>BC217-BC218</f>
        <v>774</v>
      </c>
      <c r="BD219" s="4">
        <f>BF219-BC219</f>
        <v>1240</v>
      </c>
      <c r="BE219" s="180"/>
      <c r="BF219" s="180">
        <f>Interiors!B49</f>
        <v>2014</v>
      </c>
      <c r="BG219" s="38"/>
      <c r="BJ219" s="179"/>
      <c r="BM219" s="180"/>
      <c r="BN219" s="180"/>
      <c r="BO219" s="38">
        <v>638</v>
      </c>
      <c r="BR219" s="179"/>
      <c r="BU219" s="180"/>
      <c r="BV219" s="180"/>
      <c r="BW219" s="38"/>
      <c r="BZ219" s="179"/>
      <c r="CC219" s="180"/>
      <c r="CD219" s="180"/>
      <c r="CE219" s="38"/>
      <c r="CH219" s="179"/>
      <c r="CK219" s="180"/>
      <c r="CL219" s="180"/>
      <c r="CM219" s="38"/>
      <c r="CP219" s="179"/>
      <c r="CS219" s="180"/>
      <c r="CT219" s="180"/>
      <c r="CX219" s="179"/>
      <c r="DA219" s="180"/>
      <c r="DB219" s="180"/>
      <c r="DF219" s="179"/>
      <c r="DI219" s="180"/>
      <c r="DJ219" s="180"/>
      <c r="DN219" s="179"/>
      <c r="DQ219" s="180"/>
      <c r="DR219" s="180"/>
      <c r="DV219" s="179"/>
      <c r="DY219" s="180"/>
      <c r="DZ219" s="180"/>
      <c r="ED219" s="179"/>
      <c r="EG219" s="180"/>
      <c r="EH219" s="180"/>
      <c r="EL219" s="179"/>
      <c r="EO219" s="180"/>
      <c r="EP219" s="180"/>
      <c r="ET219" s="179"/>
      <c r="EW219" s="180"/>
      <c r="EX219" s="180"/>
      <c r="FB219" s="179"/>
      <c r="FE219" s="180"/>
      <c r="FF219" s="180"/>
    </row>
    <row r="220" spans="1:162" ht="11.25" customHeight="1" outlineLevel="1" x14ac:dyDescent="0.2">
      <c r="A220" s="186"/>
      <c r="C220" s="38"/>
      <c r="F220" s="179"/>
      <c r="I220" s="180"/>
      <c r="J220" s="180"/>
      <c r="K220" s="38"/>
      <c r="N220" s="179"/>
      <c r="Q220" s="180"/>
      <c r="R220" s="180"/>
      <c r="S220" s="38"/>
      <c r="V220" s="179"/>
      <c r="Y220" s="180"/>
      <c r="Z220" s="180"/>
      <c r="AA220" s="38"/>
      <c r="AD220" s="179"/>
      <c r="AG220" s="180"/>
      <c r="AH220" s="180"/>
      <c r="AI220" s="38"/>
      <c r="AL220" s="179"/>
      <c r="AO220" s="180"/>
      <c r="AP220" s="180"/>
      <c r="AQ220" s="38"/>
      <c r="AT220" s="179"/>
      <c r="AW220" s="180"/>
      <c r="AX220" s="180"/>
      <c r="AY220" s="38"/>
      <c r="BB220" s="179"/>
      <c r="BE220" s="180"/>
      <c r="BF220" s="180"/>
      <c r="BG220" s="38"/>
      <c r="BJ220" s="179"/>
      <c r="BM220" s="180"/>
      <c r="BN220" s="180"/>
      <c r="BO220" s="38"/>
      <c r="BR220" s="179"/>
      <c r="BU220" s="180"/>
      <c r="BV220" s="180"/>
      <c r="BW220" s="38"/>
      <c r="BZ220" s="179"/>
      <c r="CC220" s="180"/>
      <c r="CD220" s="180"/>
      <c r="CE220" s="38"/>
      <c r="CH220" s="179"/>
      <c r="CK220" s="180"/>
      <c r="CL220" s="180"/>
      <c r="CM220" s="38"/>
      <c r="CP220" s="179"/>
      <c r="CS220" s="180"/>
      <c r="CT220" s="180"/>
      <c r="CX220" s="179"/>
      <c r="DA220" s="180"/>
      <c r="DB220" s="180"/>
      <c r="DF220" s="179"/>
      <c r="DI220" s="180"/>
      <c r="DJ220" s="180"/>
      <c r="DN220" s="179"/>
      <c r="DQ220" s="180"/>
      <c r="DR220" s="180"/>
      <c r="DV220" s="179"/>
      <c r="DY220" s="180"/>
      <c r="DZ220" s="180"/>
      <c r="ED220" s="179"/>
      <c r="EG220" s="180"/>
      <c r="EH220" s="180"/>
      <c r="EL220" s="179"/>
      <c r="EO220" s="180"/>
      <c r="EP220" s="180"/>
      <c r="ET220" s="179"/>
      <c r="EW220" s="180"/>
      <c r="EX220" s="180"/>
      <c r="FB220" s="179"/>
      <c r="FE220" s="180"/>
      <c r="FF220" s="180"/>
    </row>
    <row r="221" spans="1:162" ht="11.25" customHeight="1" outlineLevel="1" x14ac:dyDescent="0.2">
      <c r="A221" s="186" t="s">
        <v>371</v>
      </c>
      <c r="C221" s="38"/>
      <c r="F221" s="179"/>
      <c r="I221" s="180"/>
      <c r="J221" s="180"/>
      <c r="K221" s="38"/>
      <c r="N221" s="179"/>
      <c r="Q221" s="180"/>
      <c r="R221" s="180"/>
      <c r="S221" s="38"/>
      <c r="V221" s="179"/>
      <c r="Y221" s="180"/>
      <c r="Z221" s="180"/>
      <c r="AA221" s="38"/>
      <c r="AD221" s="179"/>
      <c r="AG221" s="180"/>
      <c r="AH221" s="180"/>
      <c r="AI221" s="38"/>
      <c r="AL221" s="179"/>
      <c r="AO221" s="180"/>
      <c r="AP221" s="180"/>
      <c r="AQ221" s="38"/>
      <c r="AT221" s="179"/>
      <c r="AW221" s="180"/>
      <c r="AX221" s="180"/>
      <c r="AY221" s="38"/>
      <c r="BB221" s="179"/>
      <c r="BC221" s="4">
        <f>BC55</f>
        <v>129</v>
      </c>
      <c r="BD221" s="4">
        <f>BD55</f>
        <v>157</v>
      </c>
      <c r="BE221" s="180"/>
      <c r="BF221" s="180">
        <f>Divisional!Q43</f>
        <v>286</v>
      </c>
      <c r="BG221" s="38"/>
      <c r="BJ221" s="179"/>
      <c r="BM221" s="180"/>
      <c r="BN221" s="180"/>
      <c r="BO221" s="38"/>
      <c r="BR221" s="179"/>
      <c r="BU221" s="180"/>
      <c r="BV221" s="180"/>
      <c r="BW221" s="38"/>
      <c r="BZ221" s="179"/>
      <c r="CC221" s="180"/>
      <c r="CD221" s="180"/>
      <c r="CE221" s="38"/>
      <c r="CH221" s="179"/>
      <c r="CK221" s="180"/>
      <c r="CL221" s="180"/>
      <c r="CM221" s="38"/>
      <c r="CP221" s="179"/>
      <c r="CS221" s="180"/>
      <c r="CT221" s="180"/>
      <c r="CX221" s="179"/>
      <c r="DA221" s="180"/>
      <c r="DB221" s="180"/>
      <c r="DF221" s="179"/>
      <c r="DI221" s="180"/>
      <c r="DJ221" s="180"/>
      <c r="DN221" s="179"/>
      <c r="DQ221" s="180"/>
      <c r="DR221" s="180"/>
      <c r="DV221" s="179"/>
      <c r="DY221" s="180"/>
      <c r="DZ221" s="180"/>
      <c r="ED221" s="179"/>
      <c r="EG221" s="180"/>
      <c r="EH221" s="180"/>
      <c r="EL221" s="179"/>
      <c r="EO221" s="180"/>
      <c r="EP221" s="180"/>
      <c r="ET221" s="179"/>
      <c r="EW221" s="180"/>
      <c r="EX221" s="180"/>
      <c r="FB221" s="179"/>
      <c r="FE221" s="180"/>
      <c r="FF221" s="180"/>
    </row>
    <row r="222" spans="1:162" ht="11.25" customHeight="1" outlineLevel="1" x14ac:dyDescent="0.2">
      <c r="A222" s="186"/>
      <c r="B222" s="4" t="s">
        <v>369</v>
      </c>
      <c r="C222" s="38"/>
      <c r="F222" s="179"/>
      <c r="I222" s="180"/>
      <c r="J222" s="180"/>
      <c r="K222" s="38"/>
      <c r="N222" s="179"/>
      <c r="Q222" s="180"/>
      <c r="R222" s="180"/>
      <c r="S222" s="38"/>
      <c r="V222" s="179"/>
      <c r="Y222" s="180"/>
      <c r="Z222" s="180"/>
      <c r="AA222" s="38"/>
      <c r="AD222" s="179"/>
      <c r="AG222" s="180"/>
      <c r="AH222" s="180"/>
      <c r="AI222" s="38"/>
      <c r="AL222" s="179"/>
      <c r="AO222" s="180"/>
      <c r="AP222" s="180"/>
      <c r="AQ222" s="38"/>
      <c r="AT222" s="179"/>
      <c r="AW222" s="180"/>
      <c r="AX222" s="180"/>
      <c r="AY222" s="38"/>
      <c r="BB222" s="179"/>
      <c r="BC222" s="4">
        <v>129</v>
      </c>
      <c r="BD222" s="4">
        <f>BF222-BC222</f>
        <v>137</v>
      </c>
      <c r="BE222" s="180"/>
      <c r="BF222" s="180">
        <f>Interiors!B54</f>
        <v>266</v>
      </c>
      <c r="BG222" s="38"/>
      <c r="BJ222" s="179"/>
      <c r="BM222" s="180"/>
      <c r="BN222" s="180"/>
      <c r="BO222" s="38"/>
      <c r="BR222" s="179"/>
      <c r="BU222" s="180"/>
      <c r="BV222" s="180"/>
      <c r="BW222" s="38"/>
      <c r="BZ222" s="179"/>
      <c r="CC222" s="180"/>
      <c r="CD222" s="180"/>
      <c r="CE222" s="38"/>
      <c r="CH222" s="179"/>
      <c r="CK222" s="180"/>
      <c r="CL222" s="180"/>
      <c r="CM222" s="38"/>
      <c r="CP222" s="179"/>
      <c r="CS222" s="180"/>
      <c r="CT222" s="180"/>
      <c r="CX222" s="179"/>
      <c r="DA222" s="180"/>
      <c r="DB222" s="180"/>
      <c r="DF222" s="179"/>
      <c r="DI222" s="180"/>
      <c r="DJ222" s="180"/>
      <c r="DN222" s="179"/>
      <c r="DQ222" s="180"/>
      <c r="DR222" s="180"/>
      <c r="DV222" s="179"/>
      <c r="DY222" s="180"/>
      <c r="DZ222" s="180"/>
      <c r="ED222" s="179"/>
      <c r="EG222" s="180"/>
      <c r="EH222" s="180"/>
      <c r="EL222" s="179"/>
      <c r="EO222" s="180"/>
      <c r="EP222" s="180"/>
      <c r="ET222" s="179"/>
      <c r="EW222" s="180"/>
      <c r="EX222" s="180"/>
      <c r="FB222" s="179"/>
      <c r="FE222" s="180"/>
      <c r="FF222" s="180"/>
    </row>
    <row r="223" spans="1:162" ht="11.25" customHeight="1" outlineLevel="1" x14ac:dyDescent="0.2">
      <c r="A223" s="186"/>
      <c r="B223" s="4" t="s">
        <v>370</v>
      </c>
      <c r="C223" s="38"/>
      <c r="F223" s="325"/>
      <c r="I223" s="180"/>
      <c r="J223" s="180"/>
      <c r="K223" s="38"/>
      <c r="N223" s="325"/>
      <c r="Q223" s="180"/>
      <c r="R223" s="180"/>
      <c r="S223" s="38"/>
      <c r="V223" s="325"/>
      <c r="Y223" s="180"/>
      <c r="Z223" s="180"/>
      <c r="AA223" s="38"/>
      <c r="AD223" s="325"/>
      <c r="AG223" s="180"/>
      <c r="AH223" s="180"/>
      <c r="AI223" s="38"/>
      <c r="AL223" s="325"/>
      <c r="AO223" s="180"/>
      <c r="AP223" s="180"/>
      <c r="AQ223" s="38"/>
      <c r="AT223" s="325"/>
      <c r="AW223" s="180"/>
      <c r="AX223" s="180"/>
      <c r="AY223" s="38"/>
      <c r="BB223" s="325"/>
      <c r="BC223" s="4">
        <f>BC221-BC222</f>
        <v>0</v>
      </c>
      <c r="BD223" s="4">
        <f>BF223-BC223</f>
        <v>20</v>
      </c>
      <c r="BE223" s="180"/>
      <c r="BF223" s="180">
        <f>Interiors!B55</f>
        <v>20</v>
      </c>
      <c r="BG223" s="38"/>
      <c r="BJ223" s="325"/>
      <c r="BM223" s="180"/>
      <c r="BN223" s="180"/>
      <c r="BO223" s="38"/>
      <c r="BR223" s="325"/>
      <c r="BU223" s="180"/>
      <c r="BV223" s="180"/>
      <c r="BW223" s="38"/>
      <c r="BZ223" s="325"/>
      <c r="CC223" s="180"/>
      <c r="CD223" s="180"/>
      <c r="CE223" s="38"/>
      <c r="CH223" s="325"/>
      <c r="CK223" s="180"/>
      <c r="CL223" s="180"/>
      <c r="CM223" s="38"/>
      <c r="CP223" s="325"/>
      <c r="CS223" s="180"/>
      <c r="CT223" s="180"/>
      <c r="CX223" s="179"/>
      <c r="DA223" s="180"/>
      <c r="DB223" s="180"/>
      <c r="DF223" s="179"/>
      <c r="DI223" s="180"/>
      <c r="DJ223" s="180"/>
      <c r="DN223" s="179"/>
      <c r="DQ223" s="180"/>
      <c r="DR223" s="180"/>
      <c r="DV223" s="179"/>
      <c r="DY223" s="180"/>
      <c r="DZ223" s="180"/>
      <c r="ED223" s="179"/>
      <c r="EG223" s="180"/>
      <c r="EH223" s="180"/>
      <c r="EL223" s="179"/>
      <c r="EO223" s="180"/>
      <c r="EP223" s="180"/>
      <c r="ET223" s="179"/>
      <c r="EW223" s="180"/>
      <c r="EX223" s="180"/>
      <c r="FB223" s="179"/>
      <c r="FE223" s="180"/>
      <c r="FF223" s="180"/>
    </row>
    <row r="224" spans="1:162" ht="11.25" customHeight="1" outlineLevel="1" x14ac:dyDescent="0.2">
      <c r="A224" s="186"/>
      <c r="C224" s="38"/>
      <c r="F224" s="179"/>
      <c r="I224" s="180"/>
      <c r="J224" s="180"/>
      <c r="K224" s="38"/>
      <c r="N224" s="179"/>
      <c r="Q224" s="180"/>
      <c r="R224" s="180"/>
      <c r="S224" s="38"/>
      <c r="V224" s="179"/>
      <c r="Y224" s="180"/>
      <c r="Z224" s="180"/>
      <c r="AA224" s="38"/>
      <c r="AD224" s="179"/>
      <c r="AG224" s="180"/>
      <c r="AH224" s="180"/>
      <c r="AI224" s="38"/>
      <c r="AL224" s="179"/>
      <c r="AO224" s="180"/>
      <c r="AP224" s="180"/>
      <c r="AQ224" s="38"/>
      <c r="AT224" s="179"/>
      <c r="AW224" s="180"/>
      <c r="AX224" s="180"/>
      <c r="AY224" s="38"/>
      <c r="BB224" s="179"/>
      <c r="BE224" s="180"/>
      <c r="BF224" s="180"/>
      <c r="BG224" s="38"/>
      <c r="BJ224" s="179"/>
      <c r="BM224" s="180"/>
      <c r="BN224" s="180"/>
      <c r="BO224" s="38"/>
      <c r="BR224" s="179"/>
      <c r="BU224" s="180"/>
      <c r="BV224" s="180"/>
      <c r="BW224" s="38"/>
      <c r="BZ224" s="179"/>
      <c r="CC224" s="180"/>
      <c r="CD224" s="180"/>
      <c r="CE224" s="38"/>
      <c r="CH224" s="179"/>
      <c r="CK224" s="180"/>
      <c r="CL224" s="180"/>
      <c r="CM224" s="38"/>
      <c r="CP224" s="179"/>
      <c r="CS224" s="180"/>
      <c r="CT224" s="180"/>
      <c r="CX224" s="179"/>
      <c r="DA224" s="180"/>
      <c r="DB224" s="180"/>
      <c r="DF224" s="179"/>
      <c r="DI224" s="180"/>
      <c r="DJ224" s="180"/>
      <c r="DN224" s="179"/>
      <c r="DQ224" s="180"/>
      <c r="DR224" s="180"/>
      <c r="DV224" s="179"/>
      <c r="DY224" s="180"/>
      <c r="DZ224" s="180"/>
      <c r="ED224" s="179"/>
      <c r="EG224" s="180"/>
      <c r="EH224" s="180"/>
      <c r="EL224" s="179"/>
      <c r="EO224" s="180"/>
      <c r="EP224" s="180"/>
      <c r="ET224" s="179"/>
      <c r="EW224" s="180"/>
      <c r="EX224" s="180"/>
      <c r="FB224" s="179"/>
      <c r="FE224" s="180"/>
      <c r="FF224" s="180"/>
    </row>
    <row r="225" spans="1:162" ht="11.25" customHeight="1" outlineLevel="1" x14ac:dyDescent="0.2">
      <c r="A225" s="186" t="s">
        <v>372</v>
      </c>
      <c r="C225" s="38"/>
      <c r="F225" s="179"/>
      <c r="I225" s="180"/>
      <c r="J225" s="180"/>
      <c r="K225" s="38"/>
      <c r="N225" s="179"/>
      <c r="Q225" s="180"/>
      <c r="R225" s="180"/>
      <c r="S225" s="38"/>
      <c r="V225" s="179"/>
      <c r="Y225" s="180"/>
      <c r="Z225" s="180"/>
      <c r="AA225" s="38"/>
      <c r="AD225" s="179"/>
      <c r="AG225" s="180"/>
      <c r="AH225" s="180"/>
      <c r="AI225" s="38"/>
      <c r="AL225" s="179"/>
      <c r="AO225" s="180"/>
      <c r="AP225" s="180"/>
      <c r="AQ225" s="38"/>
      <c r="AT225" s="179"/>
      <c r="AW225" s="180"/>
      <c r="AX225" s="180"/>
      <c r="AY225" s="38"/>
      <c r="BB225" s="179"/>
      <c r="BC225" s="4">
        <f t="shared" ref="BC225:BD227" si="298">+BC221/BC217</f>
        <v>8.5092348284960428E-2</v>
      </c>
      <c r="BD225" s="4">
        <f t="shared" si="298"/>
        <v>6.876916338151555E-2</v>
      </c>
      <c r="BE225" s="180"/>
      <c r="BF225" s="180">
        <f>+BF221/BF217</f>
        <v>7.5282969202421696E-2</v>
      </c>
      <c r="BG225" s="38"/>
      <c r="BJ225" s="179"/>
      <c r="BM225" s="180"/>
      <c r="BN225" s="180"/>
      <c r="BO225" s="38"/>
      <c r="BR225" s="179"/>
      <c r="BU225" s="180"/>
      <c r="BV225" s="180"/>
      <c r="BW225" s="38"/>
      <c r="BZ225" s="179"/>
      <c r="CC225" s="180"/>
      <c r="CD225" s="180"/>
      <c r="CE225" s="38"/>
      <c r="CH225" s="179"/>
      <c r="CK225" s="180"/>
      <c r="CL225" s="180"/>
      <c r="CM225" s="38"/>
      <c r="CP225" s="179"/>
      <c r="CS225" s="180"/>
      <c r="CT225" s="180"/>
      <c r="CX225" s="179"/>
      <c r="DA225" s="180"/>
      <c r="DB225" s="180"/>
      <c r="DF225" s="179"/>
      <c r="DI225" s="180"/>
      <c r="DJ225" s="180"/>
      <c r="DN225" s="179"/>
      <c r="DQ225" s="180"/>
      <c r="DR225" s="180"/>
      <c r="DV225" s="179"/>
      <c r="DY225" s="180"/>
      <c r="DZ225" s="180"/>
      <c r="ED225" s="179"/>
      <c r="EG225" s="180"/>
      <c r="EH225" s="180"/>
      <c r="EL225" s="179"/>
      <c r="EO225" s="180"/>
      <c r="EP225" s="180"/>
      <c r="ET225" s="179"/>
      <c r="EW225" s="180"/>
      <c r="EX225" s="180"/>
      <c r="FB225" s="179"/>
      <c r="FE225" s="180"/>
      <c r="FF225" s="180"/>
    </row>
    <row r="226" spans="1:162" ht="11.25" customHeight="1" outlineLevel="1" x14ac:dyDescent="0.2">
      <c r="A226" s="186"/>
      <c r="B226" s="4" t="s">
        <v>369</v>
      </c>
      <c r="C226" s="198"/>
      <c r="D226" s="199"/>
      <c r="E226" s="199"/>
      <c r="F226" s="200"/>
      <c r="G226" s="199"/>
      <c r="H226" s="199"/>
      <c r="I226" s="201"/>
      <c r="J226" s="201"/>
      <c r="K226" s="198"/>
      <c r="L226" s="199"/>
      <c r="M226" s="199"/>
      <c r="N226" s="200"/>
      <c r="O226" s="199"/>
      <c r="P226" s="199"/>
      <c r="Q226" s="201"/>
      <c r="R226" s="201"/>
      <c r="S226" s="198"/>
      <c r="T226" s="199"/>
      <c r="U226" s="199"/>
      <c r="V226" s="200"/>
      <c r="W226" s="199"/>
      <c r="X226" s="199"/>
      <c r="Y226" s="201"/>
      <c r="Z226" s="201"/>
      <c r="AA226" s="198"/>
      <c r="AB226" s="199"/>
      <c r="AC226" s="199"/>
      <c r="AD226" s="200"/>
      <c r="AE226" s="199"/>
      <c r="AF226" s="199"/>
      <c r="AG226" s="201"/>
      <c r="AH226" s="201"/>
      <c r="AI226" s="198"/>
      <c r="AJ226" s="199"/>
      <c r="AK226" s="199"/>
      <c r="AL226" s="200"/>
      <c r="AM226" s="199"/>
      <c r="AN226" s="199"/>
      <c r="AO226" s="201"/>
      <c r="AP226" s="201"/>
      <c r="AQ226" s="198"/>
      <c r="AR226" s="199"/>
      <c r="AS226" s="199"/>
      <c r="AT226" s="200"/>
      <c r="AU226" s="199"/>
      <c r="AV226" s="199"/>
      <c r="AW226" s="201"/>
      <c r="AX226" s="201"/>
      <c r="AY226" s="198"/>
      <c r="AZ226" s="199"/>
      <c r="BA226" s="199"/>
      <c r="BB226" s="200"/>
      <c r="BC226" s="199">
        <f t="shared" si="298"/>
        <v>0.1738544474393531</v>
      </c>
      <c r="BD226" s="199">
        <f t="shared" si="298"/>
        <v>0.13135186960690318</v>
      </c>
      <c r="BE226" s="201"/>
      <c r="BF226" s="201">
        <f>+BF222/BF218</f>
        <v>0.14901960784313725</v>
      </c>
      <c r="BG226" s="198"/>
      <c r="BH226" s="199"/>
      <c r="BI226" s="199"/>
      <c r="BJ226" s="200"/>
      <c r="BK226" s="199"/>
      <c r="BL226" s="199"/>
      <c r="BM226" s="201"/>
      <c r="BN226" s="201"/>
      <c r="BO226" s="198"/>
      <c r="BP226" s="199"/>
      <c r="BQ226" s="199"/>
      <c r="BR226" s="200"/>
      <c r="BS226" s="199"/>
      <c r="BT226" s="199"/>
      <c r="BU226" s="201"/>
      <c r="BV226" s="201"/>
      <c r="BW226" s="198"/>
      <c r="BX226" s="199"/>
      <c r="BY226" s="199"/>
      <c r="BZ226" s="200"/>
      <c r="CA226" s="199"/>
      <c r="CB226" s="199"/>
      <c r="CC226" s="201"/>
      <c r="CD226" s="201"/>
      <c r="CE226" s="198"/>
      <c r="CF226" s="199"/>
      <c r="CG226" s="199"/>
      <c r="CH226" s="200"/>
      <c r="CI226" s="199"/>
      <c r="CJ226" s="199"/>
      <c r="CK226" s="201"/>
      <c r="CL226" s="201"/>
      <c r="CM226" s="198"/>
      <c r="CN226" s="199"/>
      <c r="CO226" s="199"/>
      <c r="CP226" s="200"/>
      <c r="CQ226" s="199"/>
      <c r="CR226" s="199"/>
      <c r="CS226" s="201"/>
      <c r="CT226" s="201"/>
      <c r="CU226" s="199"/>
      <c r="CV226" s="199"/>
      <c r="CW226" s="199"/>
      <c r="CX226" s="200"/>
      <c r="CY226" s="199"/>
      <c r="CZ226" s="199"/>
      <c r="DA226" s="201"/>
      <c r="DB226" s="180"/>
      <c r="DC226" s="199"/>
      <c r="DD226" s="199"/>
      <c r="DE226" s="199"/>
      <c r="DF226" s="200"/>
      <c r="DG226" s="199"/>
      <c r="DH226" s="199"/>
      <c r="DI226" s="201"/>
      <c r="DJ226" s="180"/>
      <c r="DK226" s="199"/>
      <c r="DL226" s="199"/>
      <c r="DM226" s="199"/>
      <c r="DN226" s="200"/>
      <c r="DO226" s="199"/>
      <c r="DP226" s="199"/>
      <c r="DQ226" s="201"/>
      <c r="DR226" s="180"/>
      <c r="DS226" s="199"/>
      <c r="DT226" s="199"/>
      <c r="DU226" s="199"/>
      <c r="DV226" s="200"/>
      <c r="DW226" s="199"/>
      <c r="DX226" s="199"/>
      <c r="DY226" s="201"/>
      <c r="DZ226" s="180"/>
      <c r="EA226" s="199"/>
      <c r="EB226" s="199"/>
      <c r="EC226" s="199"/>
      <c r="ED226" s="200"/>
      <c r="EE226" s="199"/>
      <c r="EF226" s="199"/>
      <c r="EG226" s="201"/>
      <c r="EH226" s="180"/>
      <c r="EI226" s="199"/>
      <c r="EJ226" s="199"/>
      <c r="EK226" s="199"/>
      <c r="EL226" s="200"/>
      <c r="EM226" s="199"/>
      <c r="EN226" s="199"/>
      <c r="EO226" s="201"/>
      <c r="EP226" s="180"/>
      <c r="EQ226" s="199"/>
      <c r="ER226" s="199"/>
      <c r="ES226" s="199"/>
      <c r="ET226" s="200"/>
      <c r="EU226" s="199"/>
      <c r="EV226" s="199"/>
      <c r="EW226" s="201"/>
      <c r="EX226" s="180"/>
      <c r="EY226" s="199"/>
      <c r="EZ226" s="199"/>
      <c r="FA226" s="199"/>
      <c r="FB226" s="200"/>
      <c r="FC226" s="199"/>
      <c r="FD226" s="199"/>
      <c r="FE226" s="201"/>
      <c r="FF226" s="180"/>
    </row>
    <row r="227" spans="1:162" ht="11.25" customHeight="1" outlineLevel="1" x14ac:dyDescent="0.2">
      <c r="A227" s="186"/>
      <c r="B227" s="4" t="s">
        <v>370</v>
      </c>
      <c r="C227" s="198"/>
      <c r="D227" s="199"/>
      <c r="E227" s="199"/>
      <c r="F227" s="200"/>
      <c r="G227" s="199"/>
      <c r="H227" s="199"/>
      <c r="I227" s="201"/>
      <c r="J227" s="201"/>
      <c r="K227" s="198"/>
      <c r="L227" s="199"/>
      <c r="M227" s="199"/>
      <c r="N227" s="200"/>
      <c r="O227" s="199"/>
      <c r="P227" s="199"/>
      <c r="Q227" s="201"/>
      <c r="R227" s="201"/>
      <c r="S227" s="198"/>
      <c r="T227" s="199"/>
      <c r="U227" s="199"/>
      <c r="V227" s="200"/>
      <c r="W227" s="199"/>
      <c r="X227" s="199"/>
      <c r="Y227" s="201"/>
      <c r="Z227" s="201"/>
      <c r="AA227" s="198"/>
      <c r="AB227" s="199"/>
      <c r="AC227" s="199"/>
      <c r="AD227" s="200"/>
      <c r="AE227" s="199"/>
      <c r="AF227" s="199"/>
      <c r="AG227" s="201"/>
      <c r="AH227" s="201"/>
      <c r="AI227" s="198"/>
      <c r="AJ227" s="199"/>
      <c r="AK227" s="199"/>
      <c r="AL227" s="200"/>
      <c r="AM227" s="199"/>
      <c r="AN227" s="199"/>
      <c r="AO227" s="201"/>
      <c r="AP227" s="201"/>
      <c r="AQ227" s="198"/>
      <c r="AR227" s="199"/>
      <c r="AS227" s="199"/>
      <c r="AT227" s="200"/>
      <c r="AU227" s="199"/>
      <c r="AV227" s="199"/>
      <c r="AW227" s="201"/>
      <c r="AX227" s="201"/>
      <c r="AY227" s="198"/>
      <c r="AZ227" s="199"/>
      <c r="BA227" s="199"/>
      <c r="BB227" s="200"/>
      <c r="BC227" s="199">
        <f t="shared" si="298"/>
        <v>0</v>
      </c>
      <c r="BD227" s="199">
        <f t="shared" si="298"/>
        <v>1.6129032258064516E-2</v>
      </c>
      <c r="BE227" s="201"/>
      <c r="BF227" s="201">
        <f>+BF223/BF219</f>
        <v>9.9304865938430985E-3</v>
      </c>
      <c r="BG227" s="198"/>
      <c r="BH227" s="199"/>
      <c r="BI227" s="199"/>
      <c r="BJ227" s="200"/>
      <c r="BK227" s="199"/>
      <c r="BL227" s="199"/>
      <c r="BM227" s="201"/>
      <c r="BN227" s="201"/>
      <c r="BO227" s="198"/>
      <c r="BP227" s="199"/>
      <c r="BQ227" s="199"/>
      <c r="BR227" s="200"/>
      <c r="BS227" s="199"/>
      <c r="BT227" s="199"/>
      <c r="BU227" s="201"/>
      <c r="BV227" s="201"/>
      <c r="BW227" s="198"/>
      <c r="BX227" s="199"/>
      <c r="BY227" s="199"/>
      <c r="BZ227" s="200"/>
      <c r="CA227" s="199"/>
      <c r="CB227" s="199"/>
      <c r="CC227" s="201"/>
      <c r="CD227" s="201"/>
      <c r="CE227" s="198"/>
      <c r="CF227" s="199"/>
      <c r="CG227" s="199"/>
      <c r="CH227" s="200"/>
      <c r="CI227" s="199"/>
      <c r="CJ227" s="199"/>
      <c r="CK227" s="201"/>
      <c r="CL227" s="201"/>
      <c r="CM227" s="198"/>
      <c r="CN227" s="199"/>
      <c r="CO227" s="199"/>
      <c r="CP227" s="200"/>
      <c r="CQ227" s="199"/>
      <c r="CR227" s="199"/>
      <c r="CS227" s="201"/>
      <c r="CT227" s="201"/>
      <c r="CU227" s="199"/>
      <c r="CV227" s="199"/>
      <c r="CW227" s="199"/>
      <c r="CX227" s="200"/>
      <c r="CY227" s="199"/>
      <c r="CZ227" s="199"/>
      <c r="DA227" s="201"/>
      <c r="DB227" s="180"/>
      <c r="DC227" s="199"/>
      <c r="DD227" s="199"/>
      <c r="DE227" s="199"/>
      <c r="DF227" s="200"/>
      <c r="DG227" s="199"/>
      <c r="DH227" s="199"/>
      <c r="DI227" s="201"/>
      <c r="DJ227" s="180"/>
      <c r="DK227" s="199"/>
      <c r="DL227" s="199"/>
      <c r="DM227" s="199"/>
      <c r="DN227" s="200"/>
      <c r="DO227" s="199"/>
      <c r="DP227" s="199"/>
      <c r="DQ227" s="201"/>
      <c r="DR227" s="180"/>
      <c r="DS227" s="199"/>
      <c r="DT227" s="199"/>
      <c r="DU227" s="199"/>
      <c r="DV227" s="200"/>
      <c r="DW227" s="199"/>
      <c r="DX227" s="199"/>
      <c r="DY227" s="201"/>
      <c r="DZ227" s="180"/>
      <c r="EA227" s="199"/>
      <c r="EB227" s="199"/>
      <c r="EC227" s="199"/>
      <c r="ED227" s="200"/>
      <c r="EE227" s="199"/>
      <c r="EF227" s="199"/>
      <c r="EG227" s="201"/>
      <c r="EH227" s="180"/>
      <c r="EI227" s="199"/>
      <c r="EJ227" s="199"/>
      <c r="EK227" s="199"/>
      <c r="EL227" s="200"/>
      <c r="EM227" s="199"/>
      <c r="EN227" s="199"/>
      <c r="EO227" s="201"/>
      <c r="EP227" s="180"/>
      <c r="EQ227" s="199"/>
      <c r="ER227" s="199"/>
      <c r="ES227" s="199"/>
      <c r="ET227" s="200"/>
      <c r="EU227" s="199"/>
      <c r="EV227" s="199"/>
      <c r="EW227" s="201"/>
      <c r="EX227" s="180"/>
      <c r="EY227" s="199"/>
      <c r="EZ227" s="199"/>
      <c r="FA227" s="199"/>
      <c r="FB227" s="200"/>
      <c r="FC227" s="199"/>
      <c r="FD227" s="199"/>
      <c r="FE227" s="201"/>
      <c r="FF227" s="180"/>
    </row>
    <row r="228" spans="1:162" ht="11.25" customHeight="1" outlineLevel="1" x14ac:dyDescent="0.2">
      <c r="A228" s="186"/>
      <c r="C228" s="198"/>
      <c r="D228" s="199"/>
      <c r="E228" s="199"/>
      <c r="F228" s="200"/>
      <c r="G228" s="199"/>
      <c r="H228" s="199"/>
      <c r="I228" s="201"/>
      <c r="J228" s="201"/>
      <c r="K228" s="198"/>
      <c r="L228" s="199"/>
      <c r="M228" s="199"/>
      <c r="N228" s="200"/>
      <c r="O228" s="199"/>
      <c r="P228" s="199"/>
      <c r="Q228" s="201"/>
      <c r="R228" s="201"/>
      <c r="S228" s="198"/>
      <c r="T228" s="199"/>
      <c r="U228" s="199"/>
      <c r="V228" s="200"/>
      <c r="W228" s="199"/>
      <c r="X228" s="199"/>
      <c r="Y228" s="201"/>
      <c r="Z228" s="201"/>
      <c r="AA228" s="198"/>
      <c r="AB228" s="199"/>
      <c r="AC228" s="199"/>
      <c r="AD228" s="200"/>
      <c r="AE228" s="199"/>
      <c r="AF228" s="199"/>
      <c r="AG228" s="201"/>
      <c r="AH228" s="201"/>
      <c r="AI228" s="198"/>
      <c r="AJ228" s="199"/>
      <c r="AK228" s="199"/>
      <c r="AL228" s="200"/>
      <c r="AM228" s="199"/>
      <c r="AN228" s="199"/>
      <c r="AO228" s="201"/>
      <c r="AP228" s="201"/>
      <c r="AQ228" s="198"/>
      <c r="AR228" s="199"/>
      <c r="AS228" s="199"/>
      <c r="AT228" s="200"/>
      <c r="AU228" s="199"/>
      <c r="AV228" s="199"/>
      <c r="AW228" s="201"/>
      <c r="AX228" s="201"/>
      <c r="AY228" s="198"/>
      <c r="AZ228" s="199"/>
      <c r="BA228" s="199"/>
      <c r="BB228" s="200"/>
      <c r="BC228" s="199"/>
      <c r="BD228" s="199"/>
      <c r="BE228" s="201"/>
      <c r="BF228" s="201"/>
      <c r="BG228" s="198"/>
      <c r="BH228" s="199"/>
      <c r="BI228" s="199"/>
      <c r="BJ228" s="200"/>
      <c r="BK228" s="199"/>
      <c r="BL228" s="199"/>
      <c r="BM228" s="201"/>
      <c r="BN228" s="201"/>
      <c r="BO228" s="198"/>
      <c r="BP228" s="199"/>
      <c r="BQ228" s="199"/>
      <c r="BR228" s="200"/>
      <c r="BS228" s="199"/>
      <c r="BT228" s="199"/>
      <c r="BU228" s="201"/>
      <c r="BV228" s="201"/>
      <c r="BW228" s="198"/>
      <c r="BX228" s="199"/>
      <c r="BY228" s="199"/>
      <c r="BZ228" s="200"/>
      <c r="CA228" s="199"/>
      <c r="CB228" s="199"/>
      <c r="CC228" s="201"/>
      <c r="CD228" s="201"/>
      <c r="CE228" s="198"/>
      <c r="CF228" s="199"/>
      <c r="CG228" s="199"/>
      <c r="CH228" s="200"/>
      <c r="CI228" s="199"/>
      <c r="CJ228" s="199"/>
      <c r="CK228" s="201"/>
      <c r="CL228" s="201"/>
      <c r="CM228" s="198"/>
      <c r="CN228" s="199"/>
      <c r="CO228" s="199"/>
      <c r="CP228" s="200"/>
      <c r="CQ228" s="199"/>
      <c r="CR228" s="199"/>
      <c r="CS228" s="201"/>
      <c r="CT228" s="201"/>
      <c r="CU228" s="199"/>
      <c r="CV228" s="199"/>
      <c r="CW228" s="199"/>
      <c r="CX228" s="200"/>
      <c r="CY228" s="199"/>
      <c r="CZ228" s="199"/>
      <c r="DA228" s="201"/>
      <c r="DB228" s="180"/>
      <c r="DC228" s="199"/>
      <c r="DD228" s="199"/>
      <c r="DE228" s="199"/>
      <c r="DF228" s="200"/>
      <c r="DG228" s="199"/>
      <c r="DH228" s="199"/>
      <c r="DI228" s="201"/>
      <c r="DJ228" s="180"/>
      <c r="DK228" s="199"/>
      <c r="DL228" s="199"/>
      <c r="DM228" s="199"/>
      <c r="DN228" s="200"/>
      <c r="DO228" s="199"/>
      <c r="DP228" s="199"/>
      <c r="DQ228" s="201"/>
      <c r="DR228" s="180"/>
      <c r="DS228" s="199"/>
      <c r="DT228" s="199"/>
      <c r="DU228" s="199"/>
      <c r="DV228" s="200"/>
      <c r="DW228" s="199"/>
      <c r="DX228" s="199"/>
      <c r="DY228" s="201"/>
      <c r="DZ228" s="180"/>
      <c r="EA228" s="199"/>
      <c r="EB228" s="199"/>
      <c r="EC228" s="199"/>
      <c r="ED228" s="200"/>
      <c r="EE228" s="199"/>
      <c r="EF228" s="199"/>
      <c r="EG228" s="201"/>
      <c r="EH228" s="180"/>
      <c r="EI228" s="199"/>
      <c r="EJ228" s="199"/>
      <c r="EK228" s="199"/>
      <c r="EL228" s="200"/>
      <c r="EM228" s="199"/>
      <c r="EN228" s="199"/>
      <c r="EO228" s="201"/>
      <c r="EP228" s="180"/>
      <c r="EQ228" s="199"/>
      <c r="ER228" s="199"/>
      <c r="ES228" s="199"/>
      <c r="ET228" s="200"/>
      <c r="EU228" s="199"/>
      <c r="EV228" s="199"/>
      <c r="EW228" s="201"/>
      <c r="EX228" s="180"/>
      <c r="EY228" s="199"/>
      <c r="EZ228" s="199"/>
      <c r="FA228" s="199"/>
      <c r="FB228" s="200"/>
      <c r="FC228" s="199"/>
      <c r="FD228" s="199"/>
      <c r="FE228" s="201"/>
      <c r="FF228" s="180"/>
    </row>
    <row r="229" spans="1:162" ht="11.25" customHeight="1" outlineLevel="1" x14ac:dyDescent="0.2">
      <c r="A229" s="219" t="s">
        <v>373</v>
      </c>
      <c r="C229" s="198"/>
      <c r="D229" s="199"/>
      <c r="E229" s="199"/>
      <c r="F229" s="200"/>
      <c r="G229" s="199"/>
      <c r="H229" s="199"/>
      <c r="I229" s="201"/>
      <c r="J229" s="201"/>
      <c r="K229" s="198"/>
      <c r="L229" s="199"/>
      <c r="M229" s="199"/>
      <c r="N229" s="200"/>
      <c r="O229" s="199"/>
      <c r="P229" s="199"/>
      <c r="Q229" s="201"/>
      <c r="R229" s="201"/>
      <c r="S229" s="198"/>
      <c r="T229" s="199"/>
      <c r="U229" s="199"/>
      <c r="V229" s="200"/>
      <c r="W229" s="199"/>
      <c r="X229" s="199"/>
      <c r="Y229" s="201"/>
      <c r="Z229" s="201"/>
      <c r="AA229" s="198"/>
      <c r="AB229" s="199"/>
      <c r="AC229" s="199"/>
      <c r="AD229" s="200"/>
      <c r="AE229" s="199"/>
      <c r="AF229" s="199"/>
      <c r="AG229" s="201"/>
      <c r="AH229" s="201"/>
      <c r="AI229" s="198"/>
      <c r="AJ229" s="199"/>
      <c r="AK229" s="199"/>
      <c r="AL229" s="200"/>
      <c r="AM229" s="199"/>
      <c r="AN229" s="199"/>
      <c r="AO229" s="201"/>
      <c r="AP229" s="201"/>
      <c r="AQ229" s="198"/>
      <c r="AR229" s="199"/>
      <c r="AS229" s="199"/>
      <c r="AT229" s="200"/>
      <c r="AU229" s="199"/>
      <c r="AV229" s="199"/>
      <c r="AW229" s="201"/>
      <c r="AX229" s="201"/>
      <c r="AY229" s="198"/>
      <c r="AZ229" s="199"/>
      <c r="BA229" s="199"/>
      <c r="BB229" s="200"/>
      <c r="BC229" s="199"/>
      <c r="BD229" s="199"/>
      <c r="BE229" s="201"/>
      <c r="BF229" s="201" t="s">
        <v>374</v>
      </c>
      <c r="BG229" s="198"/>
      <c r="BH229" s="199"/>
      <c r="BI229" s="199"/>
      <c r="BJ229" s="200"/>
      <c r="BK229" s="199"/>
      <c r="BL229" s="199"/>
      <c r="BM229" s="201"/>
      <c r="BN229" s="201"/>
      <c r="BO229" s="198"/>
      <c r="BP229" s="199"/>
      <c r="BQ229" s="199"/>
      <c r="BR229" s="200"/>
      <c r="BS229" s="199"/>
      <c r="BT229" s="199"/>
      <c r="BU229" s="201"/>
      <c r="BV229" s="201"/>
      <c r="BW229" s="198"/>
      <c r="BX229" s="199"/>
      <c r="BY229" s="199"/>
      <c r="BZ229" s="200"/>
      <c r="CA229" s="199"/>
      <c r="CB229" s="199"/>
      <c r="CC229" s="201"/>
      <c r="CD229" s="201"/>
      <c r="CE229" s="198"/>
      <c r="CF229" s="199"/>
      <c r="CG229" s="199"/>
      <c r="CH229" s="200"/>
      <c r="CI229" s="199"/>
      <c r="CJ229" s="199"/>
      <c r="CK229" s="201"/>
      <c r="CL229" s="201"/>
      <c r="CM229" s="198"/>
      <c r="CN229" s="199"/>
      <c r="CO229" s="199"/>
      <c r="CP229" s="200"/>
      <c r="CQ229" s="199"/>
      <c r="CR229" s="199"/>
      <c r="CS229" s="201"/>
      <c r="CT229" s="201"/>
      <c r="CU229" s="199"/>
      <c r="CV229" s="199"/>
      <c r="CW229" s="199"/>
      <c r="CX229" s="200"/>
      <c r="CY229" s="199"/>
      <c r="CZ229" s="199"/>
      <c r="DA229" s="201"/>
      <c r="DB229" s="180"/>
      <c r="DC229" s="199"/>
      <c r="DD229" s="199"/>
      <c r="DE229" s="199"/>
      <c r="DF229" s="200"/>
      <c r="DG229" s="199"/>
      <c r="DH229" s="199"/>
      <c r="DI229" s="201"/>
      <c r="DJ229" s="180"/>
      <c r="DK229" s="199"/>
      <c r="DL229" s="199"/>
      <c r="DM229" s="199"/>
      <c r="DN229" s="200"/>
      <c r="DO229" s="199"/>
      <c r="DP229" s="199"/>
      <c r="DQ229" s="201"/>
      <c r="DR229" s="180"/>
      <c r="DS229" s="199"/>
      <c r="DT229" s="199"/>
      <c r="DU229" s="199"/>
      <c r="DV229" s="200"/>
      <c r="DW229" s="199"/>
      <c r="DX229" s="199"/>
      <c r="DY229" s="201"/>
      <c r="DZ229" s="180"/>
      <c r="EA229" s="199"/>
      <c r="EB229" s="199"/>
      <c r="EC229" s="199"/>
      <c r="ED229" s="200"/>
      <c r="EE229" s="199"/>
      <c r="EF229" s="199"/>
      <c r="EG229" s="201"/>
      <c r="EH229" s="180"/>
      <c r="EI229" s="199"/>
      <c r="EJ229" s="199"/>
      <c r="EK229" s="199"/>
      <c r="EL229" s="200"/>
      <c r="EM229" s="199"/>
      <c r="EN229" s="199"/>
      <c r="EO229" s="201"/>
      <c r="EP229" s="180"/>
      <c r="EQ229" s="199"/>
      <c r="ER229" s="199"/>
      <c r="ES229" s="199"/>
      <c r="ET229" s="200"/>
      <c r="EU229" s="199"/>
      <c r="EV229" s="199"/>
      <c r="EW229" s="201"/>
      <c r="EX229" s="180"/>
      <c r="EY229" s="199"/>
      <c r="EZ229" s="199"/>
      <c r="FA229" s="199"/>
      <c r="FB229" s="200"/>
      <c r="FC229" s="199"/>
      <c r="FD229" s="199"/>
      <c r="FE229" s="201"/>
      <c r="FF229" s="180"/>
    </row>
    <row r="230" spans="1:162" ht="11.25" customHeight="1" outlineLevel="1" x14ac:dyDescent="0.2">
      <c r="A230" s="4" t="s">
        <v>375</v>
      </c>
      <c r="C230" s="198"/>
      <c r="D230" s="199"/>
      <c r="E230" s="199"/>
      <c r="F230" s="200"/>
      <c r="G230" s="199"/>
      <c r="H230" s="199"/>
      <c r="I230" s="201"/>
      <c r="J230" s="201"/>
      <c r="K230" s="198"/>
      <c r="L230" s="199"/>
      <c r="M230" s="199"/>
      <c r="N230" s="200"/>
      <c r="O230" s="199"/>
      <c r="P230" s="199"/>
      <c r="Q230" s="201"/>
      <c r="R230" s="201"/>
      <c r="S230" s="198"/>
      <c r="T230" s="199"/>
      <c r="U230" s="199"/>
      <c r="V230" s="200"/>
      <c r="W230" s="199"/>
      <c r="X230" s="199"/>
      <c r="Y230" s="201"/>
      <c r="Z230" s="201"/>
      <c r="AA230" s="198"/>
      <c r="AB230" s="199"/>
      <c r="AC230" s="199"/>
      <c r="AD230" s="200"/>
      <c r="AE230" s="199"/>
      <c r="AF230" s="199"/>
      <c r="AG230" s="201"/>
      <c r="AH230" s="201"/>
      <c r="AI230" s="198"/>
      <c r="AJ230" s="199"/>
      <c r="AK230" s="199"/>
      <c r="AL230" s="200"/>
      <c r="AM230" s="199"/>
      <c r="AN230" s="199"/>
      <c r="AO230" s="201"/>
      <c r="AP230" s="201"/>
      <c r="AQ230" s="198"/>
      <c r="AR230" s="199"/>
      <c r="AS230" s="199"/>
      <c r="AT230" s="200"/>
      <c r="AU230" s="199"/>
      <c r="AV230" s="199"/>
      <c r="AW230" s="201"/>
      <c r="AX230" s="201"/>
      <c r="AY230" s="198"/>
      <c r="AZ230" s="199"/>
      <c r="BA230" s="199">
        <v>137</v>
      </c>
      <c r="BB230" s="200"/>
      <c r="BC230" s="199">
        <v>178</v>
      </c>
      <c r="BD230" s="199"/>
      <c r="BE230" s="201">
        <f>BA230+BC230</f>
        <v>315</v>
      </c>
      <c r="BF230" s="201">
        <v>426</v>
      </c>
      <c r="BG230" s="198"/>
      <c r="BH230" s="199"/>
      <c r="BI230" s="199"/>
      <c r="BJ230" s="200"/>
      <c r="BK230" s="199"/>
      <c r="BL230" s="199"/>
      <c r="BM230" s="201"/>
      <c r="BN230" s="201"/>
      <c r="BO230" s="198">
        <v>77</v>
      </c>
      <c r="BP230" s="199">
        <f>BS230-BO230</f>
        <v>120</v>
      </c>
      <c r="BQ230" s="199">
        <v>92</v>
      </c>
      <c r="BR230" s="200">
        <f>BV230-BU230</f>
        <v>80</v>
      </c>
      <c r="BS230" s="199">
        <f>BU230-BQ230</f>
        <v>197</v>
      </c>
      <c r="BT230" s="199">
        <f>BV230-BS230</f>
        <v>172</v>
      </c>
      <c r="BU230" s="201">
        <v>289</v>
      </c>
      <c r="BV230" s="201">
        <v>369</v>
      </c>
      <c r="BW230" s="198">
        <v>109</v>
      </c>
      <c r="BX230" s="199">
        <f>CA230-BW230</f>
        <v>58</v>
      </c>
      <c r="BY230" s="199">
        <v>67</v>
      </c>
      <c r="BZ230" s="200">
        <f>CD230-SUM(BW230:BY230)</f>
        <v>77</v>
      </c>
      <c r="CA230" s="199">
        <v>167</v>
      </c>
      <c r="CB230" s="199">
        <f>BZ230+BY230</f>
        <v>144</v>
      </c>
      <c r="CC230" s="201">
        <f>BY230+CA230</f>
        <v>234</v>
      </c>
      <c r="CD230" s="201">
        <v>311</v>
      </c>
      <c r="CE230" s="198">
        <v>59</v>
      </c>
      <c r="CF230" s="199">
        <f>CI230-CE230</f>
        <v>52</v>
      </c>
      <c r="CG230" s="199">
        <v>50</v>
      </c>
      <c r="CH230" s="200"/>
      <c r="CI230" s="199">
        <v>111</v>
      </c>
      <c r="CJ230" s="199"/>
      <c r="CK230" s="201">
        <f>CE230+CF230+CG230</f>
        <v>161</v>
      </c>
      <c r="CL230" s="201"/>
      <c r="CM230" s="198"/>
      <c r="CN230" s="199"/>
      <c r="CO230" s="199"/>
      <c r="CP230" s="200"/>
      <c r="CQ230" s="199"/>
      <c r="CR230" s="199"/>
      <c r="CS230" s="201">
        <f>CM230+CN230+CO230</f>
        <v>0</v>
      </c>
      <c r="CT230" s="201"/>
      <c r="CU230" s="198"/>
      <c r="CV230" s="199"/>
      <c r="CW230" s="199"/>
      <c r="CX230" s="200"/>
      <c r="CY230" s="199"/>
      <c r="CZ230" s="199"/>
      <c r="DA230" s="201"/>
      <c r="DB230" s="180"/>
      <c r="DC230" s="198"/>
      <c r="DD230" s="199"/>
      <c r="DE230" s="199"/>
      <c r="DF230" s="200"/>
      <c r="DG230" s="199"/>
      <c r="DH230" s="199"/>
      <c r="DI230" s="201"/>
      <c r="DJ230" s="180"/>
      <c r="DK230" s="199"/>
      <c r="DL230" s="199"/>
      <c r="DM230" s="199"/>
      <c r="DN230" s="200"/>
      <c r="DO230" s="199"/>
      <c r="DP230" s="199"/>
      <c r="DQ230" s="201"/>
      <c r="DR230" s="180"/>
      <c r="DS230" s="199"/>
      <c r="DT230" s="199"/>
      <c r="DU230" s="199"/>
      <c r="DV230" s="200"/>
      <c r="DW230" s="199"/>
      <c r="DX230" s="199"/>
      <c r="DY230" s="201"/>
      <c r="DZ230" s="180"/>
      <c r="EA230" s="199"/>
      <c r="EB230" s="199"/>
      <c r="EC230" s="199"/>
      <c r="ED230" s="200"/>
      <c r="EE230" s="199"/>
      <c r="EF230" s="199"/>
      <c r="EG230" s="201"/>
      <c r="EH230" s="180"/>
      <c r="EI230" s="199"/>
      <c r="EJ230" s="199"/>
      <c r="EK230" s="199"/>
      <c r="EL230" s="200"/>
      <c r="EM230" s="199"/>
      <c r="EN230" s="199"/>
      <c r="EO230" s="201"/>
      <c r="EP230" s="180"/>
      <c r="EQ230" s="199"/>
      <c r="ER230" s="199"/>
      <c r="ES230" s="199"/>
      <c r="ET230" s="200"/>
      <c r="EU230" s="199"/>
      <c r="EV230" s="199"/>
      <c r="EW230" s="201"/>
      <c r="EX230" s="180"/>
      <c r="EY230" s="199"/>
      <c r="EZ230" s="199"/>
      <c r="FA230" s="199"/>
      <c r="FB230" s="200"/>
      <c r="FC230" s="199"/>
      <c r="FD230" s="199"/>
      <c r="FE230" s="201"/>
      <c r="FF230" s="180"/>
    </row>
    <row r="231" spans="1:162" ht="11.25" customHeight="1" outlineLevel="1" x14ac:dyDescent="0.2">
      <c r="C231" s="198"/>
      <c r="D231" s="199"/>
      <c r="E231" s="199"/>
      <c r="F231" s="200"/>
      <c r="G231" s="199"/>
      <c r="H231" s="199"/>
      <c r="I231" s="201"/>
      <c r="J231" s="180"/>
      <c r="K231" s="198"/>
      <c r="L231" s="199"/>
      <c r="M231" s="199"/>
      <c r="N231" s="200"/>
      <c r="O231" s="199"/>
      <c r="P231" s="199"/>
      <c r="Q231" s="201"/>
      <c r="R231" s="180"/>
      <c r="S231" s="198"/>
      <c r="T231" s="199"/>
      <c r="U231" s="199"/>
      <c r="V231" s="200"/>
      <c r="W231" s="199"/>
      <c r="X231" s="199"/>
      <c r="Y231" s="201"/>
      <c r="Z231" s="180"/>
      <c r="AA231" s="198"/>
      <c r="AB231" s="199"/>
      <c r="AC231" s="199"/>
      <c r="AD231" s="200"/>
      <c r="AE231" s="199"/>
      <c r="AF231" s="199"/>
      <c r="AG231" s="201"/>
      <c r="AH231" s="180"/>
      <c r="AI231" s="198"/>
      <c r="AJ231" s="199"/>
      <c r="AK231" s="199"/>
      <c r="AL231" s="200"/>
      <c r="AM231" s="199"/>
      <c r="AN231" s="199"/>
      <c r="AO231" s="201"/>
      <c r="AP231" s="180"/>
      <c r="AQ231" s="198"/>
      <c r="AR231" s="199"/>
      <c r="AS231" s="199"/>
      <c r="AT231" s="200"/>
      <c r="AU231" s="199"/>
      <c r="AV231" s="199"/>
      <c r="AW231" s="201"/>
      <c r="AX231" s="180"/>
      <c r="AY231" s="198"/>
      <c r="AZ231" s="199"/>
      <c r="BA231" s="199"/>
      <c r="BB231" s="200"/>
      <c r="BC231" s="199"/>
      <c r="BD231" s="199"/>
      <c r="BE231" s="201"/>
      <c r="BF231" s="180"/>
      <c r="BG231" s="198"/>
      <c r="BH231" s="199"/>
      <c r="BI231" s="199"/>
      <c r="BJ231" s="200"/>
      <c r="BK231" s="199"/>
      <c r="BL231" s="199"/>
      <c r="BM231" s="201"/>
      <c r="BN231" s="180"/>
      <c r="BO231" s="198"/>
      <c r="BP231" s="199"/>
      <c r="BQ231" s="199"/>
      <c r="BR231" s="200"/>
      <c r="BS231" s="199"/>
      <c r="BT231" s="199"/>
      <c r="BU231" s="201"/>
      <c r="BV231" s="180"/>
      <c r="BW231" s="198"/>
      <c r="BX231" s="199"/>
      <c r="BY231" s="199"/>
      <c r="BZ231" s="200"/>
      <c r="CA231" s="199"/>
      <c r="CB231" s="199"/>
      <c r="CC231" s="201"/>
      <c r="CD231" s="180"/>
      <c r="CE231" s="198"/>
      <c r="CF231" s="199"/>
      <c r="CG231" s="199"/>
      <c r="CH231" s="200"/>
      <c r="CI231" s="199"/>
      <c r="CJ231" s="199"/>
      <c r="CK231" s="201"/>
      <c r="CL231" s="180"/>
      <c r="CM231" s="198"/>
      <c r="CN231" s="199"/>
      <c r="CO231" s="199"/>
      <c r="CP231" s="200"/>
      <c r="CQ231" s="199"/>
      <c r="CR231" s="199"/>
      <c r="CS231" s="201"/>
      <c r="CT231" s="180"/>
      <c r="CX231" s="179"/>
      <c r="DA231" s="180"/>
      <c r="DB231" s="180"/>
      <c r="DF231" s="179"/>
      <c r="DI231" s="180"/>
      <c r="DJ231" s="180"/>
      <c r="DN231" s="179"/>
      <c r="DQ231" s="180"/>
      <c r="DR231" s="180"/>
      <c r="DV231" s="179"/>
      <c r="DY231" s="180"/>
      <c r="DZ231" s="180"/>
      <c r="ED231" s="179"/>
      <c r="EG231" s="180"/>
      <c r="EH231" s="180"/>
      <c r="EL231" s="179"/>
      <c r="EO231" s="180"/>
      <c r="EP231" s="180"/>
      <c r="ET231" s="179"/>
      <c r="EW231" s="180"/>
      <c r="EX231" s="180"/>
      <c r="FB231" s="179"/>
      <c r="FE231" s="180"/>
      <c r="FF231" s="180"/>
    </row>
    <row r="232" spans="1:162" ht="11.25" customHeight="1" outlineLevel="1" x14ac:dyDescent="0.2">
      <c r="A232" s="219" t="s">
        <v>377</v>
      </c>
      <c r="C232" s="198"/>
      <c r="D232" s="199"/>
      <c r="E232" s="199"/>
      <c r="F232" s="200"/>
      <c r="G232" s="199"/>
      <c r="H232" s="199"/>
      <c r="I232" s="201"/>
      <c r="J232" s="180"/>
      <c r="K232" s="198"/>
      <c r="L232" s="199"/>
      <c r="M232" s="199"/>
      <c r="N232" s="200"/>
      <c r="O232" s="199"/>
      <c r="P232" s="199"/>
      <c r="Q232" s="201"/>
      <c r="R232" s="180"/>
      <c r="S232" s="198"/>
      <c r="T232" s="199"/>
      <c r="U232" s="199"/>
      <c r="V232" s="200"/>
      <c r="W232" s="199"/>
      <c r="X232" s="199"/>
      <c r="Y232" s="201"/>
      <c r="Z232" s="180"/>
      <c r="AA232" s="198"/>
      <c r="AB232" s="199"/>
      <c r="AC232" s="199"/>
      <c r="AD232" s="200"/>
      <c r="AE232" s="199"/>
      <c r="AF232" s="199"/>
      <c r="AG232" s="201"/>
      <c r="AH232" s="180"/>
      <c r="AI232" s="198"/>
      <c r="AJ232" s="199"/>
      <c r="AK232" s="199"/>
      <c r="AL232" s="200"/>
      <c r="AM232" s="199"/>
      <c r="AN232" s="199"/>
      <c r="AO232" s="201"/>
      <c r="AP232" s="180"/>
      <c r="AQ232" s="198"/>
      <c r="AR232" s="199"/>
      <c r="AS232" s="199"/>
      <c r="AT232" s="200"/>
      <c r="AU232" s="199"/>
      <c r="AV232" s="199"/>
      <c r="AW232" s="201"/>
      <c r="AX232" s="180"/>
      <c r="AY232" s="198"/>
      <c r="AZ232" s="199"/>
      <c r="BA232" s="199"/>
      <c r="BB232" s="200"/>
      <c r="BC232" s="199"/>
      <c r="BD232" s="199"/>
      <c r="BE232" s="201"/>
      <c r="BF232" s="180"/>
      <c r="BG232" s="198"/>
      <c r="BH232" s="199"/>
      <c r="BI232" s="199"/>
      <c r="BJ232" s="200"/>
      <c r="BK232" s="199"/>
      <c r="BL232" s="199"/>
      <c r="BM232" s="201"/>
      <c r="BN232" s="180"/>
      <c r="BO232" s="198"/>
      <c r="BP232" s="199"/>
      <c r="BQ232" s="199"/>
      <c r="BR232" s="200"/>
      <c r="BS232" s="199"/>
      <c r="BT232" s="199"/>
      <c r="BU232" s="201"/>
      <c r="BV232" s="180"/>
      <c r="BW232" s="198"/>
      <c r="BX232" s="199"/>
      <c r="BY232" s="199"/>
      <c r="BZ232" s="200"/>
      <c r="CA232" s="199"/>
      <c r="CB232" s="199"/>
      <c r="CC232" s="201"/>
      <c r="CD232" s="180"/>
      <c r="CE232" s="198"/>
      <c r="CF232" s="199"/>
      <c r="CG232" s="199"/>
      <c r="CH232" s="200"/>
      <c r="CI232" s="199"/>
      <c r="CJ232" s="199"/>
      <c r="CK232" s="201"/>
      <c r="CL232" s="180"/>
      <c r="CM232" s="198"/>
      <c r="CN232" s="199"/>
      <c r="CO232" s="199"/>
      <c r="CP232" s="200"/>
      <c r="CQ232" s="199"/>
      <c r="CR232" s="199"/>
      <c r="CS232" s="201"/>
      <c r="CT232" s="180"/>
      <c r="CX232" s="179"/>
      <c r="DA232" s="180"/>
      <c r="DB232" s="180"/>
      <c r="DF232" s="179"/>
      <c r="DI232" s="180"/>
      <c r="DJ232" s="180"/>
      <c r="DN232" s="179"/>
      <c r="DQ232" s="180"/>
      <c r="DR232" s="180"/>
      <c r="DV232" s="179"/>
      <c r="DY232" s="180"/>
      <c r="DZ232" s="180"/>
      <c r="ED232" s="179"/>
      <c r="EG232" s="180"/>
      <c r="EH232" s="180"/>
      <c r="EL232" s="179"/>
      <c r="EO232" s="180"/>
      <c r="EP232" s="180"/>
      <c r="ET232" s="179"/>
      <c r="EW232" s="180"/>
      <c r="EX232" s="180"/>
      <c r="FB232" s="179"/>
      <c r="FE232" s="180"/>
      <c r="FF232" s="180"/>
    </row>
    <row r="233" spans="1:162" ht="11.25" customHeight="1" outlineLevel="1" x14ac:dyDescent="0.2">
      <c r="A233" s="219"/>
      <c r="B233" s="4" t="s">
        <v>68</v>
      </c>
      <c r="C233" s="198"/>
      <c r="D233" s="199"/>
      <c r="E233" s="199"/>
      <c r="F233" s="200"/>
      <c r="G233" s="199"/>
      <c r="H233" s="199"/>
      <c r="I233" s="201"/>
      <c r="J233" s="180">
        <v>789</v>
      </c>
      <c r="K233" s="198"/>
      <c r="L233" s="199"/>
      <c r="M233" s="199"/>
      <c r="N233" s="200"/>
      <c r="O233" s="199">
        <v>417</v>
      </c>
      <c r="P233" s="199">
        <f>R233-O233</f>
        <v>477</v>
      </c>
      <c r="Q233" s="201"/>
      <c r="R233" s="180">
        <v>894</v>
      </c>
      <c r="S233" s="198"/>
      <c r="T233" s="199"/>
      <c r="U233" s="199"/>
      <c r="V233" s="200"/>
      <c r="W233" s="199">
        <v>430</v>
      </c>
      <c r="X233" s="199">
        <f>Z233-W233</f>
        <v>445</v>
      </c>
      <c r="Y233" s="201"/>
      <c r="Z233" s="180">
        <v>875</v>
      </c>
      <c r="AA233" s="198"/>
      <c r="AB233" s="199"/>
      <c r="AC233" s="199"/>
      <c r="AD233" s="200"/>
      <c r="AE233" s="199">
        <v>378</v>
      </c>
      <c r="AF233" s="199"/>
      <c r="AG233" s="201"/>
      <c r="AH233" s="180">
        <v>775</v>
      </c>
      <c r="AI233" s="198"/>
      <c r="AJ233" s="199"/>
      <c r="AK233" s="199"/>
      <c r="AL233" s="200"/>
      <c r="AM233" s="199">
        <v>356</v>
      </c>
      <c r="AN233" s="199"/>
      <c r="AO233" s="201"/>
      <c r="AP233" s="180"/>
      <c r="AQ233" s="198"/>
      <c r="AR233" s="199"/>
      <c r="AS233" s="199"/>
      <c r="AT233" s="200"/>
      <c r="AU233" s="199">
        <v>360</v>
      </c>
      <c r="AV233" s="199"/>
      <c r="AW233" s="201"/>
      <c r="AX233" s="180"/>
      <c r="AY233" s="198"/>
      <c r="AZ233" s="199"/>
      <c r="BA233" s="199"/>
      <c r="BB233" s="200"/>
      <c r="BC233" s="199">
        <v>257</v>
      </c>
      <c r="BD233" s="199"/>
      <c r="BE233" s="201"/>
      <c r="BF233" s="180"/>
      <c r="BG233" s="198"/>
      <c r="BH233" s="199"/>
      <c r="BI233" s="199"/>
      <c r="BJ233" s="200"/>
      <c r="BK233" s="199"/>
      <c r="BL233" s="199"/>
      <c r="BM233" s="201"/>
      <c r="BN233" s="180"/>
      <c r="BO233" s="198"/>
      <c r="BP233" s="199"/>
      <c r="BQ233" s="199"/>
      <c r="BR233" s="200"/>
      <c r="BS233" s="199"/>
      <c r="BT233" s="199"/>
      <c r="BU233" s="201"/>
      <c r="BV233" s="180"/>
      <c r="BW233" s="198"/>
      <c r="BX233" s="199"/>
      <c r="BY233" s="199"/>
      <c r="BZ233" s="200"/>
      <c r="CA233" s="199"/>
      <c r="CB233" s="199"/>
      <c r="CC233" s="201"/>
      <c r="CD233" s="180"/>
      <c r="CE233" s="198"/>
      <c r="CF233" s="199"/>
      <c r="CG233" s="199"/>
      <c r="CH233" s="200"/>
      <c r="CI233" s="199"/>
      <c r="CJ233" s="199"/>
      <c r="CK233" s="201"/>
      <c r="CL233" s="180"/>
      <c r="CM233" s="198"/>
      <c r="CN233" s="199"/>
      <c r="CO233" s="199"/>
      <c r="CP233" s="200"/>
      <c r="CQ233" s="199"/>
      <c r="CR233" s="199"/>
      <c r="CS233" s="201"/>
      <c r="CT233" s="180"/>
      <c r="CX233" s="179"/>
      <c r="DA233" s="180"/>
      <c r="DB233" s="180"/>
      <c r="DF233" s="179"/>
      <c r="DI233" s="180"/>
      <c r="DJ233" s="180"/>
      <c r="DN233" s="179"/>
      <c r="DQ233" s="180"/>
      <c r="DR233" s="180"/>
      <c r="DV233" s="179"/>
      <c r="DY233" s="180"/>
      <c r="DZ233" s="180"/>
      <c r="ED233" s="179"/>
      <c r="EG233" s="180"/>
      <c r="EH233" s="180"/>
      <c r="EL233" s="179"/>
      <c r="EO233" s="180"/>
      <c r="EP233" s="180"/>
      <c r="ET233" s="179"/>
      <c r="EW233" s="180"/>
      <c r="EX233" s="180"/>
      <c r="FB233" s="179"/>
      <c r="FE233" s="180"/>
      <c r="FF233" s="180"/>
    </row>
    <row r="234" spans="1:162" ht="11.25" customHeight="1" outlineLevel="1" x14ac:dyDescent="0.2">
      <c r="A234" s="219"/>
      <c r="B234" s="4" t="s">
        <v>69</v>
      </c>
      <c r="C234" s="198"/>
      <c r="D234" s="199"/>
      <c r="E234" s="199"/>
      <c r="F234" s="200"/>
      <c r="G234" s="199"/>
      <c r="H234" s="199"/>
      <c r="I234" s="201"/>
      <c r="J234" s="180">
        <v>254</v>
      </c>
      <c r="K234" s="198"/>
      <c r="L234" s="199"/>
      <c r="M234" s="199"/>
      <c r="N234" s="200"/>
      <c r="O234" s="199">
        <v>154</v>
      </c>
      <c r="P234" s="199">
        <f>R234-O234</f>
        <v>154</v>
      </c>
      <c r="Q234" s="201"/>
      <c r="R234" s="180">
        <v>308</v>
      </c>
      <c r="S234" s="198"/>
      <c r="T234" s="199"/>
      <c r="U234" s="199"/>
      <c r="V234" s="200"/>
      <c r="W234" s="199">
        <v>118</v>
      </c>
      <c r="X234" s="199">
        <f>Z234-W234</f>
        <v>111</v>
      </c>
      <c r="Y234" s="201"/>
      <c r="Z234" s="180">
        <v>229</v>
      </c>
      <c r="AA234" s="198"/>
      <c r="AB234" s="199"/>
      <c r="AC234" s="199"/>
      <c r="AD234" s="200"/>
      <c r="AE234" s="199">
        <v>102</v>
      </c>
      <c r="AF234" s="199"/>
      <c r="AG234" s="201"/>
      <c r="AH234" s="180">
        <v>218</v>
      </c>
      <c r="AI234" s="198"/>
      <c r="AJ234" s="199"/>
      <c r="AK234" s="199"/>
      <c r="AL234" s="200"/>
      <c r="AM234" s="199">
        <v>87</v>
      </c>
      <c r="AN234" s="199"/>
      <c r="AO234" s="201"/>
      <c r="AP234" s="180"/>
      <c r="AQ234" s="198"/>
      <c r="AR234" s="199"/>
      <c r="AS234" s="199"/>
      <c r="AT234" s="200"/>
      <c r="AU234" s="199">
        <v>113</v>
      </c>
      <c r="AV234" s="199"/>
      <c r="AW234" s="201"/>
      <c r="AX234" s="180"/>
      <c r="AY234" s="198"/>
      <c r="AZ234" s="199"/>
      <c r="BA234" s="199"/>
      <c r="BB234" s="200"/>
      <c r="BC234" s="199">
        <v>113</v>
      </c>
      <c r="BD234" s="199"/>
      <c r="BE234" s="201"/>
      <c r="BF234" s="180"/>
      <c r="BG234" s="198"/>
      <c r="BH234" s="199"/>
      <c r="BI234" s="199"/>
      <c r="BJ234" s="200"/>
      <c r="BK234" s="199"/>
      <c r="BL234" s="199"/>
      <c r="BM234" s="201"/>
      <c r="BN234" s="180"/>
      <c r="BO234" s="198"/>
      <c r="BP234" s="199"/>
      <c r="BQ234" s="199"/>
      <c r="BR234" s="200"/>
      <c r="BS234" s="199"/>
      <c r="BT234" s="199"/>
      <c r="BU234" s="201"/>
      <c r="BV234" s="180"/>
      <c r="BW234" s="198"/>
      <c r="BX234" s="199"/>
      <c r="BY234" s="199"/>
      <c r="BZ234" s="200"/>
      <c r="CA234" s="199"/>
      <c r="CB234" s="199"/>
      <c r="CC234" s="201"/>
      <c r="CD234" s="180"/>
      <c r="CE234" s="198"/>
      <c r="CF234" s="199"/>
      <c r="CG234" s="199"/>
      <c r="CH234" s="200"/>
      <c r="CI234" s="199"/>
      <c r="CJ234" s="199"/>
      <c r="CK234" s="201"/>
      <c r="CL234" s="180"/>
      <c r="CM234" s="198"/>
      <c r="CN234" s="199"/>
      <c r="CO234" s="199"/>
      <c r="CP234" s="200"/>
      <c r="CQ234" s="199"/>
      <c r="CR234" s="199"/>
      <c r="CS234" s="201"/>
      <c r="CT234" s="180"/>
      <c r="CX234" s="179"/>
      <c r="DA234" s="180"/>
      <c r="DB234" s="180"/>
      <c r="DF234" s="179"/>
      <c r="DI234" s="180"/>
      <c r="DJ234" s="180"/>
      <c r="DN234" s="179"/>
      <c r="DQ234" s="180"/>
      <c r="DR234" s="180"/>
      <c r="DV234" s="179"/>
      <c r="DY234" s="180"/>
      <c r="DZ234" s="180"/>
      <c r="ED234" s="179"/>
      <c r="EG234" s="180"/>
      <c r="EH234" s="180"/>
      <c r="EL234" s="179"/>
      <c r="EO234" s="180"/>
      <c r="EP234" s="180"/>
      <c r="ET234" s="179"/>
      <c r="EW234" s="180"/>
      <c r="EX234" s="180"/>
      <c r="FB234" s="179"/>
      <c r="FE234" s="180"/>
      <c r="FF234" s="180"/>
    </row>
    <row r="235" spans="1:162" ht="11.25" customHeight="1" outlineLevel="1" x14ac:dyDescent="0.2">
      <c r="A235" s="219"/>
      <c r="B235" s="4" t="s">
        <v>81</v>
      </c>
      <c r="C235" s="38"/>
      <c r="F235" s="179"/>
      <c r="I235" s="180"/>
      <c r="J235" s="180"/>
      <c r="K235" s="38"/>
      <c r="N235" s="179"/>
      <c r="Q235" s="180"/>
      <c r="R235" s="180"/>
      <c r="S235" s="38"/>
      <c r="V235" s="179"/>
      <c r="Y235" s="180"/>
      <c r="Z235" s="180"/>
      <c r="AA235" s="38"/>
      <c r="AD235" s="179"/>
      <c r="AG235" s="180"/>
      <c r="AH235" s="180"/>
      <c r="AI235" s="38"/>
      <c r="AL235" s="179"/>
      <c r="AO235" s="180"/>
      <c r="AP235" s="180"/>
      <c r="AQ235" s="38"/>
      <c r="AT235" s="179"/>
      <c r="AW235" s="180"/>
      <c r="AX235" s="180"/>
      <c r="AY235" s="38"/>
      <c r="BB235" s="179"/>
      <c r="BC235" s="4">
        <v>126</v>
      </c>
      <c r="BE235" s="180"/>
      <c r="BF235" s="180"/>
      <c r="BG235" s="38"/>
      <c r="BJ235" s="179"/>
      <c r="BM235" s="180"/>
      <c r="BN235" s="180"/>
      <c r="BO235" s="38"/>
      <c r="BR235" s="179"/>
      <c r="BU235" s="180"/>
      <c r="BV235" s="180"/>
      <c r="BW235" s="38"/>
      <c r="BZ235" s="179"/>
      <c r="CC235" s="180"/>
      <c r="CD235" s="180"/>
      <c r="CE235" s="38"/>
      <c r="CH235" s="179"/>
      <c r="CK235" s="180"/>
      <c r="CL235" s="180"/>
      <c r="CM235" s="38"/>
      <c r="CP235" s="179"/>
      <c r="CS235" s="180"/>
      <c r="CT235" s="180"/>
      <c r="CX235" s="179"/>
      <c r="DA235" s="180"/>
      <c r="DB235" s="180"/>
      <c r="DF235" s="179"/>
      <c r="DI235" s="180"/>
      <c r="DJ235" s="180"/>
      <c r="DN235" s="179"/>
      <c r="DQ235" s="180"/>
      <c r="DR235" s="180"/>
      <c r="DV235" s="179"/>
      <c r="DY235" s="180"/>
      <c r="DZ235" s="180"/>
      <c r="ED235" s="179"/>
      <c r="EG235" s="180"/>
      <c r="EH235" s="180"/>
      <c r="EL235" s="179"/>
      <c r="EO235" s="180"/>
      <c r="EP235" s="180"/>
      <c r="ET235" s="179"/>
      <c r="EW235" s="180"/>
      <c r="EX235" s="180"/>
      <c r="FB235" s="179"/>
      <c r="FE235" s="180"/>
      <c r="FF235" s="180"/>
    </row>
    <row r="236" spans="1:162" ht="11.25" customHeight="1" outlineLevel="1" x14ac:dyDescent="0.2">
      <c r="A236" s="219"/>
      <c r="B236" s="4" t="s">
        <v>263</v>
      </c>
      <c r="C236" s="38"/>
      <c r="F236" s="179"/>
      <c r="I236" s="180"/>
      <c r="J236" s="180">
        <v>117</v>
      </c>
      <c r="K236" s="38"/>
      <c r="N236" s="179"/>
      <c r="O236" s="4">
        <v>71</v>
      </c>
      <c r="P236" s="4">
        <f>R236-O236</f>
        <v>62</v>
      </c>
      <c r="Q236" s="180"/>
      <c r="R236" s="180">
        <v>133</v>
      </c>
      <c r="S236" s="38"/>
      <c r="V236" s="179"/>
      <c r="W236" s="4">
        <v>66</v>
      </c>
      <c r="X236" s="4">
        <f>Z236-W236</f>
        <v>53</v>
      </c>
      <c r="Y236" s="180"/>
      <c r="Z236" s="180">
        <v>119</v>
      </c>
      <c r="AA236" s="38"/>
      <c r="AD236" s="179"/>
      <c r="AE236" s="4">
        <v>61</v>
      </c>
      <c r="AG236" s="180"/>
      <c r="AH236" s="180">
        <v>113</v>
      </c>
      <c r="AI236" s="38"/>
      <c r="AL236" s="179"/>
      <c r="AM236" s="4">
        <v>64</v>
      </c>
      <c r="AO236" s="180"/>
      <c r="AP236" s="180"/>
      <c r="AQ236" s="38"/>
      <c r="AT236" s="179"/>
      <c r="AU236" s="4">
        <v>66</v>
      </c>
      <c r="AW236" s="180"/>
      <c r="AX236" s="180"/>
      <c r="AY236" s="38"/>
      <c r="BB236" s="179"/>
      <c r="BC236" s="4">
        <v>69</v>
      </c>
      <c r="BE236" s="180"/>
      <c r="BF236" s="180"/>
      <c r="BG236" s="38"/>
      <c r="BJ236" s="179"/>
      <c r="BM236" s="180"/>
      <c r="BN236" s="180"/>
      <c r="BO236" s="38"/>
      <c r="BR236" s="179"/>
      <c r="BU236" s="180"/>
      <c r="BV236" s="180"/>
      <c r="BW236" s="38"/>
      <c r="BZ236" s="179"/>
      <c r="CC236" s="180"/>
      <c r="CD236" s="180"/>
      <c r="CE236" s="38"/>
      <c r="CH236" s="179"/>
      <c r="CK236" s="180"/>
      <c r="CL236" s="180"/>
      <c r="CM236" s="38"/>
      <c r="CP236" s="179"/>
      <c r="CS236" s="180"/>
      <c r="CT236" s="180"/>
      <c r="CX236" s="179"/>
      <c r="DA236" s="180"/>
      <c r="DB236" s="180"/>
      <c r="DF236" s="179"/>
      <c r="DI236" s="180"/>
      <c r="DJ236" s="180"/>
      <c r="DN236" s="179"/>
      <c r="DQ236" s="180"/>
      <c r="DR236" s="180"/>
      <c r="DV236" s="179"/>
      <c r="DY236" s="180"/>
      <c r="DZ236" s="180"/>
      <c r="ED236" s="179"/>
      <c r="EG236" s="180"/>
      <c r="EH236" s="180"/>
      <c r="EL236" s="179"/>
      <c r="EO236" s="180"/>
      <c r="EP236" s="180"/>
      <c r="ET236" s="179"/>
      <c r="EW236" s="180"/>
      <c r="EX236" s="180"/>
      <c r="FB236" s="179"/>
      <c r="FE236" s="180"/>
      <c r="FF236" s="180"/>
    </row>
    <row r="237" spans="1:162" ht="11.25" customHeight="1" outlineLevel="1" x14ac:dyDescent="0.2">
      <c r="A237" s="219"/>
      <c r="B237" s="4" t="s">
        <v>82</v>
      </c>
      <c r="C237" s="38"/>
      <c r="F237" s="179"/>
      <c r="I237" s="180"/>
      <c r="J237" s="180">
        <v>129</v>
      </c>
      <c r="K237" s="38"/>
      <c r="N237" s="179"/>
      <c r="O237" s="4">
        <v>67</v>
      </c>
      <c r="P237" s="4">
        <f>R237-O237</f>
        <v>62</v>
      </c>
      <c r="Q237" s="180"/>
      <c r="R237" s="180">
        <v>129</v>
      </c>
      <c r="S237" s="38"/>
      <c r="V237" s="179"/>
      <c r="W237" s="4">
        <v>67</v>
      </c>
      <c r="X237" s="4">
        <f>Z237-W237</f>
        <v>66</v>
      </c>
      <c r="Y237" s="180"/>
      <c r="Z237" s="180">
        <v>133</v>
      </c>
      <c r="AA237" s="38"/>
      <c r="AD237" s="179"/>
      <c r="AE237" s="4">
        <v>72</v>
      </c>
      <c r="AG237" s="180"/>
      <c r="AH237" s="180"/>
      <c r="AI237" s="38"/>
      <c r="AL237" s="179"/>
      <c r="AO237" s="180"/>
      <c r="AP237" s="180"/>
      <c r="AQ237" s="38"/>
      <c r="AT237" s="179"/>
      <c r="AW237" s="180"/>
      <c r="AX237" s="180"/>
      <c r="AY237" s="38"/>
      <c r="BB237" s="179"/>
      <c r="BE237" s="180"/>
      <c r="BF237" s="180"/>
      <c r="BG237" s="38"/>
      <c r="BJ237" s="179"/>
      <c r="BM237" s="180"/>
      <c r="BN237" s="180"/>
      <c r="BO237" s="38"/>
      <c r="BR237" s="179"/>
      <c r="BU237" s="180"/>
      <c r="BV237" s="180"/>
      <c r="BW237" s="38"/>
      <c r="BZ237" s="179"/>
      <c r="CC237" s="180"/>
      <c r="CD237" s="180"/>
      <c r="CE237" s="38"/>
      <c r="CH237" s="179"/>
      <c r="CK237" s="180"/>
      <c r="CL237" s="180"/>
      <c r="CM237" s="38"/>
      <c r="CP237" s="179"/>
      <c r="CS237" s="180"/>
      <c r="CT237" s="180"/>
      <c r="CX237" s="179"/>
      <c r="DA237" s="180"/>
      <c r="DB237" s="180"/>
      <c r="DF237" s="179"/>
      <c r="DI237" s="180"/>
      <c r="DJ237" s="180"/>
      <c r="DN237" s="179"/>
      <c r="DQ237" s="180"/>
      <c r="DR237" s="180"/>
      <c r="DV237" s="179"/>
      <c r="DY237" s="180"/>
      <c r="DZ237" s="180"/>
      <c r="ED237" s="179"/>
      <c r="EG237" s="180"/>
      <c r="EH237" s="180"/>
      <c r="EL237" s="179"/>
      <c r="EO237" s="180"/>
      <c r="EP237" s="180"/>
      <c r="ET237" s="179"/>
      <c r="EW237" s="180"/>
      <c r="EX237" s="180"/>
      <c r="FB237" s="179"/>
      <c r="FE237" s="180"/>
      <c r="FF237" s="180"/>
    </row>
    <row r="238" spans="1:162" ht="11.25" customHeight="1" outlineLevel="1" x14ac:dyDescent="0.2">
      <c r="A238" s="186" t="s">
        <v>378</v>
      </c>
      <c r="C238" s="38"/>
      <c r="F238" s="179"/>
      <c r="I238" s="180"/>
      <c r="J238" s="180">
        <f>J233+J234+J236+J237</f>
        <v>1289</v>
      </c>
      <c r="K238" s="38"/>
      <c r="N238" s="179"/>
      <c r="O238" s="4">
        <f>O233+O234+O236+O237</f>
        <v>709</v>
      </c>
      <c r="P238" s="4">
        <f>P233+P234+P236+P237</f>
        <v>755</v>
      </c>
      <c r="Q238" s="180"/>
      <c r="R238" s="180">
        <f>R233+R234+R236+R237</f>
        <v>1464</v>
      </c>
      <c r="S238" s="38"/>
      <c r="V238" s="179"/>
      <c r="W238" s="4">
        <f>W233+W234+W236+W237</f>
        <v>681</v>
      </c>
      <c r="X238" s="4">
        <f>X233+X234+X236+X237</f>
        <v>675</v>
      </c>
      <c r="Y238" s="180"/>
      <c r="Z238" s="180">
        <f>Z233+Z234+Z236+Z237</f>
        <v>1356</v>
      </c>
      <c r="AA238" s="38"/>
      <c r="AD238" s="179"/>
      <c r="AE238" s="4">
        <f>AE233+AE234+AE236+AE237</f>
        <v>613</v>
      </c>
      <c r="AG238" s="180"/>
      <c r="AH238" s="180">
        <f>AH233+AH234+AH236+AH237</f>
        <v>1106</v>
      </c>
      <c r="AI238" s="38"/>
      <c r="AL238" s="179"/>
      <c r="AM238" s="4">
        <f>AM233+AM234+AM236+AM237</f>
        <v>507</v>
      </c>
      <c r="AO238" s="180"/>
      <c r="AP238" s="180"/>
      <c r="AQ238" s="38"/>
      <c r="AT238" s="179"/>
      <c r="AU238" s="4">
        <f>SUM(AU233:AU237)</f>
        <v>539</v>
      </c>
      <c r="AW238" s="180"/>
      <c r="AX238" s="180"/>
      <c r="AY238" s="38"/>
      <c r="BB238" s="179"/>
      <c r="BC238" s="4">
        <f>SUM(BC233:BC237)</f>
        <v>565</v>
      </c>
      <c r="BE238" s="180"/>
      <c r="BF238" s="180"/>
      <c r="BG238" s="38"/>
      <c r="BJ238" s="179"/>
      <c r="BM238" s="180"/>
      <c r="BN238" s="180"/>
      <c r="BO238" s="38"/>
      <c r="BR238" s="179"/>
      <c r="BU238" s="180"/>
      <c r="BV238" s="180"/>
      <c r="BW238" s="38"/>
      <c r="BZ238" s="179"/>
      <c r="CC238" s="180"/>
      <c r="CD238" s="180"/>
      <c r="CE238" s="38"/>
      <c r="CH238" s="179"/>
      <c r="CK238" s="180"/>
      <c r="CL238" s="180"/>
      <c r="CM238" s="38"/>
      <c r="CP238" s="179"/>
      <c r="CS238" s="180"/>
      <c r="CT238" s="180"/>
      <c r="CX238" s="179"/>
      <c r="DA238" s="180"/>
      <c r="DB238" s="180"/>
      <c r="DF238" s="179"/>
      <c r="DI238" s="180"/>
      <c r="DJ238" s="180"/>
      <c r="DN238" s="179"/>
      <c r="DQ238" s="180"/>
      <c r="DR238" s="180"/>
      <c r="DV238" s="179"/>
      <c r="DY238" s="180"/>
      <c r="DZ238" s="180"/>
      <c r="ED238" s="179"/>
      <c r="EG238" s="180"/>
      <c r="EH238" s="180"/>
      <c r="EL238" s="179"/>
      <c r="EO238" s="180"/>
      <c r="EP238" s="180"/>
      <c r="ET238" s="179"/>
      <c r="EW238" s="180"/>
      <c r="EX238" s="180"/>
      <c r="FB238" s="179"/>
      <c r="FE238" s="180"/>
      <c r="FF238" s="180"/>
    </row>
    <row r="239" spans="1:162" ht="11.25" customHeight="1" outlineLevel="1" x14ac:dyDescent="0.2">
      <c r="A239" s="186"/>
      <c r="B239" s="197" t="s">
        <v>379</v>
      </c>
      <c r="C239" s="38"/>
      <c r="F239" s="179"/>
      <c r="I239" s="180"/>
      <c r="J239" s="180">
        <f>J238/J11</f>
        <v>8.9744482350483878E-2</v>
      </c>
      <c r="K239" s="38"/>
      <c r="N239" s="179"/>
      <c r="O239" s="4">
        <f>O238/O11</f>
        <v>9.8362930077691452E-2</v>
      </c>
      <c r="P239" s="4">
        <f>P238/P11</f>
        <v>9.2672149257395364E-2</v>
      </c>
      <c r="Q239" s="180"/>
      <c r="R239" s="180">
        <f>R238/R11</f>
        <v>9.534353630739173E-2</v>
      </c>
      <c r="S239" s="38"/>
      <c r="V239" s="179"/>
      <c r="W239" s="4">
        <f>W238/W11</f>
        <v>8.1042484826847561E-2</v>
      </c>
      <c r="X239" s="4">
        <f>X238/X11</f>
        <v>7.4908445233603377E-2</v>
      </c>
      <c r="Y239" s="180"/>
      <c r="Z239" s="180">
        <f>Z238/Z11</f>
        <v>7.7868381761800845E-2</v>
      </c>
      <c r="AA239" s="38"/>
      <c r="AD239" s="179"/>
      <c r="AE239" s="4">
        <f>AE238/AE11</f>
        <v>6.859892569382274E-2</v>
      </c>
      <c r="AG239" s="180"/>
      <c r="AH239" s="180">
        <f>AH238/AH11</f>
        <v>7.0084278562828714E-2</v>
      </c>
      <c r="AI239" s="38"/>
      <c r="AL239" s="179"/>
      <c r="AM239" s="4">
        <f>AM238/AM11</f>
        <v>6.3075391888529481E-2</v>
      </c>
      <c r="AO239" s="180"/>
      <c r="AP239" s="180"/>
      <c r="AQ239" s="38"/>
      <c r="AT239" s="179"/>
      <c r="AU239" s="4">
        <f>AU238/AU11</f>
        <v>7.0273794002607567E-2</v>
      </c>
      <c r="AW239" s="180"/>
      <c r="AX239" s="180"/>
      <c r="AY239" s="38"/>
      <c r="BB239" s="179"/>
      <c r="BC239" s="4">
        <f>BC238/BC11</f>
        <v>5.9436145592257524E-2</v>
      </c>
      <c r="BE239" s="180"/>
      <c r="BF239" s="180"/>
      <c r="BG239" s="38"/>
      <c r="BJ239" s="179"/>
      <c r="BM239" s="180"/>
      <c r="BN239" s="180"/>
      <c r="BO239" s="38"/>
      <c r="BR239" s="179"/>
      <c r="BU239" s="180"/>
      <c r="BV239" s="180"/>
      <c r="BW239" s="38"/>
      <c r="BZ239" s="179"/>
      <c r="CC239" s="180"/>
      <c r="CD239" s="180"/>
      <c r="CE239" s="38"/>
      <c r="CH239" s="179"/>
      <c r="CK239" s="180"/>
      <c r="CL239" s="180"/>
      <c r="CM239" s="38"/>
      <c r="CP239" s="179"/>
      <c r="CS239" s="180"/>
      <c r="CT239" s="180"/>
      <c r="CX239" s="179"/>
      <c r="DA239" s="180"/>
      <c r="DB239" s="180"/>
      <c r="DF239" s="179"/>
      <c r="DI239" s="180"/>
      <c r="DJ239" s="180"/>
      <c r="DN239" s="179"/>
      <c r="DQ239" s="180"/>
      <c r="DR239" s="180"/>
      <c r="DV239" s="179"/>
      <c r="DY239" s="180"/>
      <c r="DZ239" s="180"/>
      <c r="ED239" s="179"/>
      <c r="EG239" s="180"/>
      <c r="EH239" s="180"/>
      <c r="EL239" s="179"/>
      <c r="EO239" s="180"/>
      <c r="EP239" s="180"/>
      <c r="ET239" s="179"/>
      <c r="EW239" s="180"/>
      <c r="EX239" s="180"/>
      <c r="FB239" s="179"/>
      <c r="FE239" s="180"/>
      <c r="FF239" s="180"/>
    </row>
    <row r="240" spans="1:162" ht="11.25" customHeight="1" outlineLevel="1" x14ac:dyDescent="0.2">
      <c r="A240" s="4" t="s">
        <v>380</v>
      </c>
      <c r="C240" s="38"/>
      <c r="F240" s="179"/>
      <c r="I240" s="180"/>
      <c r="J240" s="180">
        <v>-136</v>
      </c>
      <c r="K240" s="38"/>
      <c r="N240" s="179"/>
      <c r="O240" s="4">
        <v>-73</v>
      </c>
      <c r="P240" s="4">
        <f>R240-O240</f>
        <v>-78</v>
      </c>
      <c r="Q240" s="180"/>
      <c r="R240" s="180">
        <v>-151</v>
      </c>
      <c r="S240" s="38"/>
      <c r="V240" s="179"/>
      <c r="W240" s="4">
        <v>-76</v>
      </c>
      <c r="X240" s="4">
        <f>Z240-W240</f>
        <v>-89</v>
      </c>
      <c r="Y240" s="180"/>
      <c r="Z240" s="180">
        <v>-165</v>
      </c>
      <c r="AA240" s="38"/>
      <c r="AD240" s="179"/>
      <c r="AE240" s="4">
        <v>-78</v>
      </c>
      <c r="AG240" s="180"/>
      <c r="AH240" s="180">
        <v>-139</v>
      </c>
      <c r="AI240" s="38"/>
      <c r="AL240" s="179"/>
      <c r="AM240" s="4">
        <v>-74</v>
      </c>
      <c r="AO240" s="180"/>
      <c r="AP240" s="180"/>
      <c r="AQ240" s="38"/>
      <c r="AT240" s="179"/>
      <c r="AU240" s="4">
        <v>-74</v>
      </c>
      <c r="AW240" s="180"/>
      <c r="AX240" s="180"/>
      <c r="AY240" s="38"/>
      <c r="BB240" s="179"/>
      <c r="BC240" s="4">
        <v>-72</v>
      </c>
      <c r="BE240" s="180"/>
      <c r="BF240" s="180"/>
      <c r="BG240" s="38"/>
      <c r="BJ240" s="179"/>
      <c r="BM240" s="180"/>
      <c r="BN240" s="180"/>
      <c r="BO240" s="38"/>
      <c r="BR240" s="179"/>
      <c r="BU240" s="180"/>
      <c r="BV240" s="180"/>
      <c r="BW240" s="38"/>
      <c r="BZ240" s="179"/>
      <c r="CC240" s="180"/>
      <c r="CD240" s="180"/>
      <c r="CE240" s="38"/>
      <c r="CH240" s="179"/>
      <c r="CK240" s="180"/>
      <c r="CL240" s="180"/>
      <c r="CM240" s="38"/>
      <c r="CP240" s="179"/>
      <c r="CS240" s="180"/>
      <c r="CT240" s="180"/>
      <c r="CX240" s="179"/>
      <c r="DA240" s="180"/>
      <c r="DB240" s="180"/>
      <c r="DF240" s="179"/>
      <c r="DI240" s="180"/>
      <c r="DJ240" s="180"/>
      <c r="DN240" s="179"/>
      <c r="DQ240" s="180"/>
      <c r="DR240" s="180"/>
      <c r="DV240" s="179"/>
      <c r="DY240" s="180"/>
      <c r="DZ240" s="180"/>
      <c r="ED240" s="179"/>
      <c r="EG240" s="180"/>
      <c r="EH240" s="180"/>
      <c r="EL240" s="179"/>
      <c r="EO240" s="180"/>
      <c r="EP240" s="180"/>
      <c r="ET240" s="179"/>
      <c r="EW240" s="180"/>
      <c r="EX240" s="180"/>
      <c r="FB240" s="179"/>
      <c r="FE240" s="180"/>
      <c r="FF240" s="180"/>
    </row>
    <row r="241" spans="1:162" ht="11.25" customHeight="1" outlineLevel="1" x14ac:dyDescent="0.2">
      <c r="A241" s="186" t="s">
        <v>381</v>
      </c>
      <c r="C241" s="38"/>
      <c r="F241" s="179"/>
      <c r="I241" s="180"/>
      <c r="J241" s="180">
        <f>J238+J240</f>
        <v>1153</v>
      </c>
      <c r="K241" s="38"/>
      <c r="N241" s="179"/>
      <c r="O241" s="4">
        <f>O238+O240</f>
        <v>636</v>
      </c>
      <c r="P241" s="4">
        <f>P238+P240</f>
        <v>677</v>
      </c>
      <c r="Q241" s="180"/>
      <c r="R241" s="180">
        <f>R238+R240</f>
        <v>1313</v>
      </c>
      <c r="S241" s="38"/>
      <c r="V241" s="179"/>
      <c r="W241" s="4">
        <f>W238+W240</f>
        <v>605</v>
      </c>
      <c r="X241" s="4">
        <f>X238+X240</f>
        <v>586</v>
      </c>
      <c r="Y241" s="180"/>
      <c r="Z241" s="180">
        <f>Z238+Z240</f>
        <v>1191</v>
      </c>
      <c r="AA241" s="38"/>
      <c r="AD241" s="179"/>
      <c r="AE241" s="4">
        <f>AE238+AE240</f>
        <v>535</v>
      </c>
      <c r="AG241" s="180"/>
      <c r="AH241" s="180">
        <f>AH238+AH240</f>
        <v>967</v>
      </c>
      <c r="AI241" s="38"/>
      <c r="AL241" s="179"/>
      <c r="AM241" s="4">
        <f>AM238+AM240</f>
        <v>433</v>
      </c>
      <c r="AO241" s="180"/>
      <c r="AP241" s="180"/>
      <c r="AQ241" s="38"/>
      <c r="AT241" s="179"/>
      <c r="AU241" s="4">
        <f>AU238+AU240</f>
        <v>465</v>
      </c>
      <c r="AW241" s="180"/>
      <c r="AX241" s="180"/>
      <c r="AY241" s="38"/>
      <c r="BB241" s="179"/>
      <c r="BC241" s="4">
        <f>BC238+BC240</f>
        <v>493</v>
      </c>
      <c r="BE241" s="180"/>
      <c r="BF241" s="180"/>
      <c r="BG241" s="38"/>
      <c r="BJ241" s="179"/>
      <c r="BM241" s="180"/>
      <c r="BN241" s="180"/>
      <c r="BO241" s="38"/>
      <c r="BR241" s="179"/>
      <c r="BU241" s="180"/>
      <c r="BV241" s="180"/>
      <c r="BW241" s="38"/>
      <c r="BZ241" s="179"/>
      <c r="CC241" s="180"/>
      <c r="CD241" s="180"/>
      <c r="CE241" s="38"/>
      <c r="CH241" s="179"/>
      <c r="CK241" s="180"/>
      <c r="CL241" s="180"/>
      <c r="CM241" s="38"/>
      <c r="CP241" s="179"/>
      <c r="CS241" s="180"/>
      <c r="CT241" s="180"/>
      <c r="CX241" s="179"/>
      <c r="DA241" s="180"/>
      <c r="DB241" s="180"/>
      <c r="DF241" s="179"/>
      <c r="DI241" s="180"/>
      <c r="DJ241" s="180"/>
      <c r="DN241" s="179"/>
      <c r="DQ241" s="180"/>
      <c r="DR241" s="180"/>
      <c r="DV241" s="179"/>
      <c r="DY241" s="180"/>
      <c r="DZ241" s="180"/>
      <c r="ED241" s="179"/>
      <c r="EG241" s="180"/>
      <c r="EH241" s="180"/>
      <c r="EL241" s="179"/>
      <c r="EO241" s="180"/>
      <c r="EP241" s="180"/>
      <c r="ET241" s="179"/>
      <c r="EW241" s="180"/>
      <c r="EX241" s="180"/>
      <c r="FB241" s="179"/>
      <c r="FE241" s="180"/>
      <c r="FF241" s="180"/>
    </row>
    <row r="242" spans="1:162" ht="11.25" customHeight="1" outlineLevel="1" x14ac:dyDescent="0.2">
      <c r="A242" s="186"/>
      <c r="C242" s="38"/>
      <c r="F242" s="179"/>
      <c r="I242" s="180"/>
      <c r="J242" s="180"/>
      <c r="K242" s="38"/>
      <c r="N242" s="179"/>
      <c r="Q242" s="180"/>
      <c r="R242" s="180"/>
      <c r="S242" s="38"/>
      <c r="V242" s="179"/>
      <c r="Y242" s="180"/>
      <c r="Z242" s="180"/>
      <c r="AA242" s="38"/>
      <c r="AD242" s="179"/>
      <c r="AG242" s="180"/>
      <c r="AH242" s="180"/>
      <c r="AI242" s="38"/>
      <c r="AL242" s="179"/>
      <c r="AO242" s="180"/>
      <c r="AP242" s="180"/>
      <c r="AQ242" s="38"/>
      <c r="AT242" s="179"/>
      <c r="AW242" s="180"/>
      <c r="AX242" s="180"/>
      <c r="AY242" s="38"/>
      <c r="BB242" s="179"/>
      <c r="BE242" s="180"/>
      <c r="BF242" s="180"/>
      <c r="BG242" s="38"/>
      <c r="BJ242" s="179"/>
      <c r="BM242" s="180"/>
      <c r="BN242" s="180"/>
      <c r="BO242" s="38"/>
      <c r="BR242" s="179"/>
      <c r="BU242" s="180"/>
      <c r="BV242" s="180"/>
      <c r="BW242" s="38"/>
      <c r="BZ242" s="179"/>
      <c r="CC242" s="180"/>
      <c r="CD242" s="180"/>
      <c r="CE242" s="38"/>
      <c r="CH242" s="179"/>
      <c r="CK242" s="180"/>
      <c r="CL242" s="180"/>
      <c r="CM242" s="38"/>
      <c r="CP242" s="179"/>
      <c r="CS242" s="180"/>
      <c r="CT242" s="180"/>
      <c r="CX242" s="179"/>
      <c r="DA242" s="180"/>
      <c r="DB242" s="180"/>
      <c r="DF242" s="179"/>
      <c r="DI242" s="180"/>
      <c r="DJ242" s="180"/>
      <c r="DN242" s="179"/>
      <c r="DQ242" s="180"/>
      <c r="DR242" s="180"/>
      <c r="DV242" s="179"/>
      <c r="DY242" s="180"/>
      <c r="DZ242" s="180"/>
      <c r="ED242" s="179"/>
      <c r="EG242" s="180"/>
      <c r="EH242" s="180"/>
      <c r="EL242" s="179"/>
      <c r="EO242" s="180"/>
      <c r="EP242" s="180"/>
      <c r="ET242" s="179"/>
      <c r="EW242" s="180"/>
      <c r="EX242" s="180"/>
      <c r="FB242" s="179"/>
      <c r="FE242" s="180"/>
      <c r="FF242" s="180"/>
    </row>
    <row r="243" spans="1:162" ht="11.25" customHeight="1" outlineLevel="1" x14ac:dyDescent="0.2">
      <c r="A243" s="186"/>
      <c r="B243" s="4" t="s">
        <v>68</v>
      </c>
      <c r="C243" s="38"/>
      <c r="F243" s="179"/>
      <c r="I243" s="180"/>
      <c r="J243" s="180">
        <v>-516</v>
      </c>
      <c r="K243" s="38"/>
      <c r="N243" s="179"/>
      <c r="O243" s="4">
        <v>-253</v>
      </c>
      <c r="P243" s="4">
        <f>R243-O243</f>
        <v>-222</v>
      </c>
      <c r="Q243" s="180"/>
      <c r="R243" s="180">
        <v>-475</v>
      </c>
      <c r="S243" s="38"/>
      <c r="V243" s="179"/>
      <c r="W243" s="4">
        <v>-182</v>
      </c>
      <c r="X243" s="4">
        <f>Z243-W243</f>
        <v>-175</v>
      </c>
      <c r="Y243" s="180"/>
      <c r="Z243" s="180">
        <v>-357</v>
      </c>
      <c r="AA243" s="38"/>
      <c r="AD243" s="179"/>
      <c r="AE243" s="4">
        <v>-103</v>
      </c>
      <c r="AG243" s="180"/>
      <c r="AH243" s="180">
        <v>-218</v>
      </c>
      <c r="AI243" s="38"/>
      <c r="AL243" s="179"/>
      <c r="AM243" s="4">
        <v>-78</v>
      </c>
      <c r="AO243" s="180"/>
      <c r="AP243" s="180"/>
      <c r="AQ243" s="38"/>
      <c r="AT243" s="179"/>
      <c r="AU243" s="4">
        <v>-81</v>
      </c>
      <c r="AW243" s="180"/>
      <c r="AX243" s="180"/>
      <c r="AY243" s="38"/>
      <c r="BB243" s="179"/>
      <c r="BC243" s="4">
        <v>-42</v>
      </c>
      <c r="BE243" s="180"/>
      <c r="BF243" s="180"/>
      <c r="BG243" s="38"/>
      <c r="BJ243" s="179"/>
      <c r="BM243" s="180"/>
      <c r="BN243" s="180"/>
      <c r="BO243" s="38"/>
      <c r="BR243" s="179"/>
      <c r="BU243" s="180"/>
      <c r="BV243" s="180"/>
      <c r="BW243" s="38"/>
      <c r="BZ243" s="179"/>
      <c r="CC243" s="180"/>
      <c r="CD243" s="180"/>
      <c r="CE243" s="38"/>
      <c r="CH243" s="179"/>
      <c r="CK243" s="180"/>
      <c r="CL243" s="180"/>
      <c r="CM243" s="38"/>
      <c r="CP243" s="179"/>
      <c r="CS243" s="180"/>
      <c r="CT243" s="180"/>
      <c r="CX243" s="179"/>
      <c r="DA243" s="180"/>
      <c r="DB243" s="180"/>
      <c r="DF243" s="179"/>
      <c r="DI243" s="180"/>
      <c r="DJ243" s="180"/>
      <c r="DN243" s="179"/>
      <c r="DQ243" s="180"/>
      <c r="DR243" s="180"/>
      <c r="DV243" s="179"/>
      <c r="DY243" s="180"/>
      <c r="DZ243" s="180"/>
      <c r="ED243" s="179"/>
      <c r="EG243" s="180"/>
      <c r="EH243" s="180"/>
      <c r="EL243" s="179"/>
      <c r="EO243" s="180"/>
      <c r="EP243" s="180"/>
      <c r="ET243" s="179"/>
      <c r="EW243" s="180"/>
      <c r="EX243" s="180"/>
      <c r="FB243" s="179"/>
      <c r="FE243" s="180"/>
      <c r="FF243" s="180"/>
    </row>
    <row r="244" spans="1:162" ht="11.25" customHeight="1" outlineLevel="1" x14ac:dyDescent="0.2">
      <c r="A244" s="186"/>
      <c r="B244" s="4" t="s">
        <v>69</v>
      </c>
      <c r="C244" s="38"/>
      <c r="F244" s="179"/>
      <c r="I244" s="180"/>
      <c r="J244" s="180">
        <v>-129</v>
      </c>
      <c r="K244" s="38"/>
      <c r="N244" s="179"/>
      <c r="O244" s="4">
        <v>-74</v>
      </c>
      <c r="P244" s="4">
        <f>R244-O244</f>
        <v>-48</v>
      </c>
      <c r="Q244" s="180"/>
      <c r="R244" s="180">
        <v>-122</v>
      </c>
      <c r="S244" s="38"/>
      <c r="V244" s="179"/>
      <c r="W244" s="4">
        <v>-44</v>
      </c>
      <c r="X244" s="4">
        <f>Z244-W244</f>
        <v>-54</v>
      </c>
      <c r="Y244" s="180"/>
      <c r="Z244" s="180">
        <v>-98</v>
      </c>
      <c r="AA244" s="38"/>
      <c r="AD244" s="179"/>
      <c r="AE244" s="4">
        <v>-39</v>
      </c>
      <c r="AG244" s="180"/>
      <c r="AH244" s="180">
        <v>-82</v>
      </c>
      <c r="AI244" s="38"/>
      <c r="AL244" s="179"/>
      <c r="AM244" s="4">
        <v>-32</v>
      </c>
      <c r="AO244" s="180"/>
      <c r="AP244" s="180"/>
      <c r="AQ244" s="38"/>
      <c r="AT244" s="179"/>
      <c r="AU244" s="4">
        <v>-58</v>
      </c>
      <c r="AW244" s="180"/>
      <c r="AX244" s="180"/>
      <c r="AY244" s="38"/>
      <c r="BB244" s="179"/>
      <c r="BC244" s="4">
        <v>-47</v>
      </c>
      <c r="BE244" s="180"/>
      <c r="BF244" s="180"/>
      <c r="BG244" s="38"/>
      <c r="BJ244" s="179"/>
      <c r="BM244" s="180"/>
      <c r="BN244" s="180"/>
      <c r="BO244" s="38"/>
      <c r="BR244" s="179"/>
      <c r="BU244" s="180"/>
      <c r="BV244" s="180"/>
      <c r="BW244" s="38"/>
      <c r="BZ244" s="179"/>
      <c r="CC244" s="180"/>
      <c r="CD244" s="180"/>
      <c r="CE244" s="38"/>
      <c r="CH244" s="179"/>
      <c r="CK244" s="180"/>
      <c r="CL244" s="180"/>
      <c r="CM244" s="38"/>
      <c r="CP244" s="179"/>
      <c r="CS244" s="180"/>
      <c r="CT244" s="180"/>
      <c r="CX244" s="179"/>
      <c r="DA244" s="180"/>
      <c r="DB244" s="180"/>
      <c r="DF244" s="179"/>
      <c r="DI244" s="180"/>
      <c r="DJ244" s="180"/>
      <c r="DN244" s="179"/>
      <c r="DQ244" s="180"/>
      <c r="DR244" s="180"/>
      <c r="DV244" s="179"/>
      <c r="DY244" s="180"/>
      <c r="DZ244" s="180"/>
      <c r="ED244" s="179"/>
      <c r="EG244" s="180"/>
      <c r="EH244" s="180"/>
      <c r="EL244" s="179"/>
      <c r="EO244" s="180"/>
      <c r="EP244" s="180"/>
      <c r="ET244" s="179"/>
      <c r="EW244" s="180"/>
      <c r="EX244" s="180"/>
      <c r="FB244" s="179"/>
      <c r="FE244" s="180"/>
      <c r="FF244" s="180"/>
    </row>
    <row r="245" spans="1:162" ht="11.25" customHeight="1" outlineLevel="1" x14ac:dyDescent="0.2">
      <c r="A245" s="186"/>
      <c r="B245" s="4" t="s">
        <v>81</v>
      </c>
      <c r="C245" s="38"/>
      <c r="F245" s="179"/>
      <c r="I245" s="180"/>
      <c r="J245" s="180"/>
      <c r="K245" s="38"/>
      <c r="N245" s="179"/>
      <c r="Q245" s="180"/>
      <c r="R245" s="180"/>
      <c r="S245" s="38"/>
      <c r="V245" s="179"/>
      <c r="Y245" s="180"/>
      <c r="Z245" s="180"/>
      <c r="AA245" s="38"/>
      <c r="AD245" s="179"/>
      <c r="AG245" s="180"/>
      <c r="AH245" s="180"/>
      <c r="AI245" s="38"/>
      <c r="AL245" s="179"/>
      <c r="AO245" s="180"/>
      <c r="AP245" s="180"/>
      <c r="AQ245" s="38"/>
      <c r="AT245" s="179"/>
      <c r="AW245" s="180"/>
      <c r="AX245" s="180"/>
      <c r="AY245" s="38"/>
      <c r="BB245" s="179"/>
      <c r="BC245" s="4">
        <v>-27</v>
      </c>
      <c r="BE245" s="180"/>
      <c r="BF245" s="180"/>
      <c r="BG245" s="38"/>
      <c r="BJ245" s="179"/>
      <c r="BM245" s="180"/>
      <c r="BN245" s="180"/>
      <c r="BO245" s="38"/>
      <c r="BR245" s="179"/>
      <c r="BU245" s="180"/>
      <c r="BV245" s="180"/>
      <c r="BW245" s="38"/>
      <c r="BZ245" s="179"/>
      <c r="CC245" s="180"/>
      <c r="CD245" s="180"/>
      <c r="CE245" s="38"/>
      <c r="CH245" s="179"/>
      <c r="CK245" s="180"/>
      <c r="CL245" s="180"/>
      <c r="CM245" s="38"/>
      <c r="CP245" s="179"/>
      <c r="CS245" s="180"/>
      <c r="CT245" s="180"/>
      <c r="CX245" s="179"/>
      <c r="DA245" s="180"/>
      <c r="DB245" s="180"/>
      <c r="DF245" s="179"/>
      <c r="DI245" s="180"/>
      <c r="DJ245" s="180"/>
      <c r="DN245" s="179"/>
      <c r="DQ245" s="180"/>
      <c r="DR245" s="180"/>
      <c r="DV245" s="179"/>
      <c r="DY245" s="180"/>
      <c r="DZ245" s="180"/>
      <c r="ED245" s="179"/>
      <c r="EG245" s="180"/>
      <c r="EH245" s="180"/>
      <c r="EL245" s="179"/>
      <c r="EO245" s="180"/>
      <c r="EP245" s="180"/>
      <c r="ET245" s="179"/>
      <c r="EW245" s="180"/>
      <c r="EX245" s="180"/>
      <c r="FB245" s="179"/>
      <c r="FE245" s="180"/>
      <c r="FF245" s="180"/>
    </row>
    <row r="246" spans="1:162" ht="11.25" customHeight="1" outlineLevel="1" x14ac:dyDescent="0.2">
      <c r="A246" s="186"/>
      <c r="B246" s="4" t="s">
        <v>263</v>
      </c>
      <c r="C246" s="38"/>
      <c r="F246" s="179"/>
      <c r="I246" s="180"/>
      <c r="J246" s="180">
        <v>-31</v>
      </c>
      <c r="K246" s="38"/>
      <c r="N246" s="179"/>
      <c r="O246" s="4">
        <v>-16</v>
      </c>
      <c r="P246" s="4">
        <f>R246-O246</f>
        <v>-10</v>
      </c>
      <c r="Q246" s="180"/>
      <c r="R246" s="180">
        <v>-26</v>
      </c>
      <c r="S246" s="38"/>
      <c r="V246" s="179"/>
      <c r="W246" s="4">
        <v>-10</v>
      </c>
      <c r="X246" s="4">
        <f>Z246-W246</f>
        <v>-14</v>
      </c>
      <c r="Y246" s="180"/>
      <c r="Z246" s="180">
        <v>-24</v>
      </c>
      <c r="AA246" s="38"/>
      <c r="AD246" s="179"/>
      <c r="AE246" s="4">
        <v>-18</v>
      </c>
      <c r="AG246" s="180"/>
      <c r="AH246" s="180">
        <v>-43</v>
      </c>
      <c r="AI246" s="38"/>
      <c r="AL246" s="179"/>
      <c r="AM246" s="4">
        <v>-25</v>
      </c>
      <c r="AO246" s="180"/>
      <c r="AP246" s="180"/>
      <c r="AQ246" s="38"/>
      <c r="AT246" s="179"/>
      <c r="AU246" s="4">
        <v>-28</v>
      </c>
      <c r="AW246" s="180"/>
      <c r="AX246" s="180"/>
      <c r="AY246" s="38"/>
      <c r="BB246" s="179"/>
      <c r="BC246" s="4">
        <v>-23</v>
      </c>
      <c r="BE246" s="180"/>
      <c r="BF246" s="180"/>
      <c r="BG246" s="38"/>
      <c r="BJ246" s="179"/>
      <c r="BM246" s="180"/>
      <c r="BN246" s="180"/>
      <c r="BO246" s="38"/>
      <c r="BR246" s="179"/>
      <c r="BU246" s="180"/>
      <c r="BV246" s="180"/>
      <c r="BW246" s="38"/>
      <c r="BZ246" s="179"/>
      <c r="CC246" s="180"/>
      <c r="CD246" s="180"/>
      <c r="CE246" s="38"/>
      <c r="CH246" s="179"/>
      <c r="CK246" s="180"/>
      <c r="CL246" s="180"/>
      <c r="CM246" s="38"/>
      <c r="CP246" s="179"/>
      <c r="CS246" s="180"/>
      <c r="CT246" s="180"/>
      <c r="CX246" s="179"/>
      <c r="DA246" s="180"/>
      <c r="DB246" s="180"/>
      <c r="DF246" s="179"/>
      <c r="DI246" s="180"/>
      <c r="DJ246" s="180"/>
      <c r="DN246" s="179"/>
      <c r="DQ246" s="180"/>
      <c r="DR246" s="180"/>
      <c r="DV246" s="179"/>
      <c r="DY246" s="180"/>
      <c r="DZ246" s="180"/>
      <c r="ED246" s="179"/>
      <c r="EG246" s="180"/>
      <c r="EH246" s="180"/>
      <c r="EL246" s="179"/>
      <c r="EO246" s="180"/>
      <c r="EP246" s="180"/>
      <c r="ET246" s="179"/>
      <c r="EW246" s="180"/>
      <c r="EX246" s="180"/>
      <c r="FB246" s="179"/>
      <c r="FE246" s="180"/>
      <c r="FF246" s="180"/>
    </row>
    <row r="247" spans="1:162" ht="11.25" customHeight="1" outlineLevel="1" x14ac:dyDescent="0.2">
      <c r="A247" s="186"/>
      <c r="B247" s="4" t="s">
        <v>82</v>
      </c>
      <c r="C247" s="38"/>
      <c r="F247" s="179"/>
      <c r="I247" s="180"/>
      <c r="J247" s="180">
        <v>-17</v>
      </c>
      <c r="K247" s="38"/>
      <c r="N247" s="179"/>
      <c r="O247" s="4">
        <v>-12</v>
      </c>
      <c r="P247" s="4">
        <f>R247-O247</f>
        <v>-9</v>
      </c>
      <c r="Q247" s="180"/>
      <c r="R247" s="180">
        <v>-21</v>
      </c>
      <c r="S247" s="38"/>
      <c r="V247" s="179"/>
      <c r="W247" s="4">
        <v>-7</v>
      </c>
      <c r="X247" s="4">
        <f>Z247-W247</f>
        <v>-9</v>
      </c>
      <c r="Y247" s="180"/>
      <c r="Z247" s="180">
        <v>-16</v>
      </c>
      <c r="AA247" s="38"/>
      <c r="AD247" s="179"/>
      <c r="AE247" s="4">
        <v>-8</v>
      </c>
      <c r="AG247" s="180"/>
      <c r="AH247" s="180"/>
      <c r="AI247" s="38"/>
      <c r="AL247" s="179"/>
      <c r="AO247" s="180"/>
      <c r="AP247" s="180"/>
      <c r="AQ247" s="38"/>
      <c r="AT247" s="179"/>
      <c r="AW247" s="180"/>
      <c r="AX247" s="180"/>
      <c r="AY247" s="38"/>
      <c r="BB247" s="179"/>
      <c r="BE247" s="180"/>
      <c r="BF247" s="180"/>
      <c r="BG247" s="38"/>
      <c r="BJ247" s="179"/>
      <c r="BM247" s="180"/>
      <c r="BN247" s="180"/>
      <c r="BO247" s="38"/>
      <c r="BR247" s="179"/>
      <c r="BU247" s="180"/>
      <c r="BV247" s="180"/>
      <c r="BW247" s="38"/>
      <c r="BZ247" s="179"/>
      <c r="CC247" s="180"/>
      <c r="CD247" s="180"/>
      <c r="CE247" s="38"/>
      <c r="CH247" s="179"/>
      <c r="CK247" s="180"/>
      <c r="CL247" s="180"/>
      <c r="CM247" s="38"/>
      <c r="CP247" s="179"/>
      <c r="CS247" s="180"/>
      <c r="CT247" s="180"/>
      <c r="CX247" s="179"/>
      <c r="DA247" s="180"/>
      <c r="DB247" s="180"/>
      <c r="DF247" s="179"/>
      <c r="DI247" s="180"/>
      <c r="DJ247" s="180"/>
      <c r="DN247" s="179"/>
      <c r="DQ247" s="180"/>
      <c r="DR247" s="180"/>
      <c r="DV247" s="179"/>
      <c r="DY247" s="180"/>
      <c r="DZ247" s="180"/>
      <c r="ED247" s="179"/>
      <c r="EG247" s="180"/>
      <c r="EH247" s="180"/>
      <c r="EL247" s="179"/>
      <c r="EO247" s="180"/>
      <c r="EP247" s="180"/>
      <c r="ET247" s="179"/>
      <c r="EW247" s="180"/>
      <c r="EX247" s="180"/>
      <c r="FB247" s="179"/>
      <c r="FE247" s="180"/>
      <c r="FF247" s="180"/>
    </row>
    <row r="248" spans="1:162" ht="11.25" customHeight="1" outlineLevel="1" x14ac:dyDescent="0.2">
      <c r="A248" s="186" t="s">
        <v>382</v>
      </c>
      <c r="C248" s="38"/>
      <c r="F248" s="179"/>
      <c r="I248" s="180"/>
      <c r="J248" s="180">
        <f>J243+J244+J246+J247</f>
        <v>-693</v>
      </c>
      <c r="K248" s="38"/>
      <c r="N248" s="179"/>
      <c r="O248" s="4">
        <f>O243+O244+O246+O247</f>
        <v>-355</v>
      </c>
      <c r="P248" s="4">
        <f>P243+P244+P246+P247</f>
        <v>-289</v>
      </c>
      <c r="Q248" s="180"/>
      <c r="R248" s="180">
        <f>R243+R244+R246+R247</f>
        <v>-644</v>
      </c>
      <c r="S248" s="38"/>
      <c r="V248" s="179"/>
      <c r="W248" s="4">
        <f>W243+W244+W246+W247</f>
        <v>-243</v>
      </c>
      <c r="X248" s="4">
        <f>X243+X244+X246+X247</f>
        <v>-252</v>
      </c>
      <c r="Y248" s="180"/>
      <c r="Z248" s="180">
        <f>Z243+Z244+Z246+Z247</f>
        <v>-495</v>
      </c>
      <c r="AA248" s="38"/>
      <c r="AD248" s="179"/>
      <c r="AE248" s="4">
        <f>AE243+AE244+AE246+AE247</f>
        <v>-168</v>
      </c>
      <c r="AG248" s="180"/>
      <c r="AH248" s="180">
        <f>AH243+AH244+AH246+AH247</f>
        <v>-343</v>
      </c>
      <c r="AI248" s="38"/>
      <c r="AL248" s="179"/>
      <c r="AM248" s="4">
        <f>AM243+AM244+AM246+AM247</f>
        <v>-135</v>
      </c>
      <c r="AO248" s="180"/>
      <c r="AP248" s="180"/>
      <c r="AQ248" s="38"/>
      <c r="AT248" s="179"/>
      <c r="AU248" s="4">
        <f>SUM(AU243:AU247)</f>
        <v>-167</v>
      </c>
      <c r="AW248" s="180"/>
      <c r="AX248" s="180"/>
      <c r="AY248" s="38"/>
      <c r="BB248" s="179"/>
      <c r="BC248" s="4">
        <f>SUM(BC243:BC247)</f>
        <v>-139</v>
      </c>
      <c r="BE248" s="180"/>
      <c r="BF248" s="180"/>
      <c r="BG248" s="38"/>
      <c r="BJ248" s="179"/>
      <c r="BM248" s="180"/>
      <c r="BN248" s="180"/>
      <c r="BO248" s="38"/>
      <c r="BR248" s="179"/>
      <c r="BU248" s="180"/>
      <c r="BV248" s="180"/>
      <c r="BW248" s="38"/>
      <c r="BZ248" s="179"/>
      <c r="CC248" s="180"/>
      <c r="CD248" s="180"/>
      <c r="CE248" s="38"/>
      <c r="CH248" s="179"/>
      <c r="CK248" s="180"/>
      <c r="CL248" s="180"/>
      <c r="CM248" s="38"/>
      <c r="CP248" s="179"/>
      <c r="CS248" s="180"/>
      <c r="CT248" s="180"/>
      <c r="CX248" s="179"/>
      <c r="DA248" s="180"/>
      <c r="DB248" s="180"/>
      <c r="DF248" s="179"/>
      <c r="DI248" s="180"/>
      <c r="DJ248" s="180"/>
      <c r="DN248" s="179"/>
      <c r="DQ248" s="180"/>
      <c r="DR248" s="180"/>
      <c r="DV248" s="179"/>
      <c r="DY248" s="180"/>
      <c r="DZ248" s="180"/>
      <c r="ED248" s="179"/>
      <c r="EG248" s="180"/>
      <c r="EH248" s="180"/>
      <c r="EL248" s="179"/>
      <c r="EO248" s="180"/>
      <c r="EP248" s="180"/>
      <c r="ET248" s="179"/>
      <c r="EW248" s="180"/>
      <c r="EX248" s="180"/>
      <c r="FB248" s="179"/>
      <c r="FE248" s="180"/>
      <c r="FF248" s="180"/>
    </row>
    <row r="249" spans="1:162" ht="11.25" customHeight="1" outlineLevel="1" x14ac:dyDescent="0.2">
      <c r="A249" s="186"/>
      <c r="B249" s="197" t="s">
        <v>383</v>
      </c>
      <c r="C249" s="38"/>
      <c r="F249" s="179"/>
      <c r="I249" s="180"/>
      <c r="J249" s="180">
        <f>-J248/J238</f>
        <v>0.53762606671838631</v>
      </c>
      <c r="K249" s="38"/>
      <c r="N249" s="179"/>
      <c r="O249" s="4">
        <f>-O248/O238</f>
        <v>0.50070521861777151</v>
      </c>
      <c r="P249" s="4">
        <f>-P248/P238</f>
        <v>0.38278145695364241</v>
      </c>
      <c r="Q249" s="180"/>
      <c r="R249" s="180">
        <f>-R248/R238</f>
        <v>0.43989071038251365</v>
      </c>
      <c r="S249" s="38"/>
      <c r="V249" s="179"/>
      <c r="W249" s="4">
        <f>-W248/W238</f>
        <v>0.35682819383259912</v>
      </c>
      <c r="X249" s="4">
        <f>-X248/X238</f>
        <v>0.37333333333333335</v>
      </c>
      <c r="Y249" s="180"/>
      <c r="Z249" s="180">
        <f>-Z248/Z238</f>
        <v>0.36504424778761063</v>
      </c>
      <c r="AA249" s="38"/>
      <c r="AD249" s="179"/>
      <c r="AE249" s="4">
        <f>-AE248/AE238</f>
        <v>0.27406199021207178</v>
      </c>
      <c r="AG249" s="180"/>
      <c r="AH249" s="180">
        <f>-AH248/AH238</f>
        <v>0.310126582278481</v>
      </c>
      <c r="AI249" s="38"/>
      <c r="AL249" s="179"/>
      <c r="AM249" s="4">
        <f>-AM248/AM238</f>
        <v>0.26627218934911245</v>
      </c>
      <c r="AO249" s="180"/>
      <c r="AP249" s="180"/>
      <c r="AQ249" s="38"/>
      <c r="AT249" s="179"/>
      <c r="AW249" s="180"/>
      <c r="AX249" s="180"/>
      <c r="AY249" s="38"/>
      <c r="BB249" s="179"/>
      <c r="BE249" s="180"/>
      <c r="BF249" s="180"/>
      <c r="BG249" s="38"/>
      <c r="BJ249" s="179"/>
      <c r="BM249" s="180"/>
      <c r="BN249" s="180"/>
      <c r="BO249" s="38"/>
      <c r="BR249" s="179"/>
      <c r="BU249" s="180"/>
      <c r="BV249" s="180"/>
      <c r="BW249" s="38"/>
      <c r="BZ249" s="179"/>
      <c r="CC249" s="180"/>
      <c r="CD249" s="180"/>
      <c r="CE249" s="38"/>
      <c r="CH249" s="179"/>
      <c r="CK249" s="180"/>
      <c r="CL249" s="180"/>
      <c r="CM249" s="38"/>
      <c r="CP249" s="179"/>
      <c r="CS249" s="180"/>
      <c r="CT249" s="180"/>
      <c r="CX249" s="179"/>
      <c r="DA249" s="180"/>
      <c r="DB249" s="180"/>
      <c r="DF249" s="179"/>
      <c r="DI249" s="180"/>
      <c r="DJ249" s="180"/>
      <c r="DN249" s="179"/>
      <c r="DQ249" s="180"/>
      <c r="DR249" s="180"/>
      <c r="DV249" s="179"/>
      <c r="DY249" s="180"/>
      <c r="DZ249" s="180"/>
      <c r="ED249" s="179"/>
      <c r="EG249" s="180"/>
      <c r="EH249" s="180"/>
      <c r="EL249" s="179"/>
      <c r="EO249" s="180"/>
      <c r="EP249" s="180"/>
      <c r="ET249" s="179"/>
      <c r="EW249" s="180"/>
      <c r="EX249" s="180"/>
      <c r="FB249" s="179"/>
      <c r="FE249" s="180"/>
      <c r="FF249" s="180"/>
    </row>
    <row r="250" spans="1:162" ht="11.25" customHeight="1" outlineLevel="1" x14ac:dyDescent="0.2">
      <c r="A250" s="186"/>
      <c r="B250" s="197"/>
      <c r="C250" s="38"/>
      <c r="F250" s="179"/>
      <c r="I250" s="180"/>
      <c r="J250" s="180"/>
      <c r="K250" s="38"/>
      <c r="N250" s="179"/>
      <c r="Q250" s="180"/>
      <c r="R250" s="180"/>
      <c r="S250" s="38"/>
      <c r="V250" s="179"/>
      <c r="Y250" s="180"/>
      <c r="Z250" s="180"/>
      <c r="AA250" s="38"/>
      <c r="AD250" s="179"/>
      <c r="AG250" s="180"/>
      <c r="AH250" s="180"/>
      <c r="AI250" s="38"/>
      <c r="AL250" s="179"/>
      <c r="AO250" s="180"/>
      <c r="AP250" s="180"/>
      <c r="AQ250" s="38"/>
      <c r="AT250" s="179"/>
      <c r="AW250" s="180"/>
      <c r="AX250" s="180"/>
      <c r="AY250" s="38"/>
      <c r="BB250" s="179"/>
      <c r="BE250" s="180"/>
      <c r="BF250" s="180"/>
      <c r="BG250" s="38"/>
      <c r="BJ250" s="179"/>
      <c r="BM250" s="180"/>
      <c r="BN250" s="180"/>
      <c r="BO250" s="38"/>
      <c r="BR250" s="179"/>
      <c r="BU250" s="180"/>
      <c r="BV250" s="180"/>
      <c r="BW250" s="38"/>
      <c r="BZ250" s="179"/>
      <c r="CC250" s="180"/>
      <c r="CD250" s="180"/>
      <c r="CE250" s="38"/>
      <c r="CH250" s="179"/>
      <c r="CK250" s="180"/>
      <c r="CL250" s="180"/>
      <c r="CM250" s="38"/>
      <c r="CP250" s="179"/>
      <c r="CS250" s="180"/>
      <c r="CT250" s="180"/>
      <c r="CX250" s="179"/>
      <c r="DA250" s="180"/>
      <c r="DB250" s="180"/>
      <c r="DF250" s="179"/>
      <c r="DI250" s="180"/>
      <c r="DJ250" s="180"/>
      <c r="DN250" s="179"/>
      <c r="DQ250" s="180"/>
      <c r="DR250" s="180"/>
      <c r="DV250" s="179"/>
      <c r="DY250" s="180"/>
      <c r="DZ250" s="180"/>
      <c r="ED250" s="179"/>
      <c r="EG250" s="180"/>
      <c r="EH250" s="180"/>
      <c r="EL250" s="179"/>
      <c r="EO250" s="180"/>
      <c r="EP250" s="180"/>
      <c r="ET250" s="179"/>
      <c r="EW250" s="180"/>
      <c r="EX250" s="180"/>
      <c r="FB250" s="179"/>
      <c r="FE250" s="180"/>
      <c r="FF250" s="180"/>
    </row>
    <row r="251" spans="1:162" ht="11.25" customHeight="1" outlineLevel="1" x14ac:dyDescent="0.2">
      <c r="A251" s="4" t="s">
        <v>384</v>
      </c>
      <c r="B251" s="197"/>
      <c r="C251" s="38"/>
      <c r="F251" s="179"/>
      <c r="I251" s="180"/>
      <c r="J251" s="180">
        <v>76</v>
      </c>
      <c r="K251" s="38"/>
      <c r="N251" s="179"/>
      <c r="O251" s="4">
        <v>39</v>
      </c>
      <c r="P251" s="4">
        <f>R251-O251</f>
        <v>39</v>
      </c>
      <c r="Q251" s="180"/>
      <c r="R251" s="180">
        <v>78</v>
      </c>
      <c r="S251" s="38"/>
      <c r="V251" s="179"/>
      <c r="W251" s="4">
        <v>45</v>
      </c>
      <c r="X251" s="4">
        <f>Z251-W251</f>
        <v>50</v>
      </c>
      <c r="Y251" s="180"/>
      <c r="Z251" s="180">
        <v>95</v>
      </c>
      <c r="AA251" s="38"/>
      <c r="AD251" s="179"/>
      <c r="AE251" s="4">
        <v>52</v>
      </c>
      <c r="AG251" s="180"/>
      <c r="AH251" s="180">
        <v>104</v>
      </c>
      <c r="AI251" s="38"/>
      <c r="AL251" s="179"/>
      <c r="AM251" s="4">
        <v>65</v>
      </c>
      <c r="AO251" s="180"/>
      <c r="AP251" s="180"/>
      <c r="AQ251" s="38"/>
      <c r="AT251" s="179"/>
      <c r="AU251" s="4">
        <v>76</v>
      </c>
      <c r="AW251" s="180"/>
      <c r="AX251" s="180"/>
      <c r="AY251" s="38"/>
      <c r="BB251" s="179"/>
      <c r="BC251" s="4">
        <v>104</v>
      </c>
      <c r="BE251" s="180"/>
      <c r="BF251" s="180"/>
      <c r="BG251" s="38"/>
      <c r="BJ251" s="179"/>
      <c r="BM251" s="180"/>
      <c r="BN251" s="180"/>
      <c r="BO251" s="38"/>
      <c r="BR251" s="179"/>
      <c r="BU251" s="180"/>
      <c r="BV251" s="180"/>
      <c r="BW251" s="38"/>
      <c r="BZ251" s="179"/>
      <c r="CC251" s="180"/>
      <c r="CD251" s="180"/>
      <c r="CE251" s="38"/>
      <c r="CH251" s="179"/>
      <c r="CK251" s="180"/>
      <c r="CL251" s="180"/>
      <c r="CM251" s="38"/>
      <c r="CP251" s="179"/>
      <c r="CS251" s="180"/>
      <c r="CT251" s="180"/>
      <c r="CX251" s="179"/>
      <c r="DA251" s="180"/>
      <c r="DB251" s="180"/>
      <c r="DF251" s="179"/>
      <c r="DI251" s="180"/>
      <c r="DJ251" s="180"/>
      <c r="DN251" s="179"/>
      <c r="DQ251" s="180"/>
      <c r="DR251" s="180"/>
      <c r="DV251" s="179"/>
      <c r="DY251" s="180"/>
      <c r="DZ251" s="180"/>
      <c r="ED251" s="179"/>
      <c r="EG251" s="180"/>
      <c r="EH251" s="180"/>
      <c r="EL251" s="179"/>
      <c r="EO251" s="180"/>
      <c r="EP251" s="180"/>
      <c r="ET251" s="179"/>
      <c r="EW251" s="180"/>
      <c r="EX251" s="180"/>
      <c r="FB251" s="179"/>
      <c r="FE251" s="180"/>
      <c r="FF251" s="180"/>
    </row>
    <row r="252" spans="1:162" ht="11.25" customHeight="1" outlineLevel="1" x14ac:dyDescent="0.2">
      <c r="B252" s="197"/>
      <c r="C252" s="38"/>
      <c r="F252" s="179"/>
      <c r="I252" s="180"/>
      <c r="J252" s="180"/>
      <c r="K252" s="38"/>
      <c r="N252" s="179"/>
      <c r="Q252" s="180"/>
      <c r="R252" s="180"/>
      <c r="S252" s="38"/>
      <c r="V252" s="179"/>
      <c r="Y252" s="180"/>
      <c r="Z252" s="180"/>
      <c r="AA252" s="38"/>
      <c r="AD252" s="179"/>
      <c r="AG252" s="180"/>
      <c r="AH252" s="180"/>
      <c r="AI252" s="38"/>
      <c r="AL252" s="179"/>
      <c r="AO252" s="180"/>
      <c r="AP252" s="180"/>
      <c r="AQ252" s="38"/>
      <c r="AT252" s="179"/>
      <c r="AW252" s="180"/>
      <c r="AX252" s="180"/>
      <c r="AY252" s="38"/>
      <c r="BB252" s="179"/>
      <c r="BE252" s="180"/>
      <c r="BF252" s="180"/>
      <c r="BG252" s="38"/>
      <c r="BJ252" s="179"/>
      <c r="BM252" s="180"/>
      <c r="BN252" s="180"/>
      <c r="BO252" s="38"/>
      <c r="BR252" s="179"/>
      <c r="BU252" s="180"/>
      <c r="BV252" s="180"/>
      <c r="BW252" s="38"/>
      <c r="BZ252" s="179"/>
      <c r="CC252" s="180"/>
      <c r="CD252" s="180"/>
      <c r="CE252" s="38"/>
      <c r="CH252" s="179"/>
      <c r="CK252" s="180"/>
      <c r="CL252" s="180"/>
      <c r="CM252" s="38"/>
      <c r="CP252" s="179"/>
      <c r="CS252" s="180"/>
      <c r="CT252" s="180"/>
      <c r="CX252" s="179"/>
      <c r="DA252" s="180"/>
      <c r="DB252" s="180"/>
      <c r="DF252" s="179"/>
      <c r="DI252" s="180"/>
      <c r="DJ252" s="180"/>
      <c r="DN252" s="179"/>
      <c r="DQ252" s="180"/>
      <c r="DR252" s="180"/>
      <c r="DV252" s="179"/>
      <c r="DY252" s="180"/>
      <c r="DZ252" s="180"/>
      <c r="ED252" s="179"/>
      <c r="EG252" s="180"/>
      <c r="EH252" s="180"/>
      <c r="EL252" s="179"/>
      <c r="EO252" s="180"/>
      <c r="EP252" s="180"/>
      <c r="ET252" s="179"/>
      <c r="EW252" s="180"/>
      <c r="EX252" s="180"/>
      <c r="FB252" s="179"/>
      <c r="FE252" s="180"/>
      <c r="FF252" s="180"/>
    </row>
    <row r="253" spans="1:162" ht="11.25" customHeight="1" outlineLevel="1" x14ac:dyDescent="0.2">
      <c r="A253" s="186" t="s">
        <v>385</v>
      </c>
      <c r="B253" s="197"/>
      <c r="C253" s="38"/>
      <c r="F253" s="179"/>
      <c r="I253" s="180"/>
      <c r="J253" s="180">
        <f>J241+J248+J251</f>
        <v>536</v>
      </c>
      <c r="K253" s="38"/>
      <c r="N253" s="179"/>
      <c r="O253" s="4">
        <f>O241+O248+O251</f>
        <v>320</v>
      </c>
      <c r="P253" s="4">
        <f>P241+P248+P251</f>
        <v>427</v>
      </c>
      <c r="Q253" s="180"/>
      <c r="R253" s="180">
        <f>R241+R248+R251</f>
        <v>747</v>
      </c>
      <c r="S253" s="38"/>
      <c r="V253" s="179"/>
      <c r="W253" s="4">
        <f>W241+W248+W251</f>
        <v>407</v>
      </c>
      <c r="X253" s="4">
        <f>X241+X248+X251</f>
        <v>384</v>
      </c>
      <c r="Y253" s="180"/>
      <c r="Z253" s="180">
        <f>Z241+Z248+Z251</f>
        <v>791</v>
      </c>
      <c r="AA253" s="38"/>
      <c r="AD253" s="179"/>
      <c r="AE253" s="4">
        <f>AE241+AE248+AE251</f>
        <v>419</v>
      </c>
      <c r="AG253" s="180"/>
      <c r="AH253" s="180">
        <f>AH241+AH248+AH251</f>
        <v>728</v>
      </c>
      <c r="AI253" s="38"/>
      <c r="AL253" s="179"/>
      <c r="AM253" s="4">
        <f>AM241+AM248+AM251</f>
        <v>363</v>
      </c>
      <c r="AO253" s="180"/>
      <c r="AP253" s="180"/>
      <c r="AQ253" s="38"/>
      <c r="AT253" s="179"/>
      <c r="AU253" s="4">
        <f>AU241+AU248+AU251</f>
        <v>374</v>
      </c>
      <c r="AW253" s="180"/>
      <c r="AX253" s="180"/>
      <c r="AY253" s="38"/>
      <c r="BB253" s="179"/>
      <c r="BC253" s="4">
        <f>BC241+BC248+BC251</f>
        <v>458</v>
      </c>
      <c r="BE253" s="180"/>
      <c r="BF253" s="180"/>
      <c r="BG253" s="38"/>
      <c r="BJ253" s="179"/>
      <c r="BM253" s="180"/>
      <c r="BN253" s="180"/>
      <c r="BO253" s="38"/>
      <c r="BR253" s="179"/>
      <c r="BU253" s="180"/>
      <c r="BV253" s="180"/>
      <c r="BW253" s="38"/>
      <c r="BZ253" s="179"/>
      <c r="CC253" s="180"/>
      <c r="CD253" s="180"/>
      <c r="CE253" s="38"/>
      <c r="CH253" s="179"/>
      <c r="CK253" s="180"/>
      <c r="CL253" s="180"/>
      <c r="CM253" s="38"/>
      <c r="CP253" s="179"/>
      <c r="CS253" s="180"/>
      <c r="CT253" s="180"/>
      <c r="CX253" s="179"/>
      <c r="DA253" s="180"/>
      <c r="DB253" s="180"/>
      <c r="DF253" s="179"/>
      <c r="DI253" s="180"/>
      <c r="DJ253" s="180"/>
      <c r="DN253" s="179"/>
      <c r="DQ253" s="180"/>
      <c r="DR253" s="180"/>
      <c r="DV253" s="179"/>
      <c r="DY253" s="180"/>
      <c r="DZ253" s="180"/>
      <c r="ED253" s="179"/>
      <c r="EG253" s="180"/>
      <c r="EH253" s="180"/>
      <c r="EL253" s="179"/>
      <c r="EO253" s="180"/>
      <c r="EP253" s="180"/>
      <c r="ET253" s="179"/>
      <c r="EW253" s="180"/>
      <c r="EX253" s="180"/>
      <c r="FB253" s="179"/>
      <c r="FE253" s="180"/>
      <c r="FF253" s="180"/>
    </row>
    <row r="254" spans="1:162" ht="11.25" customHeight="1" x14ac:dyDescent="0.2">
      <c r="C254" s="38"/>
      <c r="F254" s="179"/>
      <c r="G254" s="83"/>
      <c r="H254" s="83"/>
      <c r="I254" s="180"/>
      <c r="J254" s="180"/>
      <c r="K254" s="38"/>
      <c r="N254" s="179"/>
      <c r="O254" s="83"/>
      <c r="P254" s="83"/>
      <c r="Q254" s="180"/>
      <c r="R254" s="180"/>
      <c r="S254" s="38"/>
      <c r="V254" s="179"/>
      <c r="W254" s="83"/>
      <c r="X254" s="83"/>
      <c r="Y254" s="180"/>
      <c r="Z254" s="180"/>
      <c r="AA254" s="38"/>
      <c r="AD254" s="179"/>
      <c r="AE254" s="83"/>
      <c r="AF254" s="83"/>
      <c r="AG254" s="180"/>
      <c r="AH254" s="180"/>
      <c r="AI254" s="38"/>
      <c r="AL254" s="179"/>
      <c r="AM254" s="83"/>
      <c r="AN254" s="83"/>
      <c r="AO254" s="180"/>
      <c r="AP254" s="180"/>
      <c r="AQ254" s="38"/>
      <c r="AT254" s="179"/>
      <c r="AU254" s="83"/>
      <c r="AV254" s="83"/>
      <c r="AW254" s="180"/>
      <c r="AX254" s="180"/>
      <c r="AY254" s="38"/>
      <c r="BB254" s="179"/>
      <c r="BC254" s="83"/>
      <c r="BD254" s="83"/>
      <c r="BE254" s="180"/>
      <c r="BF254" s="180"/>
      <c r="BG254" s="38"/>
      <c r="BJ254" s="179"/>
      <c r="BK254" s="83"/>
      <c r="BL254" s="83">
        <f>BL257/BL11</f>
        <v>6.5835065835065834E-2</v>
      </c>
      <c r="BM254" s="180"/>
      <c r="BN254" s="180"/>
      <c r="BO254" s="38"/>
      <c r="BR254" s="179"/>
      <c r="BS254" s="83"/>
      <c r="BT254" s="83"/>
      <c r="BU254" s="180"/>
      <c r="BV254" s="180"/>
      <c r="BW254" s="38"/>
      <c r="BZ254" s="179"/>
      <c r="CA254" s="83"/>
      <c r="CB254" s="83"/>
      <c r="CC254" s="180"/>
      <c r="CD254" s="180"/>
      <c r="CE254" s="38"/>
      <c r="CH254" s="179"/>
      <c r="CI254" s="83"/>
      <c r="CJ254" s="83"/>
      <c r="CK254" s="180"/>
      <c r="CL254" s="180"/>
      <c r="CM254" s="38"/>
      <c r="CP254" s="179"/>
      <c r="CQ254" s="83"/>
      <c r="CR254" s="83"/>
      <c r="CS254" s="180"/>
      <c r="CT254" s="180"/>
      <c r="CX254" s="179"/>
      <c r="DA254" s="180"/>
      <c r="DB254" s="180"/>
      <c r="DF254" s="179"/>
      <c r="DI254" s="180"/>
      <c r="DJ254" s="180"/>
      <c r="DN254" s="179"/>
      <c r="DQ254" s="180"/>
      <c r="DR254" s="180"/>
      <c r="DV254" s="179"/>
      <c r="DY254" s="180"/>
      <c r="DZ254" s="180"/>
      <c r="ED254" s="179"/>
      <c r="EG254" s="180"/>
      <c r="EH254" s="180"/>
      <c r="EL254" s="179"/>
      <c r="EO254" s="180"/>
      <c r="EP254" s="180"/>
      <c r="ET254" s="179"/>
      <c r="EW254" s="180"/>
      <c r="EX254" s="180"/>
      <c r="FB254" s="179"/>
      <c r="FE254" s="180"/>
      <c r="FF254" s="180"/>
    </row>
    <row r="255" spans="1:162" ht="11.25" customHeight="1" x14ac:dyDescent="0.2">
      <c r="A255" s="171" t="s">
        <v>386</v>
      </c>
      <c r="B255" s="172"/>
      <c r="C255" s="173"/>
      <c r="D255" s="174"/>
      <c r="E255" s="174"/>
      <c r="F255" s="175"/>
      <c r="G255" s="174"/>
      <c r="H255" s="174"/>
      <c r="I255" s="176"/>
      <c r="J255" s="176"/>
      <c r="K255" s="173"/>
      <c r="L255" s="174"/>
      <c r="M255" s="174"/>
      <c r="N255" s="175"/>
      <c r="O255" s="174"/>
      <c r="P255" s="174"/>
      <c r="Q255" s="176"/>
      <c r="R255" s="176"/>
      <c r="S255" s="173"/>
      <c r="T255" s="174"/>
      <c r="U255" s="174"/>
      <c r="V255" s="175"/>
      <c r="W255" s="174"/>
      <c r="X255" s="174"/>
      <c r="Y255" s="176"/>
      <c r="Z255" s="176"/>
      <c r="AA255" s="173"/>
      <c r="AB255" s="174"/>
      <c r="AC255" s="174"/>
      <c r="AD255" s="175"/>
      <c r="AE255" s="174"/>
      <c r="AF255" s="174"/>
      <c r="AG255" s="176"/>
      <c r="AH255" s="176"/>
      <c r="AI255" s="173"/>
      <c r="AJ255" s="174"/>
      <c r="AK255" s="174"/>
      <c r="AL255" s="175"/>
      <c r="AM255" s="174"/>
      <c r="AN255" s="174"/>
      <c r="AO255" s="176"/>
      <c r="AP255" s="176"/>
      <c r="AQ255" s="173"/>
      <c r="AR255" s="174"/>
      <c r="AS255" s="174"/>
      <c r="AT255" s="175"/>
      <c r="AU255" s="174"/>
      <c r="AV255" s="174"/>
      <c r="AW255" s="176"/>
      <c r="AX255" s="176"/>
      <c r="AY255" s="173"/>
      <c r="AZ255" s="174"/>
      <c r="BA255" s="174"/>
      <c r="BB255" s="175"/>
      <c r="BC255" s="174"/>
      <c r="BD255" s="174"/>
      <c r="BE255" s="176"/>
      <c r="BF255" s="176"/>
      <c r="BG255" s="173"/>
      <c r="BH255" s="174"/>
      <c r="BI255" s="174"/>
      <c r="BJ255" s="175"/>
      <c r="BK255" s="174"/>
      <c r="BL255" s="174"/>
      <c r="BM255" s="176"/>
      <c r="BN255" s="176"/>
      <c r="BO255" s="173"/>
      <c r="BP255" s="174"/>
      <c r="BQ255" s="174"/>
      <c r="BR255" s="175"/>
      <c r="BS255" s="174"/>
      <c r="BT255" s="174"/>
      <c r="BU255" s="176"/>
      <c r="BV255" s="176"/>
      <c r="BW255" s="173"/>
      <c r="BX255" s="174"/>
      <c r="BY255" s="174"/>
      <c r="BZ255" s="175"/>
      <c r="CA255" s="174"/>
      <c r="CB255" s="174"/>
      <c r="CC255" s="176"/>
      <c r="CD255" s="176"/>
      <c r="CE255" s="173"/>
      <c r="CF255" s="174"/>
      <c r="CG255" s="174"/>
      <c r="CH255" s="175"/>
      <c r="CI255" s="174"/>
      <c r="CJ255" s="174"/>
      <c r="CK255" s="176"/>
      <c r="CL255" s="176"/>
      <c r="CM255" s="173"/>
      <c r="CN255" s="174"/>
      <c r="CO255" s="174"/>
      <c r="CP255" s="175"/>
      <c r="CQ255" s="174"/>
      <c r="CR255" s="174"/>
      <c r="CS255" s="176"/>
      <c r="CT255" s="176"/>
      <c r="CU255" s="174"/>
      <c r="CV255" s="174"/>
      <c r="CW255" s="174"/>
      <c r="CX255" s="175"/>
      <c r="CY255" s="174"/>
      <c r="CZ255" s="174"/>
      <c r="DA255" s="176"/>
      <c r="DB255" s="176"/>
      <c r="DC255" s="174"/>
      <c r="DD255" s="174"/>
      <c r="DE255" s="174"/>
      <c r="DF255" s="175"/>
      <c r="DG255" s="174"/>
      <c r="DH255" s="174"/>
      <c r="DI255" s="176"/>
      <c r="DJ255" s="176"/>
      <c r="DK255" s="174"/>
      <c r="DL255" s="174"/>
      <c r="DM255" s="174"/>
      <c r="DN255" s="175"/>
      <c r="DO255" s="174"/>
      <c r="DP255" s="174"/>
      <c r="DQ255" s="176"/>
      <c r="DR255" s="176"/>
      <c r="DS255" s="174"/>
      <c r="DT255" s="174"/>
      <c r="DU255" s="174"/>
      <c r="DV255" s="175"/>
      <c r="DW255" s="174"/>
      <c r="DX255" s="174"/>
      <c r="DY255" s="176"/>
      <c r="DZ255" s="176"/>
      <c r="EA255" s="174"/>
      <c r="EB255" s="174"/>
      <c r="EC255" s="174"/>
      <c r="ED255" s="175"/>
      <c r="EE255" s="174"/>
      <c r="EF255" s="174"/>
      <c r="EG255" s="176"/>
      <c r="EH255" s="176"/>
      <c r="EI255" s="174"/>
      <c r="EJ255" s="174"/>
      <c r="EK255" s="174"/>
      <c r="EL255" s="175"/>
      <c r="EM255" s="174"/>
      <c r="EN255" s="174"/>
      <c r="EO255" s="176"/>
      <c r="EP255" s="176"/>
      <c r="EQ255" s="174"/>
      <c r="ER255" s="174"/>
      <c r="ES255" s="174"/>
      <c r="ET255" s="175"/>
      <c r="EU255" s="174"/>
      <c r="EV255" s="174"/>
      <c r="EW255" s="176"/>
      <c r="EX255" s="176"/>
      <c r="EY255" s="174"/>
      <c r="EZ255" s="174"/>
      <c r="FA255" s="174"/>
      <c r="FB255" s="175"/>
      <c r="FC255" s="174"/>
      <c r="FD255" s="174"/>
      <c r="FE255" s="176"/>
      <c r="FF255" s="176"/>
    </row>
    <row r="256" spans="1:162" ht="11.25" customHeight="1" x14ac:dyDescent="0.2">
      <c r="A256" s="186" t="s">
        <v>387</v>
      </c>
      <c r="C256" s="395"/>
      <c r="D256" s="396"/>
      <c r="E256" s="396"/>
      <c r="F256" s="397"/>
      <c r="G256" s="396">
        <f>G115</f>
        <v>470</v>
      </c>
      <c r="H256" s="396">
        <f>H115</f>
        <v>916</v>
      </c>
      <c r="I256" s="398"/>
      <c r="J256" s="398">
        <f>J115</f>
        <v>1386</v>
      </c>
      <c r="K256" s="395"/>
      <c r="L256" s="396"/>
      <c r="M256" s="396"/>
      <c r="N256" s="397"/>
      <c r="O256" s="396">
        <f>O115</f>
        <v>634</v>
      </c>
      <c r="P256" s="396">
        <f>P115</f>
        <v>-760</v>
      </c>
      <c r="Q256" s="398"/>
      <c r="R256" s="398">
        <f>R115</f>
        <v>-126</v>
      </c>
      <c r="S256" s="395"/>
      <c r="T256" s="396"/>
      <c r="U256" s="396"/>
      <c r="V256" s="397"/>
      <c r="W256" s="396">
        <f>W115</f>
        <v>-193</v>
      </c>
      <c r="X256" s="396">
        <f>X115</f>
        <v>-231</v>
      </c>
      <c r="Y256" s="398"/>
      <c r="Z256" s="398">
        <f>CF!M7</f>
        <v>-424</v>
      </c>
      <c r="AA256" s="395"/>
      <c r="AB256" s="396"/>
      <c r="AC256" s="396"/>
      <c r="AD256" s="397"/>
      <c r="AE256" s="396">
        <f>AE115</f>
        <v>1818</v>
      </c>
      <c r="AF256" s="396">
        <f>AF115</f>
        <v>90</v>
      </c>
      <c r="AG256" s="398"/>
      <c r="AH256" s="398">
        <f>CF!N7</f>
        <v>1908</v>
      </c>
      <c r="AI256" s="395"/>
      <c r="AJ256" s="396"/>
      <c r="AK256" s="396"/>
      <c r="AL256" s="397"/>
      <c r="AM256" s="396">
        <f>AM115</f>
        <v>3348</v>
      </c>
      <c r="AN256" s="396">
        <f>AN115</f>
        <v>1442</v>
      </c>
      <c r="AO256" s="398"/>
      <c r="AP256" s="398">
        <f>CF!O7</f>
        <v>4790</v>
      </c>
      <c r="AQ256" s="395"/>
      <c r="AR256" s="396"/>
      <c r="AS256" s="396"/>
      <c r="AT256" s="397"/>
      <c r="AU256" s="396"/>
      <c r="AV256" s="396"/>
      <c r="AW256" s="398"/>
      <c r="AX256" s="398"/>
      <c r="AY256" s="395"/>
      <c r="AZ256" s="396"/>
      <c r="BA256" s="396"/>
      <c r="BB256" s="397"/>
      <c r="BC256" s="396">
        <f>BC115</f>
        <v>535</v>
      </c>
      <c r="BD256" s="396">
        <f>BF256-BC256</f>
        <v>748</v>
      </c>
      <c r="BE256" s="398"/>
      <c r="BF256" s="398">
        <f>CF!P7</f>
        <v>1283</v>
      </c>
      <c r="BG256" s="395"/>
      <c r="BH256" s="396"/>
      <c r="BI256" s="396"/>
      <c r="BJ256" s="397"/>
      <c r="BK256" s="396">
        <f t="shared" ref="BK256:BL292" si="299">BC256</f>
        <v>535</v>
      </c>
      <c r="BL256" s="396">
        <f t="shared" si="299"/>
        <v>748</v>
      </c>
      <c r="BM256" s="398"/>
      <c r="BN256" s="398">
        <f t="shared" ref="BN256:BN292" si="300">BF256</f>
        <v>1283</v>
      </c>
      <c r="BO256" s="395"/>
      <c r="BP256" s="396"/>
      <c r="BQ256" s="396"/>
      <c r="BR256" s="397"/>
      <c r="BS256" s="396">
        <f>BS115</f>
        <v>1432</v>
      </c>
      <c r="BT256" s="396">
        <f>BV256-BS256</f>
        <v>1015</v>
      </c>
      <c r="BU256" s="398"/>
      <c r="BV256" s="398">
        <f>CF!Q7</f>
        <v>2447</v>
      </c>
      <c r="BW256" s="395"/>
      <c r="BX256" s="396"/>
      <c r="BY256" s="396"/>
      <c r="BZ256" s="397"/>
      <c r="CA256" s="396">
        <f>CA115</f>
        <v>-340</v>
      </c>
      <c r="CB256" s="396">
        <f>CD256-CA256</f>
        <v>692</v>
      </c>
      <c r="CC256" s="398"/>
      <c r="CD256" s="398">
        <f>CF!R7</f>
        <v>352</v>
      </c>
      <c r="CE256" s="395"/>
      <c r="CF256" s="396"/>
      <c r="CG256" s="396"/>
      <c r="CH256" s="397"/>
      <c r="CI256" s="396">
        <f>CI115</f>
        <v>674</v>
      </c>
      <c r="CJ256" s="396">
        <f>CL256-CI256</f>
        <v>-631</v>
      </c>
      <c r="CK256" s="398"/>
      <c r="CL256" s="398">
        <f>CF!S7</f>
        <v>43</v>
      </c>
      <c r="CM256" s="395"/>
      <c r="CN256" s="396"/>
      <c r="CO256" s="396"/>
      <c r="CP256" s="397"/>
      <c r="CQ256" s="396">
        <f>CQ115</f>
        <v>-3762</v>
      </c>
      <c r="CR256" s="396">
        <f>CT256-CQ256</f>
        <v>1303</v>
      </c>
      <c r="CS256" s="398"/>
      <c r="CT256" s="398">
        <f>CF!T7</f>
        <v>-2459</v>
      </c>
      <c r="CU256" s="396"/>
      <c r="CV256" s="396"/>
      <c r="CW256" s="396"/>
      <c r="CX256" s="397"/>
      <c r="CY256" s="396">
        <f>CY115</f>
        <v>1863</v>
      </c>
      <c r="CZ256" s="396">
        <f>CZ115</f>
        <v>1581</v>
      </c>
      <c r="DA256" s="398"/>
      <c r="DB256" s="398">
        <f>CF!U7</f>
        <v>3444</v>
      </c>
      <c r="DC256" s="396"/>
      <c r="DD256" s="396"/>
      <c r="DE256" s="396"/>
      <c r="DF256" s="397"/>
      <c r="DG256" s="396">
        <f>DG115</f>
        <v>57</v>
      </c>
      <c r="DH256" s="396">
        <f>DH115</f>
        <v>-724</v>
      </c>
      <c r="DI256" s="398"/>
      <c r="DJ256" s="398">
        <f>CF!V7</f>
        <v>-667</v>
      </c>
      <c r="DK256" s="396"/>
      <c r="DL256" s="396"/>
      <c r="DM256" s="396"/>
      <c r="DN256" s="397"/>
      <c r="DO256" s="396">
        <f>DO115</f>
        <v>5045</v>
      </c>
      <c r="DP256" s="396">
        <f>DP115</f>
        <v>2132</v>
      </c>
      <c r="DQ256" s="398"/>
      <c r="DR256" s="398">
        <f>CF!W7</f>
        <v>7177</v>
      </c>
      <c r="DS256" s="396"/>
      <c r="DT256" s="396"/>
      <c r="DU256" s="396"/>
      <c r="DV256" s="397"/>
      <c r="DW256" s="396">
        <f>DW115</f>
        <v>1750</v>
      </c>
      <c r="DX256" s="399">
        <f>DX115</f>
        <v>2683.4102545571059</v>
      </c>
      <c r="DY256" s="398"/>
      <c r="DZ256" s="400">
        <f>CF!X7</f>
        <v>4436.8338817892572</v>
      </c>
      <c r="EA256" s="396"/>
      <c r="EB256" s="396"/>
      <c r="EC256" s="396"/>
      <c r="ED256" s="397"/>
      <c r="EE256" s="399">
        <f>EE115</f>
        <v>1253.6230281227954</v>
      </c>
      <c r="EF256" s="399">
        <f>EF115</f>
        <v>4329.8331960622963</v>
      </c>
      <c r="EG256" s="398"/>
      <c r="EH256" s="400">
        <f>CF!Y7</f>
        <v>5583.4562241850854</v>
      </c>
      <c r="EI256" s="396"/>
      <c r="EJ256" s="396"/>
      <c r="EK256" s="396"/>
      <c r="EL256" s="397"/>
      <c r="EM256" s="399">
        <f>EM115</f>
        <v>1457.4887466119201</v>
      </c>
      <c r="EN256" s="399">
        <f>EN115</f>
        <v>4729.995862834412</v>
      </c>
      <c r="EO256" s="398"/>
      <c r="EP256" s="400">
        <f>CF!Z7</f>
        <v>6187.4846094463228</v>
      </c>
      <c r="EQ256" s="396"/>
      <c r="ER256" s="396"/>
      <c r="ES256" s="396"/>
      <c r="ET256" s="397"/>
      <c r="EU256" s="399">
        <f>EU115</f>
        <v>1597.3465605667825</v>
      </c>
      <c r="EV256" s="399">
        <f>EV115</f>
        <v>5067.7283555055419</v>
      </c>
      <c r="EW256" s="398"/>
      <c r="EX256" s="400">
        <f>CF!AA7</f>
        <v>6665.0749160723235</v>
      </c>
      <c r="EY256" s="396"/>
      <c r="EZ256" s="396"/>
      <c r="FA256" s="396"/>
      <c r="FB256" s="397"/>
      <c r="FC256" s="399">
        <f>FC115</f>
        <v>1743.4459213360917</v>
      </c>
      <c r="FD256" s="399">
        <f>FD115</f>
        <v>5286.7445874426467</v>
      </c>
      <c r="FE256" s="398"/>
      <c r="FF256" s="400">
        <f>CF!AB7</f>
        <v>7030.1905087787327</v>
      </c>
    </row>
    <row r="257" spans="1:162" ht="11.25" customHeight="1" x14ac:dyDescent="0.2">
      <c r="B257" s="4" t="s">
        <v>388</v>
      </c>
      <c r="C257" s="288"/>
      <c r="D257" s="289"/>
      <c r="E257" s="289"/>
      <c r="F257" s="290"/>
      <c r="G257" s="289">
        <v>353</v>
      </c>
      <c r="H257" s="289">
        <f>J257-G257</f>
        <v>377</v>
      </c>
      <c r="I257" s="291"/>
      <c r="J257" s="291">
        <v>730</v>
      </c>
      <c r="K257" s="288"/>
      <c r="L257" s="289"/>
      <c r="M257" s="289"/>
      <c r="N257" s="290"/>
      <c r="O257" s="289">
        <v>381</v>
      </c>
      <c r="P257" s="289">
        <f>R257-O257</f>
        <v>437</v>
      </c>
      <c r="Q257" s="291"/>
      <c r="R257" s="291">
        <v>818</v>
      </c>
      <c r="S257" s="288"/>
      <c r="T257" s="289"/>
      <c r="U257" s="289"/>
      <c r="V257" s="290"/>
      <c r="W257" s="289">
        <v>433</v>
      </c>
      <c r="X257" s="289">
        <f>Z257-W257</f>
        <v>489</v>
      </c>
      <c r="Y257" s="291"/>
      <c r="Z257" s="291">
        <f>CF!M14</f>
        <v>922</v>
      </c>
      <c r="AA257" s="288"/>
      <c r="AB257" s="289"/>
      <c r="AC257" s="289"/>
      <c r="AD257" s="290"/>
      <c r="AE257" s="289">
        <v>435</v>
      </c>
      <c r="AF257" s="289">
        <f>AH257-AE257</f>
        <v>291</v>
      </c>
      <c r="AG257" s="291"/>
      <c r="AH257" s="291">
        <f>CF!N14</f>
        <v>726</v>
      </c>
      <c r="AI257" s="288"/>
      <c r="AJ257" s="289"/>
      <c r="AK257" s="289"/>
      <c r="AL257" s="290"/>
      <c r="AM257" s="289">
        <v>382</v>
      </c>
      <c r="AN257" s="289">
        <f>AP257-AM257</f>
        <v>420</v>
      </c>
      <c r="AO257" s="291"/>
      <c r="AP257" s="291">
        <f>CF!O14</f>
        <v>802</v>
      </c>
      <c r="AQ257" s="288"/>
      <c r="AR257" s="289"/>
      <c r="AS257" s="289"/>
      <c r="AT257" s="290"/>
      <c r="AU257" s="289"/>
      <c r="AV257" s="289"/>
      <c r="AW257" s="291"/>
      <c r="AX257" s="291"/>
      <c r="AY257" s="288"/>
      <c r="AZ257" s="289"/>
      <c r="BA257" s="289"/>
      <c r="BB257" s="290"/>
      <c r="BC257" s="289">
        <v>449</v>
      </c>
      <c r="BD257" s="289">
        <f t="shared" ref="BD257:BD281" si="301">BF257-BC257</f>
        <v>760</v>
      </c>
      <c r="BE257" s="291"/>
      <c r="BF257" s="291">
        <f>CF!P14</f>
        <v>1209</v>
      </c>
      <c r="BG257" s="288"/>
      <c r="BH257" s="289"/>
      <c r="BI257" s="289"/>
      <c r="BJ257" s="290"/>
      <c r="BK257" s="289">
        <f t="shared" si="299"/>
        <v>449</v>
      </c>
      <c r="BL257" s="289">
        <f t="shared" si="299"/>
        <v>760</v>
      </c>
      <c r="BM257" s="291"/>
      <c r="BN257" s="291">
        <f t="shared" si="300"/>
        <v>1209</v>
      </c>
      <c r="BO257" s="288"/>
      <c r="BP257" s="289"/>
      <c r="BQ257" s="289"/>
      <c r="BR257" s="290"/>
      <c r="BS257" s="289">
        <v>715</v>
      </c>
      <c r="BT257" s="289">
        <f t="shared" ref="BT257:BT281" si="302">BV257-BS257</f>
        <v>748</v>
      </c>
      <c r="BU257" s="291"/>
      <c r="BV257" s="291">
        <f>CF!Q14</f>
        <v>1463</v>
      </c>
      <c r="BW257" s="288"/>
      <c r="BX257" s="289"/>
      <c r="BY257" s="289"/>
      <c r="BZ257" s="290"/>
      <c r="CA257" s="289">
        <v>723</v>
      </c>
      <c r="CB257" s="289">
        <f t="shared" ref="CB257:CB282" si="303">CD257-CA257</f>
        <v>724</v>
      </c>
      <c r="CC257" s="291"/>
      <c r="CD257" s="291">
        <f>CF!R14</f>
        <v>1447</v>
      </c>
      <c r="CE257" s="288"/>
      <c r="CF257" s="289"/>
      <c r="CG257" s="289"/>
      <c r="CH257" s="290"/>
      <c r="CI257" s="289">
        <v>677</v>
      </c>
      <c r="CJ257" s="289">
        <f t="shared" ref="CJ257:CJ282" si="304">CL257-CI257</f>
        <v>703</v>
      </c>
      <c r="CK257" s="291"/>
      <c r="CL257" s="291">
        <f>CF!S14</f>
        <v>1380</v>
      </c>
      <c r="CM257" s="288"/>
      <c r="CN257" s="289"/>
      <c r="CO257" s="289"/>
      <c r="CP257" s="290"/>
      <c r="CQ257" s="289">
        <v>681</v>
      </c>
      <c r="CR257" s="289">
        <f t="shared" ref="CR257:CR273" si="305">CT257-CQ257</f>
        <v>692</v>
      </c>
      <c r="CS257" s="291"/>
      <c r="CT257" s="291">
        <f>CF!T14</f>
        <v>1373</v>
      </c>
      <c r="CU257" s="289"/>
      <c r="CV257" s="289"/>
      <c r="CW257" s="289"/>
      <c r="CX257" s="290"/>
      <c r="CY257" s="289">
        <v>653</v>
      </c>
      <c r="CZ257" s="289">
        <f>DB257-CY257</f>
        <v>683</v>
      </c>
      <c r="DA257" s="291"/>
      <c r="DB257" s="291">
        <f>CF!U14</f>
        <v>1336</v>
      </c>
      <c r="DC257" s="289"/>
      <c r="DD257" s="289"/>
      <c r="DE257" s="289"/>
      <c r="DF257" s="290"/>
      <c r="DG257" s="289">
        <v>692</v>
      </c>
      <c r="DH257" s="289">
        <f>DJ257-DG257</f>
        <v>714</v>
      </c>
      <c r="DI257" s="291"/>
      <c r="DJ257" s="291">
        <f>CF!V14</f>
        <v>1406</v>
      </c>
      <c r="DK257" s="289"/>
      <c r="DL257" s="289"/>
      <c r="DM257" s="289"/>
      <c r="DN257" s="290"/>
      <c r="DO257" s="289">
        <v>719</v>
      </c>
      <c r="DP257" s="289">
        <f>DR257-DO257</f>
        <v>759</v>
      </c>
      <c r="DQ257" s="291"/>
      <c r="DR257" s="291">
        <f>CF!W14</f>
        <v>1478</v>
      </c>
      <c r="DS257" s="289"/>
      <c r="DT257" s="289"/>
      <c r="DU257" s="289"/>
      <c r="DV257" s="290"/>
      <c r="DW257" s="289">
        <v>835</v>
      </c>
      <c r="DX257" s="401">
        <f>DZ257-DW257</f>
        <v>971.90303126021672</v>
      </c>
      <c r="DY257" s="291"/>
      <c r="DZ257" s="287">
        <f>CF!X14</f>
        <v>1806.9030312602167</v>
      </c>
      <c r="EA257" s="289"/>
      <c r="EB257" s="289"/>
      <c r="EC257" s="289"/>
      <c r="ED257" s="290"/>
      <c r="EE257" s="401">
        <f>(Propulsion!BI28+'Equipment &amp; Defense'!BG27+Interiors!AR26+(Divisional!AA114+Divisional!AA117)/2)</f>
        <v>911.1800917092678</v>
      </c>
      <c r="EF257" s="401">
        <f>EH257-EE257</f>
        <v>1029.8427436832289</v>
      </c>
      <c r="EG257" s="291"/>
      <c r="EH257" s="287">
        <f>CF!Y14</f>
        <v>1941.0228353924967</v>
      </c>
      <c r="EI257" s="289"/>
      <c r="EJ257" s="289"/>
      <c r="EK257" s="289"/>
      <c r="EL257" s="290"/>
      <c r="EM257" s="401">
        <f>(Propulsion!BQ28+'Equipment &amp; Defense'!BO27+Interiors!AZ26+(Divisional!AB114+Divisional!AB117)/2)</f>
        <v>980.75172254702693</v>
      </c>
      <c r="EN257" s="401">
        <f>EP257-EM257</f>
        <v>1106.8636468424716</v>
      </c>
      <c r="EO257" s="291"/>
      <c r="EP257" s="287">
        <f>CF!Z14</f>
        <v>2087.6153693894985</v>
      </c>
      <c r="EQ257" s="289"/>
      <c r="ER257" s="289"/>
      <c r="ES257" s="289"/>
      <c r="ET257" s="290"/>
      <c r="EU257" s="401">
        <f>(Propulsion!BY28+'Equipment &amp; Defense'!BW27+Interiors!BH26+(Divisional!AC114+Divisional!AC117)/2)</f>
        <v>1035.9807372911946</v>
      </c>
      <c r="EV257" s="401">
        <f>EX257-EU257</f>
        <v>1169.6083307128938</v>
      </c>
      <c r="EW257" s="291"/>
      <c r="EX257" s="287">
        <f>CF!AA14</f>
        <v>2205.5890680040884</v>
      </c>
      <c r="EY257" s="289"/>
      <c r="EZ257" s="289"/>
      <c r="FA257" s="289"/>
      <c r="FB257" s="290"/>
      <c r="FC257" s="401">
        <f>(Propulsion!CG28+'Equipment &amp; Defense'!CE27+Interiors!BP26+(Divisional!AD114+Divisional!AD117)/2)</f>
        <v>1060.1191213475354</v>
      </c>
      <c r="FD257" s="401">
        <f>FF257-FC257</f>
        <v>1196.4046873663719</v>
      </c>
      <c r="FE257" s="291"/>
      <c r="FF257" s="287">
        <f>CF!AB14</f>
        <v>2256.5238087139073</v>
      </c>
    </row>
    <row r="258" spans="1:162" ht="11.25" customHeight="1" x14ac:dyDescent="0.2">
      <c r="B258" s="4" t="s">
        <v>389</v>
      </c>
      <c r="C258" s="288"/>
      <c r="D258" s="289"/>
      <c r="E258" s="289"/>
      <c r="F258" s="290"/>
      <c r="G258" s="289">
        <v>26</v>
      </c>
      <c r="H258" s="289">
        <f>J258-G258</f>
        <v>81</v>
      </c>
      <c r="I258" s="291"/>
      <c r="J258" s="291">
        <v>107</v>
      </c>
      <c r="K258" s="288"/>
      <c r="L258" s="289"/>
      <c r="M258" s="289"/>
      <c r="N258" s="290"/>
      <c r="O258" s="289">
        <v>50</v>
      </c>
      <c r="P258" s="289">
        <f t="shared" ref="P258:P266" si="306">R258-O258</f>
        <v>87</v>
      </c>
      <c r="Q258" s="291"/>
      <c r="R258" s="291">
        <v>137</v>
      </c>
      <c r="S258" s="288"/>
      <c r="T258" s="289"/>
      <c r="U258" s="289"/>
      <c r="V258" s="290"/>
      <c r="W258" s="289">
        <v>12</v>
      </c>
      <c r="X258" s="289">
        <f t="shared" ref="X258:X266" si="307">Z258-W258</f>
        <v>992</v>
      </c>
      <c r="Y258" s="291"/>
      <c r="Z258" s="291">
        <f>CF!M16</f>
        <v>1004</v>
      </c>
      <c r="AA258" s="288"/>
      <c r="AB258" s="289"/>
      <c r="AC258" s="289"/>
      <c r="AD258" s="290"/>
      <c r="AE258" s="289">
        <v>128</v>
      </c>
      <c r="AF258" s="289">
        <f t="shared" ref="AF258:AF266" si="308">AH258-AE258</f>
        <v>115</v>
      </c>
      <c r="AG258" s="291"/>
      <c r="AH258" s="291">
        <f>CF!N16</f>
        <v>243</v>
      </c>
      <c r="AI258" s="288"/>
      <c r="AJ258" s="289"/>
      <c r="AK258" s="289"/>
      <c r="AL258" s="290"/>
      <c r="AM258" s="289">
        <v>81</v>
      </c>
      <c r="AN258" s="289">
        <f t="shared" ref="AN258:AN266" si="309">AP258-AM258</f>
        <v>-8</v>
      </c>
      <c r="AO258" s="291"/>
      <c r="AP258" s="291">
        <f>CF!O16</f>
        <v>73</v>
      </c>
      <c r="AQ258" s="288"/>
      <c r="AR258" s="289"/>
      <c r="AS258" s="289"/>
      <c r="AT258" s="290"/>
      <c r="AU258" s="289"/>
      <c r="AV258" s="289"/>
      <c r="AW258" s="291"/>
      <c r="AX258" s="291"/>
      <c r="AY258" s="288"/>
      <c r="AZ258" s="289"/>
      <c r="BA258" s="289"/>
      <c r="BB258" s="290"/>
      <c r="BC258" s="289">
        <v>21</v>
      </c>
      <c r="BD258" s="289">
        <f t="shared" si="301"/>
        <v>-40</v>
      </c>
      <c r="BE258" s="291"/>
      <c r="BF258" s="291">
        <f>CF!P16</f>
        <v>-19</v>
      </c>
      <c r="BG258" s="288"/>
      <c r="BH258" s="289"/>
      <c r="BI258" s="289"/>
      <c r="BJ258" s="290"/>
      <c r="BK258" s="289">
        <f t="shared" si="299"/>
        <v>21</v>
      </c>
      <c r="BL258" s="289">
        <f t="shared" si="299"/>
        <v>-40</v>
      </c>
      <c r="BM258" s="291"/>
      <c r="BN258" s="291">
        <f t="shared" si="300"/>
        <v>-19</v>
      </c>
      <c r="BO258" s="288"/>
      <c r="BP258" s="289"/>
      <c r="BQ258" s="289"/>
      <c r="BR258" s="290"/>
      <c r="BS258" s="289">
        <v>24</v>
      </c>
      <c r="BT258" s="289">
        <f t="shared" si="302"/>
        <v>-66</v>
      </c>
      <c r="BU258" s="291"/>
      <c r="BV258" s="291">
        <f>CF!Q16</f>
        <v>-42</v>
      </c>
      <c r="BW258" s="288"/>
      <c r="BX258" s="289"/>
      <c r="BY258" s="289"/>
      <c r="BZ258" s="290"/>
      <c r="CA258" s="289">
        <v>136</v>
      </c>
      <c r="CB258" s="289">
        <f t="shared" si="303"/>
        <v>241</v>
      </c>
      <c r="CC258" s="291"/>
      <c r="CD258" s="291">
        <f>CF!R16</f>
        <v>377</v>
      </c>
      <c r="CE258" s="288"/>
      <c r="CF258" s="289"/>
      <c r="CG258" s="289"/>
      <c r="CH258" s="290"/>
      <c r="CI258" s="289">
        <v>29</v>
      </c>
      <c r="CJ258" s="289">
        <f t="shared" si="304"/>
        <v>62</v>
      </c>
      <c r="CK258" s="291"/>
      <c r="CL258" s="291">
        <f>CF!S16</f>
        <v>91</v>
      </c>
      <c r="CM258" s="288"/>
      <c r="CN258" s="289"/>
      <c r="CO258" s="289"/>
      <c r="CP258" s="290"/>
      <c r="CQ258" s="289">
        <v>227</v>
      </c>
      <c r="CR258" s="289">
        <f t="shared" si="305"/>
        <v>184</v>
      </c>
      <c r="CS258" s="291"/>
      <c r="CT258" s="291">
        <f>CF!T16</f>
        <v>411</v>
      </c>
      <c r="CU258" s="289"/>
      <c r="CV258" s="289"/>
      <c r="CW258" s="289"/>
      <c r="CX258" s="290"/>
      <c r="CY258" s="289">
        <v>136</v>
      </c>
      <c r="CZ258" s="289">
        <f>DB258-CY258</f>
        <v>12</v>
      </c>
      <c r="DA258" s="291"/>
      <c r="DB258" s="291">
        <f>CF!U16</f>
        <v>148</v>
      </c>
      <c r="DC258" s="289"/>
      <c r="DD258" s="289"/>
      <c r="DE258" s="289"/>
      <c r="DF258" s="290"/>
      <c r="DG258" s="289">
        <v>-37</v>
      </c>
      <c r="DH258" s="289">
        <f>DJ258-DG258</f>
        <v>37</v>
      </c>
      <c r="DI258" s="291"/>
      <c r="DJ258" s="291">
        <f>CF!V16</f>
        <v>0</v>
      </c>
      <c r="DK258" s="289"/>
      <c r="DL258" s="289"/>
      <c r="DM258" s="289"/>
      <c r="DN258" s="290"/>
      <c r="DO258" s="289">
        <v>138</v>
      </c>
      <c r="DP258" s="289">
        <f>DR258-DO258</f>
        <v>351</v>
      </c>
      <c r="DQ258" s="291"/>
      <c r="DR258" s="291">
        <f>CF!W16</f>
        <v>489</v>
      </c>
      <c r="DS258" s="289"/>
      <c r="DT258" s="289"/>
      <c r="DU258" s="289"/>
      <c r="DV258" s="290"/>
      <c r="DW258" s="289">
        <v>111</v>
      </c>
      <c r="DX258" s="401">
        <f>DZ258-DW258</f>
        <v>0</v>
      </c>
      <c r="DY258" s="291"/>
      <c r="DZ258" s="287">
        <f>CF!X16</f>
        <v>111</v>
      </c>
      <c r="EA258" s="289"/>
      <c r="EB258" s="289"/>
      <c r="EC258" s="289"/>
      <c r="ED258" s="290"/>
      <c r="EE258" s="401">
        <f>EH258/2</f>
        <v>0</v>
      </c>
      <c r="EF258" s="401">
        <f>EH258-EE258</f>
        <v>0</v>
      </c>
      <c r="EG258" s="291"/>
      <c r="EH258" s="287">
        <f>CF!Y16</f>
        <v>0</v>
      </c>
      <c r="EI258" s="289"/>
      <c r="EJ258" s="289"/>
      <c r="EK258" s="289"/>
      <c r="EL258" s="290"/>
      <c r="EM258" s="401">
        <f>EP258/2</f>
        <v>0</v>
      </c>
      <c r="EN258" s="401">
        <f>EP258-EM258</f>
        <v>0</v>
      </c>
      <c r="EO258" s="291"/>
      <c r="EP258" s="287">
        <f>CF!Z16</f>
        <v>0</v>
      </c>
      <c r="EQ258" s="289"/>
      <c r="ER258" s="289"/>
      <c r="ES258" s="289"/>
      <c r="ET258" s="290"/>
      <c r="EU258" s="401">
        <f>EX258/2</f>
        <v>0</v>
      </c>
      <c r="EV258" s="401">
        <f>EX258-EU258</f>
        <v>0</v>
      </c>
      <c r="EW258" s="291"/>
      <c r="EX258" s="287">
        <f>CF!AA16</f>
        <v>0</v>
      </c>
      <c r="EY258" s="289"/>
      <c r="EZ258" s="289"/>
      <c r="FA258" s="289"/>
      <c r="FB258" s="290"/>
      <c r="FC258" s="401">
        <f>FF258/2</f>
        <v>0</v>
      </c>
      <c r="FD258" s="401">
        <f>FF258-FC258</f>
        <v>0</v>
      </c>
      <c r="FE258" s="291"/>
      <c r="FF258" s="287">
        <f>CF!AB16</f>
        <v>0</v>
      </c>
    </row>
    <row r="259" spans="1:162" ht="11.25" customHeight="1" x14ac:dyDescent="0.2">
      <c r="B259" s="4" t="s">
        <v>390</v>
      </c>
      <c r="C259" s="288"/>
      <c r="D259" s="289"/>
      <c r="E259" s="289"/>
      <c r="F259" s="290"/>
      <c r="G259" s="402">
        <v>27</v>
      </c>
      <c r="H259" s="402">
        <f>J259-G259</f>
        <v>52</v>
      </c>
      <c r="I259" s="291"/>
      <c r="J259" s="291">
        <v>79</v>
      </c>
      <c r="K259" s="288"/>
      <c r="L259" s="289"/>
      <c r="M259" s="289"/>
      <c r="N259" s="290"/>
      <c r="O259" s="402">
        <v>91</v>
      </c>
      <c r="P259" s="402">
        <f t="shared" si="306"/>
        <v>114</v>
      </c>
      <c r="Q259" s="291"/>
      <c r="R259" s="291">
        <v>205</v>
      </c>
      <c r="S259" s="288"/>
      <c r="T259" s="289"/>
      <c r="U259" s="289"/>
      <c r="V259" s="290"/>
      <c r="W259" s="402">
        <v>131</v>
      </c>
      <c r="X259" s="402">
        <f t="shared" si="307"/>
        <v>0</v>
      </c>
      <c r="Y259" s="291"/>
      <c r="Z259" s="291">
        <f>CF!M17</f>
        <v>131</v>
      </c>
      <c r="AA259" s="288"/>
      <c r="AB259" s="289"/>
      <c r="AC259" s="289"/>
      <c r="AD259" s="290"/>
      <c r="AE259" s="402">
        <v>-147</v>
      </c>
      <c r="AF259" s="402">
        <f t="shared" si="308"/>
        <v>105</v>
      </c>
      <c r="AG259" s="291"/>
      <c r="AH259" s="291">
        <f>CF!N17</f>
        <v>-42</v>
      </c>
      <c r="AI259" s="288"/>
      <c r="AJ259" s="289"/>
      <c r="AK259" s="289"/>
      <c r="AL259" s="290"/>
      <c r="AM259" s="402">
        <v>-44</v>
      </c>
      <c r="AN259" s="402">
        <f t="shared" si="309"/>
        <v>249</v>
      </c>
      <c r="AO259" s="291"/>
      <c r="AP259" s="291">
        <f>CF!O17</f>
        <v>205</v>
      </c>
      <c r="AQ259" s="288"/>
      <c r="AR259" s="289"/>
      <c r="AS259" s="289"/>
      <c r="AT259" s="290"/>
      <c r="AU259" s="402"/>
      <c r="AV259" s="402"/>
      <c r="AW259" s="291"/>
      <c r="AX259" s="291"/>
      <c r="AY259" s="288"/>
      <c r="AZ259" s="289"/>
      <c r="BA259" s="289"/>
      <c r="BB259" s="290"/>
      <c r="BC259" s="402">
        <v>53</v>
      </c>
      <c r="BD259" s="402">
        <f t="shared" si="301"/>
        <v>-8</v>
      </c>
      <c r="BE259" s="291"/>
      <c r="BF259" s="291">
        <f>CF!P17</f>
        <v>45</v>
      </c>
      <c r="BG259" s="288"/>
      <c r="BH259" s="289"/>
      <c r="BI259" s="289"/>
      <c r="BJ259" s="290"/>
      <c r="BK259" s="402">
        <f t="shared" si="299"/>
        <v>53</v>
      </c>
      <c r="BL259" s="402">
        <f t="shared" si="299"/>
        <v>-8</v>
      </c>
      <c r="BM259" s="291"/>
      <c r="BN259" s="291">
        <f t="shared" si="300"/>
        <v>45</v>
      </c>
      <c r="BO259" s="288"/>
      <c r="BP259" s="289"/>
      <c r="BQ259" s="289"/>
      <c r="BR259" s="290"/>
      <c r="BS259" s="402">
        <v>1</v>
      </c>
      <c r="BT259" s="402">
        <f t="shared" si="302"/>
        <v>167</v>
      </c>
      <c r="BU259" s="291"/>
      <c r="BV259" s="291">
        <f>CF!Q17</f>
        <v>168</v>
      </c>
      <c r="BW259" s="288"/>
      <c r="BX259" s="289"/>
      <c r="BY259" s="289"/>
      <c r="BZ259" s="290"/>
      <c r="CA259" s="402">
        <v>-26</v>
      </c>
      <c r="CB259" s="402">
        <f t="shared" si="303"/>
        <v>-233</v>
      </c>
      <c r="CC259" s="291"/>
      <c r="CD259" s="291">
        <f>CF!R17</f>
        <v>-259</v>
      </c>
      <c r="CE259" s="288"/>
      <c r="CF259" s="289"/>
      <c r="CG259" s="289"/>
      <c r="CH259" s="290"/>
      <c r="CI259" s="402">
        <v>-8</v>
      </c>
      <c r="CJ259" s="402">
        <f t="shared" si="304"/>
        <v>179</v>
      </c>
      <c r="CK259" s="291"/>
      <c r="CL259" s="291">
        <f>CF!S17</f>
        <v>171</v>
      </c>
      <c r="CM259" s="288"/>
      <c r="CN259" s="289"/>
      <c r="CO259" s="289"/>
      <c r="CP259" s="290"/>
      <c r="CQ259" s="402">
        <v>14</v>
      </c>
      <c r="CR259" s="402">
        <f t="shared" si="305"/>
        <v>-183</v>
      </c>
      <c r="CS259" s="291"/>
      <c r="CT259" s="291">
        <f>CF!T17</f>
        <v>-169</v>
      </c>
      <c r="CU259" s="289"/>
      <c r="CV259" s="289"/>
      <c r="CW259" s="289"/>
      <c r="CX259" s="290"/>
      <c r="CY259" s="402">
        <v>-37</v>
      </c>
      <c r="CZ259" s="289">
        <f>DB259-CY259</f>
        <v>-14</v>
      </c>
      <c r="DA259" s="291"/>
      <c r="DB259" s="291">
        <f>CF!U17</f>
        <v>-51</v>
      </c>
      <c r="DC259" s="401"/>
      <c r="DD259" s="401"/>
      <c r="DE259" s="401"/>
      <c r="DF259" s="403"/>
      <c r="DG259" s="402">
        <v>111</v>
      </c>
      <c r="DH259" s="289">
        <f>DJ259-DG259</f>
        <v>174</v>
      </c>
      <c r="DI259" s="287"/>
      <c r="DJ259" s="291">
        <f>CF!V17</f>
        <v>285</v>
      </c>
      <c r="DK259" s="401"/>
      <c r="DL259" s="401"/>
      <c r="DM259" s="401"/>
      <c r="DN259" s="403"/>
      <c r="DO259" s="402">
        <v>-152</v>
      </c>
      <c r="DP259" s="289">
        <f>DR259-DO259</f>
        <v>3</v>
      </c>
      <c r="DQ259" s="287"/>
      <c r="DR259" s="291">
        <f>CF!W17</f>
        <v>-149</v>
      </c>
      <c r="DS259" s="401"/>
      <c r="DT259" s="401"/>
      <c r="DU259" s="401"/>
      <c r="DV259" s="403"/>
      <c r="DW259" s="402">
        <v>31</v>
      </c>
      <c r="DX259" s="401">
        <f>DZ259-DW259</f>
        <v>-31</v>
      </c>
      <c r="DY259" s="287"/>
      <c r="DZ259" s="287">
        <f>CF!X17</f>
        <v>0</v>
      </c>
      <c r="EA259" s="401"/>
      <c r="EB259" s="401"/>
      <c r="EC259" s="401"/>
      <c r="ED259" s="403"/>
      <c r="EE259" s="401"/>
      <c r="EF259" s="401"/>
      <c r="EG259" s="287"/>
      <c r="EH259" s="287">
        <f>CF!Y17</f>
        <v>0</v>
      </c>
      <c r="EI259" s="401"/>
      <c r="EJ259" s="401"/>
      <c r="EK259" s="401"/>
      <c r="EL259" s="403"/>
      <c r="EM259" s="401"/>
      <c r="EN259" s="401"/>
      <c r="EO259" s="287"/>
      <c r="EP259" s="287">
        <f>CF!Z17</f>
        <v>0</v>
      </c>
      <c r="EQ259" s="401"/>
      <c r="ER259" s="401"/>
      <c r="ES259" s="401"/>
      <c r="ET259" s="403"/>
      <c r="EU259" s="401"/>
      <c r="EV259" s="401"/>
      <c r="EW259" s="287"/>
      <c r="EX259" s="287">
        <f>CF!AA17</f>
        <v>0</v>
      </c>
      <c r="EY259" s="401"/>
      <c r="EZ259" s="401"/>
      <c r="FA259" s="401"/>
      <c r="FB259" s="403"/>
      <c r="FC259" s="401"/>
      <c r="FD259" s="401"/>
      <c r="FE259" s="287"/>
      <c r="FF259" s="287">
        <f>CF!AB17</f>
        <v>0</v>
      </c>
    </row>
    <row r="260" spans="1:162" ht="11.25" customHeight="1" x14ac:dyDescent="0.2">
      <c r="A260" s="4" t="s">
        <v>391</v>
      </c>
      <c r="C260" s="288"/>
      <c r="D260" s="289"/>
      <c r="E260" s="289"/>
      <c r="F260" s="290"/>
      <c r="G260" s="289">
        <f>G257+G258+G259</f>
        <v>406</v>
      </c>
      <c r="H260" s="289">
        <f>H257+H258+H259</f>
        <v>510</v>
      </c>
      <c r="I260" s="291"/>
      <c r="J260" s="291">
        <f>J257+J258+J259</f>
        <v>916</v>
      </c>
      <c r="K260" s="288"/>
      <c r="L260" s="289"/>
      <c r="M260" s="289"/>
      <c r="N260" s="290"/>
      <c r="O260" s="289">
        <f>O257+O258+O259</f>
        <v>522</v>
      </c>
      <c r="P260" s="289">
        <f>P257+P258+P259</f>
        <v>638</v>
      </c>
      <c r="Q260" s="291"/>
      <c r="R260" s="291">
        <f>R257+R258+R259</f>
        <v>1160</v>
      </c>
      <c r="S260" s="288"/>
      <c r="T260" s="289"/>
      <c r="U260" s="289"/>
      <c r="V260" s="290"/>
      <c r="W260" s="289">
        <f>W257+W258+W259</f>
        <v>576</v>
      </c>
      <c r="X260" s="289">
        <f>X257+X258+X259</f>
        <v>1481</v>
      </c>
      <c r="Y260" s="291"/>
      <c r="Z260" s="291">
        <f>Z257+Z258+Z259</f>
        <v>2057</v>
      </c>
      <c r="AA260" s="288"/>
      <c r="AB260" s="289"/>
      <c r="AC260" s="289"/>
      <c r="AD260" s="290"/>
      <c r="AE260" s="289">
        <f>AE257+AE258+AE259</f>
        <v>416</v>
      </c>
      <c r="AF260" s="289">
        <f>AF257+AF258+AF259</f>
        <v>511</v>
      </c>
      <c r="AG260" s="291"/>
      <c r="AH260" s="291">
        <f>AH257+AH258+AH259</f>
        <v>927</v>
      </c>
      <c r="AI260" s="288"/>
      <c r="AJ260" s="289"/>
      <c r="AK260" s="289"/>
      <c r="AL260" s="290"/>
      <c r="AM260" s="289">
        <f>AM257+AM258+AM259</f>
        <v>419</v>
      </c>
      <c r="AN260" s="289">
        <f>AN257+AN258+AN259</f>
        <v>661</v>
      </c>
      <c r="AO260" s="291"/>
      <c r="AP260" s="291">
        <f>AP257+AP258+AP259</f>
        <v>1080</v>
      </c>
      <c r="AQ260" s="288"/>
      <c r="AR260" s="289"/>
      <c r="AS260" s="289"/>
      <c r="AT260" s="290"/>
      <c r="AU260" s="289"/>
      <c r="AV260" s="289"/>
      <c r="AW260" s="291"/>
      <c r="AX260" s="291"/>
      <c r="AY260" s="288"/>
      <c r="AZ260" s="289"/>
      <c r="BA260" s="289"/>
      <c r="BB260" s="290"/>
      <c r="BC260" s="289">
        <f>BC257+BC258+BC259</f>
        <v>523</v>
      </c>
      <c r="BD260" s="289">
        <f t="shared" si="301"/>
        <v>712</v>
      </c>
      <c r="BE260" s="291"/>
      <c r="BF260" s="291">
        <f>BF257+BF258+BF259</f>
        <v>1235</v>
      </c>
      <c r="BG260" s="288"/>
      <c r="BH260" s="289"/>
      <c r="BI260" s="289"/>
      <c r="BJ260" s="290"/>
      <c r="BK260" s="289">
        <f t="shared" si="299"/>
        <v>523</v>
      </c>
      <c r="BL260" s="289">
        <f t="shared" si="299"/>
        <v>712</v>
      </c>
      <c r="BM260" s="291"/>
      <c r="BN260" s="291">
        <f t="shared" si="300"/>
        <v>1235</v>
      </c>
      <c r="BO260" s="288"/>
      <c r="BP260" s="289"/>
      <c r="BQ260" s="289"/>
      <c r="BR260" s="290"/>
      <c r="BS260" s="289">
        <f>BS257+BS258+BS259</f>
        <v>740</v>
      </c>
      <c r="BT260" s="289">
        <f t="shared" si="302"/>
        <v>849</v>
      </c>
      <c r="BU260" s="291"/>
      <c r="BV260" s="291">
        <f>BV257+BV258+BV259</f>
        <v>1589</v>
      </c>
      <c r="BW260" s="288"/>
      <c r="BX260" s="289"/>
      <c r="BY260" s="289"/>
      <c r="BZ260" s="290"/>
      <c r="CA260" s="289">
        <f>SUM(CA257:CA259)</f>
        <v>833</v>
      </c>
      <c r="CB260" s="289">
        <f t="shared" si="303"/>
        <v>732</v>
      </c>
      <c r="CC260" s="291"/>
      <c r="CD260" s="291">
        <f>CD257+CD258+CD259</f>
        <v>1565</v>
      </c>
      <c r="CE260" s="288"/>
      <c r="CF260" s="289"/>
      <c r="CG260" s="289"/>
      <c r="CH260" s="290"/>
      <c r="CI260" s="289">
        <f>CI257+CI258+CI259</f>
        <v>698</v>
      </c>
      <c r="CJ260" s="289">
        <f t="shared" si="304"/>
        <v>944</v>
      </c>
      <c r="CK260" s="291"/>
      <c r="CL260" s="291">
        <f>CL257+CL258+CL259</f>
        <v>1642</v>
      </c>
      <c r="CM260" s="288"/>
      <c r="CN260" s="289"/>
      <c r="CO260" s="289"/>
      <c r="CP260" s="290"/>
      <c r="CQ260" s="289">
        <f>CQ257+CQ258+CQ259</f>
        <v>922</v>
      </c>
      <c r="CR260" s="289">
        <f t="shared" si="305"/>
        <v>693</v>
      </c>
      <c r="CS260" s="291"/>
      <c r="CT260" s="291">
        <f>CT257+CT258+CT259</f>
        <v>1615</v>
      </c>
      <c r="CU260" s="289"/>
      <c r="CV260" s="289"/>
      <c r="CW260" s="289"/>
      <c r="CX260" s="290"/>
      <c r="CY260" s="289">
        <f>CY257+CY258+CY259</f>
        <v>752</v>
      </c>
      <c r="CZ260" s="289">
        <f>CZ257+CZ258+CZ259</f>
        <v>681</v>
      </c>
      <c r="DA260" s="291"/>
      <c r="DB260" s="291">
        <f>DB257+DB258+DB259</f>
        <v>1433</v>
      </c>
      <c r="DC260" s="289"/>
      <c r="DD260" s="289"/>
      <c r="DE260" s="289"/>
      <c r="DF260" s="290"/>
      <c r="DG260" s="289">
        <f>DG257+DG258+DG259</f>
        <v>766</v>
      </c>
      <c r="DH260" s="289">
        <f>DH257+DH258+DH259</f>
        <v>925</v>
      </c>
      <c r="DI260" s="291"/>
      <c r="DJ260" s="291">
        <f>DJ257+DJ258+DJ259</f>
        <v>1691</v>
      </c>
      <c r="DK260" s="289"/>
      <c r="DL260" s="289"/>
      <c r="DM260" s="289"/>
      <c r="DN260" s="290"/>
      <c r="DO260" s="289">
        <f>DO257+DO258+DO259</f>
        <v>705</v>
      </c>
      <c r="DP260" s="289">
        <f>DP257+DP258+DP259</f>
        <v>1113</v>
      </c>
      <c r="DQ260" s="291"/>
      <c r="DR260" s="291">
        <f>DR257+DR258+DR259</f>
        <v>1818</v>
      </c>
      <c r="DS260" s="289"/>
      <c r="DT260" s="289"/>
      <c r="DU260" s="289"/>
      <c r="DV260" s="290"/>
      <c r="DW260" s="289">
        <f>DW257+DW258+DW259</f>
        <v>977</v>
      </c>
      <c r="DX260" s="401">
        <f>DX257+DX258+DX259</f>
        <v>940.90303126021672</v>
      </c>
      <c r="DY260" s="291"/>
      <c r="DZ260" s="287">
        <f>DZ257+DZ258+DZ259</f>
        <v>1917.9030312602167</v>
      </c>
      <c r="EA260" s="289"/>
      <c r="EB260" s="289"/>
      <c r="EC260" s="289"/>
      <c r="ED260" s="290"/>
      <c r="EE260" s="401">
        <f>EE257+EE258+EE259</f>
        <v>911.1800917092678</v>
      </c>
      <c r="EF260" s="401">
        <f>EF257+EF258+EF259</f>
        <v>1029.8427436832289</v>
      </c>
      <c r="EG260" s="291"/>
      <c r="EH260" s="287">
        <f>EH257+EH258+EH259</f>
        <v>1941.0228353924967</v>
      </c>
      <c r="EI260" s="289"/>
      <c r="EJ260" s="289"/>
      <c r="EK260" s="289"/>
      <c r="EL260" s="290"/>
      <c r="EM260" s="401">
        <f>EM257+EM258+EM259</f>
        <v>980.75172254702693</v>
      </c>
      <c r="EN260" s="401">
        <f>EN257+EN258+EN259</f>
        <v>1106.8636468424716</v>
      </c>
      <c r="EO260" s="291"/>
      <c r="EP260" s="287">
        <f>EP257+EP258+EP259</f>
        <v>2087.6153693894985</v>
      </c>
      <c r="EQ260" s="289"/>
      <c r="ER260" s="289"/>
      <c r="ES260" s="289"/>
      <c r="ET260" s="290"/>
      <c r="EU260" s="401">
        <f>EU257+EU258+EU259</f>
        <v>1035.9807372911946</v>
      </c>
      <c r="EV260" s="401">
        <f>EV257+EV258+EV259</f>
        <v>1169.6083307128938</v>
      </c>
      <c r="EW260" s="291"/>
      <c r="EX260" s="287">
        <f>EX257+EX258+EX259</f>
        <v>2205.5890680040884</v>
      </c>
      <c r="EY260" s="289"/>
      <c r="EZ260" s="289"/>
      <c r="FA260" s="289"/>
      <c r="FB260" s="290"/>
      <c r="FC260" s="401">
        <f>FC257+FC258+FC259</f>
        <v>1060.1191213475354</v>
      </c>
      <c r="FD260" s="401">
        <f>FD257+FD258+FD259</f>
        <v>1196.4046873663719</v>
      </c>
      <c r="FE260" s="291"/>
      <c r="FF260" s="287">
        <f>FF257+FF258+FF259</f>
        <v>2256.5238087139073</v>
      </c>
    </row>
    <row r="261" spans="1:162" ht="11.25" customHeight="1" x14ac:dyDescent="0.2">
      <c r="A261" s="4" t="s">
        <v>392</v>
      </c>
      <c r="C261" s="288"/>
      <c r="D261" s="289"/>
      <c r="E261" s="289"/>
      <c r="F261" s="290"/>
      <c r="G261" s="289">
        <v>9</v>
      </c>
      <c r="H261" s="289">
        <f>J261-G261</f>
        <v>-35</v>
      </c>
      <c r="I261" s="291"/>
      <c r="J261" s="291">
        <v>-26</v>
      </c>
      <c r="K261" s="288"/>
      <c r="L261" s="289"/>
      <c r="M261" s="289"/>
      <c r="N261" s="290"/>
      <c r="O261" s="289">
        <v>-7</v>
      </c>
      <c r="P261" s="289">
        <f t="shared" si="306"/>
        <v>-29</v>
      </c>
      <c r="Q261" s="291"/>
      <c r="R261" s="291">
        <v>-36</v>
      </c>
      <c r="S261" s="288"/>
      <c r="T261" s="289"/>
      <c r="U261" s="289"/>
      <c r="V261" s="290"/>
      <c r="W261" s="289">
        <v>16</v>
      </c>
      <c r="X261" s="289">
        <f t="shared" si="307"/>
        <v>-24</v>
      </c>
      <c r="Y261" s="291"/>
      <c r="Z261" s="291">
        <f>CF!M12</f>
        <v>-8</v>
      </c>
      <c r="AA261" s="288"/>
      <c r="AB261" s="289"/>
      <c r="AC261" s="289"/>
      <c r="AD261" s="290"/>
      <c r="AE261" s="289">
        <v>6</v>
      </c>
      <c r="AF261" s="289">
        <f t="shared" si="308"/>
        <v>-69</v>
      </c>
      <c r="AG261" s="291"/>
      <c r="AH261" s="291">
        <f>CF!N12</f>
        <v>-63</v>
      </c>
      <c r="AI261" s="288"/>
      <c r="AJ261" s="289"/>
      <c r="AK261" s="289"/>
      <c r="AL261" s="290"/>
      <c r="AM261" s="289">
        <v>-49</v>
      </c>
      <c r="AN261" s="289">
        <f t="shared" si="309"/>
        <v>-61</v>
      </c>
      <c r="AO261" s="291"/>
      <c r="AP261" s="291">
        <f>CF!O12</f>
        <v>-110</v>
      </c>
      <c r="AQ261" s="288"/>
      <c r="AR261" s="289"/>
      <c r="AS261" s="289"/>
      <c r="AT261" s="290"/>
      <c r="AU261" s="289"/>
      <c r="AV261" s="289"/>
      <c r="AW261" s="291"/>
      <c r="AX261" s="291"/>
      <c r="AY261" s="288"/>
      <c r="AZ261" s="289"/>
      <c r="BA261" s="289"/>
      <c r="BB261" s="290"/>
      <c r="BC261" s="289">
        <v>-29</v>
      </c>
      <c r="BD261" s="289">
        <f t="shared" si="301"/>
        <v>-95</v>
      </c>
      <c r="BE261" s="291"/>
      <c r="BF261" s="291">
        <f>CF!P12</f>
        <v>-124</v>
      </c>
      <c r="BG261" s="288"/>
      <c r="BH261" s="289"/>
      <c r="BI261" s="289"/>
      <c r="BJ261" s="290"/>
      <c r="BK261" s="289">
        <f t="shared" si="299"/>
        <v>-29</v>
      </c>
      <c r="BL261" s="289">
        <f t="shared" si="299"/>
        <v>-95</v>
      </c>
      <c r="BM261" s="291"/>
      <c r="BN261" s="291">
        <f t="shared" si="300"/>
        <v>-124</v>
      </c>
      <c r="BO261" s="288"/>
      <c r="BP261" s="289"/>
      <c r="BQ261" s="289"/>
      <c r="BR261" s="290"/>
      <c r="BS261" s="289">
        <v>-33</v>
      </c>
      <c r="BT261" s="289">
        <f t="shared" si="302"/>
        <v>-54</v>
      </c>
      <c r="BU261" s="291"/>
      <c r="BV261" s="291">
        <f>CF!Q12</f>
        <v>-87</v>
      </c>
      <c r="BW261" s="288"/>
      <c r="BX261" s="289"/>
      <c r="BY261" s="289"/>
      <c r="BZ261" s="290"/>
      <c r="CA261" s="289">
        <v>5</v>
      </c>
      <c r="CB261" s="289">
        <f t="shared" si="303"/>
        <v>17</v>
      </c>
      <c r="CC261" s="291"/>
      <c r="CD261" s="291">
        <f>CF!R12</f>
        <v>22</v>
      </c>
      <c r="CE261" s="288"/>
      <c r="CF261" s="289"/>
      <c r="CG261" s="289"/>
      <c r="CH261" s="290"/>
      <c r="CI261" s="289">
        <v>114</v>
      </c>
      <c r="CJ261" s="289">
        <f t="shared" si="304"/>
        <v>588</v>
      </c>
      <c r="CK261" s="291"/>
      <c r="CL261" s="291">
        <f>CF!S12</f>
        <v>702</v>
      </c>
      <c r="CM261" s="288"/>
      <c r="CN261" s="289"/>
      <c r="CO261" s="289"/>
      <c r="CP261" s="290"/>
      <c r="CQ261" s="289">
        <v>64</v>
      </c>
      <c r="CR261" s="289">
        <f t="shared" si="305"/>
        <v>-53</v>
      </c>
      <c r="CS261" s="291"/>
      <c r="CT261" s="291">
        <f>CF!T12</f>
        <v>11</v>
      </c>
      <c r="CU261" s="289"/>
      <c r="CV261" s="289"/>
      <c r="CW261" s="289"/>
      <c r="CX261" s="290"/>
      <c r="CY261" s="289">
        <v>-39</v>
      </c>
      <c r="CZ261" s="289">
        <f>DB261-CY261</f>
        <v>-44</v>
      </c>
      <c r="DA261" s="291"/>
      <c r="DB261" s="291">
        <f>CF!U12</f>
        <v>-83</v>
      </c>
      <c r="DC261" s="289"/>
      <c r="DD261" s="289"/>
      <c r="DE261" s="289"/>
      <c r="DF261" s="290"/>
      <c r="DG261" s="289">
        <v>-37</v>
      </c>
      <c r="DH261" s="289">
        <f>DJ261-DG261</f>
        <v>-83</v>
      </c>
      <c r="DI261" s="291"/>
      <c r="DJ261" s="291">
        <f>CF!V12</f>
        <v>-120</v>
      </c>
      <c r="DK261" s="289"/>
      <c r="DL261" s="289"/>
      <c r="DM261" s="289"/>
      <c r="DN261" s="290"/>
      <c r="DO261" s="289">
        <v>-51</v>
      </c>
      <c r="DP261" s="289">
        <f>DR261-DO261</f>
        <v>-129</v>
      </c>
      <c r="DQ261" s="291"/>
      <c r="DR261" s="291">
        <f>CF!W12</f>
        <v>-180</v>
      </c>
      <c r="DS261" s="289"/>
      <c r="DT261" s="289"/>
      <c r="DU261" s="289"/>
      <c r="DV261" s="290"/>
      <c r="DW261" s="289">
        <v>-93</v>
      </c>
      <c r="DX261" s="401">
        <f>DZ261-DW261</f>
        <v>-47</v>
      </c>
      <c r="DY261" s="291"/>
      <c r="DZ261" s="287">
        <f>CF!X12</f>
        <v>-140</v>
      </c>
      <c r="EA261" s="289"/>
      <c r="EB261" s="289"/>
      <c r="EC261" s="289"/>
      <c r="ED261" s="290"/>
      <c r="EE261" s="401">
        <f>EH261/2</f>
        <v>-70</v>
      </c>
      <c r="EF261" s="401">
        <f>EH261-EE261</f>
        <v>-70</v>
      </c>
      <c r="EG261" s="291"/>
      <c r="EH261" s="287">
        <f>CF!Y12</f>
        <v>-140</v>
      </c>
      <c r="EI261" s="289"/>
      <c r="EJ261" s="289"/>
      <c r="EK261" s="289"/>
      <c r="EL261" s="290"/>
      <c r="EM261" s="401">
        <f>EP261/2</f>
        <v>-70</v>
      </c>
      <c r="EN261" s="401">
        <f>EP261-EM261</f>
        <v>-70</v>
      </c>
      <c r="EO261" s="291"/>
      <c r="EP261" s="287">
        <f>CF!Z12</f>
        <v>-140</v>
      </c>
      <c r="EQ261" s="289"/>
      <c r="ER261" s="289"/>
      <c r="ES261" s="289"/>
      <c r="ET261" s="290"/>
      <c r="EU261" s="401">
        <f>EX261/2</f>
        <v>-70</v>
      </c>
      <c r="EV261" s="401">
        <f>EX261-EU261</f>
        <v>-70</v>
      </c>
      <c r="EW261" s="291"/>
      <c r="EX261" s="287">
        <f>CF!AA12</f>
        <v>-140</v>
      </c>
      <c r="EY261" s="289"/>
      <c r="EZ261" s="289"/>
      <c r="FA261" s="289"/>
      <c r="FB261" s="290"/>
      <c r="FC261" s="401">
        <f>FF261/2</f>
        <v>-70</v>
      </c>
      <c r="FD261" s="401">
        <f>FF261-FC261</f>
        <v>-70</v>
      </c>
      <c r="FE261" s="291"/>
      <c r="FF261" s="287">
        <f>CF!AB12</f>
        <v>-140</v>
      </c>
    </row>
    <row r="262" spans="1:162" ht="11.25" customHeight="1" x14ac:dyDescent="0.2">
      <c r="A262" s="4" t="s">
        <v>393</v>
      </c>
      <c r="C262" s="288"/>
      <c r="D262" s="289"/>
      <c r="E262" s="289"/>
      <c r="F262" s="290"/>
      <c r="G262" s="289">
        <v>-142</v>
      </c>
      <c r="H262" s="289">
        <f>J262-G262</f>
        <v>-243</v>
      </c>
      <c r="I262" s="291"/>
      <c r="J262" s="291">
        <v>-385</v>
      </c>
      <c r="K262" s="288"/>
      <c r="L262" s="289"/>
      <c r="M262" s="289"/>
      <c r="N262" s="290"/>
      <c r="O262" s="289">
        <v>-1</v>
      </c>
      <c r="P262" s="289">
        <f t="shared" si="306"/>
        <v>-11</v>
      </c>
      <c r="Q262" s="291"/>
      <c r="R262" s="291">
        <v>-12</v>
      </c>
      <c r="S262" s="288"/>
      <c r="T262" s="289"/>
      <c r="U262" s="289"/>
      <c r="V262" s="290"/>
      <c r="W262" s="289">
        <v>-471</v>
      </c>
      <c r="X262" s="289">
        <f t="shared" si="307"/>
        <v>19</v>
      </c>
      <c r="Y262" s="291"/>
      <c r="Z262" s="291">
        <f>CF!M21</f>
        <v>-452</v>
      </c>
      <c r="AA262" s="288"/>
      <c r="AB262" s="289"/>
      <c r="AC262" s="289"/>
      <c r="AD262" s="290"/>
      <c r="AE262" s="289">
        <v>-367</v>
      </c>
      <c r="AF262" s="289">
        <f t="shared" si="308"/>
        <v>3</v>
      </c>
      <c r="AG262" s="291"/>
      <c r="AH262" s="291">
        <f>CF!N21</f>
        <v>-364</v>
      </c>
      <c r="AI262" s="288"/>
      <c r="AJ262" s="289"/>
      <c r="AK262" s="289"/>
      <c r="AL262" s="290"/>
      <c r="AM262" s="289">
        <v>-3</v>
      </c>
      <c r="AN262" s="289">
        <f t="shared" si="309"/>
        <v>-17</v>
      </c>
      <c r="AO262" s="291"/>
      <c r="AP262" s="291">
        <f>CF!O21</f>
        <v>-20</v>
      </c>
      <c r="AQ262" s="288"/>
      <c r="AR262" s="289"/>
      <c r="AS262" s="289"/>
      <c r="AT262" s="290"/>
      <c r="AU262" s="289"/>
      <c r="AV262" s="289"/>
      <c r="AW262" s="291"/>
      <c r="AX262" s="291"/>
      <c r="AY262" s="288"/>
      <c r="AZ262" s="289"/>
      <c r="BA262" s="289"/>
      <c r="BB262" s="290"/>
      <c r="BC262" s="289">
        <v>-3</v>
      </c>
      <c r="BD262" s="289">
        <f t="shared" si="301"/>
        <v>15</v>
      </c>
      <c r="BE262" s="291"/>
      <c r="BF262" s="291">
        <f>CF!P21</f>
        <v>12</v>
      </c>
      <c r="BG262" s="288"/>
      <c r="BH262" s="289"/>
      <c r="BI262" s="289"/>
      <c r="BJ262" s="290"/>
      <c r="BK262" s="289">
        <f t="shared" si="299"/>
        <v>-3</v>
      </c>
      <c r="BL262" s="289">
        <f t="shared" si="299"/>
        <v>15</v>
      </c>
      <c r="BM262" s="291"/>
      <c r="BN262" s="291">
        <f t="shared" si="300"/>
        <v>12</v>
      </c>
      <c r="BO262" s="288"/>
      <c r="BP262" s="289"/>
      <c r="BQ262" s="289"/>
      <c r="BR262" s="290"/>
      <c r="BS262" s="289">
        <v>-26</v>
      </c>
      <c r="BT262" s="289">
        <f t="shared" si="302"/>
        <v>-15</v>
      </c>
      <c r="BU262" s="291"/>
      <c r="BV262" s="291">
        <f>CF!Q21</f>
        <v>-41</v>
      </c>
      <c r="BW262" s="288"/>
      <c r="BX262" s="289"/>
      <c r="BY262" s="289"/>
      <c r="BZ262" s="290"/>
      <c r="CA262" s="289">
        <v>1</v>
      </c>
      <c r="CB262" s="289">
        <f t="shared" si="303"/>
        <v>19</v>
      </c>
      <c r="CC262" s="291"/>
      <c r="CD262" s="291">
        <f>CF!R21</f>
        <v>20</v>
      </c>
      <c r="CE262" s="288"/>
      <c r="CF262" s="289"/>
      <c r="CG262" s="289"/>
      <c r="CH262" s="290"/>
      <c r="CI262" s="289">
        <v>-22</v>
      </c>
      <c r="CJ262" s="289">
        <f t="shared" si="304"/>
        <v>-35</v>
      </c>
      <c r="CK262" s="291"/>
      <c r="CL262" s="291">
        <f>CF!S21</f>
        <v>-57</v>
      </c>
      <c r="CM262" s="288"/>
      <c r="CN262" s="289"/>
      <c r="CO262" s="289"/>
      <c r="CP262" s="290"/>
      <c r="CQ262" s="289">
        <v>-51</v>
      </c>
      <c r="CR262" s="289">
        <f t="shared" si="305"/>
        <v>340</v>
      </c>
      <c r="CS262" s="291"/>
      <c r="CT262" s="291">
        <f>CF!T21</f>
        <v>289</v>
      </c>
      <c r="CU262" s="289"/>
      <c r="CV262" s="289"/>
      <c r="CW262" s="289"/>
      <c r="CX262" s="290"/>
      <c r="CY262" s="289">
        <v>2</v>
      </c>
      <c r="CZ262" s="289">
        <f>DB262-CY262</f>
        <v>342</v>
      </c>
      <c r="DA262" s="291"/>
      <c r="DB262" s="291">
        <f>CF!U21</f>
        <v>344</v>
      </c>
      <c r="DC262" s="289"/>
      <c r="DD262" s="289"/>
      <c r="DE262" s="289"/>
      <c r="DF262" s="290"/>
      <c r="DG262" s="289">
        <v>-13</v>
      </c>
      <c r="DH262" s="289">
        <f>DJ262-DG262</f>
        <v>-34</v>
      </c>
      <c r="DI262" s="291"/>
      <c r="DJ262" s="291">
        <f>CF!V21</f>
        <v>-47</v>
      </c>
      <c r="DK262" s="289"/>
      <c r="DL262" s="289"/>
      <c r="DM262" s="289"/>
      <c r="DN262" s="290"/>
      <c r="DO262" s="289">
        <v>2</v>
      </c>
      <c r="DP262" s="289">
        <f>DR262-DO262</f>
        <v>48</v>
      </c>
      <c r="DQ262" s="291"/>
      <c r="DR262" s="291">
        <f>CF!W21</f>
        <v>50</v>
      </c>
      <c r="DS262" s="289"/>
      <c r="DT262" s="289"/>
      <c r="DU262" s="289"/>
      <c r="DV262" s="290"/>
      <c r="DW262" s="289">
        <v>6</v>
      </c>
      <c r="DX262" s="401">
        <f>DZ262-DW262</f>
        <v>0</v>
      </c>
      <c r="DY262" s="291"/>
      <c r="DZ262" s="287">
        <f>CF!X21</f>
        <v>6</v>
      </c>
      <c r="EA262" s="289"/>
      <c r="EB262" s="289"/>
      <c r="EC262" s="289"/>
      <c r="ED262" s="290"/>
      <c r="EE262" s="401">
        <f>EH262/2</f>
        <v>0</v>
      </c>
      <c r="EF262" s="401">
        <f>EH262-EE262</f>
        <v>0</v>
      </c>
      <c r="EG262" s="291"/>
      <c r="EH262" s="287">
        <f>CF!Y21</f>
        <v>0</v>
      </c>
      <c r="EI262" s="289"/>
      <c r="EJ262" s="289"/>
      <c r="EK262" s="289"/>
      <c r="EL262" s="290"/>
      <c r="EM262" s="401">
        <f>EP262/2</f>
        <v>0</v>
      </c>
      <c r="EN262" s="401">
        <f>EP262-EM262</f>
        <v>0</v>
      </c>
      <c r="EO262" s="291"/>
      <c r="EP262" s="287">
        <f>CF!Z21</f>
        <v>0</v>
      </c>
      <c r="EQ262" s="289"/>
      <c r="ER262" s="289"/>
      <c r="ES262" s="289"/>
      <c r="ET262" s="290"/>
      <c r="EU262" s="401">
        <f>EX262/2</f>
        <v>0</v>
      </c>
      <c r="EV262" s="401">
        <f>EX262-EU262</f>
        <v>0</v>
      </c>
      <c r="EW262" s="291"/>
      <c r="EX262" s="287">
        <f>CF!AA21</f>
        <v>0</v>
      </c>
      <c r="EY262" s="289"/>
      <c r="EZ262" s="289"/>
      <c r="FA262" s="289"/>
      <c r="FB262" s="290"/>
      <c r="FC262" s="401">
        <f>FF262/2</f>
        <v>0</v>
      </c>
      <c r="FD262" s="401">
        <f>FF262-FC262</f>
        <v>0</v>
      </c>
      <c r="FE262" s="291"/>
      <c r="FF262" s="287">
        <f>CF!AB21</f>
        <v>0</v>
      </c>
    </row>
    <row r="263" spans="1:162" ht="11.25" customHeight="1" x14ac:dyDescent="0.2">
      <c r="A263" s="4" t="s">
        <v>394</v>
      </c>
      <c r="C263" s="288"/>
      <c r="D263" s="289"/>
      <c r="E263" s="289"/>
      <c r="F263" s="290"/>
      <c r="G263" s="289"/>
      <c r="H263" s="289"/>
      <c r="I263" s="291"/>
      <c r="J263" s="291"/>
      <c r="K263" s="288"/>
      <c r="L263" s="289"/>
      <c r="M263" s="289"/>
      <c r="N263" s="290"/>
      <c r="O263" s="289"/>
      <c r="P263" s="289"/>
      <c r="Q263" s="291"/>
      <c r="R263" s="291"/>
      <c r="S263" s="288"/>
      <c r="T263" s="289"/>
      <c r="U263" s="289"/>
      <c r="V263" s="290"/>
      <c r="W263" s="289"/>
      <c r="X263" s="289"/>
      <c r="Y263" s="291"/>
      <c r="Z263" s="291"/>
      <c r="AA263" s="288"/>
      <c r="AB263" s="289"/>
      <c r="AC263" s="289"/>
      <c r="AD263" s="290"/>
      <c r="AE263" s="289"/>
      <c r="AF263" s="289"/>
      <c r="AG263" s="291"/>
      <c r="AH263" s="291">
        <v>-110</v>
      </c>
      <c r="AI263" s="288"/>
      <c r="AJ263" s="289"/>
      <c r="AK263" s="289"/>
      <c r="AL263" s="290"/>
      <c r="AM263" s="289">
        <v>-947</v>
      </c>
      <c r="AN263" s="289">
        <f t="shared" si="309"/>
        <v>-43</v>
      </c>
      <c r="AO263" s="291"/>
      <c r="AP263" s="291">
        <f>CF!O24</f>
        <v>-990</v>
      </c>
      <c r="AQ263" s="288"/>
      <c r="AR263" s="289"/>
      <c r="AS263" s="289"/>
      <c r="AT263" s="290"/>
      <c r="AU263" s="289"/>
      <c r="AV263" s="289"/>
      <c r="AW263" s="291"/>
      <c r="AX263" s="291"/>
      <c r="AY263" s="288"/>
      <c r="AZ263" s="289"/>
      <c r="BA263" s="289"/>
      <c r="BB263" s="290"/>
      <c r="BC263" s="289">
        <v>0</v>
      </c>
      <c r="BD263" s="289">
        <f t="shared" si="301"/>
        <v>0</v>
      </c>
      <c r="BE263" s="291"/>
      <c r="BF263" s="291"/>
      <c r="BG263" s="288"/>
      <c r="BH263" s="289"/>
      <c r="BI263" s="289"/>
      <c r="BJ263" s="290"/>
      <c r="BK263" s="289">
        <f t="shared" si="299"/>
        <v>0</v>
      </c>
      <c r="BL263" s="289">
        <f t="shared" si="299"/>
        <v>0</v>
      </c>
      <c r="BM263" s="291"/>
      <c r="BN263" s="291"/>
      <c r="BO263" s="288"/>
      <c r="BP263" s="289"/>
      <c r="BQ263" s="289"/>
      <c r="BR263" s="290"/>
      <c r="BS263" s="289">
        <v>0</v>
      </c>
      <c r="BT263" s="289">
        <f t="shared" si="302"/>
        <v>0</v>
      </c>
      <c r="BU263" s="291"/>
      <c r="BV263" s="291"/>
      <c r="BW263" s="288"/>
      <c r="BX263" s="289"/>
      <c r="BY263" s="289"/>
      <c r="BZ263" s="290"/>
      <c r="CA263" s="289"/>
      <c r="CB263" s="289">
        <f t="shared" si="303"/>
        <v>0</v>
      </c>
      <c r="CC263" s="291"/>
      <c r="CD263" s="291"/>
      <c r="CE263" s="288"/>
      <c r="CF263" s="289"/>
      <c r="CG263" s="289"/>
      <c r="CH263" s="290"/>
      <c r="CI263" s="289">
        <v>-22</v>
      </c>
      <c r="CJ263" s="289">
        <f t="shared" si="304"/>
        <v>22</v>
      </c>
      <c r="CK263" s="291"/>
      <c r="CL263" s="291"/>
      <c r="CM263" s="288"/>
      <c r="CN263" s="289"/>
      <c r="CO263" s="289"/>
      <c r="CP263" s="290"/>
      <c r="CQ263" s="289"/>
      <c r="CR263" s="289"/>
      <c r="CS263" s="291"/>
      <c r="CT263" s="291"/>
      <c r="CU263" s="289"/>
      <c r="CV263" s="289"/>
      <c r="CW263" s="289"/>
      <c r="CX263" s="290"/>
      <c r="CY263" s="289"/>
      <c r="CZ263" s="289"/>
      <c r="DA263" s="291"/>
      <c r="DB263" s="291"/>
      <c r="DC263" s="289"/>
      <c r="DD263" s="289"/>
      <c r="DE263" s="289"/>
      <c r="DF263" s="290"/>
      <c r="DG263" s="289"/>
      <c r="DH263" s="289"/>
      <c r="DI263" s="291"/>
      <c r="DJ263" s="291"/>
      <c r="DK263" s="289"/>
      <c r="DL263" s="289"/>
      <c r="DM263" s="289"/>
      <c r="DN263" s="290"/>
      <c r="DO263" s="289"/>
      <c r="DP263" s="289"/>
      <c r="DQ263" s="291"/>
      <c r="DR263" s="291"/>
      <c r="DS263" s="289"/>
      <c r="DT263" s="289"/>
      <c r="DU263" s="289"/>
      <c r="DV263" s="290"/>
      <c r="DW263" s="289"/>
      <c r="DX263" s="289"/>
      <c r="DY263" s="291"/>
      <c r="DZ263" s="291"/>
      <c r="EA263" s="289"/>
      <c r="EB263" s="289"/>
      <c r="EC263" s="289"/>
      <c r="ED263" s="290"/>
      <c r="EE263" s="289"/>
      <c r="EF263" s="289"/>
      <c r="EG263" s="291"/>
      <c r="EH263" s="291"/>
      <c r="EI263" s="289"/>
      <c r="EJ263" s="289"/>
      <c r="EK263" s="289"/>
      <c r="EL263" s="290"/>
      <c r="EM263" s="289"/>
      <c r="EN263" s="289"/>
      <c r="EO263" s="291"/>
      <c r="EP263" s="291"/>
      <c r="EQ263" s="289"/>
      <c r="ER263" s="289"/>
      <c r="ES263" s="289"/>
      <c r="ET263" s="290"/>
      <c r="EU263" s="289"/>
      <c r="EV263" s="289"/>
      <c r="EW263" s="291"/>
      <c r="EX263" s="291"/>
      <c r="EY263" s="289"/>
      <c r="EZ263" s="289"/>
      <c r="FA263" s="289"/>
      <c r="FB263" s="290"/>
      <c r="FC263" s="289"/>
      <c r="FD263" s="289"/>
      <c r="FE263" s="291"/>
      <c r="FF263" s="291"/>
    </row>
    <row r="264" spans="1:162" ht="11.25" customHeight="1" x14ac:dyDescent="0.2">
      <c r="B264" s="4" t="s">
        <v>395</v>
      </c>
      <c r="C264" s="288"/>
      <c r="D264" s="289"/>
      <c r="E264" s="289"/>
      <c r="F264" s="290"/>
      <c r="G264" s="289">
        <v>166</v>
      </c>
      <c r="H264" s="289">
        <f>J264-G264</f>
        <v>-598</v>
      </c>
      <c r="I264" s="291"/>
      <c r="J264" s="291">
        <v>-432</v>
      </c>
      <c r="K264" s="288"/>
      <c r="L264" s="289"/>
      <c r="M264" s="289"/>
      <c r="N264" s="290"/>
      <c r="O264" s="289">
        <v>-251</v>
      </c>
      <c r="P264" s="289">
        <f t="shared" si="306"/>
        <v>2185</v>
      </c>
      <c r="Q264" s="291"/>
      <c r="R264" s="291">
        <v>1934</v>
      </c>
      <c r="S264" s="288"/>
      <c r="T264" s="289"/>
      <c r="U264" s="289"/>
      <c r="V264" s="290"/>
      <c r="W264" s="289">
        <v>2149</v>
      </c>
      <c r="X264" s="289">
        <f t="shared" si="307"/>
        <v>326</v>
      </c>
      <c r="Y264" s="291"/>
      <c r="Z264" s="291">
        <f>CF!M18</f>
        <v>2475</v>
      </c>
      <c r="AA264" s="288"/>
      <c r="AB264" s="289"/>
      <c r="AC264" s="289"/>
      <c r="AD264" s="290"/>
      <c r="AE264" s="289">
        <v>-1065</v>
      </c>
      <c r="AF264" s="289">
        <f t="shared" si="308"/>
        <v>1146</v>
      </c>
      <c r="AG264" s="291"/>
      <c r="AH264" s="291">
        <f>CF!N18</f>
        <v>81</v>
      </c>
      <c r="AI264" s="288"/>
      <c r="AJ264" s="289"/>
      <c r="AK264" s="289"/>
      <c r="AL264" s="290"/>
      <c r="AM264" s="289">
        <v>-2865</v>
      </c>
      <c r="AN264" s="289">
        <f t="shared" si="309"/>
        <v>-743</v>
      </c>
      <c r="AO264" s="291"/>
      <c r="AP264" s="291">
        <f>CF!O18</f>
        <v>-3608</v>
      </c>
      <c r="AQ264" s="288"/>
      <c r="AR264" s="289"/>
      <c r="AS264" s="289"/>
      <c r="AT264" s="290"/>
      <c r="AU264" s="289"/>
      <c r="AV264" s="289"/>
      <c r="AW264" s="291"/>
      <c r="AX264" s="291"/>
      <c r="AY264" s="288"/>
      <c r="AZ264" s="289"/>
      <c r="BA264" s="289"/>
      <c r="BB264" s="290"/>
      <c r="BC264" s="289">
        <v>207</v>
      </c>
      <c r="BD264" s="289">
        <f t="shared" si="301"/>
        <v>109</v>
      </c>
      <c r="BE264" s="291"/>
      <c r="BF264" s="291">
        <f>CF!P18</f>
        <v>316</v>
      </c>
      <c r="BG264" s="288"/>
      <c r="BH264" s="289"/>
      <c r="BI264" s="289"/>
      <c r="BJ264" s="290"/>
      <c r="BK264" s="289">
        <f t="shared" si="299"/>
        <v>207</v>
      </c>
      <c r="BL264" s="289">
        <f t="shared" si="299"/>
        <v>109</v>
      </c>
      <c r="BM264" s="291"/>
      <c r="BN264" s="291">
        <f t="shared" si="300"/>
        <v>316</v>
      </c>
      <c r="BO264" s="288"/>
      <c r="BP264" s="289"/>
      <c r="BQ264" s="289"/>
      <c r="BR264" s="290"/>
      <c r="BS264" s="289">
        <v>-317</v>
      </c>
      <c r="BT264" s="289">
        <f t="shared" si="302"/>
        <v>165</v>
      </c>
      <c r="BU264" s="291"/>
      <c r="BV264" s="291">
        <f>CF!Q18</f>
        <v>-152</v>
      </c>
      <c r="BW264" s="288"/>
      <c r="BX264" s="289"/>
      <c r="BY264" s="289"/>
      <c r="BZ264" s="290"/>
      <c r="CA264" s="289">
        <v>957</v>
      </c>
      <c r="CB264" s="289">
        <f t="shared" si="303"/>
        <v>-748</v>
      </c>
      <c r="CC264" s="291"/>
      <c r="CD264" s="291">
        <f>CF!R18</f>
        <v>209</v>
      </c>
      <c r="CE264" s="288"/>
      <c r="CF264" s="289"/>
      <c r="CG264" s="289"/>
      <c r="CH264" s="290"/>
      <c r="CI264" s="289">
        <v>-734</v>
      </c>
      <c r="CJ264" s="289">
        <f t="shared" si="304"/>
        <v>1272</v>
      </c>
      <c r="CK264" s="291"/>
      <c r="CL264" s="291">
        <f>CF!S18</f>
        <v>538</v>
      </c>
      <c r="CM264" s="288"/>
      <c r="CN264" s="289"/>
      <c r="CO264" s="289"/>
      <c r="CP264" s="290"/>
      <c r="CQ264" s="289">
        <v>5477</v>
      </c>
      <c r="CR264" s="289">
        <f t="shared" si="305"/>
        <v>-1270</v>
      </c>
      <c r="CS264" s="291"/>
      <c r="CT264" s="291">
        <f>CF!T18</f>
        <v>4207</v>
      </c>
      <c r="CU264" s="289"/>
      <c r="CV264" s="289"/>
      <c r="CW264" s="289"/>
      <c r="CX264" s="290"/>
      <c r="CY264" s="289">
        <v>-1260</v>
      </c>
      <c r="CZ264" s="289">
        <f>DB264-CY264</f>
        <v>-901</v>
      </c>
      <c r="DA264" s="291"/>
      <c r="DB264" s="291">
        <f>CF!U18</f>
        <v>-2161</v>
      </c>
      <c r="DC264" s="289"/>
      <c r="DD264" s="289"/>
      <c r="DE264" s="289"/>
      <c r="DF264" s="290"/>
      <c r="DG264" s="289">
        <v>1680</v>
      </c>
      <c r="DH264" s="289">
        <f>DJ264-DG264</f>
        <v>3004</v>
      </c>
      <c r="DI264" s="291"/>
      <c r="DJ264" s="291">
        <f>CF!V18</f>
        <v>4684</v>
      </c>
      <c r="DK264" s="289"/>
      <c r="DL264" s="289"/>
      <c r="DM264" s="289"/>
      <c r="DN264" s="290"/>
      <c r="DO264" s="289">
        <v>-4785</v>
      </c>
      <c r="DP264" s="289">
        <f>DR264-DO264</f>
        <v>-813</v>
      </c>
      <c r="DQ264" s="291"/>
      <c r="DR264" s="291">
        <f>CF!W18</f>
        <v>-5598</v>
      </c>
      <c r="DS264" s="289"/>
      <c r="DT264" s="289"/>
      <c r="DU264" s="289"/>
      <c r="DV264" s="290"/>
      <c r="DW264" s="289">
        <v>-9</v>
      </c>
      <c r="DX264" s="401">
        <f>DZ264-DW264</f>
        <v>0</v>
      </c>
      <c r="DY264" s="291"/>
      <c r="DZ264" s="287">
        <f>CF!X18</f>
        <v>-9</v>
      </c>
      <c r="EA264" s="289"/>
      <c r="EB264" s="289"/>
      <c r="EC264" s="289"/>
      <c r="ED264" s="290"/>
      <c r="EE264" s="401">
        <f>EH264/2</f>
        <v>0</v>
      </c>
      <c r="EF264" s="401">
        <f>EH264-EE264</f>
        <v>0</v>
      </c>
      <c r="EG264" s="291"/>
      <c r="EH264" s="287">
        <f>CF!Y18</f>
        <v>0</v>
      </c>
      <c r="EI264" s="289"/>
      <c r="EJ264" s="289"/>
      <c r="EK264" s="289"/>
      <c r="EL264" s="290"/>
      <c r="EM264" s="401">
        <f>EP264/2</f>
        <v>0</v>
      </c>
      <c r="EN264" s="401">
        <f>EP264-EM264</f>
        <v>0</v>
      </c>
      <c r="EO264" s="291"/>
      <c r="EP264" s="287">
        <f>CF!Z18</f>
        <v>0</v>
      </c>
      <c r="EQ264" s="289"/>
      <c r="ER264" s="289"/>
      <c r="ES264" s="289"/>
      <c r="ET264" s="290"/>
      <c r="EU264" s="401">
        <f>EX264/2</f>
        <v>0</v>
      </c>
      <c r="EV264" s="401">
        <f>EX264-EU264</f>
        <v>0</v>
      </c>
      <c r="EW264" s="291"/>
      <c r="EX264" s="287">
        <f>CF!AA18</f>
        <v>0</v>
      </c>
      <c r="EY264" s="289"/>
      <c r="EZ264" s="289"/>
      <c r="FA264" s="289"/>
      <c r="FB264" s="290"/>
      <c r="FC264" s="401">
        <f>FF264/2</f>
        <v>0</v>
      </c>
      <c r="FD264" s="401">
        <f>FF264-FC264</f>
        <v>0</v>
      </c>
      <c r="FE264" s="291"/>
      <c r="FF264" s="287">
        <f>CF!AB18</f>
        <v>0</v>
      </c>
    </row>
    <row r="265" spans="1:162" ht="11.25" customHeight="1" x14ac:dyDescent="0.2">
      <c r="B265" s="4" t="s">
        <v>396</v>
      </c>
      <c r="C265" s="288"/>
      <c r="D265" s="289"/>
      <c r="E265" s="289"/>
      <c r="F265" s="290"/>
      <c r="G265" s="289">
        <v>7</v>
      </c>
      <c r="H265" s="289">
        <f>J265-G265</f>
        <v>22</v>
      </c>
      <c r="I265" s="291"/>
      <c r="J265" s="291">
        <v>29</v>
      </c>
      <c r="K265" s="288"/>
      <c r="L265" s="289"/>
      <c r="M265" s="289"/>
      <c r="N265" s="290"/>
      <c r="O265" s="289">
        <v>18</v>
      </c>
      <c r="P265" s="289">
        <f t="shared" si="306"/>
        <v>40</v>
      </c>
      <c r="Q265" s="291"/>
      <c r="R265" s="291">
        <v>58</v>
      </c>
      <c r="S265" s="288"/>
      <c r="T265" s="289"/>
      <c r="U265" s="289"/>
      <c r="V265" s="290"/>
      <c r="W265" s="289">
        <v>32</v>
      </c>
      <c r="X265" s="289">
        <f t="shared" si="307"/>
        <v>15</v>
      </c>
      <c r="Y265" s="291"/>
      <c r="Z265" s="291">
        <f>CF!M26</f>
        <v>47</v>
      </c>
      <c r="AA265" s="288"/>
      <c r="AB265" s="289"/>
      <c r="AC265" s="289"/>
      <c r="AD265" s="290"/>
      <c r="AE265" s="289">
        <v>32</v>
      </c>
      <c r="AF265" s="289">
        <f t="shared" si="308"/>
        <v>23</v>
      </c>
      <c r="AG265" s="291"/>
      <c r="AH265" s="291">
        <f>CF!N26</f>
        <v>55</v>
      </c>
      <c r="AI265" s="288"/>
      <c r="AJ265" s="289"/>
      <c r="AK265" s="289"/>
      <c r="AL265" s="290"/>
      <c r="AM265" s="289">
        <v>30</v>
      </c>
      <c r="AN265" s="289">
        <f t="shared" si="309"/>
        <v>32</v>
      </c>
      <c r="AO265" s="291"/>
      <c r="AP265" s="291">
        <f>CF!O26</f>
        <v>62</v>
      </c>
      <c r="AQ265" s="288"/>
      <c r="AR265" s="289"/>
      <c r="AS265" s="289"/>
      <c r="AT265" s="290"/>
      <c r="AU265" s="289"/>
      <c r="AV265" s="289"/>
      <c r="AW265" s="291"/>
      <c r="AX265" s="291"/>
      <c r="AY265" s="288"/>
      <c r="AZ265" s="289"/>
      <c r="BA265" s="289"/>
      <c r="BB265" s="290"/>
      <c r="BC265" s="289">
        <v>31</v>
      </c>
      <c r="BD265" s="289">
        <f t="shared" si="301"/>
        <v>27</v>
      </c>
      <c r="BE265" s="291"/>
      <c r="BF265" s="291">
        <f>CF!P26</f>
        <v>58</v>
      </c>
      <c r="BG265" s="288"/>
      <c r="BH265" s="289"/>
      <c r="BI265" s="289"/>
      <c r="BJ265" s="290"/>
      <c r="BK265" s="289">
        <f t="shared" si="299"/>
        <v>31</v>
      </c>
      <c r="BL265" s="289">
        <f t="shared" si="299"/>
        <v>27</v>
      </c>
      <c r="BM265" s="291"/>
      <c r="BN265" s="291">
        <f t="shared" si="300"/>
        <v>58</v>
      </c>
      <c r="BO265" s="288"/>
      <c r="BP265" s="289"/>
      <c r="BQ265" s="289"/>
      <c r="BR265" s="290"/>
      <c r="BS265" s="289">
        <v>33</v>
      </c>
      <c r="BT265" s="289">
        <f t="shared" si="302"/>
        <v>32</v>
      </c>
      <c r="BU265" s="291"/>
      <c r="BV265" s="291">
        <f>CF!Q26</f>
        <v>65</v>
      </c>
      <c r="BW265" s="288"/>
      <c r="BX265" s="289"/>
      <c r="BY265" s="289"/>
      <c r="BZ265" s="290"/>
      <c r="CA265" s="289">
        <v>15</v>
      </c>
      <c r="CB265" s="289">
        <f t="shared" si="303"/>
        <v>19</v>
      </c>
      <c r="CC265" s="291"/>
      <c r="CD265" s="291">
        <f>CF!R26</f>
        <v>34</v>
      </c>
      <c r="CE265" s="288"/>
      <c r="CF265" s="289"/>
      <c r="CG265" s="289"/>
      <c r="CH265" s="290"/>
      <c r="CI265" s="289">
        <v>13</v>
      </c>
      <c r="CJ265" s="289">
        <f t="shared" si="304"/>
        <v>12</v>
      </c>
      <c r="CK265" s="291"/>
      <c r="CL265" s="291">
        <f>CF!S26</f>
        <v>25</v>
      </c>
      <c r="CM265" s="288"/>
      <c r="CN265" s="289"/>
      <c r="CO265" s="289"/>
      <c r="CP265" s="290"/>
      <c r="CQ265" s="289">
        <v>15</v>
      </c>
      <c r="CR265" s="289">
        <f t="shared" si="305"/>
        <v>18</v>
      </c>
      <c r="CS265" s="291"/>
      <c r="CT265" s="291">
        <f>CF!T26</f>
        <v>33</v>
      </c>
      <c r="CU265" s="289"/>
      <c r="CV265" s="289"/>
      <c r="CW265" s="289"/>
      <c r="CX265" s="290"/>
      <c r="CY265" s="289">
        <v>42</v>
      </c>
      <c r="CZ265" s="289">
        <f>DB265-CY265</f>
        <v>34</v>
      </c>
      <c r="DA265" s="291"/>
      <c r="DB265" s="291">
        <f>CF!U26</f>
        <v>76</v>
      </c>
      <c r="DC265" s="289"/>
      <c r="DD265" s="289"/>
      <c r="DE265" s="289"/>
      <c r="DF265" s="290"/>
      <c r="DG265" s="289">
        <v>49</v>
      </c>
      <c r="DH265" s="289">
        <f>DJ265-DG265</f>
        <v>43</v>
      </c>
      <c r="DI265" s="291"/>
      <c r="DJ265" s="291">
        <f>CF!V26</f>
        <v>92</v>
      </c>
      <c r="DK265" s="289"/>
      <c r="DL265" s="289"/>
      <c r="DM265" s="289"/>
      <c r="DN265" s="290"/>
      <c r="DO265" s="289">
        <v>67</v>
      </c>
      <c r="DP265" s="289">
        <f>DR265-DO265</f>
        <v>42</v>
      </c>
      <c r="DQ265" s="291"/>
      <c r="DR265" s="291">
        <f>CF!W26</f>
        <v>109</v>
      </c>
      <c r="DS265" s="289"/>
      <c r="DT265" s="289"/>
      <c r="DU265" s="289"/>
      <c r="DV265" s="290"/>
      <c r="DW265" s="289">
        <v>50</v>
      </c>
      <c r="DX265" s="401">
        <f>DZ265-DW265</f>
        <v>59</v>
      </c>
      <c r="DY265" s="291"/>
      <c r="DZ265" s="287">
        <f>CF!X26</f>
        <v>109</v>
      </c>
      <c r="EA265" s="289"/>
      <c r="EB265" s="289"/>
      <c r="EC265" s="289"/>
      <c r="ED265" s="290"/>
      <c r="EE265" s="401">
        <f>EH265/2</f>
        <v>54.5</v>
      </c>
      <c r="EF265" s="401">
        <f>EH265-EE265</f>
        <v>54.5</v>
      </c>
      <c r="EG265" s="291"/>
      <c r="EH265" s="287">
        <f>CF!Y26</f>
        <v>109</v>
      </c>
      <c r="EI265" s="289"/>
      <c r="EJ265" s="289"/>
      <c r="EK265" s="289"/>
      <c r="EL265" s="290"/>
      <c r="EM265" s="401">
        <f>EP265/2</f>
        <v>54.5</v>
      </c>
      <c r="EN265" s="401">
        <f>EP265-EM265</f>
        <v>54.5</v>
      </c>
      <c r="EO265" s="291"/>
      <c r="EP265" s="287">
        <f>CF!Z26</f>
        <v>109</v>
      </c>
      <c r="EQ265" s="289"/>
      <c r="ER265" s="289"/>
      <c r="ES265" s="289"/>
      <c r="ET265" s="290"/>
      <c r="EU265" s="401">
        <f>EX265/2</f>
        <v>54.5</v>
      </c>
      <c r="EV265" s="401">
        <f>EX265-EU265</f>
        <v>54.5</v>
      </c>
      <c r="EW265" s="291"/>
      <c r="EX265" s="287">
        <f>CF!AA26</f>
        <v>109</v>
      </c>
      <c r="EY265" s="289"/>
      <c r="EZ265" s="289"/>
      <c r="FA265" s="289"/>
      <c r="FB265" s="290"/>
      <c r="FC265" s="401">
        <f>FF265/2</f>
        <v>54.5</v>
      </c>
      <c r="FD265" s="401">
        <f>FF265-FC265</f>
        <v>54.5</v>
      </c>
      <c r="FE265" s="291"/>
      <c r="FF265" s="287">
        <f>CF!AB26</f>
        <v>109</v>
      </c>
    </row>
    <row r="266" spans="1:162" ht="11.25" customHeight="1" x14ac:dyDescent="0.2">
      <c r="B266" s="4" t="s">
        <v>397</v>
      </c>
      <c r="C266" s="288"/>
      <c r="D266" s="289"/>
      <c r="E266" s="289"/>
      <c r="F266" s="290"/>
      <c r="G266" s="289">
        <v>96</v>
      </c>
      <c r="H266" s="289">
        <f>J266-G266</f>
        <v>362</v>
      </c>
      <c r="I266" s="291"/>
      <c r="J266" s="291">
        <v>458</v>
      </c>
      <c r="K266" s="288"/>
      <c r="L266" s="289"/>
      <c r="M266" s="289"/>
      <c r="N266" s="290"/>
      <c r="O266" s="289">
        <v>200</v>
      </c>
      <c r="P266" s="289">
        <f t="shared" si="306"/>
        <v>-710</v>
      </c>
      <c r="Q266" s="291"/>
      <c r="R266" s="291">
        <v>-510</v>
      </c>
      <c r="S266" s="288"/>
      <c r="T266" s="289"/>
      <c r="U266" s="289"/>
      <c r="V266" s="290"/>
      <c r="W266" s="289">
        <v>-614</v>
      </c>
      <c r="X266" s="289">
        <f t="shared" si="307"/>
        <v>-268</v>
      </c>
      <c r="Y266" s="291"/>
      <c r="Z266" s="291">
        <f>CF!M23+CF!M8+CF!M10</f>
        <v>-882</v>
      </c>
      <c r="AA266" s="288"/>
      <c r="AB266" s="289"/>
      <c r="AC266" s="289"/>
      <c r="AD266" s="290"/>
      <c r="AE266" s="289">
        <v>519</v>
      </c>
      <c r="AF266" s="289">
        <f t="shared" si="308"/>
        <v>-302</v>
      </c>
      <c r="AG266" s="291"/>
      <c r="AH266" s="291">
        <f>CF!N23+CF!N8+CF!N10</f>
        <v>217</v>
      </c>
      <c r="AI266" s="288"/>
      <c r="AJ266" s="289"/>
      <c r="AK266" s="289"/>
      <c r="AL266" s="290"/>
      <c r="AM266" s="289">
        <v>1377</v>
      </c>
      <c r="AN266" s="289">
        <f t="shared" si="309"/>
        <v>-171</v>
      </c>
      <c r="AO266" s="291"/>
      <c r="AP266" s="291">
        <f>CF!O23+CF!O8+CF!O10</f>
        <v>1206</v>
      </c>
      <c r="AQ266" s="288"/>
      <c r="AR266" s="289"/>
      <c r="AS266" s="289"/>
      <c r="AT266" s="290"/>
      <c r="AU266" s="289"/>
      <c r="AV266" s="289"/>
      <c r="AW266" s="291"/>
      <c r="AX266" s="291"/>
      <c r="AY266" s="288"/>
      <c r="AZ266" s="289"/>
      <c r="BA266" s="289"/>
      <c r="BB266" s="290"/>
      <c r="BC266" s="289">
        <v>455</v>
      </c>
      <c r="BD266" s="289">
        <f t="shared" si="301"/>
        <v>-137</v>
      </c>
      <c r="BE266" s="291"/>
      <c r="BF266" s="291">
        <f>CF!P23+CF!P8+CF!P10</f>
        <v>318</v>
      </c>
      <c r="BG266" s="288"/>
      <c r="BH266" s="289"/>
      <c r="BI266" s="289"/>
      <c r="BJ266" s="290"/>
      <c r="BK266" s="289">
        <f t="shared" si="299"/>
        <v>455</v>
      </c>
      <c r="BL266" s="289">
        <f t="shared" si="299"/>
        <v>-137</v>
      </c>
      <c r="BM266" s="291"/>
      <c r="BN266" s="291">
        <f t="shared" si="300"/>
        <v>318</v>
      </c>
      <c r="BO266" s="288"/>
      <c r="BP266" s="289"/>
      <c r="BQ266" s="289"/>
      <c r="BR266" s="290"/>
      <c r="BS266" s="289">
        <v>765</v>
      </c>
      <c r="BT266" s="289">
        <f t="shared" si="302"/>
        <v>-544</v>
      </c>
      <c r="BU266" s="291"/>
      <c r="BV266" s="291">
        <f>CF!Q23+CF!Q8+CF!Q10</f>
        <v>221</v>
      </c>
      <c r="BW266" s="288"/>
      <c r="BX266" s="289"/>
      <c r="BY266" s="289"/>
      <c r="BZ266" s="290"/>
      <c r="CA266" s="289">
        <v>-317</v>
      </c>
      <c r="CB266" s="289">
        <f t="shared" si="303"/>
        <v>-11</v>
      </c>
      <c r="CC266" s="291"/>
      <c r="CD266" s="291">
        <f>CF!R23+CF!R8+CF!R10</f>
        <v>-328</v>
      </c>
      <c r="CE266" s="288"/>
      <c r="CF266" s="289"/>
      <c r="CG266" s="289"/>
      <c r="CH266" s="290"/>
      <c r="CI266" s="289">
        <v>-10</v>
      </c>
      <c r="CJ266" s="289">
        <f t="shared" si="304"/>
        <v>-697</v>
      </c>
      <c r="CK266" s="291"/>
      <c r="CL266" s="291">
        <f>CF!S23+CF!S8+CF!S10</f>
        <v>-707</v>
      </c>
      <c r="CM266" s="288"/>
      <c r="CN266" s="289"/>
      <c r="CO266" s="289"/>
      <c r="CP266" s="290"/>
      <c r="CQ266" s="289">
        <v>-1019</v>
      </c>
      <c r="CR266" s="289">
        <f t="shared" si="305"/>
        <v>139</v>
      </c>
      <c r="CS266" s="291"/>
      <c r="CT266" s="291">
        <f>CF!T23+CF!T8+CF!T10</f>
        <v>-880</v>
      </c>
      <c r="CU266" s="289"/>
      <c r="CV266" s="289"/>
      <c r="CW266" s="289"/>
      <c r="CX266" s="290"/>
      <c r="CY266" s="289">
        <v>622</v>
      </c>
      <c r="CZ266" s="289">
        <f>DB266-CY266</f>
        <v>-163</v>
      </c>
      <c r="DA266" s="291"/>
      <c r="DB266" s="291">
        <f>CF!U23+CF!U8+CF!U10</f>
        <v>459</v>
      </c>
      <c r="DC266" s="289"/>
      <c r="DD266" s="289"/>
      <c r="DE266" s="289"/>
      <c r="DF266" s="290"/>
      <c r="DG266" s="289">
        <v>-142</v>
      </c>
      <c r="DH266" s="289">
        <f>DJ266-DG266</f>
        <v>-765</v>
      </c>
      <c r="DI266" s="291"/>
      <c r="DJ266" s="291">
        <f>CF!V23+CF!V8+CF!V10</f>
        <v>-907</v>
      </c>
      <c r="DK266" s="289"/>
      <c r="DL266" s="289"/>
      <c r="DM266" s="289"/>
      <c r="DN266" s="290"/>
      <c r="DO266" s="289">
        <v>1807</v>
      </c>
      <c r="DP266" s="289">
        <f>DR266-DO266</f>
        <v>-533</v>
      </c>
      <c r="DQ266" s="291"/>
      <c r="DR266" s="291">
        <f>CF!W23+CF!W8+CF!W10</f>
        <v>1274</v>
      </c>
      <c r="DS266" s="289"/>
      <c r="DT266" s="289"/>
      <c r="DU266" s="289"/>
      <c r="DV266" s="290"/>
      <c r="DW266" s="289">
        <v>793</v>
      </c>
      <c r="DX266" s="401">
        <f>DZ266-DW266</f>
        <v>-1025.9600000000003</v>
      </c>
      <c r="DY266" s="291"/>
      <c r="DZ266" s="287">
        <f>CF!X23+CF!X8+CF!X10</f>
        <v>-232.96000000000026</v>
      </c>
      <c r="EA266" s="289"/>
      <c r="EB266" s="289"/>
      <c r="EC266" s="289"/>
      <c r="ED266" s="290"/>
      <c r="EE266" s="401">
        <f>EH266/2</f>
        <v>-62.5</v>
      </c>
      <c r="EF266" s="401">
        <f>EH266-EE266</f>
        <v>-62.5</v>
      </c>
      <c r="EG266" s="291"/>
      <c r="EH266" s="287">
        <f>CF!Y23+CF!Y8+CF!Y10</f>
        <v>-125</v>
      </c>
      <c r="EI266" s="289"/>
      <c r="EJ266" s="289"/>
      <c r="EK266" s="289"/>
      <c r="EL266" s="290"/>
      <c r="EM266" s="401">
        <f>EP266/2</f>
        <v>-62.5</v>
      </c>
      <c r="EN266" s="401">
        <f>EP266-EM266</f>
        <v>-62.5</v>
      </c>
      <c r="EO266" s="291"/>
      <c r="EP266" s="287">
        <f>CF!Z23+CF!Z8+CF!Z10</f>
        <v>-125</v>
      </c>
      <c r="EQ266" s="289"/>
      <c r="ER266" s="289"/>
      <c r="ES266" s="289"/>
      <c r="ET266" s="290"/>
      <c r="EU266" s="401">
        <f>EX266/2</f>
        <v>-62.5</v>
      </c>
      <c r="EV266" s="401">
        <f>EX266-EU266</f>
        <v>-62.5</v>
      </c>
      <c r="EW266" s="291"/>
      <c r="EX266" s="287">
        <f>CF!AA23+CF!AA8+CF!AA10</f>
        <v>-125</v>
      </c>
      <c r="EY266" s="289"/>
      <c r="EZ266" s="289"/>
      <c r="FA266" s="289"/>
      <c r="FB266" s="290"/>
      <c r="FC266" s="401">
        <f>FF266/2</f>
        <v>-62.5</v>
      </c>
      <c r="FD266" s="401">
        <f>FF266-FC266</f>
        <v>-62.5</v>
      </c>
      <c r="FE266" s="291"/>
      <c r="FF266" s="287">
        <f>CF!AB23+CF!AB8+CF!AB10</f>
        <v>-125</v>
      </c>
    </row>
    <row r="267" spans="1:162" ht="11.25" customHeight="1" x14ac:dyDescent="0.2">
      <c r="A267" s="4" t="s">
        <v>398</v>
      </c>
      <c r="C267" s="404"/>
      <c r="D267" s="405"/>
      <c r="E267" s="405"/>
      <c r="F267" s="406"/>
      <c r="G267" s="289">
        <f>G264+G265+G266</f>
        <v>269</v>
      </c>
      <c r="H267" s="405">
        <f>H264+H265+H266</f>
        <v>-214</v>
      </c>
      <c r="I267" s="407"/>
      <c r="J267" s="407">
        <f>J264+J265+J266</f>
        <v>55</v>
      </c>
      <c r="K267" s="404"/>
      <c r="L267" s="405"/>
      <c r="M267" s="405"/>
      <c r="N267" s="406"/>
      <c r="O267" s="289">
        <f>O264+O265+O266</f>
        <v>-33</v>
      </c>
      <c r="P267" s="405">
        <f>P264+P265+P266</f>
        <v>1515</v>
      </c>
      <c r="Q267" s="407"/>
      <c r="R267" s="407">
        <f>R264+R265+R266</f>
        <v>1482</v>
      </c>
      <c r="S267" s="404"/>
      <c r="T267" s="405"/>
      <c r="U267" s="405"/>
      <c r="V267" s="406"/>
      <c r="W267" s="289">
        <f>W264+W265+W266</f>
        <v>1567</v>
      </c>
      <c r="X267" s="405">
        <f>X264+X265+X266</f>
        <v>73</v>
      </c>
      <c r="Y267" s="407"/>
      <c r="Z267" s="407">
        <f>Z264+Z265+Z266</f>
        <v>1640</v>
      </c>
      <c r="AA267" s="404"/>
      <c r="AB267" s="405"/>
      <c r="AC267" s="405"/>
      <c r="AD267" s="406"/>
      <c r="AE267" s="289">
        <f>AE264+AE265+AE266</f>
        <v>-514</v>
      </c>
      <c r="AF267" s="405">
        <f>AF264+AF265+AF266</f>
        <v>867</v>
      </c>
      <c r="AG267" s="407"/>
      <c r="AH267" s="407">
        <f>AH264+AH265+AH266</f>
        <v>353</v>
      </c>
      <c r="AI267" s="404"/>
      <c r="AJ267" s="405"/>
      <c r="AK267" s="405"/>
      <c r="AL267" s="406"/>
      <c r="AM267" s="289">
        <f>AM264+AM265+AM266</f>
        <v>-1458</v>
      </c>
      <c r="AN267" s="405">
        <f>AN264+AN265+AN266</f>
        <v>-882</v>
      </c>
      <c r="AO267" s="407"/>
      <c r="AP267" s="407">
        <f>AP264+AP265+AP266</f>
        <v>-2340</v>
      </c>
      <c r="AQ267" s="404"/>
      <c r="AR267" s="405"/>
      <c r="AS267" s="405"/>
      <c r="AT267" s="406"/>
      <c r="AU267" s="289"/>
      <c r="AV267" s="405"/>
      <c r="AW267" s="407"/>
      <c r="AX267" s="407"/>
      <c r="AY267" s="404"/>
      <c r="AZ267" s="405"/>
      <c r="BA267" s="405"/>
      <c r="BB267" s="406"/>
      <c r="BC267" s="289">
        <f>BC264+BC265+BC266</f>
        <v>693</v>
      </c>
      <c r="BD267" s="405">
        <f t="shared" si="301"/>
        <v>-1</v>
      </c>
      <c r="BE267" s="407"/>
      <c r="BF267" s="407">
        <f>BF264+BF265+BF266</f>
        <v>692</v>
      </c>
      <c r="BG267" s="404"/>
      <c r="BH267" s="405"/>
      <c r="BI267" s="405"/>
      <c r="BJ267" s="406"/>
      <c r="BK267" s="289">
        <f t="shared" si="299"/>
        <v>693</v>
      </c>
      <c r="BL267" s="405">
        <f t="shared" si="299"/>
        <v>-1</v>
      </c>
      <c r="BM267" s="407"/>
      <c r="BN267" s="407">
        <f t="shared" si="300"/>
        <v>692</v>
      </c>
      <c r="BO267" s="404"/>
      <c r="BP267" s="405"/>
      <c r="BQ267" s="405"/>
      <c r="BR267" s="406"/>
      <c r="BS267" s="289">
        <f>BS264+BS265+BS266</f>
        <v>481</v>
      </c>
      <c r="BT267" s="405">
        <f t="shared" si="302"/>
        <v>-347</v>
      </c>
      <c r="BU267" s="407"/>
      <c r="BV267" s="407">
        <f>BV264+BV265+BV266</f>
        <v>134</v>
      </c>
      <c r="BW267" s="404"/>
      <c r="BX267" s="405"/>
      <c r="BY267" s="405"/>
      <c r="BZ267" s="406"/>
      <c r="CA267" s="289">
        <f>CA264+CA265+CA266</f>
        <v>655</v>
      </c>
      <c r="CB267" s="405">
        <f t="shared" si="303"/>
        <v>-740</v>
      </c>
      <c r="CC267" s="407"/>
      <c r="CD267" s="407">
        <f>CD264+CD265+CD266</f>
        <v>-85</v>
      </c>
      <c r="CE267" s="404"/>
      <c r="CF267" s="405"/>
      <c r="CG267" s="405"/>
      <c r="CH267" s="406"/>
      <c r="CI267" s="289">
        <f>CI264+CI265+CI266</f>
        <v>-731</v>
      </c>
      <c r="CJ267" s="405">
        <f t="shared" si="304"/>
        <v>587</v>
      </c>
      <c r="CK267" s="407"/>
      <c r="CL267" s="407">
        <f>CL264+CL265+CL266</f>
        <v>-144</v>
      </c>
      <c r="CM267" s="404"/>
      <c r="CN267" s="405"/>
      <c r="CO267" s="405"/>
      <c r="CP267" s="406"/>
      <c r="CQ267" s="289">
        <f>CQ264+CQ265+CQ266</f>
        <v>4473</v>
      </c>
      <c r="CR267" s="405">
        <f t="shared" si="305"/>
        <v>-1113</v>
      </c>
      <c r="CS267" s="407"/>
      <c r="CT267" s="407">
        <f>CT264+CT265+CT266</f>
        <v>3360</v>
      </c>
      <c r="CU267" s="405"/>
      <c r="CV267" s="405"/>
      <c r="CW267" s="405"/>
      <c r="CX267" s="406"/>
      <c r="CY267" s="289">
        <f>CY264+CY265+CY266</f>
        <v>-596</v>
      </c>
      <c r="CZ267" s="405">
        <f>CZ264+CZ265+CZ266</f>
        <v>-1030</v>
      </c>
      <c r="DA267" s="407"/>
      <c r="DB267" s="407">
        <f>DB264+DB265+DB266</f>
        <v>-1626</v>
      </c>
      <c r="DC267" s="405"/>
      <c r="DD267" s="405"/>
      <c r="DE267" s="405"/>
      <c r="DF267" s="406"/>
      <c r="DG267" s="289">
        <f>DG264+DG265+DG266</f>
        <v>1587</v>
      </c>
      <c r="DH267" s="405">
        <f>DH264+DH265+DH266</f>
        <v>2282</v>
      </c>
      <c r="DI267" s="407"/>
      <c r="DJ267" s="407">
        <f>DJ264+DJ265+DJ266</f>
        <v>3869</v>
      </c>
      <c r="DK267" s="405"/>
      <c r="DL267" s="405"/>
      <c r="DM267" s="405"/>
      <c r="DN267" s="406"/>
      <c r="DO267" s="289">
        <f>DO264+DO265+DO266</f>
        <v>-2911</v>
      </c>
      <c r="DP267" s="405">
        <f>DP264+DP265+DP266</f>
        <v>-1304</v>
      </c>
      <c r="DQ267" s="407"/>
      <c r="DR267" s="407">
        <f>DR264+DR265+DR266</f>
        <v>-4215</v>
      </c>
      <c r="DS267" s="405"/>
      <c r="DT267" s="405"/>
      <c r="DU267" s="405"/>
      <c r="DV267" s="406"/>
      <c r="DW267" s="289">
        <f>DW264+DW265+DW266</f>
        <v>834</v>
      </c>
      <c r="DX267" s="408">
        <f>DX264+DX265+DX266</f>
        <v>-966.96000000000026</v>
      </c>
      <c r="DY267" s="407"/>
      <c r="DZ267" s="409">
        <f>DZ264+DZ265+DZ266</f>
        <v>-132.96000000000026</v>
      </c>
      <c r="EA267" s="405"/>
      <c r="EB267" s="405"/>
      <c r="EC267" s="405"/>
      <c r="ED267" s="406"/>
      <c r="EE267" s="408">
        <f>EE264+EE265+EE266</f>
        <v>-8</v>
      </c>
      <c r="EF267" s="408">
        <f>EF264+EF265+EF266</f>
        <v>-8</v>
      </c>
      <c r="EG267" s="407"/>
      <c r="EH267" s="409">
        <f>EH264+EH265+EH266</f>
        <v>-16</v>
      </c>
      <c r="EI267" s="405"/>
      <c r="EJ267" s="405"/>
      <c r="EK267" s="405"/>
      <c r="EL267" s="406"/>
      <c r="EM267" s="408">
        <f>EM264+EM265+EM266</f>
        <v>-8</v>
      </c>
      <c r="EN267" s="408">
        <f>EN264+EN265+EN266</f>
        <v>-8</v>
      </c>
      <c r="EO267" s="407"/>
      <c r="EP267" s="409">
        <f>EP264+EP265+EP266</f>
        <v>-16</v>
      </c>
      <c r="EQ267" s="405"/>
      <c r="ER267" s="405"/>
      <c r="ES267" s="405"/>
      <c r="ET267" s="406"/>
      <c r="EU267" s="408">
        <f>EU264+EU265+EU266</f>
        <v>-8</v>
      </c>
      <c r="EV267" s="408">
        <f>EV264+EV265+EV266</f>
        <v>-8</v>
      </c>
      <c r="EW267" s="407"/>
      <c r="EX267" s="409">
        <f>EX264+EX265+EX266</f>
        <v>-16</v>
      </c>
      <c r="EY267" s="405"/>
      <c r="EZ267" s="405"/>
      <c r="FA267" s="405"/>
      <c r="FB267" s="406"/>
      <c r="FC267" s="408">
        <f>FC264+FC265+FC266</f>
        <v>-8</v>
      </c>
      <c r="FD267" s="408">
        <f>FD264+FD265+FD266</f>
        <v>-8</v>
      </c>
      <c r="FE267" s="407"/>
      <c r="FF267" s="409">
        <f>FF264+FF265+FF266</f>
        <v>-16</v>
      </c>
    </row>
    <row r="268" spans="1:162" ht="11.25" customHeight="1" x14ac:dyDescent="0.2">
      <c r="A268" s="410" t="s">
        <v>399</v>
      </c>
      <c r="B268" s="411"/>
      <c r="C268" s="412"/>
      <c r="D268" s="413"/>
      <c r="E268" s="413"/>
      <c r="F268" s="414"/>
      <c r="G268" s="413">
        <f>G256+G260+G261+G262+G267</f>
        <v>1012</v>
      </c>
      <c r="H268" s="413">
        <f>H256+H260+H261+H262+H267</f>
        <v>934</v>
      </c>
      <c r="I268" s="415"/>
      <c r="J268" s="415">
        <f>J256+J260+J261+J262+J267</f>
        <v>1946</v>
      </c>
      <c r="K268" s="412"/>
      <c r="L268" s="413"/>
      <c r="M268" s="413"/>
      <c r="N268" s="414"/>
      <c r="O268" s="413">
        <f>O256+O260+O261+O262+O267</f>
        <v>1115</v>
      </c>
      <c r="P268" s="413">
        <f>P256+P260+P261+P262+P267</f>
        <v>1353</v>
      </c>
      <c r="Q268" s="415"/>
      <c r="R268" s="415">
        <f>R256+R260+R261+R262+R267</f>
        <v>2468</v>
      </c>
      <c r="S268" s="412"/>
      <c r="T268" s="413"/>
      <c r="U268" s="413"/>
      <c r="V268" s="414"/>
      <c r="W268" s="413">
        <f>W256+W260+W261+W262+W267</f>
        <v>1495</v>
      </c>
      <c r="X268" s="413">
        <f>X256+X260+X261+X262+X267</f>
        <v>1318</v>
      </c>
      <c r="Y268" s="415"/>
      <c r="Z268" s="415">
        <f>Z256+Z260+Z261+Z262+Z267</f>
        <v>2813</v>
      </c>
      <c r="AA268" s="412"/>
      <c r="AB268" s="413"/>
      <c r="AC268" s="413"/>
      <c r="AD268" s="414"/>
      <c r="AE268" s="413">
        <f>AE256+AE260+AE261+AE262+AE267</f>
        <v>1359</v>
      </c>
      <c r="AF268" s="413">
        <f>AF256+AF260+AF261+AF262+AF267</f>
        <v>1402</v>
      </c>
      <c r="AG268" s="415"/>
      <c r="AH268" s="415">
        <f>AH256+AH260+AH261+AH262+AH263+AH267</f>
        <v>2651</v>
      </c>
      <c r="AI268" s="412"/>
      <c r="AJ268" s="413"/>
      <c r="AK268" s="413"/>
      <c r="AL268" s="414"/>
      <c r="AM268" s="413">
        <f>AM256+AM260+AM261+AM262+AM263+AM267</f>
        <v>1310</v>
      </c>
      <c r="AN268" s="413">
        <f>AN256+AN260+AN261+AN262+AN267</f>
        <v>1143</v>
      </c>
      <c r="AO268" s="415"/>
      <c r="AP268" s="415">
        <f>AP256+AP260+AP261+AP262+AP267+AP263</f>
        <v>2410</v>
      </c>
      <c r="AQ268" s="412"/>
      <c r="AR268" s="413"/>
      <c r="AS268" s="413"/>
      <c r="AT268" s="414"/>
      <c r="AU268" s="413"/>
      <c r="AV268" s="413"/>
      <c r="AW268" s="415"/>
      <c r="AX268" s="415"/>
      <c r="AY268" s="412"/>
      <c r="AZ268" s="413"/>
      <c r="BA268" s="413"/>
      <c r="BB268" s="414"/>
      <c r="BC268" s="413">
        <f>BC256+BC260+BC261+BC262+BC267+BC263</f>
        <v>1719</v>
      </c>
      <c r="BD268" s="413">
        <f>BD256+BD260+BD261+BD262+BD267+BD263</f>
        <v>1379</v>
      </c>
      <c r="BE268" s="415"/>
      <c r="BF268" s="415">
        <f>BF256+BF260+BF261+BF262+BF267</f>
        <v>3098</v>
      </c>
      <c r="BG268" s="412"/>
      <c r="BH268" s="413"/>
      <c r="BI268" s="413"/>
      <c r="BJ268" s="414"/>
      <c r="BK268" s="413">
        <f t="shared" si="299"/>
        <v>1719</v>
      </c>
      <c r="BL268" s="413">
        <f t="shared" si="299"/>
        <v>1379</v>
      </c>
      <c r="BM268" s="415"/>
      <c r="BN268" s="415">
        <f t="shared" si="300"/>
        <v>3098</v>
      </c>
      <c r="BO268" s="412"/>
      <c r="BP268" s="413"/>
      <c r="BQ268" s="413"/>
      <c r="BR268" s="414"/>
      <c r="BS268" s="413">
        <f>BS256+BS260+BS261+BS262+BS267+BS263</f>
        <v>2594</v>
      </c>
      <c r="BT268" s="413">
        <f>BT256+BT260+BT261+BT262+BT267+BT263</f>
        <v>1448</v>
      </c>
      <c r="BU268" s="415"/>
      <c r="BV268" s="415">
        <f>BV256+BV260+BV261+BV262+BV267</f>
        <v>4042</v>
      </c>
      <c r="BW268" s="412"/>
      <c r="BX268" s="413"/>
      <c r="BY268" s="413"/>
      <c r="BZ268" s="414"/>
      <c r="CA268" s="413">
        <f>CA256+CA260+CA261+CA262+CA267</f>
        <v>1154</v>
      </c>
      <c r="CB268" s="413">
        <f t="shared" si="303"/>
        <v>720</v>
      </c>
      <c r="CC268" s="415"/>
      <c r="CD268" s="415">
        <f>CD256+CD260+CD261+CD262+CD267</f>
        <v>1874</v>
      </c>
      <c r="CE268" s="412"/>
      <c r="CF268" s="413"/>
      <c r="CG268" s="413"/>
      <c r="CH268" s="414"/>
      <c r="CI268" s="413">
        <f>CI256+CI260+CI261+CI262+CI267</f>
        <v>733</v>
      </c>
      <c r="CJ268" s="413">
        <f t="shared" si="304"/>
        <v>1453</v>
      </c>
      <c r="CK268" s="415"/>
      <c r="CL268" s="415">
        <f>CL256+CL260+CL261+CL262+CL267</f>
        <v>2186</v>
      </c>
      <c r="CM268" s="412"/>
      <c r="CN268" s="413"/>
      <c r="CO268" s="413"/>
      <c r="CP268" s="414"/>
      <c r="CQ268" s="413">
        <f>CQ256+CQ260+CQ261+CQ262+CQ267</f>
        <v>1646</v>
      </c>
      <c r="CR268" s="413">
        <f t="shared" si="305"/>
        <v>1170</v>
      </c>
      <c r="CS268" s="415"/>
      <c r="CT268" s="415">
        <f>CT256+CT260+CT261+CT262+CT267</f>
        <v>2816</v>
      </c>
      <c r="CU268" s="413"/>
      <c r="CV268" s="413"/>
      <c r="CW268" s="413"/>
      <c r="CX268" s="414"/>
      <c r="CY268" s="413">
        <f>CY256+CY260+CY261+CY262+CY267</f>
        <v>1982</v>
      </c>
      <c r="CZ268" s="413">
        <f>CZ256+CZ260+CZ261+CZ262+CZ267</f>
        <v>1530</v>
      </c>
      <c r="DA268" s="415"/>
      <c r="DB268" s="415">
        <f>DB256+DB260+DB261+DB262+DB267</f>
        <v>3512</v>
      </c>
      <c r="DC268" s="413"/>
      <c r="DD268" s="413"/>
      <c r="DE268" s="413"/>
      <c r="DF268" s="414"/>
      <c r="DG268" s="413">
        <f>DG256+DG260+DG261+DG262+DG267</f>
        <v>2360</v>
      </c>
      <c r="DH268" s="413">
        <f>DH256+DH260+DH261+DH262+DH267</f>
        <v>2366</v>
      </c>
      <c r="DI268" s="415"/>
      <c r="DJ268" s="415">
        <f>DJ256+DJ260+DJ261+DJ262+DJ267</f>
        <v>4726</v>
      </c>
      <c r="DK268" s="413"/>
      <c r="DL268" s="413"/>
      <c r="DM268" s="413"/>
      <c r="DN268" s="414"/>
      <c r="DO268" s="413">
        <f>DO256+DO260+DO261+DO262+DO267</f>
        <v>2790</v>
      </c>
      <c r="DP268" s="413">
        <f>DP256+DP260+DP261+DP262+DP267</f>
        <v>1860</v>
      </c>
      <c r="DQ268" s="415"/>
      <c r="DR268" s="415">
        <f>DR256+DR260+DR261+DR262+DR267</f>
        <v>4650</v>
      </c>
      <c r="DS268" s="413"/>
      <c r="DT268" s="413"/>
      <c r="DU268" s="413"/>
      <c r="DV268" s="414"/>
      <c r="DW268" s="413">
        <f>DW256+DW260+DW261+DW262+DW267</f>
        <v>3474</v>
      </c>
      <c r="DX268" s="416">
        <f>DX256+DX260+DX261+DX262+DX267</f>
        <v>2610.3532858173221</v>
      </c>
      <c r="DY268" s="415"/>
      <c r="DZ268" s="417">
        <f>DZ256+DZ260+DZ261+DZ262+DZ267</f>
        <v>6087.7769130494735</v>
      </c>
      <c r="EA268" s="413"/>
      <c r="EB268" s="413"/>
      <c r="EC268" s="413"/>
      <c r="ED268" s="414"/>
      <c r="EE268" s="416">
        <f>EE256+EE260+EE261+EE262+EE267</f>
        <v>2086.8031198320632</v>
      </c>
      <c r="EF268" s="416">
        <f>EF256+EF260+EF261+EF262+EF267</f>
        <v>5281.6759397455253</v>
      </c>
      <c r="EG268" s="415"/>
      <c r="EH268" s="417">
        <f>EH256+EH260+EH261+EH262+EH267</f>
        <v>7368.4790595775821</v>
      </c>
      <c r="EI268" s="413"/>
      <c r="EJ268" s="413"/>
      <c r="EK268" s="413"/>
      <c r="EL268" s="414"/>
      <c r="EM268" s="416">
        <f>EM256+EM260+EM261+EM262+EM267</f>
        <v>2360.2404691589472</v>
      </c>
      <c r="EN268" s="416">
        <f>EN256+EN260+EN261+EN262+EN267</f>
        <v>5758.859509676884</v>
      </c>
      <c r="EO268" s="415"/>
      <c r="EP268" s="417">
        <f>EP256+EP260+EP261+EP262+EP267</f>
        <v>8119.0999788358204</v>
      </c>
      <c r="EQ268" s="413"/>
      <c r="ER268" s="413"/>
      <c r="ES268" s="413"/>
      <c r="ET268" s="414"/>
      <c r="EU268" s="416">
        <f>EU256+EU260+EU261+EU262+EU267</f>
        <v>2555.3272978579771</v>
      </c>
      <c r="EV268" s="416">
        <f>EV256+EV260+EV261+EV262+EV267</f>
        <v>6159.3366862184357</v>
      </c>
      <c r="EW268" s="415"/>
      <c r="EX268" s="417">
        <f>EX256+EX260+EX261+EX262+EX267</f>
        <v>8714.663984076411</v>
      </c>
      <c r="EY268" s="413"/>
      <c r="EZ268" s="413"/>
      <c r="FA268" s="413"/>
      <c r="FB268" s="414"/>
      <c r="FC268" s="416">
        <f>FC256+FC260+FC261+FC262+FC267</f>
        <v>2725.5650426836273</v>
      </c>
      <c r="FD268" s="416">
        <f>FD256+FD260+FD261+FD262+FD267</f>
        <v>6405.1492748090186</v>
      </c>
      <c r="FE268" s="415"/>
      <c r="FF268" s="417">
        <f>FF256+FF260+FF261+FF262+FF267</f>
        <v>9130.7143174926405</v>
      </c>
    </row>
    <row r="269" spans="1:162" ht="11.25" customHeight="1" x14ac:dyDescent="0.2">
      <c r="A269" s="186"/>
      <c r="B269" s="4" t="s">
        <v>400</v>
      </c>
      <c r="C269" s="288"/>
      <c r="D269" s="289"/>
      <c r="E269" s="289"/>
      <c r="F269" s="290"/>
      <c r="G269" s="402">
        <v>-300</v>
      </c>
      <c r="H269" s="402">
        <f>J269-G269</f>
        <v>354</v>
      </c>
      <c r="I269" s="291"/>
      <c r="J269" s="291">
        <v>54</v>
      </c>
      <c r="K269" s="288"/>
      <c r="L269" s="289"/>
      <c r="M269" s="289"/>
      <c r="N269" s="290"/>
      <c r="O269" s="402">
        <v>-374</v>
      </c>
      <c r="P269" s="402">
        <f>R269-O269</f>
        <v>189</v>
      </c>
      <c r="Q269" s="291"/>
      <c r="R269" s="291">
        <v>-185</v>
      </c>
      <c r="S269" s="288"/>
      <c r="T269" s="289"/>
      <c r="U269" s="289"/>
      <c r="V269" s="290"/>
      <c r="W269" s="402">
        <v>-569</v>
      </c>
      <c r="X269" s="402">
        <f>Z269-W269</f>
        <v>282</v>
      </c>
      <c r="Y269" s="291"/>
      <c r="Z269" s="291">
        <f>CF!M29</f>
        <v>-287</v>
      </c>
      <c r="AA269" s="288"/>
      <c r="AB269" s="289"/>
      <c r="AC269" s="289"/>
      <c r="AD269" s="290"/>
      <c r="AE269" s="402">
        <v>-281</v>
      </c>
      <c r="AF269" s="402">
        <f>AH269-AE269</f>
        <v>-66</v>
      </c>
      <c r="AG269" s="291"/>
      <c r="AH269" s="291">
        <f>CF!N29</f>
        <v>-347</v>
      </c>
      <c r="AI269" s="288"/>
      <c r="AJ269" s="289"/>
      <c r="AK269" s="289"/>
      <c r="AL269" s="290"/>
      <c r="AM269" s="402">
        <v>-466</v>
      </c>
      <c r="AN269" s="402">
        <f>AP269-AM269</f>
        <v>158</v>
      </c>
      <c r="AO269" s="291"/>
      <c r="AP269" s="291">
        <f>CF!O29</f>
        <v>-308</v>
      </c>
      <c r="AQ269" s="288"/>
      <c r="AR269" s="289"/>
      <c r="AS269" s="289"/>
      <c r="AT269" s="290"/>
      <c r="AU269" s="402"/>
      <c r="AV269" s="402"/>
      <c r="AW269" s="291"/>
      <c r="AX269" s="291"/>
      <c r="AY269" s="288"/>
      <c r="AZ269" s="289"/>
      <c r="BA269" s="289"/>
      <c r="BB269" s="290"/>
      <c r="BC269" s="402">
        <v>-444</v>
      </c>
      <c r="BD269" s="402">
        <f t="shared" si="301"/>
        <v>51</v>
      </c>
      <c r="BE269" s="291"/>
      <c r="BF269" s="291">
        <f>CF!P29</f>
        <v>-393</v>
      </c>
      <c r="BG269" s="288"/>
      <c r="BH269" s="289"/>
      <c r="BI269" s="289"/>
      <c r="BJ269" s="290"/>
      <c r="BK269" s="402">
        <f t="shared" si="299"/>
        <v>-444</v>
      </c>
      <c r="BL269" s="402">
        <f t="shared" si="299"/>
        <v>51</v>
      </c>
      <c r="BM269" s="291"/>
      <c r="BN269" s="291">
        <f t="shared" si="300"/>
        <v>-393</v>
      </c>
      <c r="BO269" s="288"/>
      <c r="BP269" s="289"/>
      <c r="BQ269" s="289"/>
      <c r="BR269" s="290"/>
      <c r="BS269" s="402">
        <v>-644</v>
      </c>
      <c r="BT269" s="402">
        <f t="shared" si="302"/>
        <v>54</v>
      </c>
      <c r="BU269" s="291"/>
      <c r="BV269" s="291">
        <f>CF!Q29</f>
        <v>-590</v>
      </c>
      <c r="BW269" s="288"/>
      <c r="BX269" s="289"/>
      <c r="BY269" s="289"/>
      <c r="BZ269" s="290"/>
      <c r="CA269" s="402">
        <v>-103</v>
      </c>
      <c r="CB269" s="402">
        <f t="shared" si="303"/>
        <v>1119</v>
      </c>
      <c r="CC269" s="291"/>
      <c r="CD269" s="291">
        <f>CF!R29</f>
        <v>1016</v>
      </c>
      <c r="CE269" s="288"/>
      <c r="CF269" s="289"/>
      <c r="CG269" s="289"/>
      <c r="CH269" s="290"/>
      <c r="CI269" s="402">
        <v>-15</v>
      </c>
      <c r="CJ269" s="402">
        <f t="shared" si="304"/>
        <v>311</v>
      </c>
      <c r="CK269" s="291"/>
      <c r="CL269" s="291">
        <f>CF!S29</f>
        <v>296</v>
      </c>
      <c r="CM269" s="288"/>
      <c r="CN269" s="289"/>
      <c r="CO269" s="289"/>
      <c r="CP269" s="290"/>
      <c r="CQ269" s="402">
        <v>-1014</v>
      </c>
      <c r="CR269" s="402">
        <f t="shared" si="305"/>
        <v>-531</v>
      </c>
      <c r="CS269" s="291"/>
      <c r="CT269" s="291">
        <f>CF!T29</f>
        <v>-1545</v>
      </c>
      <c r="CU269" s="289"/>
      <c r="CV269" s="289"/>
      <c r="CW269" s="289"/>
      <c r="CX269" s="290"/>
      <c r="CY269" s="402">
        <v>-1019</v>
      </c>
      <c r="CZ269" s="289">
        <f>DB269-CY269</f>
        <v>-475</v>
      </c>
      <c r="DA269" s="291"/>
      <c r="DB269" s="291">
        <f>CF!U29</f>
        <v>-1494</v>
      </c>
      <c r="DC269" s="289"/>
      <c r="DD269" s="289"/>
      <c r="DE269" s="289"/>
      <c r="DF269" s="290"/>
      <c r="DG269" s="402">
        <v>-1297</v>
      </c>
      <c r="DH269" s="289">
        <f>DJ269-DG269</f>
        <v>-155</v>
      </c>
      <c r="DI269" s="291"/>
      <c r="DJ269" s="291">
        <f>CF!V29</f>
        <v>-1452</v>
      </c>
      <c r="DK269" s="289"/>
      <c r="DL269" s="289"/>
      <c r="DM269" s="289"/>
      <c r="DN269" s="290"/>
      <c r="DO269" s="402">
        <v>-1119</v>
      </c>
      <c r="DP269" s="289">
        <f>DR269-DO269</f>
        <v>309</v>
      </c>
      <c r="DQ269" s="291"/>
      <c r="DR269" s="291">
        <f>CF!W29</f>
        <v>-810</v>
      </c>
      <c r="DS269" s="289"/>
      <c r="DT269" s="289"/>
      <c r="DU269" s="289"/>
      <c r="DV269" s="290"/>
      <c r="DW269" s="402">
        <v>-1139</v>
      </c>
      <c r="DX269" s="401">
        <f>DZ269-DW269</f>
        <v>319.16832820642412</v>
      </c>
      <c r="DY269" s="291"/>
      <c r="DZ269" s="287">
        <f>CF!X29</f>
        <v>-819.83167179357588</v>
      </c>
      <c r="EA269" s="289"/>
      <c r="EB269" s="289"/>
      <c r="EC269" s="289"/>
      <c r="ED269" s="290"/>
      <c r="EE269" s="401">
        <f>EH269/2</f>
        <v>-19.254180188900136</v>
      </c>
      <c r="EF269" s="401">
        <f>EH269-EE269</f>
        <v>-19.254180188900136</v>
      </c>
      <c r="EG269" s="291"/>
      <c r="EH269" s="287">
        <f>CF!Y29</f>
        <v>-38.508360377800273</v>
      </c>
      <c r="EI269" s="289"/>
      <c r="EJ269" s="289"/>
      <c r="EK269" s="289"/>
      <c r="EL269" s="290"/>
      <c r="EM269" s="401">
        <f>EP269/2</f>
        <v>26.852581384301629</v>
      </c>
      <c r="EN269" s="401">
        <f>EP269-EM269</f>
        <v>26.852581384301629</v>
      </c>
      <c r="EO269" s="291"/>
      <c r="EP269" s="287">
        <f>CF!Z29</f>
        <v>53.705162768603259</v>
      </c>
      <c r="EQ269" s="289"/>
      <c r="ER269" s="289"/>
      <c r="ES269" s="289"/>
      <c r="ET269" s="290"/>
      <c r="EU269" s="401">
        <f>EX269/2</f>
        <v>-389.84803446081787</v>
      </c>
      <c r="EV269" s="401">
        <f>EX269-EU269</f>
        <v>-389.84803446081787</v>
      </c>
      <c r="EW269" s="291"/>
      <c r="EX269" s="287">
        <f>CF!AA29</f>
        <v>-779.69606892163574</v>
      </c>
      <c r="EY269" s="289"/>
      <c r="EZ269" s="289"/>
      <c r="FA269" s="289"/>
      <c r="FB269" s="290"/>
      <c r="FC269" s="401">
        <f>FF269/2</f>
        <v>-172.27492674526184</v>
      </c>
      <c r="FD269" s="401">
        <f>FF269-FC269</f>
        <v>-172.27492674526184</v>
      </c>
      <c r="FE269" s="291"/>
      <c r="FF269" s="287">
        <f>CF!AB29</f>
        <v>-344.54985349052367</v>
      </c>
    </row>
    <row r="270" spans="1:162" ht="11.25" customHeight="1" x14ac:dyDescent="0.2">
      <c r="A270" s="186"/>
      <c r="B270" s="4" t="s">
        <v>401</v>
      </c>
      <c r="C270" s="288"/>
      <c r="D270" s="289"/>
      <c r="E270" s="289"/>
      <c r="F270" s="290"/>
      <c r="G270" s="402">
        <v>155</v>
      </c>
      <c r="H270" s="402">
        <f>J270-G270</f>
        <v>38</v>
      </c>
      <c r="I270" s="291"/>
      <c r="J270" s="291">
        <v>193</v>
      </c>
      <c r="K270" s="288"/>
      <c r="L270" s="289"/>
      <c r="M270" s="289"/>
      <c r="N270" s="290"/>
      <c r="O270" s="402">
        <v>80</v>
      </c>
      <c r="P270" s="402">
        <f>R270-O270</f>
        <v>-138</v>
      </c>
      <c r="Q270" s="291"/>
      <c r="R270" s="291">
        <v>-58</v>
      </c>
      <c r="S270" s="288"/>
      <c r="T270" s="289"/>
      <c r="U270" s="289"/>
      <c r="V270" s="290"/>
      <c r="W270" s="402">
        <v>95</v>
      </c>
      <c r="X270" s="402">
        <f>Z270-W270</f>
        <v>62</v>
      </c>
      <c r="Y270" s="291"/>
      <c r="Z270" s="291">
        <f>CF!M30</f>
        <v>157</v>
      </c>
      <c r="AA270" s="288"/>
      <c r="AB270" s="289"/>
      <c r="AC270" s="289"/>
      <c r="AD270" s="290"/>
      <c r="AE270" s="402">
        <v>356</v>
      </c>
      <c r="AF270" s="402">
        <f>AH270-AE270</f>
        <v>-137</v>
      </c>
      <c r="AG270" s="291"/>
      <c r="AH270" s="291">
        <f>CF!N30</f>
        <v>219</v>
      </c>
      <c r="AI270" s="288"/>
      <c r="AJ270" s="289"/>
      <c r="AK270" s="289"/>
      <c r="AL270" s="290"/>
      <c r="AM270" s="402">
        <v>425</v>
      </c>
      <c r="AN270" s="402">
        <f>AP270-AM270</f>
        <v>136</v>
      </c>
      <c r="AO270" s="291"/>
      <c r="AP270" s="291">
        <f>CF!O30</f>
        <v>561</v>
      </c>
      <c r="AQ270" s="288"/>
      <c r="AR270" s="289"/>
      <c r="AS270" s="289"/>
      <c r="AT270" s="290"/>
      <c r="AU270" s="402"/>
      <c r="AV270" s="402"/>
      <c r="AW270" s="291"/>
      <c r="AX270" s="291"/>
      <c r="AY270" s="288"/>
      <c r="AZ270" s="289"/>
      <c r="BA270" s="289"/>
      <c r="BB270" s="290"/>
      <c r="BC270" s="402">
        <v>-242</v>
      </c>
      <c r="BD270" s="402">
        <f t="shared" si="301"/>
        <v>-38</v>
      </c>
      <c r="BE270" s="291"/>
      <c r="BF270" s="291">
        <f>CF!P30</f>
        <v>-280</v>
      </c>
      <c r="BG270" s="288"/>
      <c r="BH270" s="289"/>
      <c r="BI270" s="289"/>
      <c r="BJ270" s="290"/>
      <c r="BK270" s="402">
        <f t="shared" si="299"/>
        <v>-242</v>
      </c>
      <c r="BL270" s="402">
        <f t="shared" si="299"/>
        <v>-38</v>
      </c>
      <c r="BM270" s="291"/>
      <c r="BN270" s="291">
        <f t="shared" si="300"/>
        <v>-280</v>
      </c>
      <c r="BO270" s="288"/>
      <c r="BP270" s="289"/>
      <c r="BQ270" s="289"/>
      <c r="BR270" s="290"/>
      <c r="BS270" s="402">
        <f>-273-12</f>
        <v>-285</v>
      </c>
      <c r="BT270" s="402">
        <f t="shared" si="302"/>
        <v>-278</v>
      </c>
      <c r="BU270" s="291"/>
      <c r="BV270" s="291">
        <f>CF!Q30</f>
        <v>-563</v>
      </c>
      <c r="BW270" s="288"/>
      <c r="BX270" s="289"/>
      <c r="BY270" s="289"/>
      <c r="BZ270" s="290"/>
      <c r="CA270" s="402">
        <f>3-33</f>
        <v>-30</v>
      </c>
      <c r="CB270" s="402">
        <f t="shared" si="303"/>
        <v>71</v>
      </c>
      <c r="CC270" s="291"/>
      <c r="CD270" s="291">
        <f>CF!R30</f>
        <v>41</v>
      </c>
      <c r="CE270" s="288"/>
      <c r="CF270" s="289"/>
      <c r="CG270" s="289"/>
      <c r="CH270" s="290"/>
      <c r="CI270" s="402">
        <f>577-28</f>
        <v>549</v>
      </c>
      <c r="CJ270" s="402">
        <f t="shared" si="304"/>
        <v>-602</v>
      </c>
      <c r="CK270" s="291"/>
      <c r="CL270" s="291">
        <f>CF!S30</f>
        <v>-53</v>
      </c>
      <c r="CM270" s="288"/>
      <c r="CN270" s="289"/>
      <c r="CO270" s="289"/>
      <c r="CP270" s="290"/>
      <c r="CQ270" s="402">
        <f>680-61</f>
        <v>619</v>
      </c>
      <c r="CR270" s="402">
        <f t="shared" si="305"/>
        <v>-700</v>
      </c>
      <c r="CS270" s="291"/>
      <c r="CT270" s="291">
        <f>CF!T30</f>
        <v>-81</v>
      </c>
      <c r="CU270" s="289"/>
      <c r="CV270" s="289"/>
      <c r="CW270" s="289"/>
      <c r="CX270" s="290"/>
      <c r="CY270" s="402">
        <f>153-79</f>
        <v>74</v>
      </c>
      <c r="CZ270" s="289">
        <f>DB270-CY270</f>
        <v>404</v>
      </c>
      <c r="DA270" s="291"/>
      <c r="DB270" s="291">
        <f>CF!U30</f>
        <v>478</v>
      </c>
      <c r="DC270" s="289"/>
      <c r="DD270" s="289"/>
      <c r="DE270" s="289"/>
      <c r="DF270" s="290"/>
      <c r="DG270" s="402">
        <f>731-84</f>
        <v>647</v>
      </c>
      <c r="DH270" s="289">
        <f>DJ270-DG270</f>
        <v>-98</v>
      </c>
      <c r="DI270" s="291"/>
      <c r="DJ270" s="291">
        <f>CF!V30</f>
        <v>549</v>
      </c>
      <c r="DK270" s="289"/>
      <c r="DL270" s="289"/>
      <c r="DM270" s="289"/>
      <c r="DN270" s="290"/>
      <c r="DO270" s="402">
        <f>-241-77</f>
        <v>-318</v>
      </c>
      <c r="DP270" s="289">
        <f>DR270-DO270</f>
        <v>247</v>
      </c>
      <c r="DQ270" s="291"/>
      <c r="DR270" s="291">
        <f>CF!W30</f>
        <v>-71</v>
      </c>
      <c r="DS270" s="289"/>
      <c r="DT270" s="289"/>
      <c r="DU270" s="289"/>
      <c r="DV270" s="290"/>
      <c r="DW270" s="402">
        <f>275-42</f>
        <v>233</v>
      </c>
      <c r="DX270" s="401">
        <f>DZ270-DW270</f>
        <v>1671.1669798271359</v>
      </c>
      <c r="DY270" s="291"/>
      <c r="DZ270" s="287">
        <f>CF!X30</f>
        <v>1904.1669798271359</v>
      </c>
      <c r="EA270" s="289"/>
      <c r="EB270" s="289"/>
      <c r="EC270" s="289"/>
      <c r="ED270" s="290"/>
      <c r="EE270" s="401">
        <f>EH270/2</f>
        <v>273.37617101730211</v>
      </c>
      <c r="EF270" s="401">
        <f>EH270-EE270</f>
        <v>273.37617101730211</v>
      </c>
      <c r="EG270" s="291"/>
      <c r="EH270" s="287">
        <f>CF!Y30</f>
        <v>546.75234203460423</v>
      </c>
      <c r="EI270" s="289"/>
      <c r="EJ270" s="289"/>
      <c r="EK270" s="289"/>
      <c r="EL270" s="290"/>
      <c r="EM270" s="401">
        <f>EP270/2</f>
        <v>140.4555372032919</v>
      </c>
      <c r="EN270" s="401">
        <f>EP270-EM270</f>
        <v>140.4555372032919</v>
      </c>
      <c r="EO270" s="291"/>
      <c r="EP270" s="287">
        <f>CF!Z30</f>
        <v>280.91107440658379</v>
      </c>
      <c r="EQ270" s="289"/>
      <c r="ER270" s="289"/>
      <c r="ES270" s="289"/>
      <c r="ET270" s="290"/>
      <c r="EU270" s="401">
        <f>EX270/2</f>
        <v>608.16293375887835</v>
      </c>
      <c r="EV270" s="401">
        <f>EX270-EU270</f>
        <v>608.16293375887835</v>
      </c>
      <c r="EW270" s="291"/>
      <c r="EX270" s="287">
        <f>CF!AA30</f>
        <v>1216.3258675177567</v>
      </c>
      <c r="EY270" s="289"/>
      <c r="EZ270" s="289"/>
      <c r="FA270" s="289"/>
      <c r="FB270" s="290"/>
      <c r="FC270" s="401">
        <f>FF270/2</f>
        <v>268.74888572260534</v>
      </c>
      <c r="FD270" s="401">
        <f>FF270-FC270</f>
        <v>268.74888572260534</v>
      </c>
      <c r="FE270" s="291"/>
      <c r="FF270" s="287">
        <f>CF!AB30</f>
        <v>537.49777144521067</v>
      </c>
    </row>
    <row r="271" spans="1:162" ht="11.25" customHeight="1" x14ac:dyDescent="0.2">
      <c r="A271" s="186"/>
      <c r="B271" s="4" t="s">
        <v>402</v>
      </c>
      <c r="C271" s="288"/>
      <c r="D271" s="289"/>
      <c r="E271" s="289"/>
      <c r="F271" s="290"/>
      <c r="G271" s="402">
        <v>-73</v>
      </c>
      <c r="H271" s="402">
        <f>J271-G271</f>
        <v>0</v>
      </c>
      <c r="I271" s="291"/>
      <c r="J271" s="291">
        <v>-73</v>
      </c>
      <c r="K271" s="288"/>
      <c r="L271" s="289"/>
      <c r="M271" s="289"/>
      <c r="N271" s="290"/>
      <c r="O271" s="402">
        <v>0</v>
      </c>
      <c r="P271" s="402">
        <f>R271-O271</f>
        <v>132</v>
      </c>
      <c r="Q271" s="291"/>
      <c r="R271" s="291">
        <v>132</v>
      </c>
      <c r="S271" s="288"/>
      <c r="T271" s="289"/>
      <c r="U271" s="289"/>
      <c r="V271" s="290"/>
      <c r="W271" s="402">
        <v>-55</v>
      </c>
      <c r="X271" s="402">
        <f>Z271-W271</f>
        <v>125</v>
      </c>
      <c r="Y271" s="291"/>
      <c r="Z271" s="291">
        <f>CF!M31</f>
        <v>70</v>
      </c>
      <c r="AA271" s="288"/>
      <c r="AB271" s="289"/>
      <c r="AC271" s="289"/>
      <c r="AD271" s="290"/>
      <c r="AE271" s="402">
        <v>-139</v>
      </c>
      <c r="AF271" s="402">
        <f>AH271-AE271</f>
        <v>99</v>
      </c>
      <c r="AG271" s="291"/>
      <c r="AH271" s="291">
        <f>CF!N31</f>
        <v>-40</v>
      </c>
      <c r="AI271" s="288"/>
      <c r="AJ271" s="289"/>
      <c r="AK271" s="289"/>
      <c r="AL271" s="290"/>
      <c r="AM271" s="402">
        <v>1</v>
      </c>
      <c r="AN271" s="402">
        <f>AP271-AM271</f>
        <v>62</v>
      </c>
      <c r="AO271" s="291"/>
      <c r="AP271" s="291">
        <f>CF!O31</f>
        <v>63</v>
      </c>
      <c r="AQ271" s="288"/>
      <c r="AR271" s="289"/>
      <c r="AS271" s="289"/>
      <c r="AT271" s="290"/>
      <c r="AU271" s="402"/>
      <c r="AV271" s="402"/>
      <c r="AW271" s="291"/>
      <c r="AX271" s="291"/>
      <c r="AY271" s="288"/>
      <c r="AZ271" s="289"/>
      <c r="BA271" s="289"/>
      <c r="BB271" s="290"/>
      <c r="BC271" s="402">
        <f>-7+446-52</f>
        <v>387</v>
      </c>
      <c r="BD271" s="402">
        <f t="shared" si="301"/>
        <v>259</v>
      </c>
      <c r="BE271" s="291"/>
      <c r="BF271" s="291">
        <f>CF!P31</f>
        <v>646</v>
      </c>
      <c r="BG271" s="288"/>
      <c r="BH271" s="289"/>
      <c r="BI271" s="289"/>
      <c r="BJ271" s="290"/>
      <c r="BK271" s="402">
        <f t="shared" si="299"/>
        <v>387</v>
      </c>
      <c r="BL271" s="402">
        <f t="shared" si="299"/>
        <v>259</v>
      </c>
      <c r="BM271" s="291"/>
      <c r="BN271" s="291">
        <f t="shared" si="300"/>
        <v>646</v>
      </c>
      <c r="BO271" s="288"/>
      <c r="BP271" s="289"/>
      <c r="BQ271" s="289"/>
      <c r="BR271" s="290"/>
      <c r="BS271" s="402">
        <f>130-64</f>
        <v>66</v>
      </c>
      <c r="BT271" s="402">
        <f t="shared" si="302"/>
        <v>190</v>
      </c>
      <c r="BU271" s="291"/>
      <c r="BV271" s="291">
        <f>CF!Q31</f>
        <v>256</v>
      </c>
      <c r="BW271" s="288"/>
      <c r="BX271" s="289"/>
      <c r="BY271" s="289"/>
      <c r="BZ271" s="290"/>
      <c r="CA271" s="402">
        <f>422-121</f>
        <v>301</v>
      </c>
      <c r="CB271" s="402">
        <f t="shared" si="303"/>
        <v>-1366</v>
      </c>
      <c r="CC271" s="291"/>
      <c r="CD271" s="291">
        <f>CF!R31</f>
        <v>-1065</v>
      </c>
      <c r="CE271" s="288"/>
      <c r="CF271" s="289"/>
      <c r="CG271" s="289"/>
      <c r="CH271" s="290"/>
      <c r="CI271" s="402">
        <f>-324+87</f>
        <v>-237</v>
      </c>
      <c r="CJ271" s="402">
        <f t="shared" si="304"/>
        <v>244</v>
      </c>
      <c r="CK271" s="291"/>
      <c r="CL271" s="291">
        <f>CF!S31</f>
        <v>7</v>
      </c>
      <c r="CM271" s="288"/>
      <c r="CN271" s="289"/>
      <c r="CO271" s="289"/>
      <c r="CP271" s="290"/>
      <c r="CQ271" s="402">
        <f>930-109</f>
        <v>821</v>
      </c>
      <c r="CR271" s="402">
        <f t="shared" si="305"/>
        <v>1534</v>
      </c>
      <c r="CS271" s="291"/>
      <c r="CT271" s="291">
        <f>CF!T31</f>
        <v>2355</v>
      </c>
      <c r="CU271" s="289"/>
      <c r="CV271" s="289"/>
      <c r="CW271" s="289"/>
      <c r="CX271" s="290"/>
      <c r="CY271" s="402">
        <f>1144-118</f>
        <v>1026</v>
      </c>
      <c r="CZ271" s="289">
        <f>DB271-CY271</f>
        <v>748</v>
      </c>
      <c r="DA271" s="291"/>
      <c r="DB271" s="291">
        <f>CF!U31</f>
        <v>1774</v>
      </c>
      <c r="DC271" s="289"/>
      <c r="DD271" s="289"/>
      <c r="DE271" s="289"/>
      <c r="DF271" s="290"/>
      <c r="DG271" s="402">
        <f>585-75</f>
        <v>510</v>
      </c>
      <c r="DH271" s="289">
        <f>DJ271-DG271</f>
        <v>400</v>
      </c>
      <c r="DI271" s="291"/>
      <c r="DJ271" s="291">
        <f>CF!V31</f>
        <v>910</v>
      </c>
      <c r="DK271" s="289"/>
      <c r="DL271" s="289"/>
      <c r="DM271" s="289"/>
      <c r="DN271" s="290"/>
      <c r="DO271" s="402">
        <f>1235+34</f>
        <v>1269</v>
      </c>
      <c r="DP271" s="289">
        <f>DR271-DO271</f>
        <v>683</v>
      </c>
      <c r="DQ271" s="291"/>
      <c r="DR271" s="291">
        <f>CF!W31</f>
        <v>1952</v>
      </c>
      <c r="DS271" s="289"/>
      <c r="DT271" s="289"/>
      <c r="DU271" s="289"/>
      <c r="DV271" s="290"/>
      <c r="DW271" s="402">
        <f>1240-212</f>
        <v>1028</v>
      </c>
      <c r="DX271" s="401">
        <f>DZ271-DW271</f>
        <v>-1017.9777578411738</v>
      </c>
      <c r="DY271" s="291"/>
      <c r="DZ271" s="287">
        <f>CF!X31</f>
        <v>10.022242158826202</v>
      </c>
      <c r="EA271" s="289"/>
      <c r="EB271" s="289"/>
      <c r="EC271" s="289"/>
      <c r="ED271" s="290"/>
      <c r="EE271" s="401">
        <f>EH271/2</f>
        <v>-8.8722223404005263E-2</v>
      </c>
      <c r="EF271" s="401">
        <f>EH271-EE271</f>
        <v>-8.8722223404005263E-2</v>
      </c>
      <c r="EG271" s="291"/>
      <c r="EH271" s="287">
        <f>CF!Y31</f>
        <v>-0.17744444680801053</v>
      </c>
      <c r="EI271" s="289"/>
      <c r="EJ271" s="289"/>
      <c r="EK271" s="289"/>
      <c r="EL271" s="290"/>
      <c r="EM271" s="401">
        <f>EP271/2</f>
        <v>-31.053917089589277</v>
      </c>
      <c r="EN271" s="401">
        <f>EP271-EM271</f>
        <v>-31.053917089589277</v>
      </c>
      <c r="EO271" s="291"/>
      <c r="EP271" s="287">
        <f>CF!Z31</f>
        <v>-62.107834179178553</v>
      </c>
      <c r="EQ271" s="289"/>
      <c r="ER271" s="289"/>
      <c r="ES271" s="289"/>
      <c r="ET271" s="290"/>
      <c r="EU271" s="401">
        <f>EX271/2</f>
        <v>-72.082632629903458</v>
      </c>
      <c r="EV271" s="401">
        <f>EX271-EU271</f>
        <v>-72.082632629903458</v>
      </c>
      <c r="EW271" s="291"/>
      <c r="EX271" s="287">
        <f>CF!AA31</f>
        <v>-144.16526525980692</v>
      </c>
      <c r="EY271" s="289"/>
      <c r="EZ271" s="289"/>
      <c r="FA271" s="289"/>
      <c r="FB271" s="290"/>
      <c r="FC271" s="401">
        <f>FF271/2</f>
        <v>-60.994491068308093</v>
      </c>
      <c r="FD271" s="401">
        <f>FF271-FC271</f>
        <v>-60.994491068308093</v>
      </c>
      <c r="FE271" s="291"/>
      <c r="FF271" s="287">
        <f>CF!AB31</f>
        <v>-121.98898213661619</v>
      </c>
    </row>
    <row r="272" spans="1:162" ht="11.25" customHeight="1" x14ac:dyDescent="0.2">
      <c r="A272" s="4" t="s">
        <v>403</v>
      </c>
      <c r="C272" s="404"/>
      <c r="D272" s="405"/>
      <c r="E272" s="405"/>
      <c r="F272" s="406"/>
      <c r="G272" s="418">
        <f>G269+G270+G271</f>
        <v>-218</v>
      </c>
      <c r="H272" s="418">
        <f>H269+H270+H271</f>
        <v>392</v>
      </c>
      <c r="I272" s="407"/>
      <c r="J272" s="407">
        <f>J269+J270+J271</f>
        <v>174</v>
      </c>
      <c r="K272" s="404"/>
      <c r="L272" s="405"/>
      <c r="M272" s="405"/>
      <c r="N272" s="406"/>
      <c r="O272" s="418">
        <f>O269+O270+O271</f>
        <v>-294</v>
      </c>
      <c r="P272" s="418">
        <f>P269+P270+P271</f>
        <v>183</v>
      </c>
      <c r="Q272" s="407"/>
      <c r="R272" s="407">
        <f>R269+R270+R271</f>
        <v>-111</v>
      </c>
      <c r="S272" s="404"/>
      <c r="T272" s="405"/>
      <c r="U272" s="405"/>
      <c r="V272" s="406"/>
      <c r="W272" s="418">
        <f>W269+W270+W271</f>
        <v>-529</v>
      </c>
      <c r="X272" s="418">
        <f>Z272-W272</f>
        <v>469</v>
      </c>
      <c r="Y272" s="407"/>
      <c r="Z272" s="407">
        <f>Z269+Z270+Z271</f>
        <v>-60</v>
      </c>
      <c r="AA272" s="404"/>
      <c r="AB272" s="405"/>
      <c r="AC272" s="405"/>
      <c r="AD272" s="406"/>
      <c r="AE272" s="418">
        <f>AE269+AE270+AE271</f>
        <v>-64</v>
      </c>
      <c r="AF272" s="418">
        <f>AH272-AE272</f>
        <v>-104</v>
      </c>
      <c r="AG272" s="407"/>
      <c r="AH272" s="407">
        <f>AH269+AH270+AH271</f>
        <v>-168</v>
      </c>
      <c r="AI272" s="404"/>
      <c r="AJ272" s="405"/>
      <c r="AK272" s="405"/>
      <c r="AL272" s="406"/>
      <c r="AM272" s="418">
        <f>AM269+AM270+AM271</f>
        <v>-40</v>
      </c>
      <c r="AN272" s="418">
        <f>AP272-AM272</f>
        <v>356</v>
      </c>
      <c r="AO272" s="407"/>
      <c r="AP272" s="407">
        <f>AP269+AP270+AP271</f>
        <v>316</v>
      </c>
      <c r="AQ272" s="404"/>
      <c r="AR272" s="405"/>
      <c r="AS272" s="405"/>
      <c r="AT272" s="406"/>
      <c r="AU272" s="418"/>
      <c r="AV272" s="418"/>
      <c r="AW272" s="407"/>
      <c r="AX272" s="407"/>
      <c r="AY272" s="404"/>
      <c r="AZ272" s="405"/>
      <c r="BA272" s="405"/>
      <c r="BB272" s="406"/>
      <c r="BC272" s="418">
        <f>BC269+BC270+BC271</f>
        <v>-299</v>
      </c>
      <c r="BD272" s="418">
        <f>BD269+BD270+BD271</f>
        <v>272</v>
      </c>
      <c r="BE272" s="407"/>
      <c r="BF272" s="407">
        <f>BF269+BF270+BF271</f>
        <v>-27</v>
      </c>
      <c r="BG272" s="404"/>
      <c r="BH272" s="405"/>
      <c r="BI272" s="405"/>
      <c r="BJ272" s="406"/>
      <c r="BK272" s="418">
        <f t="shared" si="299"/>
        <v>-299</v>
      </c>
      <c r="BL272" s="418">
        <f t="shared" si="299"/>
        <v>272</v>
      </c>
      <c r="BM272" s="407"/>
      <c r="BN272" s="407">
        <f t="shared" si="300"/>
        <v>-27</v>
      </c>
      <c r="BO272" s="404"/>
      <c r="BP272" s="405"/>
      <c r="BQ272" s="405"/>
      <c r="BR272" s="406"/>
      <c r="BS272" s="418">
        <f>BS269+BS270+BS271</f>
        <v>-863</v>
      </c>
      <c r="BT272" s="418">
        <f>BT269+BT270+BT271</f>
        <v>-34</v>
      </c>
      <c r="BU272" s="407"/>
      <c r="BV272" s="407">
        <f>BV269+BV270+BV271</f>
        <v>-897</v>
      </c>
      <c r="BW272" s="404"/>
      <c r="BX272" s="405"/>
      <c r="BY272" s="405"/>
      <c r="BZ272" s="406"/>
      <c r="CA272" s="418">
        <f>CA271+CA270+CA269</f>
        <v>168</v>
      </c>
      <c r="CB272" s="418">
        <f>CD272-CA272</f>
        <v>-176</v>
      </c>
      <c r="CC272" s="407"/>
      <c r="CD272" s="407">
        <f>CD269+CD270+CD271</f>
        <v>-8</v>
      </c>
      <c r="CE272" s="404"/>
      <c r="CF272" s="405"/>
      <c r="CG272" s="405"/>
      <c r="CH272" s="406"/>
      <c r="CI272" s="418">
        <f>CI271+CI270+CI269</f>
        <v>297</v>
      </c>
      <c r="CJ272" s="418">
        <f t="shared" si="304"/>
        <v>-47</v>
      </c>
      <c r="CK272" s="407"/>
      <c r="CL272" s="407">
        <f>CL269+CL270+CL271</f>
        <v>250</v>
      </c>
      <c r="CM272" s="404"/>
      <c r="CN272" s="405"/>
      <c r="CO272" s="405"/>
      <c r="CP272" s="406"/>
      <c r="CQ272" s="418">
        <f>CQ271+CQ270+CQ269</f>
        <v>426</v>
      </c>
      <c r="CR272" s="418">
        <f t="shared" si="305"/>
        <v>303</v>
      </c>
      <c r="CS272" s="407"/>
      <c r="CT272" s="407">
        <f>CT269+CT270+CT271</f>
        <v>729</v>
      </c>
      <c r="CU272" s="405"/>
      <c r="CV272" s="405"/>
      <c r="CW272" s="405"/>
      <c r="CX272" s="406"/>
      <c r="CY272" s="418">
        <f>CY271+CY270+CY269</f>
        <v>81</v>
      </c>
      <c r="CZ272" s="405">
        <f>CZ269+CZ270+CZ271</f>
        <v>677</v>
      </c>
      <c r="DA272" s="407"/>
      <c r="DB272" s="407">
        <f>DB269+DB270+DB271</f>
        <v>758</v>
      </c>
      <c r="DC272" s="405"/>
      <c r="DD272" s="405"/>
      <c r="DE272" s="405"/>
      <c r="DF272" s="406"/>
      <c r="DG272" s="418">
        <f>DG271+DG270+DG269</f>
        <v>-140</v>
      </c>
      <c r="DH272" s="405">
        <f>DH269+DH270+DH271</f>
        <v>147</v>
      </c>
      <c r="DI272" s="407"/>
      <c r="DJ272" s="407">
        <f>DJ269+DJ270+DJ271</f>
        <v>7</v>
      </c>
      <c r="DK272" s="405"/>
      <c r="DL272" s="405"/>
      <c r="DM272" s="405"/>
      <c r="DN272" s="406"/>
      <c r="DO272" s="418">
        <f>DO271+DO270+DO269</f>
        <v>-168</v>
      </c>
      <c r="DP272" s="405">
        <f>DP269+DP270+DP271</f>
        <v>1239</v>
      </c>
      <c r="DQ272" s="407"/>
      <c r="DR272" s="407">
        <f>DR269+DR270+DR271</f>
        <v>1071</v>
      </c>
      <c r="DS272" s="405"/>
      <c r="DT272" s="405"/>
      <c r="DU272" s="405"/>
      <c r="DV272" s="406"/>
      <c r="DW272" s="418">
        <f>DW271+DW270+DW269</f>
        <v>122</v>
      </c>
      <c r="DX272" s="408">
        <f>DX269+DX270+DX271</f>
        <v>972.35755019238627</v>
      </c>
      <c r="DY272" s="407"/>
      <c r="DZ272" s="409">
        <f>DZ269+DZ270+DZ271</f>
        <v>1094.3575501923863</v>
      </c>
      <c r="EA272" s="405"/>
      <c r="EB272" s="405"/>
      <c r="EC272" s="405"/>
      <c r="ED272" s="406"/>
      <c r="EE272" s="408">
        <f>EE269+EE270+EE271</f>
        <v>254.03326860499797</v>
      </c>
      <c r="EF272" s="408">
        <f>EF269+EF270+EF271</f>
        <v>254.03326860499797</v>
      </c>
      <c r="EG272" s="407"/>
      <c r="EH272" s="409">
        <f>EH269+EH270+EH271</f>
        <v>508.06653720999594</v>
      </c>
      <c r="EI272" s="405"/>
      <c r="EJ272" s="405"/>
      <c r="EK272" s="405"/>
      <c r="EL272" s="406"/>
      <c r="EM272" s="408">
        <f>EM269+EM270+EM271</f>
        <v>136.25420149800425</v>
      </c>
      <c r="EN272" s="408">
        <f>EN269+EN270+EN271</f>
        <v>136.25420149800425</v>
      </c>
      <c r="EO272" s="407"/>
      <c r="EP272" s="409">
        <f>EP269+EP270+EP271</f>
        <v>272.5084029960085</v>
      </c>
      <c r="EQ272" s="405"/>
      <c r="ER272" s="405"/>
      <c r="ES272" s="405"/>
      <c r="ET272" s="406"/>
      <c r="EU272" s="408">
        <f>EU269+EU270+EU271</f>
        <v>146.23226666815702</v>
      </c>
      <c r="EV272" s="408">
        <f>EV269+EV270+EV271</f>
        <v>146.23226666815702</v>
      </c>
      <c r="EW272" s="407"/>
      <c r="EX272" s="409">
        <f>EX269+EX270+EX271</f>
        <v>292.46453333631405</v>
      </c>
      <c r="EY272" s="405"/>
      <c r="EZ272" s="405"/>
      <c r="FA272" s="405"/>
      <c r="FB272" s="406"/>
      <c r="FC272" s="408">
        <f>FC269+FC270+FC271</f>
        <v>35.479467909035407</v>
      </c>
      <c r="FD272" s="408">
        <f>FD269+FD270+FD271</f>
        <v>35.479467909035407</v>
      </c>
      <c r="FE272" s="407"/>
      <c r="FF272" s="409">
        <f>FF269+FF270+FF271</f>
        <v>70.958935818070813</v>
      </c>
    </row>
    <row r="273" spans="1:162" ht="11.25" customHeight="1" x14ac:dyDescent="0.2">
      <c r="A273" s="419" t="s">
        <v>404</v>
      </c>
      <c r="B273" s="420"/>
      <c r="C273" s="421"/>
      <c r="D273" s="422"/>
      <c r="E273" s="422"/>
      <c r="F273" s="423"/>
      <c r="G273" s="424">
        <f>G268+G272</f>
        <v>794</v>
      </c>
      <c r="H273" s="424">
        <f>H268+H272</f>
        <v>1326</v>
      </c>
      <c r="I273" s="425"/>
      <c r="J273" s="425">
        <f>J268+J272</f>
        <v>2120</v>
      </c>
      <c r="K273" s="421"/>
      <c r="L273" s="422"/>
      <c r="M273" s="422"/>
      <c r="N273" s="423"/>
      <c r="O273" s="424">
        <f>O268+O272</f>
        <v>821</v>
      </c>
      <c r="P273" s="424">
        <f>P268+P272</f>
        <v>1536</v>
      </c>
      <c r="Q273" s="425"/>
      <c r="R273" s="425">
        <f>R268+R272</f>
        <v>2357</v>
      </c>
      <c r="S273" s="421"/>
      <c r="T273" s="422"/>
      <c r="U273" s="422"/>
      <c r="V273" s="423"/>
      <c r="W273" s="424">
        <f>W268+W272</f>
        <v>966</v>
      </c>
      <c r="X273" s="424">
        <f>X268+X272</f>
        <v>1787</v>
      </c>
      <c r="Y273" s="425"/>
      <c r="Z273" s="425">
        <f>Z268+Z272</f>
        <v>2753</v>
      </c>
      <c r="AA273" s="421"/>
      <c r="AB273" s="422"/>
      <c r="AC273" s="422"/>
      <c r="AD273" s="423"/>
      <c r="AE273" s="424">
        <f>AE268+AE272</f>
        <v>1295</v>
      </c>
      <c r="AF273" s="424">
        <f>AF268+AF272</f>
        <v>1298</v>
      </c>
      <c r="AG273" s="425"/>
      <c r="AH273" s="425">
        <f>AH268+AH272</f>
        <v>2483</v>
      </c>
      <c r="AI273" s="421"/>
      <c r="AJ273" s="422"/>
      <c r="AK273" s="422"/>
      <c r="AL273" s="423"/>
      <c r="AM273" s="424">
        <f>AM268+AM272</f>
        <v>1270</v>
      </c>
      <c r="AN273" s="424">
        <f>AN268+AN272</f>
        <v>1499</v>
      </c>
      <c r="AO273" s="425"/>
      <c r="AP273" s="425">
        <f>AP268+AP272</f>
        <v>2726</v>
      </c>
      <c r="AQ273" s="421"/>
      <c r="AR273" s="422"/>
      <c r="AS273" s="422"/>
      <c r="AT273" s="423"/>
      <c r="AU273" s="424"/>
      <c r="AV273" s="424"/>
      <c r="AW273" s="425"/>
      <c r="AX273" s="425"/>
      <c r="AY273" s="421"/>
      <c r="AZ273" s="422"/>
      <c r="BA273" s="422"/>
      <c r="BB273" s="423"/>
      <c r="BC273" s="424">
        <f>BC268+BC272</f>
        <v>1420</v>
      </c>
      <c r="BD273" s="424">
        <f>BD268+BD272</f>
        <v>1651</v>
      </c>
      <c r="BE273" s="425"/>
      <c r="BF273" s="425">
        <f>BF268+BF272</f>
        <v>3071</v>
      </c>
      <c r="BG273" s="421"/>
      <c r="BH273" s="422"/>
      <c r="BI273" s="422"/>
      <c r="BJ273" s="423"/>
      <c r="BK273" s="424">
        <f t="shared" si="299"/>
        <v>1420</v>
      </c>
      <c r="BL273" s="424">
        <f t="shared" si="299"/>
        <v>1651</v>
      </c>
      <c r="BM273" s="425"/>
      <c r="BN273" s="425">
        <f t="shared" si="300"/>
        <v>3071</v>
      </c>
      <c r="BO273" s="421"/>
      <c r="BP273" s="422"/>
      <c r="BQ273" s="422"/>
      <c r="BR273" s="423"/>
      <c r="BS273" s="424">
        <f>BS268+BS272</f>
        <v>1731</v>
      </c>
      <c r="BT273" s="424">
        <f>BT268+BT272</f>
        <v>1414</v>
      </c>
      <c r="BU273" s="425"/>
      <c r="BV273" s="425">
        <f>BV268+BV272</f>
        <v>3145</v>
      </c>
      <c r="BW273" s="421"/>
      <c r="BX273" s="422"/>
      <c r="BY273" s="422"/>
      <c r="BZ273" s="423"/>
      <c r="CA273" s="424">
        <f>CA268+CA272</f>
        <v>1322</v>
      </c>
      <c r="CB273" s="424">
        <f t="shared" si="303"/>
        <v>544</v>
      </c>
      <c r="CC273" s="425"/>
      <c r="CD273" s="425">
        <f>CD268+CD272</f>
        <v>1866</v>
      </c>
      <c r="CE273" s="421"/>
      <c r="CF273" s="422"/>
      <c r="CG273" s="422"/>
      <c r="CH273" s="423"/>
      <c r="CI273" s="424">
        <f>CI268+CI272</f>
        <v>1030</v>
      </c>
      <c r="CJ273" s="424">
        <f t="shared" si="304"/>
        <v>1406</v>
      </c>
      <c r="CK273" s="425"/>
      <c r="CL273" s="425">
        <f>CL268+CL272</f>
        <v>2436</v>
      </c>
      <c r="CM273" s="421"/>
      <c r="CN273" s="422"/>
      <c r="CO273" s="422"/>
      <c r="CP273" s="423"/>
      <c r="CQ273" s="424">
        <f>CQ268+CQ272</f>
        <v>2072</v>
      </c>
      <c r="CR273" s="424">
        <f t="shared" si="305"/>
        <v>1473</v>
      </c>
      <c r="CS273" s="425"/>
      <c r="CT273" s="425">
        <f>CT268+CT272</f>
        <v>3545</v>
      </c>
      <c r="CU273" s="422"/>
      <c r="CV273" s="422"/>
      <c r="CW273" s="422"/>
      <c r="CX273" s="423"/>
      <c r="CY273" s="424">
        <f>CY268+CY272</f>
        <v>2063</v>
      </c>
      <c r="CZ273" s="422">
        <f>CZ268+CZ272</f>
        <v>2207</v>
      </c>
      <c r="DA273" s="425"/>
      <c r="DB273" s="425">
        <f>DB268+DB272</f>
        <v>4270</v>
      </c>
      <c r="DC273" s="422"/>
      <c r="DD273" s="422"/>
      <c r="DE273" s="422"/>
      <c r="DF273" s="423"/>
      <c r="DG273" s="424">
        <f>DG268+DG272</f>
        <v>2220</v>
      </c>
      <c r="DH273" s="422">
        <f>DH268+DH272</f>
        <v>2513</v>
      </c>
      <c r="DI273" s="425"/>
      <c r="DJ273" s="425">
        <f>DJ268+DJ272</f>
        <v>4733</v>
      </c>
      <c r="DK273" s="422"/>
      <c r="DL273" s="422"/>
      <c r="DM273" s="422"/>
      <c r="DN273" s="423"/>
      <c r="DO273" s="424">
        <f>DO268+DO272</f>
        <v>2622</v>
      </c>
      <c r="DP273" s="422">
        <f>DP268+DP272</f>
        <v>3099</v>
      </c>
      <c r="DQ273" s="425"/>
      <c r="DR273" s="425">
        <f>DR268+DR272</f>
        <v>5721</v>
      </c>
      <c r="DS273" s="422"/>
      <c r="DT273" s="422"/>
      <c r="DU273" s="422"/>
      <c r="DV273" s="423"/>
      <c r="DW273" s="424">
        <f>DW268+DW272</f>
        <v>3596</v>
      </c>
      <c r="DX273" s="426">
        <f>DX268+DX272</f>
        <v>3582.7108360097081</v>
      </c>
      <c r="DY273" s="425"/>
      <c r="DZ273" s="427">
        <f>DZ268+DZ272</f>
        <v>7182.1344632418595</v>
      </c>
      <c r="EA273" s="422"/>
      <c r="EB273" s="422"/>
      <c r="EC273" s="422"/>
      <c r="ED273" s="423"/>
      <c r="EE273" s="426">
        <f>EE268+EE272</f>
        <v>2340.836388437061</v>
      </c>
      <c r="EF273" s="426">
        <f>EF268+EF272</f>
        <v>5535.7092083505231</v>
      </c>
      <c r="EG273" s="425"/>
      <c r="EH273" s="427">
        <f>EH268+EH272</f>
        <v>7876.5455967875778</v>
      </c>
      <c r="EI273" s="422"/>
      <c r="EJ273" s="422"/>
      <c r="EK273" s="422"/>
      <c r="EL273" s="423"/>
      <c r="EM273" s="426">
        <f>EM268+EM272</f>
        <v>2496.4946706569517</v>
      </c>
      <c r="EN273" s="426">
        <f>EN268+EN272</f>
        <v>5895.1137111748885</v>
      </c>
      <c r="EO273" s="425"/>
      <c r="EP273" s="427">
        <f>EP268+EP272</f>
        <v>8391.6083818318293</v>
      </c>
      <c r="EQ273" s="422"/>
      <c r="ER273" s="422"/>
      <c r="ES273" s="422"/>
      <c r="ET273" s="423"/>
      <c r="EU273" s="426">
        <f>EU268+EU272</f>
        <v>2701.5595645261342</v>
      </c>
      <c r="EV273" s="426">
        <f>EV268+EV272</f>
        <v>6305.5689528865923</v>
      </c>
      <c r="EW273" s="425"/>
      <c r="EX273" s="427">
        <f>EX268+EX272</f>
        <v>9007.1285174127242</v>
      </c>
      <c r="EY273" s="422"/>
      <c r="EZ273" s="422"/>
      <c r="FA273" s="422"/>
      <c r="FB273" s="423"/>
      <c r="FC273" s="426">
        <f>FC268+FC272</f>
        <v>2761.0445105926628</v>
      </c>
      <c r="FD273" s="426">
        <f>FD268+FD272</f>
        <v>6440.6287427180541</v>
      </c>
      <c r="FE273" s="425"/>
      <c r="FF273" s="427">
        <f>FF268+FF272</f>
        <v>9201.6732533107115</v>
      </c>
    </row>
    <row r="274" spans="1:162" ht="11.25" customHeight="1" x14ac:dyDescent="0.2">
      <c r="C274" s="38"/>
      <c r="F274" s="179"/>
      <c r="G274" s="199"/>
      <c r="H274" s="199"/>
      <c r="I274" s="180"/>
      <c r="J274" s="180"/>
      <c r="K274" s="38"/>
      <c r="N274" s="179"/>
      <c r="O274" s="199"/>
      <c r="P274" s="199"/>
      <c r="Q274" s="180"/>
      <c r="R274" s="180"/>
      <c r="S274" s="38"/>
      <c r="V274" s="179"/>
      <c r="W274" s="199"/>
      <c r="X274" s="199"/>
      <c r="Y274" s="180"/>
      <c r="Z274" s="180"/>
      <c r="AA274" s="38"/>
      <c r="AD274" s="179"/>
      <c r="AE274" s="199"/>
      <c r="AF274" s="199"/>
      <c r="AG274" s="180"/>
      <c r="AH274" s="180"/>
      <c r="AI274" s="38"/>
      <c r="AL274" s="179"/>
      <c r="AM274" s="199"/>
      <c r="AN274" s="199"/>
      <c r="AO274" s="180"/>
      <c r="AP274" s="180"/>
      <c r="AQ274" s="38"/>
      <c r="AT274" s="179"/>
      <c r="AU274" s="199"/>
      <c r="AV274" s="199"/>
      <c r="AW274" s="180"/>
      <c r="AX274" s="180"/>
      <c r="AY274" s="38"/>
      <c r="BB274" s="179"/>
      <c r="BC274" s="199"/>
      <c r="BD274" s="199"/>
      <c r="BE274" s="180"/>
      <c r="BF274" s="180"/>
      <c r="BG274" s="38"/>
      <c r="BJ274" s="179"/>
      <c r="BK274" s="199"/>
      <c r="BL274" s="199"/>
      <c r="BM274" s="180"/>
      <c r="BN274" s="180"/>
      <c r="BO274" s="38"/>
      <c r="BR274" s="179"/>
      <c r="BS274" s="199"/>
      <c r="BT274" s="199">
        <f>BT278/BT11</f>
        <v>-2.8951985962673472E-2</v>
      </c>
      <c r="BU274" s="180"/>
      <c r="BV274" s="180"/>
      <c r="BW274" s="38"/>
      <c r="BZ274" s="179"/>
      <c r="CA274" s="199"/>
      <c r="CB274" s="199"/>
      <c r="CC274" s="180"/>
      <c r="CD274" s="180"/>
      <c r="CE274" s="38"/>
      <c r="CH274" s="179"/>
      <c r="CI274" s="199"/>
      <c r="CJ274" s="199"/>
      <c r="CK274" s="180"/>
      <c r="CL274" s="180"/>
      <c r="CM274" s="38"/>
      <c r="CP274" s="179"/>
      <c r="CQ274" s="199"/>
      <c r="CR274" s="199"/>
      <c r="CS274" s="180"/>
      <c r="CT274" s="180"/>
      <c r="CX274" s="179"/>
      <c r="CY274" s="199"/>
      <c r="DA274" s="180"/>
      <c r="DB274" s="180"/>
      <c r="DF274" s="179"/>
      <c r="DG274" s="199"/>
      <c r="DI274" s="180"/>
      <c r="DJ274" s="180"/>
      <c r="DN274" s="179"/>
      <c r="DO274" s="199"/>
      <c r="DQ274" s="180"/>
      <c r="DR274" s="180"/>
      <c r="DV274" s="179"/>
      <c r="DW274" s="199"/>
      <c r="DY274" s="180"/>
      <c r="DZ274" s="180"/>
      <c r="ED274" s="179"/>
      <c r="EG274" s="180"/>
      <c r="EH274" s="180"/>
      <c r="EL274" s="179"/>
      <c r="EO274" s="180"/>
      <c r="EP274" s="180"/>
      <c r="ET274" s="179"/>
      <c r="EW274" s="180"/>
      <c r="EX274" s="180"/>
      <c r="FB274" s="179"/>
      <c r="FE274" s="180"/>
      <c r="FF274" s="180"/>
    </row>
    <row r="275" spans="1:162" ht="11.25" customHeight="1" x14ac:dyDescent="0.2">
      <c r="B275" s="4" t="s">
        <v>382</v>
      </c>
      <c r="C275" s="288"/>
      <c r="D275" s="289"/>
      <c r="E275" s="289"/>
      <c r="F275" s="290"/>
      <c r="G275" s="402">
        <v>-297</v>
      </c>
      <c r="H275" s="402">
        <f>J275-G275</f>
        <v>-423</v>
      </c>
      <c r="I275" s="291"/>
      <c r="J275" s="291">
        <v>-720</v>
      </c>
      <c r="K275" s="288"/>
      <c r="L275" s="289"/>
      <c r="M275" s="289"/>
      <c r="N275" s="290"/>
      <c r="O275" s="402">
        <v>-374</v>
      </c>
      <c r="P275" s="402">
        <f>R275-O275</f>
        <v>-302</v>
      </c>
      <c r="Q275" s="291"/>
      <c r="R275" s="291">
        <v>-676</v>
      </c>
      <c r="S275" s="288"/>
      <c r="T275" s="289"/>
      <c r="U275" s="289"/>
      <c r="V275" s="290"/>
      <c r="W275" s="402">
        <v>-259</v>
      </c>
      <c r="X275" s="402">
        <f>Z275-W275</f>
        <v>-262</v>
      </c>
      <c r="Y275" s="291"/>
      <c r="Z275" s="291">
        <v>-521</v>
      </c>
      <c r="AA275" s="288"/>
      <c r="AB275" s="289"/>
      <c r="AC275" s="289"/>
      <c r="AD275" s="290"/>
      <c r="AE275" s="402">
        <v>-181</v>
      </c>
      <c r="AF275" s="402">
        <f>AH275-AE275</f>
        <v>-183</v>
      </c>
      <c r="AG275" s="291"/>
      <c r="AH275" s="291">
        <v>-364</v>
      </c>
      <c r="AI275" s="288"/>
      <c r="AJ275" s="289"/>
      <c r="AK275" s="289"/>
      <c r="AL275" s="290"/>
      <c r="AM275" s="402">
        <v>-141</v>
      </c>
      <c r="AN275" s="402">
        <f>AP275-AM275</f>
        <v>-145</v>
      </c>
      <c r="AO275" s="291"/>
      <c r="AP275" s="291">
        <f>-BS!O86</f>
        <v>-286</v>
      </c>
      <c r="AQ275" s="288"/>
      <c r="AR275" s="289"/>
      <c r="AS275" s="289"/>
      <c r="AT275" s="290"/>
      <c r="AU275" s="402"/>
      <c r="AV275" s="402"/>
      <c r="AW275" s="291"/>
      <c r="AX275" s="291"/>
      <c r="AY275" s="288"/>
      <c r="AZ275" s="289"/>
      <c r="BA275" s="289"/>
      <c r="BB275" s="290"/>
      <c r="BC275" s="402">
        <v>-144</v>
      </c>
      <c r="BD275" s="402">
        <f t="shared" si="301"/>
        <v>-183</v>
      </c>
      <c r="BE275" s="291"/>
      <c r="BF275" s="291">
        <f>-BS!P86</f>
        <v>-327</v>
      </c>
      <c r="BG275" s="288"/>
      <c r="BH275" s="289"/>
      <c r="BI275" s="289"/>
      <c r="BJ275" s="290"/>
      <c r="BK275" s="402">
        <f t="shared" si="299"/>
        <v>-144</v>
      </c>
      <c r="BL275" s="402">
        <f t="shared" si="299"/>
        <v>-183</v>
      </c>
      <c r="BM275" s="291"/>
      <c r="BN275" s="291">
        <f t="shared" si="300"/>
        <v>-327</v>
      </c>
      <c r="BO275" s="288"/>
      <c r="BP275" s="289"/>
      <c r="BQ275" s="289"/>
      <c r="BR275" s="290"/>
      <c r="BS275" s="402">
        <v>-157</v>
      </c>
      <c r="BT275" s="402">
        <f t="shared" si="302"/>
        <v>-176</v>
      </c>
      <c r="BU275" s="291"/>
      <c r="BV275" s="291">
        <f>-BS!Q86</f>
        <v>-333</v>
      </c>
      <c r="BW275" s="288"/>
      <c r="BX275" s="289"/>
      <c r="BY275" s="289"/>
      <c r="BZ275" s="290"/>
      <c r="CA275" s="402">
        <v>-127</v>
      </c>
      <c r="CB275" s="402">
        <f t="shared" si="303"/>
        <v>-160</v>
      </c>
      <c r="CC275" s="291"/>
      <c r="CD275" s="291">
        <f>-BS!R86</f>
        <v>-287</v>
      </c>
      <c r="CE275" s="288"/>
      <c r="CF275" s="289"/>
      <c r="CG275" s="289"/>
      <c r="CH275" s="290"/>
      <c r="CI275" s="402">
        <v>-136</v>
      </c>
      <c r="CJ275" s="402">
        <f t="shared" si="304"/>
        <v>-180</v>
      </c>
      <c r="CK275" s="291"/>
      <c r="CL275" s="291">
        <f>-BS!S86</f>
        <v>-316</v>
      </c>
      <c r="CM275" s="288"/>
      <c r="CN275" s="289"/>
      <c r="CO275" s="289"/>
      <c r="CP275" s="290"/>
      <c r="CQ275" s="402">
        <v>-135</v>
      </c>
      <c r="CR275" s="402">
        <f t="shared" ref="CR275:CR282" si="310">CT275-CQ275</f>
        <v>-148</v>
      </c>
      <c r="CS275" s="291"/>
      <c r="CT275" s="291">
        <f>-BS!T86</f>
        <v>-283</v>
      </c>
      <c r="CU275" s="289"/>
      <c r="CV275" s="289"/>
      <c r="CW275" s="289"/>
      <c r="CX275" s="290"/>
      <c r="CY275" s="402">
        <v>-152</v>
      </c>
      <c r="CZ275" s="289">
        <f>DB275-CY275</f>
        <v>-171</v>
      </c>
      <c r="DA275" s="291"/>
      <c r="DB275" s="291">
        <f>-BS!U86</f>
        <v>-323</v>
      </c>
      <c r="DC275" s="289"/>
      <c r="DD275" s="289"/>
      <c r="DE275" s="289"/>
      <c r="DF275" s="290"/>
      <c r="DG275" s="402">
        <v>-152</v>
      </c>
      <c r="DH275" s="289">
        <f>DJ275-DG275</f>
        <v>-176</v>
      </c>
      <c r="DI275" s="291"/>
      <c r="DJ275" s="291">
        <f>-BS!V86</f>
        <v>-328</v>
      </c>
      <c r="DK275" s="289"/>
      <c r="DL275" s="289"/>
      <c r="DM275" s="289"/>
      <c r="DN275" s="290"/>
      <c r="DO275" s="402">
        <v>-160</v>
      </c>
      <c r="DP275" s="289">
        <f>DR275-DO275</f>
        <v>-189</v>
      </c>
      <c r="DQ275" s="291"/>
      <c r="DR275" s="291">
        <f>-BS!W86</f>
        <v>-349</v>
      </c>
      <c r="DS275" s="289"/>
      <c r="DT275" s="289"/>
      <c r="DU275" s="289"/>
      <c r="DV275" s="290"/>
      <c r="DW275" s="402">
        <v>-155</v>
      </c>
      <c r="DX275" s="401">
        <f>DZ275-DW275</f>
        <v>-273.86388388795223</v>
      </c>
      <c r="DY275" s="291"/>
      <c r="DZ275" s="287">
        <f>-BS!X86</f>
        <v>-428.86388388795223</v>
      </c>
      <c r="EA275" s="289"/>
      <c r="EB275" s="289"/>
      <c r="EC275" s="289"/>
      <c r="ED275" s="290"/>
      <c r="EE275" s="401">
        <f>-(Propulsion!BI51+'Equipment &amp; Defense'!BG39+Interiors!AR38)</f>
        <v>-217.26504196274689</v>
      </c>
      <c r="EF275" s="401">
        <f>EH275-EE275</f>
        <v>-250.67682541678622</v>
      </c>
      <c r="EG275" s="291"/>
      <c r="EH275" s="287">
        <f>-BS!Y86</f>
        <v>-467.94186737953311</v>
      </c>
      <c r="EI275" s="289"/>
      <c r="EJ275" s="289"/>
      <c r="EK275" s="289"/>
      <c r="EL275" s="290"/>
      <c r="EM275" s="401">
        <f>-(Propulsion!BQ51+'Equipment &amp; Defense'!BO39+Interiors!AZ38)</f>
        <v>-237.42293217129833</v>
      </c>
      <c r="EN275" s="401">
        <f>EP275-EM275</f>
        <v>-273.33440913583405</v>
      </c>
      <c r="EO275" s="291"/>
      <c r="EP275" s="287">
        <f>-BS!Z86</f>
        <v>-510.75734130713238</v>
      </c>
      <c r="EQ275" s="289"/>
      <c r="ER275" s="289"/>
      <c r="ES275" s="289"/>
      <c r="ET275" s="290"/>
      <c r="EU275" s="401">
        <f>-(Propulsion!BY51+'Equipment &amp; Defense'!BW39+Interiors!BH38)</f>
        <v>-255.00637644009095</v>
      </c>
      <c r="EV275" s="401">
        <f>EX275-EU275</f>
        <v>-293.42089475798747</v>
      </c>
      <c r="EW275" s="291"/>
      <c r="EX275" s="287">
        <f>-BS!AA86</f>
        <v>-548.42727119807842</v>
      </c>
      <c r="EY275" s="289"/>
      <c r="EZ275" s="289"/>
      <c r="FA275" s="289"/>
      <c r="FB275" s="290"/>
      <c r="FC275" s="401">
        <f>-(Propulsion!CG51+'Equipment &amp; Defense'!CE39+Interiors!BP38)</f>
        <v>-264.1758343252996</v>
      </c>
      <c r="FD275" s="401">
        <f>FF275-FC275</f>
        <v>-303.84575244895069</v>
      </c>
      <c r="FE275" s="291"/>
      <c r="FF275" s="287">
        <f>-BS!AB86</f>
        <v>-568.0215867742503</v>
      </c>
    </row>
    <row r="276" spans="1:162" ht="11.25" customHeight="1" x14ac:dyDescent="0.2">
      <c r="B276" s="4" t="s">
        <v>405</v>
      </c>
      <c r="C276" s="288"/>
      <c r="D276" s="289"/>
      <c r="E276" s="289"/>
      <c r="F276" s="290"/>
      <c r="G276" s="402">
        <v>-103</v>
      </c>
      <c r="H276" s="402">
        <f>J276-G276</f>
        <v>-109</v>
      </c>
      <c r="I276" s="291"/>
      <c r="J276" s="291">
        <v>-212</v>
      </c>
      <c r="K276" s="288"/>
      <c r="L276" s="289"/>
      <c r="M276" s="289"/>
      <c r="N276" s="290"/>
      <c r="O276" s="402">
        <v>-107</v>
      </c>
      <c r="P276" s="402">
        <f>R276-O276</f>
        <v>-160</v>
      </c>
      <c r="Q276" s="291"/>
      <c r="R276" s="291">
        <v>-267</v>
      </c>
      <c r="S276" s="288"/>
      <c r="T276" s="289"/>
      <c r="U276" s="289"/>
      <c r="V276" s="290"/>
      <c r="W276" s="402">
        <v>-252</v>
      </c>
      <c r="X276" s="402">
        <f>Z276-W276</f>
        <v>-248</v>
      </c>
      <c r="Y276" s="291"/>
      <c r="Z276" s="291">
        <v>-500</v>
      </c>
      <c r="AA276" s="288"/>
      <c r="AB276" s="289"/>
      <c r="AC276" s="289"/>
      <c r="AD276" s="290"/>
      <c r="AE276" s="402">
        <v>-188</v>
      </c>
      <c r="AF276" s="402">
        <f>AH276-AE276</f>
        <v>-136</v>
      </c>
      <c r="AG276" s="291"/>
      <c r="AH276" s="291">
        <v>-324</v>
      </c>
      <c r="AI276" s="288"/>
      <c r="AJ276" s="289"/>
      <c r="AK276" s="289"/>
      <c r="AL276" s="290"/>
      <c r="AM276" s="402">
        <v>-118</v>
      </c>
      <c r="AN276" s="402">
        <f>AP276-AM276</f>
        <v>-144</v>
      </c>
      <c r="AO276" s="291"/>
      <c r="AP276" s="291">
        <f>AP277-AP275</f>
        <v>-262</v>
      </c>
      <c r="AQ276" s="288"/>
      <c r="AR276" s="289"/>
      <c r="AS276" s="289"/>
      <c r="AT276" s="290"/>
      <c r="AU276" s="402"/>
      <c r="AV276" s="402"/>
      <c r="AW276" s="291"/>
      <c r="AX276" s="291"/>
      <c r="AY276" s="288"/>
      <c r="AZ276" s="289"/>
      <c r="BA276" s="289"/>
      <c r="BB276" s="290"/>
      <c r="BC276" s="402">
        <v>-69</v>
      </c>
      <c r="BD276" s="402">
        <f t="shared" si="301"/>
        <v>-114</v>
      </c>
      <c r="BE276" s="291"/>
      <c r="BF276" s="291">
        <f>BF277-BF275</f>
        <v>-183</v>
      </c>
      <c r="BG276" s="288"/>
      <c r="BH276" s="289"/>
      <c r="BI276" s="289"/>
      <c r="BJ276" s="290"/>
      <c r="BK276" s="402">
        <f t="shared" si="299"/>
        <v>-69</v>
      </c>
      <c r="BL276" s="402">
        <f t="shared" si="299"/>
        <v>-114</v>
      </c>
      <c r="BM276" s="291"/>
      <c r="BN276" s="291">
        <f t="shared" si="300"/>
        <v>-183</v>
      </c>
      <c r="BO276" s="288"/>
      <c r="BP276" s="289"/>
      <c r="BQ276" s="289"/>
      <c r="BR276" s="290"/>
      <c r="BS276" s="402">
        <v>-65</v>
      </c>
      <c r="BT276" s="402">
        <f t="shared" si="302"/>
        <v>-69</v>
      </c>
      <c r="BU276" s="291"/>
      <c r="BV276" s="291">
        <f>BV277-BV275</f>
        <v>-134</v>
      </c>
      <c r="BW276" s="288"/>
      <c r="BX276" s="289"/>
      <c r="BY276" s="289"/>
      <c r="BZ276" s="290"/>
      <c r="CA276" s="402">
        <v>-21</v>
      </c>
      <c r="CB276" s="402">
        <f t="shared" si="303"/>
        <v>-36</v>
      </c>
      <c r="CC276" s="291"/>
      <c r="CD276" s="291">
        <f>CD277-CD275</f>
        <v>-57</v>
      </c>
      <c r="CE276" s="288"/>
      <c r="CF276" s="289"/>
      <c r="CG276" s="289"/>
      <c r="CH276" s="290"/>
      <c r="CI276" s="402">
        <v>-10</v>
      </c>
      <c r="CJ276" s="402">
        <f t="shared" si="304"/>
        <v>-43</v>
      </c>
      <c r="CK276" s="291"/>
      <c r="CL276" s="291">
        <f>CL277-CL275</f>
        <v>-53</v>
      </c>
      <c r="CM276" s="288"/>
      <c r="CN276" s="289"/>
      <c r="CO276" s="289"/>
      <c r="CP276" s="290"/>
      <c r="CQ276" s="402">
        <v>-29</v>
      </c>
      <c r="CR276" s="402">
        <f t="shared" si="310"/>
        <v>-69</v>
      </c>
      <c r="CS276" s="291"/>
      <c r="CT276" s="291">
        <f>CT277-CT275</f>
        <v>-98</v>
      </c>
      <c r="CU276" s="289"/>
      <c r="CV276" s="289"/>
      <c r="CW276" s="289"/>
      <c r="CX276" s="290"/>
      <c r="CY276" s="402">
        <v>-100</v>
      </c>
      <c r="CZ276" s="289">
        <f>CZ277-CZ275</f>
        <v>-79</v>
      </c>
      <c r="DA276" s="291"/>
      <c r="DB276" s="291">
        <f>DB277-DB275</f>
        <v>-179</v>
      </c>
      <c r="DC276" s="289"/>
      <c r="DD276" s="289"/>
      <c r="DE276" s="289"/>
      <c r="DF276" s="290"/>
      <c r="DG276" s="402">
        <v>-93</v>
      </c>
      <c r="DH276" s="289">
        <f>DH277-DH275</f>
        <v>-79</v>
      </c>
      <c r="DI276" s="291"/>
      <c r="DJ276" s="291">
        <f>DJ277-DJ275</f>
        <v>-172</v>
      </c>
      <c r="DK276" s="289"/>
      <c r="DL276" s="289"/>
      <c r="DM276" s="289"/>
      <c r="DN276" s="290"/>
      <c r="DO276" s="402">
        <v>-103</v>
      </c>
      <c r="DP276" s="289">
        <f>DP277-DP275</f>
        <v>-110</v>
      </c>
      <c r="DQ276" s="291"/>
      <c r="DR276" s="291">
        <f>DR277-DR275</f>
        <v>-213</v>
      </c>
      <c r="DS276" s="289"/>
      <c r="DT276" s="289"/>
      <c r="DU276" s="289"/>
      <c r="DV276" s="290"/>
      <c r="DW276" s="402">
        <v>-75</v>
      </c>
      <c r="DX276" s="401">
        <f>DX277-DX275</f>
        <v>-110.08052786322622</v>
      </c>
      <c r="DY276" s="291"/>
      <c r="DZ276" s="287">
        <f>DZ277-DZ275</f>
        <v>-185.08052786322622</v>
      </c>
      <c r="EA276" s="289"/>
      <c r="EB276" s="289"/>
      <c r="EC276" s="289"/>
      <c r="ED276" s="290"/>
      <c r="EE276" s="401">
        <f>EE277-EE275</f>
        <v>-118.00898292857764</v>
      </c>
      <c r="EF276" s="401">
        <f>EF277-EF275</f>
        <v>-84.597199474538314</v>
      </c>
      <c r="EG276" s="291"/>
      <c r="EH276" s="287">
        <f>EH277-EH275</f>
        <v>-202.60618240311595</v>
      </c>
      <c r="EI276" s="289"/>
      <c r="EJ276" s="289"/>
      <c r="EK276" s="289"/>
      <c r="EL276" s="290"/>
      <c r="EM276" s="401">
        <f>EM277-EM275</f>
        <v>-128.85208717629558</v>
      </c>
      <c r="EN276" s="401">
        <f>EN277-EN275</f>
        <v>-92.940610211759861</v>
      </c>
      <c r="EO276" s="291"/>
      <c r="EP276" s="287">
        <f>EP277-EP275</f>
        <v>-221.79269738805544</v>
      </c>
      <c r="EQ276" s="289"/>
      <c r="ER276" s="289"/>
      <c r="ES276" s="289"/>
      <c r="ET276" s="290"/>
      <c r="EU276" s="401">
        <f>EU277-EU275</f>
        <v>-137.90056854219233</v>
      </c>
      <c r="EV276" s="401">
        <f>EV277-EV275</f>
        <v>-99.486050224295809</v>
      </c>
      <c r="EW276" s="291"/>
      <c r="EX276" s="287">
        <f>EX277-EX275</f>
        <v>-237.38661876648814</v>
      </c>
      <c r="EY276" s="289"/>
      <c r="EZ276" s="289"/>
      <c r="FA276" s="289"/>
      <c r="FB276" s="290"/>
      <c r="FC276" s="401">
        <f>FC277-FC275</f>
        <v>-141.97376697997487</v>
      </c>
      <c r="FD276" s="401">
        <f>FD277-FD275</f>
        <v>-102.30384885632378</v>
      </c>
      <c r="FE276" s="291"/>
      <c r="FF276" s="287">
        <f>FF277-FF275</f>
        <v>-244.27761583629865</v>
      </c>
    </row>
    <row r="277" spans="1:162" ht="11.25" customHeight="1" x14ac:dyDescent="0.2">
      <c r="A277" s="4" t="s">
        <v>406</v>
      </c>
      <c r="C277" s="288"/>
      <c r="D277" s="289"/>
      <c r="E277" s="289"/>
      <c r="F277" s="290"/>
      <c r="G277" s="402">
        <f>G275+G276</f>
        <v>-400</v>
      </c>
      <c r="H277" s="402">
        <f>H275+H276</f>
        <v>-532</v>
      </c>
      <c r="I277" s="291"/>
      <c r="J277" s="291">
        <f>J275+J276</f>
        <v>-932</v>
      </c>
      <c r="K277" s="288"/>
      <c r="L277" s="289"/>
      <c r="M277" s="289"/>
      <c r="N277" s="290"/>
      <c r="O277" s="402">
        <f>O275+O276</f>
        <v>-481</v>
      </c>
      <c r="P277" s="402">
        <f>P275+P276</f>
        <v>-462</v>
      </c>
      <c r="Q277" s="291"/>
      <c r="R277" s="291">
        <f>R275+R276</f>
        <v>-943</v>
      </c>
      <c r="S277" s="288"/>
      <c r="T277" s="289"/>
      <c r="U277" s="289"/>
      <c r="V277" s="290"/>
      <c r="W277" s="402">
        <f>W275+W276</f>
        <v>-511</v>
      </c>
      <c r="X277" s="402">
        <f>X275+X276</f>
        <v>-510</v>
      </c>
      <c r="Y277" s="291"/>
      <c r="Z277" s="291">
        <f>Z275+Z276</f>
        <v>-1021</v>
      </c>
      <c r="AA277" s="288"/>
      <c r="AB277" s="289"/>
      <c r="AC277" s="289"/>
      <c r="AD277" s="290"/>
      <c r="AE277" s="402">
        <f>AE275+AE276</f>
        <v>-369</v>
      </c>
      <c r="AF277" s="402">
        <f>AF275+AF276</f>
        <v>-319</v>
      </c>
      <c r="AG277" s="291"/>
      <c r="AH277" s="291">
        <f>AH275+AH276</f>
        <v>-688</v>
      </c>
      <c r="AI277" s="288"/>
      <c r="AJ277" s="289"/>
      <c r="AK277" s="289"/>
      <c r="AL277" s="290"/>
      <c r="AM277" s="402">
        <f>AM275+AM276</f>
        <v>-259</v>
      </c>
      <c r="AN277" s="402">
        <f>AN275+AN276</f>
        <v>-289</v>
      </c>
      <c r="AO277" s="291"/>
      <c r="AP277" s="291">
        <f>CF!O39</f>
        <v>-548</v>
      </c>
      <c r="AQ277" s="288"/>
      <c r="AR277" s="289"/>
      <c r="AS277" s="289"/>
      <c r="AT277" s="290"/>
      <c r="AU277" s="402"/>
      <c r="AV277" s="402"/>
      <c r="AW277" s="291"/>
      <c r="AX277" s="291"/>
      <c r="AY277" s="288"/>
      <c r="AZ277" s="289"/>
      <c r="BA277" s="289"/>
      <c r="BB277" s="290"/>
      <c r="BC277" s="402">
        <f>SUM(BC275:BC276)</f>
        <v>-213</v>
      </c>
      <c r="BD277" s="402">
        <f t="shared" si="301"/>
        <v>-297</v>
      </c>
      <c r="BE277" s="291"/>
      <c r="BF277" s="291">
        <f>CF!P39</f>
        <v>-510</v>
      </c>
      <c r="BG277" s="288"/>
      <c r="BH277" s="289"/>
      <c r="BI277" s="289"/>
      <c r="BJ277" s="290"/>
      <c r="BK277" s="402">
        <f t="shared" si="299"/>
        <v>-213</v>
      </c>
      <c r="BL277" s="402">
        <f t="shared" si="299"/>
        <v>-297</v>
      </c>
      <c r="BM277" s="291"/>
      <c r="BN277" s="291">
        <f t="shared" si="300"/>
        <v>-510</v>
      </c>
      <c r="BO277" s="288"/>
      <c r="BP277" s="289"/>
      <c r="BQ277" s="289"/>
      <c r="BR277" s="290"/>
      <c r="BS277" s="402">
        <f>SUM(BS275:BS276)</f>
        <v>-222</v>
      </c>
      <c r="BT277" s="402">
        <f t="shared" si="302"/>
        <v>-245</v>
      </c>
      <c r="BU277" s="291"/>
      <c r="BV277" s="291">
        <f>CF!Q39</f>
        <v>-467</v>
      </c>
      <c r="BW277" s="288"/>
      <c r="BX277" s="289"/>
      <c r="BY277" s="289"/>
      <c r="BZ277" s="290"/>
      <c r="CA277" s="402">
        <f>CA276+CA275</f>
        <v>-148</v>
      </c>
      <c r="CB277" s="402">
        <f>CD277-CA277</f>
        <v>-196</v>
      </c>
      <c r="CC277" s="291"/>
      <c r="CD277" s="291">
        <f>CF!R39</f>
        <v>-344</v>
      </c>
      <c r="CE277" s="288"/>
      <c r="CF277" s="289"/>
      <c r="CG277" s="289"/>
      <c r="CH277" s="290"/>
      <c r="CI277" s="402">
        <f>CI276+CI275</f>
        <v>-146</v>
      </c>
      <c r="CJ277" s="402">
        <f t="shared" si="304"/>
        <v>-223</v>
      </c>
      <c r="CK277" s="291"/>
      <c r="CL277" s="291">
        <f>CF!S39</f>
        <v>-369</v>
      </c>
      <c r="CM277" s="288"/>
      <c r="CN277" s="289"/>
      <c r="CO277" s="289"/>
      <c r="CP277" s="290"/>
      <c r="CQ277" s="402">
        <f>CQ276+CQ275</f>
        <v>-164</v>
      </c>
      <c r="CR277" s="402">
        <f t="shared" si="310"/>
        <v>-217</v>
      </c>
      <c r="CS277" s="291"/>
      <c r="CT277" s="291">
        <f>CF!T39</f>
        <v>-381</v>
      </c>
      <c r="CU277" s="289"/>
      <c r="CV277" s="289"/>
      <c r="CW277" s="289"/>
      <c r="CX277" s="290"/>
      <c r="CY277" s="402">
        <f>CY276+CY275</f>
        <v>-252</v>
      </c>
      <c r="CZ277" s="289">
        <f>DB277-CY277</f>
        <v>-250</v>
      </c>
      <c r="DA277" s="291"/>
      <c r="DB277" s="291">
        <f>CF!U39</f>
        <v>-502</v>
      </c>
      <c r="DC277" s="289"/>
      <c r="DD277" s="289"/>
      <c r="DE277" s="289"/>
      <c r="DF277" s="290"/>
      <c r="DG277" s="402">
        <f>DG276+DG275</f>
        <v>-245</v>
      </c>
      <c r="DH277" s="289">
        <f>DJ277-DG277</f>
        <v>-255</v>
      </c>
      <c r="DI277" s="291"/>
      <c r="DJ277" s="291">
        <f>CF!V39</f>
        <v>-500</v>
      </c>
      <c r="DK277" s="289"/>
      <c r="DL277" s="289"/>
      <c r="DM277" s="289"/>
      <c r="DN277" s="290"/>
      <c r="DO277" s="402">
        <f>DO276+DO275</f>
        <v>-263</v>
      </c>
      <c r="DP277" s="289">
        <f>DR277-DO277</f>
        <v>-299</v>
      </c>
      <c r="DQ277" s="291"/>
      <c r="DR277" s="291">
        <f>CF!W39</f>
        <v>-562</v>
      </c>
      <c r="DS277" s="289"/>
      <c r="DT277" s="289"/>
      <c r="DU277" s="289"/>
      <c r="DV277" s="290"/>
      <c r="DW277" s="402">
        <f>DW276+DW275</f>
        <v>-230</v>
      </c>
      <c r="DX277" s="401">
        <f>DZ277-DW277</f>
        <v>-383.94441175117845</v>
      </c>
      <c r="DY277" s="291"/>
      <c r="DZ277" s="287">
        <f>CF!X39</f>
        <v>-613.94441175117845</v>
      </c>
      <c r="EA277" s="289"/>
      <c r="EB277" s="289"/>
      <c r="EC277" s="289"/>
      <c r="ED277" s="290"/>
      <c r="EE277" s="401">
        <f>EH277/2</f>
        <v>-335.27402489132453</v>
      </c>
      <c r="EF277" s="401">
        <f>EH277-EE277</f>
        <v>-335.27402489132453</v>
      </c>
      <c r="EG277" s="291"/>
      <c r="EH277" s="287">
        <f>CF!Y39</f>
        <v>-670.54804978264906</v>
      </c>
      <c r="EI277" s="289"/>
      <c r="EJ277" s="289"/>
      <c r="EK277" s="289"/>
      <c r="EL277" s="290"/>
      <c r="EM277" s="401">
        <f>EP277/2</f>
        <v>-366.27501934759391</v>
      </c>
      <c r="EN277" s="401">
        <f>EP277-EM277</f>
        <v>-366.27501934759391</v>
      </c>
      <c r="EO277" s="291"/>
      <c r="EP277" s="287">
        <f>CF!Z39</f>
        <v>-732.55003869518782</v>
      </c>
      <c r="EQ277" s="289"/>
      <c r="ER277" s="289"/>
      <c r="ES277" s="289"/>
      <c r="ET277" s="290"/>
      <c r="EU277" s="401">
        <f>EX277/2</f>
        <v>-392.90694498228328</v>
      </c>
      <c r="EV277" s="401">
        <f>EX277-EU277</f>
        <v>-392.90694498228328</v>
      </c>
      <c r="EW277" s="291"/>
      <c r="EX277" s="287">
        <f>CF!AA39</f>
        <v>-785.81388996456656</v>
      </c>
      <c r="EY277" s="289"/>
      <c r="EZ277" s="289"/>
      <c r="FA277" s="289"/>
      <c r="FB277" s="290"/>
      <c r="FC277" s="401">
        <f>FF277/2</f>
        <v>-406.14960130527447</v>
      </c>
      <c r="FD277" s="401">
        <f>FF277-FC277</f>
        <v>-406.14960130527447</v>
      </c>
      <c r="FE277" s="291"/>
      <c r="FF277" s="287">
        <f>CF!AB39</f>
        <v>-812.29920261054895</v>
      </c>
    </row>
    <row r="278" spans="1:162" ht="11.25" customHeight="1" x14ac:dyDescent="0.2">
      <c r="A278" s="4" t="s">
        <v>407</v>
      </c>
      <c r="C278" s="288"/>
      <c r="D278" s="289"/>
      <c r="E278" s="289"/>
      <c r="F278" s="290"/>
      <c r="G278" s="402">
        <v>-227</v>
      </c>
      <c r="H278" s="402">
        <f>J278-G278</f>
        <v>-262</v>
      </c>
      <c r="I278" s="291"/>
      <c r="J278" s="291">
        <v>-489</v>
      </c>
      <c r="K278" s="288"/>
      <c r="L278" s="289"/>
      <c r="M278" s="289"/>
      <c r="N278" s="290"/>
      <c r="O278" s="402">
        <v>-299</v>
      </c>
      <c r="P278" s="402">
        <f>R278-O278</f>
        <v>-375</v>
      </c>
      <c r="Q278" s="291"/>
      <c r="R278" s="291">
        <v>-674</v>
      </c>
      <c r="S278" s="288"/>
      <c r="T278" s="289"/>
      <c r="U278" s="289"/>
      <c r="V278" s="290"/>
      <c r="W278" s="402">
        <v>-359</v>
      </c>
      <c r="X278" s="402">
        <f>Z278-W278</f>
        <v>-399</v>
      </c>
      <c r="Y278" s="291"/>
      <c r="Z278" s="291">
        <f>CF!M40</f>
        <v>-758</v>
      </c>
      <c r="AA278" s="288"/>
      <c r="AB278" s="289"/>
      <c r="AC278" s="289"/>
      <c r="AD278" s="290"/>
      <c r="AE278" s="402">
        <v>-360</v>
      </c>
      <c r="AF278" s="402">
        <f>AH278-AE278</f>
        <v>-344</v>
      </c>
      <c r="AG278" s="291"/>
      <c r="AH278" s="291">
        <f>CF!N40</f>
        <v>-704</v>
      </c>
      <c r="AI278" s="288"/>
      <c r="AJ278" s="289"/>
      <c r="AK278" s="289"/>
      <c r="AL278" s="290"/>
      <c r="AM278" s="402">
        <v>-345</v>
      </c>
      <c r="AN278" s="402">
        <f>AP278-AM278</f>
        <v>-395</v>
      </c>
      <c r="AO278" s="291"/>
      <c r="AP278" s="291">
        <f>CF!O40</f>
        <v>-740</v>
      </c>
      <c r="AQ278" s="288"/>
      <c r="AR278" s="289"/>
      <c r="AS278" s="289"/>
      <c r="AT278" s="290"/>
      <c r="AU278" s="402"/>
      <c r="AV278" s="402"/>
      <c r="AW278" s="291"/>
      <c r="AX278" s="291"/>
      <c r="AY278" s="288"/>
      <c r="AZ278" s="289"/>
      <c r="BA278" s="289"/>
      <c r="BB278" s="290"/>
      <c r="BC278" s="402">
        <v>-387</v>
      </c>
      <c r="BD278" s="402">
        <f t="shared" si="301"/>
        <v>-393</v>
      </c>
      <c r="BE278" s="291"/>
      <c r="BF278" s="291">
        <f>CF!P40</f>
        <v>-780</v>
      </c>
      <c r="BG278" s="288"/>
      <c r="BH278" s="289"/>
      <c r="BI278" s="289"/>
      <c r="BJ278" s="290"/>
      <c r="BK278" s="402">
        <f t="shared" si="299"/>
        <v>-387</v>
      </c>
      <c r="BL278" s="402">
        <f t="shared" si="299"/>
        <v>-393</v>
      </c>
      <c r="BM278" s="291"/>
      <c r="BN278" s="291">
        <f t="shared" si="300"/>
        <v>-780</v>
      </c>
      <c r="BO278" s="288"/>
      <c r="BP278" s="289"/>
      <c r="BQ278" s="289"/>
      <c r="BR278" s="290"/>
      <c r="BS278" s="402">
        <v>-332</v>
      </c>
      <c r="BT278" s="402">
        <f t="shared" si="302"/>
        <v>-363</v>
      </c>
      <c r="BU278" s="291"/>
      <c r="BV278" s="291">
        <f>CF!Q40</f>
        <v>-695</v>
      </c>
      <c r="BW278" s="288"/>
      <c r="BX278" s="289"/>
      <c r="BY278" s="289"/>
      <c r="BZ278" s="290"/>
      <c r="CA278" s="402">
        <v>-273</v>
      </c>
      <c r="CB278" s="402">
        <f>CD278-CA278</f>
        <v>-176</v>
      </c>
      <c r="CC278" s="291"/>
      <c r="CD278" s="291">
        <f>CF!R40</f>
        <v>-449</v>
      </c>
      <c r="CE278" s="288"/>
      <c r="CF278" s="289"/>
      <c r="CG278" s="289"/>
      <c r="CH278" s="290"/>
      <c r="CI278" s="402">
        <v>-183</v>
      </c>
      <c r="CJ278" s="402">
        <f t="shared" si="304"/>
        <v>-204</v>
      </c>
      <c r="CK278" s="291"/>
      <c r="CL278" s="291">
        <f>CF!S40</f>
        <v>-387</v>
      </c>
      <c r="CM278" s="288"/>
      <c r="CN278" s="289"/>
      <c r="CO278" s="289"/>
      <c r="CP278" s="290"/>
      <c r="CQ278" s="402">
        <v>-243</v>
      </c>
      <c r="CR278" s="402">
        <f t="shared" si="310"/>
        <v>-255</v>
      </c>
      <c r="CS278" s="291"/>
      <c r="CT278" s="291">
        <f>CF!T40</f>
        <v>-498</v>
      </c>
      <c r="CU278" s="289"/>
      <c r="CV278" s="289"/>
      <c r="CW278" s="289"/>
      <c r="CX278" s="290"/>
      <c r="CY278" s="402">
        <v>-348</v>
      </c>
      <c r="CZ278" s="289">
        <f>DB278-CY278</f>
        <v>-475</v>
      </c>
      <c r="DA278" s="291"/>
      <c r="DB278" s="291">
        <f>CF!U40</f>
        <v>-823</v>
      </c>
      <c r="DC278" s="289"/>
      <c r="DD278" s="289"/>
      <c r="DE278" s="289"/>
      <c r="DF278" s="290"/>
      <c r="DG278" s="402">
        <v>-512</v>
      </c>
      <c r="DH278" s="289">
        <f>DJ278-DG278</f>
        <v>-532</v>
      </c>
      <c r="DI278" s="291"/>
      <c r="DJ278" s="291">
        <f>CF!V40</f>
        <v>-1044</v>
      </c>
      <c r="DK278" s="289"/>
      <c r="DL278" s="289"/>
      <c r="DM278" s="289"/>
      <c r="DN278" s="290"/>
      <c r="DO278" s="402">
        <v>-525</v>
      </c>
      <c r="DP278" s="289">
        <f>DR278-DO278</f>
        <v>-713</v>
      </c>
      <c r="DQ278" s="291"/>
      <c r="DR278" s="291">
        <f>CF!W40</f>
        <v>-1238</v>
      </c>
      <c r="DS278" s="289"/>
      <c r="DT278" s="289"/>
      <c r="DU278" s="289"/>
      <c r="DV278" s="290"/>
      <c r="DW278" s="402">
        <v>-750</v>
      </c>
      <c r="DX278" s="401">
        <f>DZ278-DW278</f>
        <v>-719.05852493351017</v>
      </c>
      <c r="DY278" s="291"/>
      <c r="DZ278" s="287">
        <f>CF!X40</f>
        <v>-1469.0585249335102</v>
      </c>
      <c r="EA278" s="289"/>
      <c r="EB278" s="289"/>
      <c r="EC278" s="289"/>
      <c r="ED278" s="290"/>
      <c r="EE278" s="401">
        <f>-(Propulsion!BI34+'Equipment &amp; Defense'!BG30+Interiors!AR29+(Divisional!BC102)/2)</f>
        <v>-703.44406822757333</v>
      </c>
      <c r="EF278" s="401">
        <f>EH278-EE278</f>
        <v>-850.93343325761634</v>
      </c>
      <c r="EG278" s="291"/>
      <c r="EH278" s="287">
        <f>CF!Y40</f>
        <v>-1554.3775014851897</v>
      </c>
      <c r="EI278" s="289"/>
      <c r="EJ278" s="289"/>
      <c r="EK278" s="289"/>
      <c r="EL278" s="290"/>
      <c r="EM278" s="401">
        <f>-(Propulsion!BQ34+'Equipment &amp; Defense'!BO30+Interiors!AZ29+(Divisional!BK102)/2)</f>
        <v>-746.20641051592338</v>
      </c>
      <c r="EN278" s="401">
        <f>EP278-EM278</f>
        <v>-895.8292834723718</v>
      </c>
      <c r="EO278" s="291"/>
      <c r="EP278" s="287">
        <f>CF!Z40</f>
        <v>-1642.0356939882952</v>
      </c>
      <c r="EQ278" s="289"/>
      <c r="ER278" s="289"/>
      <c r="ES278" s="289"/>
      <c r="ET278" s="290"/>
      <c r="EU278" s="401">
        <f>-(Propulsion!BY34+'Equipment &amp; Defense'!BW30+Interiors!BH29+(Divisional!BS102)/2)</f>
        <v>-798.73599292378901</v>
      </c>
      <c r="EV278" s="401">
        <f>EX278-EU278</f>
        <v>-955.31726099545438</v>
      </c>
      <c r="EW278" s="291"/>
      <c r="EX278" s="287">
        <f>CF!AA40</f>
        <v>-1754.0532539192434</v>
      </c>
      <c r="EY278" s="289"/>
      <c r="EZ278" s="289"/>
      <c r="FA278" s="289"/>
      <c r="FB278" s="290"/>
      <c r="FC278" s="401">
        <f>-(Propulsion!CG34+'Equipment &amp; Defense'!CE30+Interiors!BP29+(Divisional!CA102)/2)</f>
        <v>-821.21066291544093</v>
      </c>
      <c r="FD278" s="401">
        <f>FF278-FC278</f>
        <v>-980.08129841868367</v>
      </c>
      <c r="FE278" s="291"/>
      <c r="FF278" s="287">
        <f>CF!AB40</f>
        <v>-1801.2919613341246</v>
      </c>
    </row>
    <row r="279" spans="1:162" ht="11.25" customHeight="1" x14ac:dyDescent="0.2">
      <c r="B279" s="4" t="s">
        <v>408</v>
      </c>
      <c r="C279" s="288"/>
      <c r="D279" s="289"/>
      <c r="E279" s="289"/>
      <c r="F279" s="290"/>
      <c r="G279" s="402">
        <f>-353+287</f>
        <v>-66</v>
      </c>
      <c r="H279" s="402">
        <f>J279-G279</f>
        <v>-314</v>
      </c>
      <c r="I279" s="291"/>
      <c r="J279" s="291">
        <f>-733+353</f>
        <v>-380</v>
      </c>
      <c r="K279" s="288"/>
      <c r="L279" s="289"/>
      <c r="M279" s="289"/>
      <c r="N279" s="290"/>
      <c r="O279" s="402">
        <f>-221+3</f>
        <v>-218</v>
      </c>
      <c r="P279" s="402">
        <f>R279-O279</f>
        <v>-49</v>
      </c>
      <c r="Q279" s="291"/>
      <c r="R279" s="291">
        <f>-272+5</f>
        <v>-267</v>
      </c>
      <c r="S279" s="288"/>
      <c r="T279" s="289"/>
      <c r="U279" s="289"/>
      <c r="V279" s="290"/>
      <c r="W279" s="402">
        <f>-20+376</f>
        <v>356</v>
      </c>
      <c r="X279" s="402">
        <f>Z279-W279</f>
        <v>217</v>
      </c>
      <c r="Y279" s="291"/>
      <c r="Z279" s="291">
        <f>CF!M41</f>
        <v>573</v>
      </c>
      <c r="AA279" s="288"/>
      <c r="AB279" s="289"/>
      <c r="AC279" s="289"/>
      <c r="AD279" s="290"/>
      <c r="AE279" s="402">
        <v>-500</v>
      </c>
      <c r="AF279" s="402">
        <f>AH279-AE279</f>
        <v>-308</v>
      </c>
      <c r="AG279" s="291"/>
      <c r="AH279" s="291">
        <f>CF!N41</f>
        <v>-808</v>
      </c>
      <c r="AI279" s="288"/>
      <c r="AJ279" s="289"/>
      <c r="AK279" s="289"/>
      <c r="AL279" s="290"/>
      <c r="AM279" s="402">
        <f>4+3109</f>
        <v>3113</v>
      </c>
      <c r="AN279" s="402">
        <f>AP279-AM279</f>
        <v>-107</v>
      </c>
      <c r="AO279" s="291"/>
      <c r="AP279" s="291">
        <f>CF!O41</f>
        <v>3006</v>
      </c>
      <c r="AQ279" s="288"/>
      <c r="AR279" s="289"/>
      <c r="AS279" s="289"/>
      <c r="AT279" s="290"/>
      <c r="AU279" s="402"/>
      <c r="AV279" s="402"/>
      <c r="AW279" s="291"/>
      <c r="AX279" s="291"/>
      <c r="AY279" s="288"/>
      <c r="AZ279" s="289"/>
      <c r="BA279" s="289"/>
      <c r="BB279" s="290"/>
      <c r="BC279" s="402">
        <v>-4129</v>
      </c>
      <c r="BD279" s="402">
        <f t="shared" si="301"/>
        <v>-25</v>
      </c>
      <c r="BE279" s="291"/>
      <c r="BF279" s="291">
        <f>CF!P41</f>
        <v>-4154</v>
      </c>
      <c r="BG279" s="288"/>
      <c r="BH279" s="289"/>
      <c r="BI279" s="289"/>
      <c r="BJ279" s="290"/>
      <c r="BK279" s="402">
        <f t="shared" si="299"/>
        <v>-4129</v>
      </c>
      <c r="BL279" s="402">
        <f t="shared" si="299"/>
        <v>-25</v>
      </c>
      <c r="BM279" s="291"/>
      <c r="BN279" s="291">
        <f t="shared" si="300"/>
        <v>-4154</v>
      </c>
      <c r="BO279" s="288"/>
      <c r="BP279" s="289"/>
      <c r="BQ279" s="289"/>
      <c r="BR279" s="290"/>
      <c r="BS279" s="402">
        <v>-4</v>
      </c>
      <c r="BT279" s="402">
        <f t="shared" si="302"/>
        <v>22</v>
      </c>
      <c r="BU279" s="291"/>
      <c r="BV279" s="291">
        <f>CF!Q41</f>
        <v>18</v>
      </c>
      <c r="BW279" s="288"/>
      <c r="BX279" s="289"/>
      <c r="BY279" s="289"/>
      <c r="BZ279" s="290"/>
      <c r="CA279" s="402">
        <f>-13+1</f>
        <v>-12</v>
      </c>
      <c r="CB279" s="402">
        <f t="shared" si="303"/>
        <v>-8</v>
      </c>
      <c r="CC279" s="291"/>
      <c r="CD279" s="291">
        <f>CF!R41</f>
        <v>-20</v>
      </c>
      <c r="CE279" s="288"/>
      <c r="CF279" s="289"/>
      <c r="CG279" s="289"/>
      <c r="CH279" s="290"/>
      <c r="CI279" s="402">
        <f>74-10</f>
        <v>64</v>
      </c>
      <c r="CJ279" s="402">
        <f t="shared" si="304"/>
        <v>166</v>
      </c>
      <c r="CK279" s="291"/>
      <c r="CL279" s="291">
        <f>CF!S41</f>
        <v>230</v>
      </c>
      <c r="CM279" s="288"/>
      <c r="CN279" s="289"/>
      <c r="CO279" s="289"/>
      <c r="CP279" s="290"/>
      <c r="CQ279" s="402">
        <f>-7+13</f>
        <v>6</v>
      </c>
      <c r="CR279" s="402">
        <f t="shared" si="310"/>
        <v>-248</v>
      </c>
      <c r="CS279" s="291"/>
      <c r="CT279" s="291">
        <f>CF!T41</f>
        <v>-242</v>
      </c>
      <c r="CU279" s="289"/>
      <c r="CV279" s="289"/>
      <c r="CW279" s="289"/>
      <c r="CX279" s="290"/>
      <c r="CY279" s="402">
        <f>-104+154</f>
        <v>50</v>
      </c>
      <c r="CZ279" s="289">
        <f>DB279-CY279</f>
        <v>-227</v>
      </c>
      <c r="DA279" s="291"/>
      <c r="DB279" s="291">
        <f>CF!U41</f>
        <v>-177</v>
      </c>
      <c r="DC279" s="289"/>
      <c r="DD279" s="289"/>
      <c r="DE279" s="289"/>
      <c r="DF279" s="290"/>
      <c r="DG279" s="402">
        <f>-189+18</f>
        <v>-171</v>
      </c>
      <c r="DH279" s="289">
        <f>DJ279-DG279</f>
        <v>-60</v>
      </c>
      <c r="DI279" s="291"/>
      <c r="DJ279" s="291">
        <f>CF!V41</f>
        <v>-231</v>
      </c>
      <c r="DK279" s="289"/>
      <c r="DL279" s="289"/>
      <c r="DM279" s="289"/>
      <c r="DN279" s="290"/>
      <c r="DO279" s="402">
        <f>-147+14</f>
        <v>-133</v>
      </c>
      <c r="DP279" s="289">
        <f>DR279-DO279</f>
        <v>-1354</v>
      </c>
      <c r="DQ279" s="291"/>
      <c r="DR279" s="291">
        <f>CF!W41</f>
        <v>-1487</v>
      </c>
      <c r="DS279" s="289"/>
      <c r="DT279" s="289"/>
      <c r="DU279" s="289"/>
      <c r="DV279" s="290"/>
      <c r="DW279" s="402">
        <f>-103+136</f>
        <v>33</v>
      </c>
      <c r="DX279" s="401">
        <f>DZ279-DW279</f>
        <v>0</v>
      </c>
      <c r="DY279" s="291"/>
      <c r="DZ279" s="287">
        <f>CF!X41</f>
        <v>33</v>
      </c>
      <c r="EA279" s="289"/>
      <c r="EB279" s="289"/>
      <c r="EC279" s="289"/>
      <c r="ED279" s="290"/>
      <c r="EE279" s="401">
        <f>EH279/2</f>
        <v>0</v>
      </c>
      <c r="EF279" s="401">
        <f>EH279-EE279</f>
        <v>0</v>
      </c>
      <c r="EG279" s="291"/>
      <c r="EH279" s="287">
        <f>CF!Y41</f>
        <v>0</v>
      </c>
      <c r="EI279" s="289"/>
      <c r="EJ279" s="289"/>
      <c r="EK279" s="289"/>
      <c r="EL279" s="290"/>
      <c r="EM279" s="401">
        <f>EP279/2</f>
        <v>0</v>
      </c>
      <c r="EN279" s="401">
        <f>EP279-EM279</f>
        <v>0</v>
      </c>
      <c r="EO279" s="291"/>
      <c r="EP279" s="287">
        <f>CF!Z41</f>
        <v>0</v>
      </c>
      <c r="EQ279" s="289"/>
      <c r="ER279" s="289"/>
      <c r="ES279" s="289"/>
      <c r="ET279" s="290"/>
      <c r="EU279" s="401">
        <f>EX279/2</f>
        <v>0</v>
      </c>
      <c r="EV279" s="401">
        <f>EX279-EU279</f>
        <v>0</v>
      </c>
      <c r="EW279" s="291"/>
      <c r="EX279" s="287">
        <f>CF!AA41</f>
        <v>0</v>
      </c>
      <c r="EY279" s="289"/>
      <c r="EZ279" s="289"/>
      <c r="FA279" s="289"/>
      <c r="FB279" s="290"/>
      <c r="FC279" s="401">
        <f>FF279/2</f>
        <v>0</v>
      </c>
      <c r="FD279" s="401">
        <f>FF279-FC279</f>
        <v>0</v>
      </c>
      <c r="FE279" s="291"/>
      <c r="FF279" s="287">
        <f>CF!AB41</f>
        <v>0</v>
      </c>
    </row>
    <row r="280" spans="1:162" ht="11.25" customHeight="1" x14ac:dyDescent="0.2">
      <c r="B280" s="4" t="s">
        <v>409</v>
      </c>
      <c r="C280" s="288"/>
      <c r="D280" s="289"/>
      <c r="E280" s="289"/>
      <c r="F280" s="290"/>
      <c r="G280" s="402">
        <v>-39</v>
      </c>
      <c r="H280" s="402">
        <f>J280-G280</f>
        <v>4</v>
      </c>
      <c r="I280" s="291"/>
      <c r="J280" s="291">
        <v>-35</v>
      </c>
      <c r="K280" s="288"/>
      <c r="L280" s="289"/>
      <c r="M280" s="289"/>
      <c r="N280" s="290"/>
      <c r="O280" s="402">
        <v>-54</v>
      </c>
      <c r="P280" s="402">
        <f>R280-O280</f>
        <v>-16</v>
      </c>
      <c r="Q280" s="291"/>
      <c r="R280" s="291">
        <v>-70</v>
      </c>
      <c r="S280" s="288"/>
      <c r="T280" s="289"/>
      <c r="U280" s="289"/>
      <c r="V280" s="290"/>
      <c r="W280" s="402">
        <v>-40</v>
      </c>
      <c r="X280" s="402">
        <f>Z280-W280</f>
        <v>-22</v>
      </c>
      <c r="Y280" s="291"/>
      <c r="Z280" s="291">
        <f>CF!M42</f>
        <v>-62</v>
      </c>
      <c r="AA280" s="288"/>
      <c r="AB280" s="289"/>
      <c r="AC280" s="289"/>
      <c r="AD280" s="290"/>
      <c r="AE280" s="402">
        <v>10</v>
      </c>
      <c r="AF280" s="402">
        <f>AH280-AE280</f>
        <v>-5</v>
      </c>
      <c r="AG280" s="291"/>
      <c r="AH280" s="291">
        <f>CF!N42</f>
        <v>5</v>
      </c>
      <c r="AI280" s="288"/>
      <c r="AJ280" s="289"/>
      <c r="AK280" s="289"/>
      <c r="AL280" s="290"/>
      <c r="AM280" s="402">
        <v>-68</v>
      </c>
      <c r="AN280" s="402">
        <f>AP280-AM280</f>
        <v>-1906</v>
      </c>
      <c r="AO280" s="291"/>
      <c r="AP280" s="291">
        <f>CF!O42</f>
        <v>-1974</v>
      </c>
      <c r="AQ280" s="288"/>
      <c r="AR280" s="289"/>
      <c r="AS280" s="289"/>
      <c r="AT280" s="290"/>
      <c r="AU280" s="402"/>
      <c r="AV280" s="402"/>
      <c r="AW280" s="291"/>
      <c r="AX280" s="291"/>
      <c r="AY280" s="288"/>
      <c r="AZ280" s="289"/>
      <c r="BA280" s="289"/>
      <c r="BB280" s="290"/>
      <c r="BC280" s="402">
        <v>1991</v>
      </c>
      <c r="BD280" s="402">
        <f t="shared" si="301"/>
        <v>-41</v>
      </c>
      <c r="BE280" s="291"/>
      <c r="BF280" s="291">
        <f>CF!P42</f>
        <v>1950</v>
      </c>
      <c r="BG280" s="288"/>
      <c r="BH280" s="289"/>
      <c r="BI280" s="289"/>
      <c r="BJ280" s="290"/>
      <c r="BK280" s="402">
        <f t="shared" si="299"/>
        <v>1991</v>
      </c>
      <c r="BL280" s="402">
        <f t="shared" si="299"/>
        <v>-41</v>
      </c>
      <c r="BM280" s="291"/>
      <c r="BN280" s="291">
        <f t="shared" si="300"/>
        <v>1950</v>
      </c>
      <c r="BO280" s="288"/>
      <c r="BP280" s="289"/>
      <c r="BQ280" s="289"/>
      <c r="BR280" s="290"/>
      <c r="BS280" s="402">
        <v>46</v>
      </c>
      <c r="BT280" s="402">
        <f t="shared" si="302"/>
        <v>-7</v>
      </c>
      <c r="BU280" s="291"/>
      <c r="BV280" s="291">
        <f>CF!Q42</f>
        <v>39</v>
      </c>
      <c r="BW280" s="288"/>
      <c r="BX280" s="289"/>
      <c r="BY280" s="289"/>
      <c r="BZ280" s="290"/>
      <c r="CA280" s="402">
        <v>18</v>
      </c>
      <c r="CB280" s="402">
        <f t="shared" si="303"/>
        <v>-4</v>
      </c>
      <c r="CC280" s="291"/>
      <c r="CD280" s="291">
        <f>CF!R42</f>
        <v>14</v>
      </c>
      <c r="CE280" s="288"/>
      <c r="CF280" s="289"/>
      <c r="CG280" s="289"/>
      <c r="CH280" s="290"/>
      <c r="CI280" s="402">
        <v>-210</v>
      </c>
      <c r="CJ280" s="402">
        <f t="shared" si="304"/>
        <v>-2</v>
      </c>
      <c r="CK280" s="291"/>
      <c r="CL280" s="291">
        <f>CF!S42</f>
        <v>-212</v>
      </c>
      <c r="CM280" s="288"/>
      <c r="CN280" s="289"/>
      <c r="CO280" s="289"/>
      <c r="CP280" s="290"/>
      <c r="CQ280" s="402">
        <v>-206</v>
      </c>
      <c r="CR280" s="402">
        <f t="shared" si="310"/>
        <v>39</v>
      </c>
      <c r="CS280" s="291"/>
      <c r="CT280" s="291">
        <f>CF!T42</f>
        <v>-167</v>
      </c>
      <c r="CU280" s="289"/>
      <c r="CV280" s="289"/>
      <c r="CW280" s="289"/>
      <c r="CX280" s="290"/>
      <c r="CY280" s="402">
        <v>-265</v>
      </c>
      <c r="CZ280" s="289">
        <f>DB280-CY280</f>
        <v>63</v>
      </c>
      <c r="DA280" s="291"/>
      <c r="DB280" s="291">
        <f>CF!U42</f>
        <v>-202</v>
      </c>
      <c r="DC280" s="289"/>
      <c r="DD280" s="289"/>
      <c r="DE280" s="289"/>
      <c r="DF280" s="290"/>
      <c r="DG280" s="402">
        <v>-57</v>
      </c>
      <c r="DH280" s="289">
        <f>DJ280-DG280</f>
        <v>-16</v>
      </c>
      <c r="DI280" s="291"/>
      <c r="DJ280" s="291">
        <f>CF!V42</f>
        <v>-73</v>
      </c>
      <c r="DK280" s="289"/>
      <c r="DL280" s="289"/>
      <c r="DM280" s="289"/>
      <c r="DN280" s="290"/>
      <c r="DO280" s="402">
        <v>-87</v>
      </c>
      <c r="DP280" s="289">
        <f>DR280-DO280</f>
        <v>-10</v>
      </c>
      <c r="DQ280" s="291"/>
      <c r="DR280" s="291">
        <f>CF!W42</f>
        <v>-97</v>
      </c>
      <c r="DS280" s="289"/>
      <c r="DT280" s="289"/>
      <c r="DU280" s="289"/>
      <c r="DV280" s="290"/>
      <c r="DW280" s="402">
        <v>-79</v>
      </c>
      <c r="DX280" s="401">
        <f>DZ280-DW280</f>
        <v>158</v>
      </c>
      <c r="DY280" s="291"/>
      <c r="DZ280" s="287">
        <f>CF!X42</f>
        <v>79</v>
      </c>
      <c r="EA280" s="289"/>
      <c r="EB280" s="289"/>
      <c r="EC280" s="289"/>
      <c r="ED280" s="290"/>
      <c r="EE280" s="401">
        <f>EH280/2</f>
        <v>0</v>
      </c>
      <c r="EF280" s="401">
        <f>EH280-EE280</f>
        <v>0</v>
      </c>
      <c r="EG280" s="291"/>
      <c r="EH280" s="287">
        <f>CF!Y42</f>
        <v>0</v>
      </c>
      <c r="EI280" s="289"/>
      <c r="EJ280" s="289"/>
      <c r="EK280" s="289"/>
      <c r="EL280" s="290"/>
      <c r="EM280" s="401">
        <f>EP280/2</f>
        <v>0</v>
      </c>
      <c r="EN280" s="401">
        <f>EP280-EM280</f>
        <v>0</v>
      </c>
      <c r="EO280" s="291"/>
      <c r="EP280" s="287">
        <f>CF!Z42</f>
        <v>0</v>
      </c>
      <c r="EQ280" s="289"/>
      <c r="ER280" s="289"/>
      <c r="ES280" s="289"/>
      <c r="ET280" s="290"/>
      <c r="EU280" s="401">
        <f>EX280/2</f>
        <v>0</v>
      </c>
      <c r="EV280" s="401">
        <f>EX280-EU280</f>
        <v>0</v>
      </c>
      <c r="EW280" s="291"/>
      <c r="EX280" s="287">
        <f>CF!AA42</f>
        <v>0</v>
      </c>
      <c r="EY280" s="289"/>
      <c r="EZ280" s="289"/>
      <c r="FA280" s="289"/>
      <c r="FB280" s="290"/>
      <c r="FC280" s="401">
        <f>FF280/2</f>
        <v>0</v>
      </c>
      <c r="FD280" s="401">
        <f>FF280-FC280</f>
        <v>0</v>
      </c>
      <c r="FE280" s="291"/>
      <c r="FF280" s="287">
        <f>CF!AB42</f>
        <v>0</v>
      </c>
    </row>
    <row r="281" spans="1:162" ht="11.25" customHeight="1" x14ac:dyDescent="0.2">
      <c r="A281" s="4" t="s">
        <v>410</v>
      </c>
      <c r="C281" s="404"/>
      <c r="D281" s="405"/>
      <c r="E281" s="405"/>
      <c r="F281" s="406"/>
      <c r="G281" s="405">
        <f>G279+G280</f>
        <v>-105</v>
      </c>
      <c r="H281" s="418">
        <f>H279+H280</f>
        <v>-310</v>
      </c>
      <c r="I281" s="407"/>
      <c r="J281" s="407">
        <f>J279+J280</f>
        <v>-415</v>
      </c>
      <c r="K281" s="404"/>
      <c r="L281" s="405"/>
      <c r="M281" s="405"/>
      <c r="N281" s="406"/>
      <c r="O281" s="405">
        <f>O279+O280</f>
        <v>-272</v>
      </c>
      <c r="P281" s="418">
        <f>P279+P280</f>
        <v>-65</v>
      </c>
      <c r="Q281" s="407"/>
      <c r="R281" s="407">
        <f>R279+R280</f>
        <v>-337</v>
      </c>
      <c r="S281" s="404"/>
      <c r="T281" s="405"/>
      <c r="U281" s="405"/>
      <c r="V281" s="406"/>
      <c r="W281" s="405">
        <f>W279+W280</f>
        <v>316</v>
      </c>
      <c r="X281" s="418">
        <f>X279+X280</f>
        <v>195</v>
      </c>
      <c r="Y281" s="407"/>
      <c r="Z281" s="407">
        <f>Z279+Z280</f>
        <v>511</v>
      </c>
      <c r="AA281" s="404"/>
      <c r="AB281" s="405"/>
      <c r="AC281" s="405"/>
      <c r="AD281" s="406"/>
      <c r="AE281" s="405">
        <f>AE279+AE280</f>
        <v>-490</v>
      </c>
      <c r="AF281" s="418">
        <f>AF279+AF280</f>
        <v>-313</v>
      </c>
      <c r="AG281" s="407"/>
      <c r="AH281" s="407">
        <f>AH279+AH280</f>
        <v>-803</v>
      </c>
      <c r="AI281" s="404"/>
      <c r="AJ281" s="405"/>
      <c r="AK281" s="405"/>
      <c r="AL281" s="406"/>
      <c r="AM281" s="405">
        <f>AM279+AM280</f>
        <v>3045</v>
      </c>
      <c r="AN281" s="418">
        <f>AN279+AN280</f>
        <v>-2013</v>
      </c>
      <c r="AO281" s="407"/>
      <c r="AP281" s="407">
        <f>AP279+AP280</f>
        <v>1032</v>
      </c>
      <c r="AQ281" s="404"/>
      <c r="AR281" s="405"/>
      <c r="AS281" s="405"/>
      <c r="AT281" s="406"/>
      <c r="AU281" s="405"/>
      <c r="AV281" s="418"/>
      <c r="AW281" s="407"/>
      <c r="AX281" s="407"/>
      <c r="AY281" s="404"/>
      <c r="AZ281" s="405"/>
      <c r="BA281" s="405"/>
      <c r="BB281" s="406"/>
      <c r="BC281" s="405">
        <f>BC279+BC280</f>
        <v>-2138</v>
      </c>
      <c r="BD281" s="418">
        <f t="shared" si="301"/>
        <v>-66</v>
      </c>
      <c r="BE281" s="407"/>
      <c r="BF281" s="407">
        <f>BF279+BF280</f>
        <v>-2204</v>
      </c>
      <c r="BG281" s="404"/>
      <c r="BH281" s="405"/>
      <c r="BI281" s="405"/>
      <c r="BJ281" s="406"/>
      <c r="BK281" s="405">
        <f t="shared" si="299"/>
        <v>-2138</v>
      </c>
      <c r="BL281" s="418">
        <f t="shared" si="299"/>
        <v>-66</v>
      </c>
      <c r="BM281" s="407"/>
      <c r="BN281" s="407">
        <f t="shared" si="300"/>
        <v>-2204</v>
      </c>
      <c r="BO281" s="404"/>
      <c r="BP281" s="405"/>
      <c r="BQ281" s="405"/>
      <c r="BR281" s="406"/>
      <c r="BS281" s="405">
        <f>BS279+BS280</f>
        <v>42</v>
      </c>
      <c r="BT281" s="418">
        <f t="shared" si="302"/>
        <v>15</v>
      </c>
      <c r="BU281" s="407"/>
      <c r="BV281" s="407">
        <f>BV279+BV280</f>
        <v>57</v>
      </c>
      <c r="BW281" s="404"/>
      <c r="BX281" s="405"/>
      <c r="BY281" s="405"/>
      <c r="BZ281" s="406"/>
      <c r="CA281" s="405">
        <f>CA279+CA280</f>
        <v>6</v>
      </c>
      <c r="CB281" s="418">
        <f t="shared" si="303"/>
        <v>-12</v>
      </c>
      <c r="CC281" s="407"/>
      <c r="CD281" s="407">
        <f>CD279+CD280</f>
        <v>-6</v>
      </c>
      <c r="CE281" s="404"/>
      <c r="CF281" s="405"/>
      <c r="CG281" s="405"/>
      <c r="CH281" s="406"/>
      <c r="CI281" s="405">
        <f>CI279+CI280</f>
        <v>-146</v>
      </c>
      <c r="CJ281" s="418">
        <f t="shared" si="304"/>
        <v>164</v>
      </c>
      <c r="CK281" s="407"/>
      <c r="CL281" s="407">
        <f>CL279+CL280</f>
        <v>18</v>
      </c>
      <c r="CM281" s="404"/>
      <c r="CN281" s="405"/>
      <c r="CO281" s="405"/>
      <c r="CP281" s="406"/>
      <c r="CQ281" s="405">
        <f>CQ279+CQ280</f>
        <v>-200</v>
      </c>
      <c r="CR281" s="418">
        <f t="shared" si="310"/>
        <v>-209</v>
      </c>
      <c r="CS281" s="407"/>
      <c r="CT281" s="407">
        <f>CT279+CT280</f>
        <v>-409</v>
      </c>
      <c r="CU281" s="405"/>
      <c r="CV281" s="405"/>
      <c r="CW281" s="405"/>
      <c r="CX281" s="406"/>
      <c r="CY281" s="405">
        <f>CY279+CY280</f>
        <v>-215</v>
      </c>
      <c r="CZ281" s="405">
        <f>DB281-CY281</f>
        <v>-164</v>
      </c>
      <c r="DA281" s="407"/>
      <c r="DB281" s="407">
        <f>DB279+DB280</f>
        <v>-379</v>
      </c>
      <c r="DC281" s="405"/>
      <c r="DD281" s="405"/>
      <c r="DE281" s="405"/>
      <c r="DF281" s="406"/>
      <c r="DG281" s="405">
        <f>DG279+DG280</f>
        <v>-228</v>
      </c>
      <c r="DH281" s="405">
        <f>DJ281-DG281</f>
        <v>-76</v>
      </c>
      <c r="DI281" s="407"/>
      <c r="DJ281" s="407">
        <f>DJ279+DJ280</f>
        <v>-304</v>
      </c>
      <c r="DK281" s="405"/>
      <c r="DL281" s="405"/>
      <c r="DM281" s="405"/>
      <c r="DN281" s="406"/>
      <c r="DO281" s="405">
        <f>DO279+DO280</f>
        <v>-220</v>
      </c>
      <c r="DP281" s="405">
        <f>DR281-DO281</f>
        <v>-1364</v>
      </c>
      <c r="DQ281" s="407"/>
      <c r="DR281" s="407">
        <f>DR279+DR280</f>
        <v>-1584</v>
      </c>
      <c r="DS281" s="405"/>
      <c r="DT281" s="405"/>
      <c r="DU281" s="405"/>
      <c r="DV281" s="406"/>
      <c r="DW281" s="405">
        <f>DW279+DW280</f>
        <v>-46</v>
      </c>
      <c r="DX281" s="408">
        <f>DZ281-DW281</f>
        <v>158</v>
      </c>
      <c r="DY281" s="407"/>
      <c r="DZ281" s="409">
        <f>DZ279+DZ280</f>
        <v>112</v>
      </c>
      <c r="EA281" s="405"/>
      <c r="EB281" s="405"/>
      <c r="EC281" s="405"/>
      <c r="ED281" s="406"/>
      <c r="EE281" s="408">
        <f>EH281/2</f>
        <v>0</v>
      </c>
      <c r="EF281" s="408">
        <f>EH281-EE281</f>
        <v>0</v>
      </c>
      <c r="EG281" s="407"/>
      <c r="EH281" s="409">
        <f>EH279+EH280</f>
        <v>0</v>
      </c>
      <c r="EI281" s="405"/>
      <c r="EJ281" s="405"/>
      <c r="EK281" s="405"/>
      <c r="EL281" s="406"/>
      <c r="EM281" s="408">
        <f>EP281/2</f>
        <v>0</v>
      </c>
      <c r="EN281" s="408">
        <f>EP281-EM281</f>
        <v>0</v>
      </c>
      <c r="EO281" s="407"/>
      <c r="EP281" s="409">
        <f>EP279+EP280</f>
        <v>0</v>
      </c>
      <c r="EQ281" s="405"/>
      <c r="ER281" s="405"/>
      <c r="ES281" s="405"/>
      <c r="ET281" s="406"/>
      <c r="EU281" s="408">
        <f>EX281/2</f>
        <v>0</v>
      </c>
      <c r="EV281" s="408">
        <f>EX281-EU281</f>
        <v>0</v>
      </c>
      <c r="EW281" s="407"/>
      <c r="EX281" s="409">
        <f>EX279+EX280</f>
        <v>0</v>
      </c>
      <c r="EY281" s="405"/>
      <c r="EZ281" s="405"/>
      <c r="FA281" s="405"/>
      <c r="FB281" s="406"/>
      <c r="FC281" s="408">
        <f>FF281/2</f>
        <v>0</v>
      </c>
      <c r="FD281" s="408">
        <f>FF281-FC281</f>
        <v>0</v>
      </c>
      <c r="FE281" s="407"/>
      <c r="FF281" s="409">
        <f>FF279+FF280</f>
        <v>0</v>
      </c>
    </row>
    <row r="282" spans="1:162" ht="11.25" customHeight="1" x14ac:dyDescent="0.2">
      <c r="A282" s="419" t="s">
        <v>411</v>
      </c>
      <c r="B282" s="420"/>
      <c r="C282" s="421"/>
      <c r="D282" s="422"/>
      <c r="E282" s="422"/>
      <c r="F282" s="423"/>
      <c r="G282" s="422">
        <f>G277+G278+G281</f>
        <v>-732</v>
      </c>
      <c r="H282" s="424">
        <f>H277+H278+H281</f>
        <v>-1104</v>
      </c>
      <c r="I282" s="425"/>
      <c r="J282" s="425">
        <f>J277+J278+J281</f>
        <v>-1836</v>
      </c>
      <c r="K282" s="421"/>
      <c r="L282" s="422"/>
      <c r="M282" s="422"/>
      <c r="N282" s="423"/>
      <c r="O282" s="422">
        <f>O277+O278+O281</f>
        <v>-1052</v>
      </c>
      <c r="P282" s="424">
        <f>P277+P278+P281</f>
        <v>-902</v>
      </c>
      <c r="Q282" s="425"/>
      <c r="R282" s="425">
        <f>R277+R278+R281</f>
        <v>-1954</v>
      </c>
      <c r="S282" s="421"/>
      <c r="T282" s="422"/>
      <c r="U282" s="422"/>
      <c r="V282" s="423"/>
      <c r="W282" s="422">
        <f>W277+W278+W281</f>
        <v>-554</v>
      </c>
      <c r="X282" s="424">
        <f>X277+X278+X281</f>
        <v>-714</v>
      </c>
      <c r="Y282" s="425"/>
      <c r="Z282" s="425">
        <f>Z277+Z278+Z281</f>
        <v>-1268</v>
      </c>
      <c r="AA282" s="421"/>
      <c r="AB282" s="422"/>
      <c r="AC282" s="422"/>
      <c r="AD282" s="423"/>
      <c r="AE282" s="422">
        <f>AE277+AE278+AE281</f>
        <v>-1219</v>
      </c>
      <c r="AF282" s="424">
        <f>AF277+AF278+AF281</f>
        <v>-976</v>
      </c>
      <c r="AG282" s="425"/>
      <c r="AH282" s="425">
        <f>AH277+AH278+AH281</f>
        <v>-2195</v>
      </c>
      <c r="AI282" s="421"/>
      <c r="AJ282" s="422"/>
      <c r="AK282" s="422"/>
      <c r="AL282" s="423"/>
      <c r="AM282" s="422">
        <f>AM277+AM278+AM281</f>
        <v>2441</v>
      </c>
      <c r="AN282" s="424">
        <f>AN277+AN278+AN281</f>
        <v>-2697</v>
      </c>
      <c r="AO282" s="425"/>
      <c r="AP282" s="425">
        <f>AP277+AP278+AP281</f>
        <v>-256</v>
      </c>
      <c r="AQ282" s="421"/>
      <c r="AR282" s="422"/>
      <c r="AS282" s="422"/>
      <c r="AT282" s="423"/>
      <c r="AU282" s="422"/>
      <c r="AV282" s="424"/>
      <c r="AW282" s="425"/>
      <c r="AX282" s="425"/>
      <c r="AY282" s="421"/>
      <c r="AZ282" s="422"/>
      <c r="BA282" s="422"/>
      <c r="BB282" s="423"/>
      <c r="BC282" s="422">
        <f>BC277+BC278+BC281</f>
        <v>-2738</v>
      </c>
      <c r="BD282" s="424">
        <f>BD277+BD278+BD281</f>
        <v>-756</v>
      </c>
      <c r="BE282" s="425"/>
      <c r="BF282" s="425">
        <f>BF277+BF278+BF281</f>
        <v>-3494</v>
      </c>
      <c r="BG282" s="421"/>
      <c r="BH282" s="422"/>
      <c r="BI282" s="422"/>
      <c r="BJ282" s="423"/>
      <c r="BK282" s="422">
        <f t="shared" si="299"/>
        <v>-2738</v>
      </c>
      <c r="BL282" s="424">
        <f t="shared" si="299"/>
        <v>-756</v>
      </c>
      <c r="BM282" s="425"/>
      <c r="BN282" s="425">
        <f t="shared" si="300"/>
        <v>-3494</v>
      </c>
      <c r="BO282" s="421"/>
      <c r="BP282" s="422"/>
      <c r="BQ282" s="422"/>
      <c r="BR282" s="423"/>
      <c r="BS282" s="422">
        <f>BS277+BS278+BS281</f>
        <v>-512</v>
      </c>
      <c r="BT282" s="424">
        <f>BT277+BT278+BT281</f>
        <v>-593</v>
      </c>
      <c r="BU282" s="425"/>
      <c r="BV282" s="425">
        <f>BV277+BV278+BV281</f>
        <v>-1105</v>
      </c>
      <c r="BW282" s="421"/>
      <c r="BX282" s="422"/>
      <c r="BY282" s="422"/>
      <c r="BZ282" s="423"/>
      <c r="CA282" s="422">
        <f>CA277+CA278+CA281</f>
        <v>-415</v>
      </c>
      <c r="CB282" s="424">
        <f t="shared" si="303"/>
        <v>-384</v>
      </c>
      <c r="CC282" s="425"/>
      <c r="CD282" s="425">
        <f>CD277+CD278+CD281</f>
        <v>-799</v>
      </c>
      <c r="CE282" s="421"/>
      <c r="CF282" s="422"/>
      <c r="CG282" s="422"/>
      <c r="CH282" s="423"/>
      <c r="CI282" s="422">
        <f>CI277+CI278+CI281</f>
        <v>-475</v>
      </c>
      <c r="CJ282" s="424">
        <f t="shared" si="304"/>
        <v>-263</v>
      </c>
      <c r="CK282" s="425"/>
      <c r="CL282" s="425">
        <f>CL277+CL278+CL281</f>
        <v>-738</v>
      </c>
      <c r="CM282" s="421"/>
      <c r="CN282" s="422"/>
      <c r="CO282" s="422"/>
      <c r="CP282" s="423"/>
      <c r="CQ282" s="422">
        <f>CQ277+CQ278+CQ281</f>
        <v>-607</v>
      </c>
      <c r="CR282" s="424">
        <f t="shared" si="310"/>
        <v>-681</v>
      </c>
      <c r="CS282" s="425"/>
      <c r="CT282" s="425">
        <f>CT277+CT278+CT281</f>
        <v>-1288</v>
      </c>
      <c r="CU282" s="422"/>
      <c r="CV282" s="422"/>
      <c r="CW282" s="422"/>
      <c r="CX282" s="423"/>
      <c r="CY282" s="422">
        <f>CY277+CY278+CY281</f>
        <v>-815</v>
      </c>
      <c r="CZ282" s="422">
        <f>CZ277+CZ278+CZ281</f>
        <v>-889</v>
      </c>
      <c r="DA282" s="425"/>
      <c r="DB282" s="425">
        <f>DB277+DB278+DB281</f>
        <v>-1704</v>
      </c>
      <c r="DC282" s="422"/>
      <c r="DD282" s="422"/>
      <c r="DE282" s="422"/>
      <c r="DF282" s="423"/>
      <c r="DG282" s="422">
        <f>DG277+DG278+DG281</f>
        <v>-985</v>
      </c>
      <c r="DH282" s="422">
        <f>DH277+DH278+DH281</f>
        <v>-863</v>
      </c>
      <c r="DI282" s="425"/>
      <c r="DJ282" s="425">
        <f>DJ277+DJ278+DJ281</f>
        <v>-1848</v>
      </c>
      <c r="DK282" s="422"/>
      <c r="DL282" s="422"/>
      <c r="DM282" s="422"/>
      <c r="DN282" s="423"/>
      <c r="DO282" s="422">
        <f>DO277+DO278+DO281</f>
        <v>-1008</v>
      </c>
      <c r="DP282" s="422">
        <f>DP277+DP278+DP281</f>
        <v>-2376</v>
      </c>
      <c r="DQ282" s="425"/>
      <c r="DR282" s="425">
        <f>DR277+DR278+DR281</f>
        <v>-3384</v>
      </c>
      <c r="DS282" s="422"/>
      <c r="DT282" s="422"/>
      <c r="DU282" s="422"/>
      <c r="DV282" s="423"/>
      <c r="DW282" s="422">
        <f>DW277+DW278+DW281</f>
        <v>-1026</v>
      </c>
      <c r="DX282" s="426">
        <f>DX277+DX278+DX281</f>
        <v>-945.00293668468862</v>
      </c>
      <c r="DY282" s="425"/>
      <c r="DZ282" s="427">
        <f>DZ277+DZ278+DZ281</f>
        <v>-1971.0029366846884</v>
      </c>
      <c r="EA282" s="422"/>
      <c r="EB282" s="422"/>
      <c r="EC282" s="422"/>
      <c r="ED282" s="423"/>
      <c r="EE282" s="426">
        <f>EE277+EE278+EE281</f>
        <v>-1038.7180931188977</v>
      </c>
      <c r="EF282" s="426">
        <f>EF277+EF278+EF281</f>
        <v>-1186.207458148941</v>
      </c>
      <c r="EG282" s="425"/>
      <c r="EH282" s="427">
        <f>EH277+EH278+EH281</f>
        <v>-2224.9255512678387</v>
      </c>
      <c r="EI282" s="422"/>
      <c r="EJ282" s="422"/>
      <c r="EK282" s="422"/>
      <c r="EL282" s="423"/>
      <c r="EM282" s="426">
        <f>EM277+EM278+EM281</f>
        <v>-1112.4814298635174</v>
      </c>
      <c r="EN282" s="426">
        <f>EN277+EN278+EN281</f>
        <v>-1262.1043028199656</v>
      </c>
      <c r="EO282" s="425"/>
      <c r="EP282" s="427">
        <f>EP277+EP278+EP281</f>
        <v>-2374.585732683483</v>
      </c>
      <c r="EQ282" s="422"/>
      <c r="ER282" s="422"/>
      <c r="ES282" s="422"/>
      <c r="ET282" s="423"/>
      <c r="EU282" s="426">
        <f>EU277+EU278+EU281</f>
        <v>-1191.6429379060723</v>
      </c>
      <c r="EV282" s="426">
        <f>EV277+EV278+EV281</f>
        <v>-1348.2242059777377</v>
      </c>
      <c r="EW282" s="425"/>
      <c r="EX282" s="427">
        <f>EX277+EX278+EX281</f>
        <v>-2539.8671438838101</v>
      </c>
      <c r="EY282" s="422"/>
      <c r="EZ282" s="422"/>
      <c r="FA282" s="422"/>
      <c r="FB282" s="423"/>
      <c r="FC282" s="426">
        <f>FC277+FC278+FC281</f>
        <v>-1227.3602642207154</v>
      </c>
      <c r="FD282" s="426">
        <f>FD277+FD278+FD281</f>
        <v>-1386.2308997239581</v>
      </c>
      <c r="FE282" s="425"/>
      <c r="FF282" s="427">
        <f>FF277+FF278+FF281</f>
        <v>-2613.5911639446736</v>
      </c>
    </row>
    <row r="283" spans="1:162" ht="11.25" customHeight="1" x14ac:dyDescent="0.2">
      <c r="C283" s="395"/>
      <c r="D283" s="396"/>
      <c r="E283" s="396"/>
      <c r="F283" s="397"/>
      <c r="G283" s="428"/>
      <c r="H283" s="428"/>
      <c r="I283" s="398"/>
      <c r="J283" s="398"/>
      <c r="K283" s="395"/>
      <c r="L283" s="396"/>
      <c r="M283" s="396"/>
      <c r="N283" s="397"/>
      <c r="O283" s="428"/>
      <c r="P283" s="428"/>
      <c r="Q283" s="398"/>
      <c r="R283" s="398"/>
      <c r="S283" s="395"/>
      <c r="T283" s="396"/>
      <c r="U283" s="396"/>
      <c r="V283" s="397"/>
      <c r="W283" s="428"/>
      <c r="X283" s="428"/>
      <c r="Y283" s="398"/>
      <c r="Z283" s="398"/>
      <c r="AA283" s="395"/>
      <c r="AB283" s="396"/>
      <c r="AC283" s="396"/>
      <c r="AD283" s="397"/>
      <c r="AE283" s="428"/>
      <c r="AF283" s="428"/>
      <c r="AG283" s="398"/>
      <c r="AH283" s="398"/>
      <c r="AI283" s="395"/>
      <c r="AJ283" s="396"/>
      <c r="AK283" s="396"/>
      <c r="AL283" s="397"/>
      <c r="AM283" s="428"/>
      <c r="AN283" s="428"/>
      <c r="AO283" s="398"/>
      <c r="AP283" s="398"/>
      <c r="AQ283" s="395"/>
      <c r="AR283" s="396"/>
      <c r="AS283" s="396"/>
      <c r="AT283" s="397"/>
      <c r="AU283" s="428"/>
      <c r="AV283" s="428"/>
      <c r="AW283" s="398"/>
      <c r="AX283" s="398"/>
      <c r="AY283" s="395"/>
      <c r="AZ283" s="396"/>
      <c r="BA283" s="396"/>
      <c r="BB283" s="397"/>
      <c r="BC283" s="428"/>
      <c r="BD283" s="428"/>
      <c r="BE283" s="398"/>
      <c r="BF283" s="398"/>
      <c r="BG283" s="395"/>
      <c r="BH283" s="396"/>
      <c r="BI283" s="396"/>
      <c r="BJ283" s="397"/>
      <c r="BK283" s="428"/>
      <c r="BL283" s="428"/>
      <c r="BM283" s="398"/>
      <c r="BN283" s="398"/>
      <c r="BO283" s="395"/>
      <c r="BP283" s="396"/>
      <c r="BQ283" s="396"/>
      <c r="BR283" s="397"/>
      <c r="BS283" s="428"/>
      <c r="BT283" s="428"/>
      <c r="BU283" s="398"/>
      <c r="BV283" s="398"/>
      <c r="BW283" s="395"/>
      <c r="BX283" s="396"/>
      <c r="BY283" s="396"/>
      <c r="BZ283" s="397"/>
      <c r="CA283" s="428"/>
      <c r="CB283" s="428"/>
      <c r="CC283" s="398"/>
      <c r="CD283" s="398"/>
      <c r="CE283" s="395"/>
      <c r="CF283" s="396"/>
      <c r="CG283" s="396"/>
      <c r="CH283" s="397"/>
      <c r="CI283" s="428"/>
      <c r="CJ283" s="428"/>
      <c r="CK283" s="398"/>
      <c r="CL283" s="398"/>
      <c r="CM283" s="395"/>
      <c r="CN283" s="396"/>
      <c r="CO283" s="396"/>
      <c r="CP283" s="397"/>
      <c r="CQ283" s="428"/>
      <c r="CR283" s="428"/>
      <c r="CS283" s="398"/>
      <c r="CT283" s="398"/>
      <c r="CU283" s="396"/>
      <c r="CV283" s="396"/>
      <c r="CW283" s="396"/>
      <c r="CX283" s="397"/>
      <c r="CY283" s="428"/>
      <c r="CZ283" s="396"/>
      <c r="DA283" s="398"/>
      <c r="DB283" s="398"/>
      <c r="DC283" s="396"/>
      <c r="DD283" s="396"/>
      <c r="DE283" s="396"/>
      <c r="DF283" s="397"/>
      <c r="DG283" s="428"/>
      <c r="DH283" s="396"/>
      <c r="DI283" s="398"/>
      <c r="DJ283" s="398"/>
      <c r="DK283" s="396"/>
      <c r="DL283" s="396"/>
      <c r="DM283" s="396"/>
      <c r="DN283" s="397"/>
      <c r="DO283" s="428"/>
      <c r="DP283" s="396"/>
      <c r="DQ283" s="398"/>
      <c r="DR283" s="398"/>
      <c r="DS283" s="396"/>
      <c r="DT283" s="396"/>
      <c r="DU283" s="396"/>
      <c r="DV283" s="397"/>
      <c r="DW283" s="428"/>
      <c r="DX283" s="396"/>
      <c r="DY283" s="398"/>
      <c r="DZ283" s="398"/>
      <c r="EA283" s="396"/>
      <c r="EB283" s="396"/>
      <c r="EC283" s="396"/>
      <c r="ED283" s="397"/>
      <c r="EE283" s="396"/>
      <c r="EF283" s="396"/>
      <c r="EG283" s="398"/>
      <c r="EH283" s="398"/>
      <c r="EI283" s="396"/>
      <c r="EJ283" s="396"/>
      <c r="EK283" s="396"/>
      <c r="EL283" s="397"/>
      <c r="EM283" s="396"/>
      <c r="EN283" s="396"/>
      <c r="EO283" s="398"/>
      <c r="EP283" s="398"/>
      <c r="EQ283" s="396"/>
      <c r="ER283" s="396"/>
      <c r="ES283" s="396"/>
      <c r="ET283" s="397"/>
      <c r="EU283" s="396"/>
      <c r="EV283" s="396"/>
      <c r="EW283" s="398"/>
      <c r="EX283" s="398"/>
      <c r="EY283" s="396"/>
      <c r="EZ283" s="396"/>
      <c r="FA283" s="396"/>
      <c r="FB283" s="397"/>
      <c r="FC283" s="396"/>
      <c r="FD283" s="396"/>
      <c r="FE283" s="398"/>
      <c r="FF283" s="398"/>
    </row>
    <row r="284" spans="1:162" ht="11.25" customHeight="1" x14ac:dyDescent="0.2">
      <c r="A284" s="4" t="s">
        <v>412</v>
      </c>
      <c r="C284" s="288"/>
      <c r="D284" s="289"/>
      <c r="E284" s="289"/>
      <c r="F284" s="290"/>
      <c r="G284" s="402">
        <f>7-22-263</f>
        <v>-278</v>
      </c>
      <c r="H284" s="402">
        <f t="shared" ref="H284:H290" si="311">J284-G284</f>
        <v>-21</v>
      </c>
      <c r="I284" s="291"/>
      <c r="J284" s="291">
        <f>9-98-210</f>
        <v>-299</v>
      </c>
      <c r="K284" s="288"/>
      <c r="L284" s="289"/>
      <c r="M284" s="289"/>
      <c r="N284" s="290"/>
      <c r="O284" s="402">
        <f>208-23+318</f>
        <v>503</v>
      </c>
      <c r="P284" s="402">
        <f>R284-O284</f>
        <v>-335</v>
      </c>
      <c r="Q284" s="291"/>
      <c r="R284" s="291">
        <f>209-850+809</f>
        <v>168</v>
      </c>
      <c r="S284" s="288"/>
      <c r="T284" s="289"/>
      <c r="U284" s="289"/>
      <c r="V284" s="290"/>
      <c r="W284" s="402">
        <f>-34+68</f>
        <v>34</v>
      </c>
      <c r="X284" s="402">
        <f>Z284-W284</f>
        <v>-753</v>
      </c>
      <c r="Y284" s="291"/>
      <c r="Z284" s="291">
        <f>CF!M52+CF!M50+CF!M54</f>
        <v>-719</v>
      </c>
      <c r="AA284" s="288"/>
      <c r="AB284" s="289"/>
      <c r="AC284" s="289"/>
      <c r="AD284" s="290"/>
      <c r="AE284" s="402">
        <f>-35+690+167</f>
        <v>822</v>
      </c>
      <c r="AF284" s="402">
        <f>AH284-AE284</f>
        <v>-203</v>
      </c>
      <c r="AG284" s="291"/>
      <c r="AH284" s="291">
        <f>CF!N52+CF!N50+CF!N54</f>
        <v>619</v>
      </c>
      <c r="AI284" s="288"/>
      <c r="AJ284" s="289"/>
      <c r="AK284" s="289"/>
      <c r="AL284" s="290"/>
      <c r="AM284" s="402">
        <f>-17+1012+966</f>
        <v>1961</v>
      </c>
      <c r="AN284" s="402">
        <f>AP284-AM284</f>
        <v>-520</v>
      </c>
      <c r="AO284" s="291"/>
      <c r="AP284" s="291">
        <f>CF!O52+CF!O50+CF!O54</f>
        <v>1441</v>
      </c>
      <c r="AQ284" s="288"/>
      <c r="AR284" s="289"/>
      <c r="AS284" s="289"/>
      <c r="AT284" s="290"/>
      <c r="AU284" s="402"/>
      <c r="AV284" s="402"/>
      <c r="AW284" s="291"/>
      <c r="AX284" s="291"/>
      <c r="AY284" s="288"/>
      <c r="AZ284" s="289"/>
      <c r="BA284" s="289"/>
      <c r="BB284" s="290"/>
      <c r="BC284" s="402">
        <f>-477+702-601</f>
        <v>-376</v>
      </c>
      <c r="BD284" s="402">
        <f>BF284-BC284</f>
        <v>-511</v>
      </c>
      <c r="BE284" s="291"/>
      <c r="BF284" s="291">
        <f>CF!P52+CF!P50+CF!P54</f>
        <v>-887</v>
      </c>
      <c r="BG284" s="288"/>
      <c r="BH284" s="289"/>
      <c r="BI284" s="289"/>
      <c r="BJ284" s="290"/>
      <c r="BK284" s="402">
        <f t="shared" si="299"/>
        <v>-376</v>
      </c>
      <c r="BL284" s="402">
        <f t="shared" si="299"/>
        <v>-511</v>
      </c>
      <c r="BM284" s="291"/>
      <c r="BN284" s="291">
        <f t="shared" si="300"/>
        <v>-887</v>
      </c>
      <c r="BO284" s="288"/>
      <c r="BP284" s="289"/>
      <c r="BQ284" s="289"/>
      <c r="BR284" s="290"/>
      <c r="BS284" s="402">
        <f>-731+22-9</f>
        <v>-718</v>
      </c>
      <c r="BT284" s="402">
        <f>BV284-BS284</f>
        <v>1128</v>
      </c>
      <c r="BU284" s="291"/>
      <c r="BV284" s="291">
        <f>CF!Q52+CF!Q50+CF!Q54</f>
        <v>410</v>
      </c>
      <c r="BW284" s="288"/>
      <c r="BX284" s="289"/>
      <c r="BY284" s="289"/>
      <c r="BZ284" s="290"/>
      <c r="CA284" s="402">
        <f>-73+1373+3</f>
        <v>1303</v>
      </c>
      <c r="CB284" s="402">
        <f>CD284-CA284</f>
        <v>-1317</v>
      </c>
      <c r="CC284" s="291"/>
      <c r="CD284" s="291">
        <f>CF!R52+CF!R50+CF!R54</f>
        <v>-14</v>
      </c>
      <c r="CE284" s="288"/>
      <c r="CF284" s="289"/>
      <c r="CG284" s="289"/>
      <c r="CH284" s="290"/>
      <c r="CI284" s="402">
        <f>-1293+2151-1005</f>
        <v>-147</v>
      </c>
      <c r="CJ284" s="402">
        <f>CL284-CI284</f>
        <v>151</v>
      </c>
      <c r="CK284" s="291"/>
      <c r="CL284" s="291">
        <f>CF!S52+CF!S50+CF!S54</f>
        <v>4</v>
      </c>
      <c r="CM284" s="288"/>
      <c r="CN284" s="289"/>
      <c r="CO284" s="289"/>
      <c r="CP284" s="290"/>
      <c r="CQ284" s="402">
        <f>-539+514-249</f>
        <v>-274</v>
      </c>
      <c r="CR284" s="402">
        <f>CT284-CQ284</f>
        <v>-29</v>
      </c>
      <c r="CS284" s="291"/>
      <c r="CT284" s="291">
        <f>CF!T52+CF!T50+CF!T54</f>
        <v>-303</v>
      </c>
      <c r="CU284" s="289"/>
      <c r="CV284" s="289"/>
      <c r="CW284" s="289"/>
      <c r="CX284" s="290"/>
      <c r="CY284" s="402">
        <f>-243+9-37</f>
        <v>-271</v>
      </c>
      <c r="CZ284" s="289">
        <f>DB284-CY284</f>
        <v>-184</v>
      </c>
      <c r="DA284" s="291"/>
      <c r="DB284" s="291">
        <f>CF!U52+CF!U50+CF!U54</f>
        <v>-455</v>
      </c>
      <c r="DC284" s="289"/>
      <c r="DD284" s="289"/>
      <c r="DE284" s="289"/>
      <c r="DF284" s="290"/>
      <c r="DG284" s="402">
        <f>-744+11+49</f>
        <v>-684</v>
      </c>
      <c r="DH284" s="289">
        <f>DJ284-DG284</f>
        <v>-78</v>
      </c>
      <c r="DI284" s="291"/>
      <c r="DJ284" s="291">
        <f>CF!V52+CF!V50+CF!V54</f>
        <v>-762</v>
      </c>
      <c r="DK284" s="289"/>
      <c r="DL284" s="289"/>
      <c r="DM284" s="289"/>
      <c r="DN284" s="290"/>
      <c r="DO284" s="402">
        <f>-148+14+756</f>
        <v>622</v>
      </c>
      <c r="DP284" s="289">
        <f>DR284-DO284</f>
        <v>14</v>
      </c>
      <c r="DQ284" s="291"/>
      <c r="DR284" s="291">
        <f>CF!W52+CF!W50+CF!W54</f>
        <v>636</v>
      </c>
      <c r="DS284" s="289"/>
      <c r="DT284" s="289"/>
      <c r="DU284" s="289"/>
      <c r="DV284" s="290"/>
      <c r="DW284" s="402">
        <f>-793+8+282</f>
        <v>-503</v>
      </c>
      <c r="DX284" s="401">
        <f>DZ284-DW284</f>
        <v>0</v>
      </c>
      <c r="DY284" s="291"/>
      <c r="DZ284" s="287">
        <f>CF!X52+CF!X50+CF!X54</f>
        <v>-503</v>
      </c>
      <c r="EA284" s="289"/>
      <c r="EB284" s="289"/>
      <c r="EC284" s="289"/>
      <c r="ED284" s="290"/>
      <c r="EE284" s="401">
        <f>EH284/2</f>
        <v>0</v>
      </c>
      <c r="EF284" s="401">
        <f>EH284-EE284</f>
        <v>0</v>
      </c>
      <c r="EG284" s="291"/>
      <c r="EH284" s="287">
        <f>CF!Y52+CF!Y50+CF!Y54</f>
        <v>0</v>
      </c>
      <c r="EI284" s="289"/>
      <c r="EJ284" s="289"/>
      <c r="EK284" s="289"/>
      <c r="EL284" s="290"/>
      <c r="EM284" s="401">
        <f>EP284/2</f>
        <v>0</v>
      </c>
      <c r="EN284" s="401">
        <f>EP284-EM284</f>
        <v>0</v>
      </c>
      <c r="EO284" s="291"/>
      <c r="EP284" s="287">
        <f>CF!Z52+CF!Z50+CF!Z54</f>
        <v>0</v>
      </c>
      <c r="EQ284" s="289"/>
      <c r="ER284" s="289"/>
      <c r="ES284" s="289"/>
      <c r="ET284" s="290"/>
      <c r="EU284" s="401">
        <f>EX284/2</f>
        <v>0</v>
      </c>
      <c r="EV284" s="401">
        <f>EX284-EU284</f>
        <v>0</v>
      </c>
      <c r="EW284" s="291"/>
      <c r="EX284" s="287">
        <f>CF!AA52+CF!AA50+CF!AA54</f>
        <v>0</v>
      </c>
      <c r="EY284" s="289"/>
      <c r="EZ284" s="289"/>
      <c r="FA284" s="289"/>
      <c r="FB284" s="290"/>
      <c r="FC284" s="401">
        <f>FF284/2</f>
        <v>0</v>
      </c>
      <c r="FD284" s="401">
        <f>FF284-FC284</f>
        <v>0</v>
      </c>
      <c r="FE284" s="291"/>
      <c r="FF284" s="287">
        <f>CF!AB52+CF!AB50+CF!AB54</f>
        <v>0</v>
      </c>
    </row>
    <row r="285" spans="1:162" ht="11.25" customHeight="1" x14ac:dyDescent="0.2">
      <c r="B285" s="4" t="s">
        <v>413</v>
      </c>
      <c r="C285" s="288"/>
      <c r="D285" s="289"/>
      <c r="E285" s="289"/>
      <c r="F285" s="290"/>
      <c r="G285" s="402">
        <v>-271</v>
      </c>
      <c r="H285" s="402">
        <f t="shared" si="311"/>
        <v>-200</v>
      </c>
      <c r="I285" s="291"/>
      <c r="J285" s="291">
        <v>-471</v>
      </c>
      <c r="K285" s="288"/>
      <c r="L285" s="289"/>
      <c r="M285" s="289"/>
      <c r="N285" s="290"/>
      <c r="O285" s="402">
        <v>-266</v>
      </c>
      <c r="P285" s="402">
        <f t="shared" ref="P285:P290" si="312">R285-O285</f>
        <v>-234</v>
      </c>
      <c r="Q285" s="291"/>
      <c r="R285" s="291">
        <v>-500</v>
      </c>
      <c r="S285" s="288"/>
      <c r="T285" s="289"/>
      <c r="U285" s="289"/>
      <c r="V285" s="290"/>
      <c r="W285" s="402">
        <v>-267</v>
      </c>
      <c r="X285" s="402">
        <f>Z285-W285</f>
        <v>-250</v>
      </c>
      <c r="Y285" s="291"/>
      <c r="Z285" s="291">
        <f>CF!M56</f>
        <v>-517</v>
      </c>
      <c r="AA285" s="288"/>
      <c r="AB285" s="289"/>
      <c r="AC285" s="289"/>
      <c r="AD285" s="290"/>
      <c r="AE285" s="402">
        <v>-325</v>
      </c>
      <c r="AF285" s="402">
        <f>AH285-AE285</f>
        <v>-287</v>
      </c>
      <c r="AG285" s="291"/>
      <c r="AH285" s="291">
        <f>CF!N56</f>
        <v>-612</v>
      </c>
      <c r="AI285" s="288"/>
      <c r="AJ285" s="289"/>
      <c r="AK285" s="289"/>
      <c r="AL285" s="290"/>
      <c r="AM285" s="402">
        <v>-340</v>
      </c>
      <c r="AN285" s="402">
        <f>AP285-AM285</f>
        <v>0</v>
      </c>
      <c r="AO285" s="291"/>
      <c r="AP285" s="291">
        <f>CF!O56</f>
        <v>-340</v>
      </c>
      <c r="AQ285" s="288"/>
      <c r="AR285" s="289"/>
      <c r="AS285" s="289"/>
      <c r="AT285" s="290"/>
      <c r="AU285" s="402"/>
      <c r="AV285" s="402"/>
      <c r="AW285" s="291"/>
      <c r="AX285" s="291"/>
      <c r="AY285" s="288"/>
      <c r="AZ285" s="289"/>
      <c r="BA285" s="289"/>
      <c r="BB285" s="290"/>
      <c r="BC285" s="402">
        <v>-695</v>
      </c>
      <c r="BD285" s="402">
        <f t="shared" ref="BD285:BD291" si="313">BF285-BC285</f>
        <v>0</v>
      </c>
      <c r="BE285" s="291"/>
      <c r="BF285" s="291">
        <f>CF!P56</f>
        <v>-695</v>
      </c>
      <c r="BG285" s="288"/>
      <c r="BH285" s="289"/>
      <c r="BI285" s="289"/>
      <c r="BJ285" s="290"/>
      <c r="BK285" s="402">
        <f t="shared" si="299"/>
        <v>-695</v>
      </c>
      <c r="BL285" s="402">
        <f t="shared" si="299"/>
        <v>0</v>
      </c>
      <c r="BM285" s="291"/>
      <c r="BN285" s="291">
        <f t="shared" si="300"/>
        <v>-695</v>
      </c>
      <c r="BO285" s="288"/>
      <c r="BP285" s="289"/>
      <c r="BQ285" s="289"/>
      <c r="BR285" s="290"/>
      <c r="BS285" s="402">
        <v>-785</v>
      </c>
      <c r="BT285" s="402">
        <f t="shared" ref="BT285:BT291" si="314">BV285-BS285</f>
        <v>0</v>
      </c>
      <c r="BU285" s="291"/>
      <c r="BV285" s="291">
        <f>CF!Q56</f>
        <v>-785</v>
      </c>
      <c r="BW285" s="288"/>
      <c r="BX285" s="289"/>
      <c r="BY285" s="289"/>
      <c r="BZ285" s="290"/>
      <c r="CA285" s="402">
        <v>0</v>
      </c>
      <c r="CB285" s="402">
        <v>0</v>
      </c>
      <c r="CC285" s="291"/>
      <c r="CD285" s="291">
        <f>CF!R56</f>
        <v>0</v>
      </c>
      <c r="CE285" s="288"/>
      <c r="CF285" s="289"/>
      <c r="CG285" s="289"/>
      <c r="CH285" s="290"/>
      <c r="CI285" s="402">
        <v>-183</v>
      </c>
      <c r="CJ285" s="402">
        <v>0</v>
      </c>
      <c r="CK285" s="291"/>
      <c r="CL285" s="291">
        <f>CF!S56</f>
        <v>-183</v>
      </c>
      <c r="CM285" s="288"/>
      <c r="CN285" s="289"/>
      <c r="CO285" s="289"/>
      <c r="CP285" s="290"/>
      <c r="CQ285" s="402">
        <v>-213</v>
      </c>
      <c r="CR285" s="402">
        <v>0</v>
      </c>
      <c r="CS285" s="291"/>
      <c r="CT285" s="291">
        <f>CF!T56</f>
        <v>-213</v>
      </c>
      <c r="CU285" s="289"/>
      <c r="CV285" s="289"/>
      <c r="CW285" s="289"/>
      <c r="CX285" s="290"/>
      <c r="CY285" s="402">
        <v>-564</v>
      </c>
      <c r="CZ285" s="289">
        <f>DB285-CY285</f>
        <v>0</v>
      </c>
      <c r="DA285" s="291"/>
      <c r="DB285" s="291">
        <f>CF!U56</f>
        <v>-564</v>
      </c>
      <c r="DC285" s="289"/>
      <c r="DD285" s="289"/>
      <c r="DE285" s="289"/>
      <c r="DF285" s="290"/>
      <c r="DG285" s="402">
        <v>-911</v>
      </c>
      <c r="DH285" s="289">
        <f>DJ285-DG285</f>
        <v>0</v>
      </c>
      <c r="DI285" s="291"/>
      <c r="DJ285" s="291">
        <f>CF!V56</f>
        <v>-911</v>
      </c>
      <c r="DK285" s="289"/>
      <c r="DL285" s="289"/>
      <c r="DM285" s="289"/>
      <c r="DN285" s="290"/>
      <c r="DO285" s="402">
        <v>-1216</v>
      </c>
      <c r="DP285" s="289">
        <f>DR285-DO285</f>
        <v>0</v>
      </c>
      <c r="DQ285" s="291"/>
      <c r="DR285" s="291">
        <f>CF!W56</f>
        <v>-1216</v>
      </c>
      <c r="DS285" s="289"/>
      <c r="DT285" s="289"/>
      <c r="DU285" s="289"/>
      <c r="DV285" s="290"/>
      <c r="DW285" s="402">
        <v>-1390</v>
      </c>
      <c r="DX285" s="401">
        <f>DZ285-DW285</f>
        <v>-0.57969103834966518</v>
      </c>
      <c r="DY285" s="291"/>
      <c r="DZ285" s="287">
        <f>CF!X56</f>
        <v>-1390.5796910383497</v>
      </c>
      <c r="EA285" s="289"/>
      <c r="EB285" s="289"/>
      <c r="EC285" s="289"/>
      <c r="ED285" s="290"/>
      <c r="EE285" s="401">
        <f>EH285</f>
        <v>-1711.0081799562354</v>
      </c>
      <c r="EF285" s="401">
        <f>EH285-EE285</f>
        <v>0</v>
      </c>
      <c r="EG285" s="291"/>
      <c r="EH285" s="287">
        <f>CF!Y56</f>
        <v>-1711.0081799562354</v>
      </c>
      <c r="EI285" s="289"/>
      <c r="EJ285" s="289"/>
      <c r="EK285" s="289"/>
      <c r="EL285" s="290"/>
      <c r="EM285" s="401">
        <f>EP285</f>
        <v>-2277.3119364563263</v>
      </c>
      <c r="EN285" s="401">
        <f>EP285-EM285</f>
        <v>0</v>
      </c>
      <c r="EO285" s="291"/>
      <c r="EP285" s="287">
        <f>CF!Z56</f>
        <v>-2277.3119364563263</v>
      </c>
      <c r="EQ285" s="289"/>
      <c r="ER285" s="289"/>
      <c r="ES285" s="289"/>
      <c r="ET285" s="290"/>
      <c r="EU285" s="401">
        <f>EX285</f>
        <v>-2525.4379500585869</v>
      </c>
      <c r="EV285" s="401">
        <f>EX285-EU285</f>
        <v>0</v>
      </c>
      <c r="EW285" s="291"/>
      <c r="EX285" s="287">
        <f>CF!AA56</f>
        <v>-2525.4379500585869</v>
      </c>
      <c r="EY285" s="289"/>
      <c r="EZ285" s="289"/>
      <c r="FA285" s="289"/>
      <c r="FB285" s="290"/>
      <c r="FC285" s="401">
        <f>FF285</f>
        <v>-2725.1752864289297</v>
      </c>
      <c r="FD285" s="401">
        <f>FF285-FC285</f>
        <v>0</v>
      </c>
      <c r="FE285" s="291"/>
      <c r="FF285" s="287">
        <f>CF!AB56</f>
        <v>-2725.1752864289297</v>
      </c>
    </row>
    <row r="286" spans="1:162" ht="11.25" customHeight="1" x14ac:dyDescent="0.2">
      <c r="B286" s="4" t="s">
        <v>414</v>
      </c>
      <c r="C286" s="288"/>
      <c r="D286" s="289"/>
      <c r="E286" s="289"/>
      <c r="F286" s="290"/>
      <c r="G286" s="289">
        <v>-9</v>
      </c>
      <c r="H286" s="289">
        <f t="shared" si="311"/>
        <v>-1</v>
      </c>
      <c r="I286" s="291"/>
      <c r="J286" s="291">
        <v>-10</v>
      </c>
      <c r="K286" s="288"/>
      <c r="L286" s="289"/>
      <c r="M286" s="289"/>
      <c r="N286" s="290"/>
      <c r="O286" s="289">
        <v>-10</v>
      </c>
      <c r="P286" s="289">
        <f t="shared" si="312"/>
        <v>-1</v>
      </c>
      <c r="Q286" s="291"/>
      <c r="R286" s="291">
        <v>-11</v>
      </c>
      <c r="S286" s="288"/>
      <c r="T286" s="289"/>
      <c r="U286" s="289"/>
      <c r="V286" s="290"/>
      <c r="W286" s="289">
        <v>-18</v>
      </c>
      <c r="X286" s="289">
        <f>Z286-W286</f>
        <v>-5</v>
      </c>
      <c r="Y286" s="291"/>
      <c r="Z286" s="291">
        <f>CF!M57</f>
        <v>-23</v>
      </c>
      <c r="AA286" s="288"/>
      <c r="AB286" s="289"/>
      <c r="AC286" s="289"/>
      <c r="AD286" s="290"/>
      <c r="AE286" s="289">
        <v>-26</v>
      </c>
      <c r="AF286" s="289">
        <f>AH286-AE286</f>
        <v>-4</v>
      </c>
      <c r="AG286" s="291"/>
      <c r="AH286" s="291">
        <f>CF!N57</f>
        <v>-30</v>
      </c>
      <c r="AI286" s="288"/>
      <c r="AJ286" s="289"/>
      <c r="AK286" s="289"/>
      <c r="AL286" s="290"/>
      <c r="AM286" s="289">
        <v>-26</v>
      </c>
      <c r="AN286" s="289">
        <f>AP286-AM286</f>
        <v>-6</v>
      </c>
      <c r="AO286" s="291"/>
      <c r="AP286" s="291">
        <f>CF!O57</f>
        <v>-32</v>
      </c>
      <c r="AQ286" s="288"/>
      <c r="AR286" s="289"/>
      <c r="AS286" s="289"/>
      <c r="AT286" s="290"/>
      <c r="AU286" s="289"/>
      <c r="AV286" s="289"/>
      <c r="AW286" s="291"/>
      <c r="AX286" s="291"/>
      <c r="AY286" s="288"/>
      <c r="AZ286" s="289"/>
      <c r="BA286" s="289"/>
      <c r="BB286" s="290"/>
      <c r="BC286" s="289">
        <v>-26</v>
      </c>
      <c r="BD286" s="289">
        <f t="shared" si="313"/>
        <v>0</v>
      </c>
      <c r="BE286" s="291"/>
      <c r="BF286" s="291">
        <f>CF!P57</f>
        <v>-26</v>
      </c>
      <c r="BG286" s="288"/>
      <c r="BH286" s="289"/>
      <c r="BI286" s="289"/>
      <c r="BJ286" s="290"/>
      <c r="BK286" s="289">
        <f t="shared" si="299"/>
        <v>-26</v>
      </c>
      <c r="BL286" s="289">
        <f t="shared" si="299"/>
        <v>0</v>
      </c>
      <c r="BM286" s="291"/>
      <c r="BN286" s="291">
        <f t="shared" si="300"/>
        <v>-26</v>
      </c>
      <c r="BO286" s="288"/>
      <c r="BP286" s="289"/>
      <c r="BQ286" s="289"/>
      <c r="BR286" s="290"/>
      <c r="BS286" s="289">
        <v>-30</v>
      </c>
      <c r="BT286" s="289">
        <f t="shared" si="314"/>
        <v>-2</v>
      </c>
      <c r="BU286" s="291"/>
      <c r="BV286" s="291">
        <f>CF!Q57</f>
        <v>-32</v>
      </c>
      <c r="BW286" s="288"/>
      <c r="BX286" s="289"/>
      <c r="BY286" s="289"/>
      <c r="BZ286" s="290"/>
      <c r="CA286" s="289">
        <v>-3</v>
      </c>
      <c r="CB286" s="289">
        <f t="shared" ref="CB286:CB291" si="315">CD286-CA286</f>
        <v>-1</v>
      </c>
      <c r="CC286" s="291"/>
      <c r="CD286" s="291">
        <f>CF!R57</f>
        <v>-4</v>
      </c>
      <c r="CE286" s="288"/>
      <c r="CF286" s="289"/>
      <c r="CG286" s="289"/>
      <c r="CH286" s="290"/>
      <c r="CI286" s="289">
        <v>-5</v>
      </c>
      <c r="CJ286" s="289">
        <f t="shared" ref="CJ286:CJ291" si="316">CL286-CI286</f>
        <v>0</v>
      </c>
      <c r="CK286" s="291"/>
      <c r="CL286" s="291">
        <f>CF!S57</f>
        <v>-5</v>
      </c>
      <c r="CM286" s="288"/>
      <c r="CN286" s="289"/>
      <c r="CO286" s="289"/>
      <c r="CP286" s="290"/>
      <c r="CQ286" s="289">
        <v>-12</v>
      </c>
      <c r="CR286" s="289">
        <f t="shared" ref="CR286:CR291" si="317">CT286-CQ286</f>
        <v>0</v>
      </c>
      <c r="CS286" s="291"/>
      <c r="CT286" s="291">
        <f>CF!T57</f>
        <v>-12</v>
      </c>
      <c r="CU286" s="289"/>
      <c r="CV286" s="289"/>
      <c r="CW286" s="289"/>
      <c r="CX286" s="290"/>
      <c r="CY286" s="289">
        <v>-19</v>
      </c>
      <c r="CZ286" s="289">
        <f>DB286-CY286</f>
        <v>0</v>
      </c>
      <c r="DA286" s="291"/>
      <c r="DB286" s="291">
        <f>CF!U57</f>
        <v>-19</v>
      </c>
      <c r="DC286" s="289"/>
      <c r="DD286" s="289"/>
      <c r="DE286" s="289"/>
      <c r="DF286" s="290"/>
      <c r="DG286" s="289">
        <v>-54</v>
      </c>
      <c r="DH286" s="289">
        <f>DJ286-DG286</f>
        <v>-5</v>
      </c>
      <c r="DI286" s="291"/>
      <c r="DJ286" s="291">
        <f>CF!V57</f>
        <v>-59</v>
      </c>
      <c r="DK286" s="289"/>
      <c r="DL286" s="289"/>
      <c r="DM286" s="289"/>
      <c r="DN286" s="290"/>
      <c r="DO286" s="289">
        <v>-53</v>
      </c>
      <c r="DP286" s="289">
        <f>DR286-DO286</f>
        <v>-1</v>
      </c>
      <c r="DQ286" s="291"/>
      <c r="DR286" s="291">
        <f>CF!W57</f>
        <v>-54</v>
      </c>
      <c r="DS286" s="289"/>
      <c r="DT286" s="289"/>
      <c r="DU286" s="289"/>
      <c r="DV286" s="290"/>
      <c r="DW286" s="289">
        <v>-62</v>
      </c>
      <c r="DX286" s="401">
        <f>DZ286-DW286</f>
        <v>0</v>
      </c>
      <c r="DY286" s="291"/>
      <c r="DZ286" s="287">
        <f>CF!X57</f>
        <v>-62</v>
      </c>
      <c r="EA286" s="289"/>
      <c r="EB286" s="289"/>
      <c r="EC286" s="289"/>
      <c r="ED286" s="290"/>
      <c r="EE286" s="401">
        <f>EH286/2</f>
        <v>-31</v>
      </c>
      <c r="EF286" s="401">
        <f>EH286-EE286</f>
        <v>-31</v>
      </c>
      <c r="EG286" s="291"/>
      <c r="EH286" s="287">
        <f>CF!Y57</f>
        <v>-62</v>
      </c>
      <c r="EI286" s="289"/>
      <c r="EJ286" s="289"/>
      <c r="EK286" s="289"/>
      <c r="EL286" s="290"/>
      <c r="EM286" s="401">
        <f>EP286/2</f>
        <v>-31</v>
      </c>
      <c r="EN286" s="401">
        <f>EP286-EM286</f>
        <v>-31</v>
      </c>
      <c r="EO286" s="291"/>
      <c r="EP286" s="287">
        <f>CF!Z57</f>
        <v>-62</v>
      </c>
      <c r="EQ286" s="289"/>
      <c r="ER286" s="289"/>
      <c r="ES286" s="289"/>
      <c r="ET286" s="290"/>
      <c r="EU286" s="401">
        <f>EX286/2</f>
        <v>-31</v>
      </c>
      <c r="EV286" s="401">
        <f>EX286-EU286</f>
        <v>-31</v>
      </c>
      <c r="EW286" s="291"/>
      <c r="EX286" s="287">
        <f>CF!AA57</f>
        <v>-62</v>
      </c>
      <c r="EY286" s="289"/>
      <c r="EZ286" s="289"/>
      <c r="FA286" s="289"/>
      <c r="FB286" s="290"/>
      <c r="FC286" s="401">
        <f>FF286/2</f>
        <v>-31</v>
      </c>
      <c r="FD286" s="401">
        <f>FF286-FC286</f>
        <v>-31</v>
      </c>
      <c r="FE286" s="291"/>
      <c r="FF286" s="287">
        <f>CF!AB57</f>
        <v>-62</v>
      </c>
    </row>
    <row r="287" spans="1:162" ht="11.25" customHeight="1" x14ac:dyDescent="0.2">
      <c r="A287" s="4" t="s">
        <v>415</v>
      </c>
      <c r="C287" s="288"/>
      <c r="D287" s="289"/>
      <c r="E287" s="289"/>
      <c r="F287" s="290"/>
      <c r="G287" s="289">
        <f>G285+G286</f>
        <v>-280</v>
      </c>
      <c r="H287" s="289">
        <f>H285+H286</f>
        <v>-201</v>
      </c>
      <c r="I287" s="291"/>
      <c r="J287" s="291">
        <f>J285+J286</f>
        <v>-481</v>
      </c>
      <c r="K287" s="288"/>
      <c r="L287" s="289"/>
      <c r="M287" s="289"/>
      <c r="N287" s="290"/>
      <c r="O287" s="289">
        <f>O285+O286</f>
        <v>-276</v>
      </c>
      <c r="P287" s="289">
        <f>P285+P286</f>
        <v>-235</v>
      </c>
      <c r="Q287" s="291"/>
      <c r="R287" s="291">
        <f>R285+R286</f>
        <v>-511</v>
      </c>
      <c r="S287" s="288"/>
      <c r="T287" s="289"/>
      <c r="U287" s="289"/>
      <c r="V287" s="290"/>
      <c r="W287" s="289">
        <f>W285+W286</f>
        <v>-285</v>
      </c>
      <c r="X287" s="289">
        <f>X285+X286</f>
        <v>-255</v>
      </c>
      <c r="Y287" s="291"/>
      <c r="Z287" s="291">
        <f>Z285+Z286</f>
        <v>-540</v>
      </c>
      <c r="AA287" s="288"/>
      <c r="AB287" s="289"/>
      <c r="AC287" s="289"/>
      <c r="AD287" s="290"/>
      <c r="AE287" s="289">
        <f>AE285+AE286</f>
        <v>-351</v>
      </c>
      <c r="AF287" s="289">
        <f>AF285+AF286</f>
        <v>-291</v>
      </c>
      <c r="AG287" s="291"/>
      <c r="AH287" s="291">
        <f>AH285+AH286</f>
        <v>-642</v>
      </c>
      <c r="AI287" s="288"/>
      <c r="AJ287" s="289"/>
      <c r="AK287" s="289"/>
      <c r="AL287" s="290"/>
      <c r="AM287" s="289">
        <f>AM285+AM286</f>
        <v>-366</v>
      </c>
      <c r="AN287" s="289">
        <f>AN285+AN286</f>
        <v>-6</v>
      </c>
      <c r="AO287" s="291"/>
      <c r="AP287" s="291">
        <f>AP285+AP286</f>
        <v>-372</v>
      </c>
      <c r="AQ287" s="288"/>
      <c r="AR287" s="289"/>
      <c r="AS287" s="289"/>
      <c r="AT287" s="290"/>
      <c r="AU287" s="289"/>
      <c r="AV287" s="289"/>
      <c r="AW287" s="291"/>
      <c r="AX287" s="291"/>
      <c r="AY287" s="288"/>
      <c r="AZ287" s="289"/>
      <c r="BA287" s="289"/>
      <c r="BB287" s="290"/>
      <c r="BC287" s="289">
        <f>BC285+BC286</f>
        <v>-721</v>
      </c>
      <c r="BD287" s="289">
        <f>BF287-BC287</f>
        <v>0</v>
      </c>
      <c r="BE287" s="291"/>
      <c r="BF287" s="291">
        <f>BF285+BF286</f>
        <v>-721</v>
      </c>
      <c r="BG287" s="288"/>
      <c r="BH287" s="289"/>
      <c r="BI287" s="289"/>
      <c r="BJ287" s="290"/>
      <c r="BK287" s="289">
        <f t="shared" si="299"/>
        <v>-721</v>
      </c>
      <c r="BL287" s="289">
        <f t="shared" si="299"/>
        <v>0</v>
      </c>
      <c r="BM287" s="291"/>
      <c r="BN287" s="291">
        <f t="shared" si="300"/>
        <v>-721</v>
      </c>
      <c r="BO287" s="288"/>
      <c r="BP287" s="289"/>
      <c r="BQ287" s="289"/>
      <c r="BR287" s="290"/>
      <c r="BS287" s="289">
        <f>BS285+BS286</f>
        <v>-815</v>
      </c>
      <c r="BT287" s="289">
        <f>BV287-BS287</f>
        <v>-2</v>
      </c>
      <c r="BU287" s="291"/>
      <c r="BV287" s="291">
        <f>BV285+BV286</f>
        <v>-817</v>
      </c>
      <c r="BW287" s="288"/>
      <c r="BX287" s="289"/>
      <c r="BY287" s="289"/>
      <c r="BZ287" s="290"/>
      <c r="CA287" s="289">
        <f>CA285+CA286</f>
        <v>-3</v>
      </c>
      <c r="CB287" s="289">
        <f t="shared" si="315"/>
        <v>-1</v>
      </c>
      <c r="CC287" s="291"/>
      <c r="CD287" s="291">
        <f>CD285+CD286</f>
        <v>-4</v>
      </c>
      <c r="CE287" s="288"/>
      <c r="CF287" s="289"/>
      <c r="CG287" s="289"/>
      <c r="CH287" s="290"/>
      <c r="CI287" s="289">
        <f>CI285+CI286</f>
        <v>-188</v>
      </c>
      <c r="CJ287" s="289">
        <f t="shared" si="316"/>
        <v>0</v>
      </c>
      <c r="CK287" s="291"/>
      <c r="CL287" s="291">
        <f>CL285+CL286</f>
        <v>-188</v>
      </c>
      <c r="CM287" s="288"/>
      <c r="CN287" s="289"/>
      <c r="CO287" s="289"/>
      <c r="CP287" s="290"/>
      <c r="CQ287" s="289">
        <f>CQ285+CQ286</f>
        <v>-225</v>
      </c>
      <c r="CR287" s="289">
        <f t="shared" si="317"/>
        <v>0</v>
      </c>
      <c r="CS287" s="291"/>
      <c r="CT287" s="291">
        <f>CT285+CT286</f>
        <v>-225</v>
      </c>
      <c r="CU287" s="289"/>
      <c r="CV287" s="289"/>
      <c r="CW287" s="289"/>
      <c r="CX287" s="290"/>
      <c r="CY287" s="289">
        <f>CY285+CY286</f>
        <v>-583</v>
      </c>
      <c r="CZ287" s="289">
        <f>CZ285+CZ286</f>
        <v>0</v>
      </c>
      <c r="DA287" s="291"/>
      <c r="DB287" s="291">
        <f>DB285+DB286</f>
        <v>-583</v>
      </c>
      <c r="DC287" s="289"/>
      <c r="DD287" s="289"/>
      <c r="DE287" s="289"/>
      <c r="DF287" s="290"/>
      <c r="DG287" s="289">
        <f>DG285+DG286</f>
        <v>-965</v>
      </c>
      <c r="DH287" s="289">
        <f>DH285+DH286</f>
        <v>-5</v>
      </c>
      <c r="DI287" s="291"/>
      <c r="DJ287" s="291">
        <f>DJ285+DJ286</f>
        <v>-970</v>
      </c>
      <c r="DK287" s="289"/>
      <c r="DL287" s="289"/>
      <c r="DM287" s="289"/>
      <c r="DN287" s="290"/>
      <c r="DO287" s="289">
        <f>DO285+DO286</f>
        <v>-1269</v>
      </c>
      <c r="DP287" s="289">
        <f>DP285+DP286</f>
        <v>-1</v>
      </c>
      <c r="DQ287" s="291"/>
      <c r="DR287" s="291">
        <f>DR285+DR286</f>
        <v>-1270</v>
      </c>
      <c r="DS287" s="289"/>
      <c r="DT287" s="289"/>
      <c r="DU287" s="289"/>
      <c r="DV287" s="290"/>
      <c r="DW287" s="289">
        <f>DW285+DW286</f>
        <v>-1452</v>
      </c>
      <c r="DX287" s="401">
        <f>DX285+DX286</f>
        <v>-0.57969103834966518</v>
      </c>
      <c r="DY287" s="291"/>
      <c r="DZ287" s="287">
        <f>DZ285+DZ286</f>
        <v>-1452.5796910383497</v>
      </c>
      <c r="EA287" s="289"/>
      <c r="EB287" s="289"/>
      <c r="EC287" s="289"/>
      <c r="ED287" s="290"/>
      <c r="EE287" s="401">
        <f>EE285+EE286</f>
        <v>-1742.0081799562354</v>
      </c>
      <c r="EF287" s="401">
        <f>EF285+EF286</f>
        <v>-31</v>
      </c>
      <c r="EG287" s="291"/>
      <c r="EH287" s="287">
        <f>EH285+EH286</f>
        <v>-1773.0081799562354</v>
      </c>
      <c r="EI287" s="289"/>
      <c r="EJ287" s="289"/>
      <c r="EK287" s="289"/>
      <c r="EL287" s="290"/>
      <c r="EM287" s="401">
        <f>EM285+EM286</f>
        <v>-2308.3119364563263</v>
      </c>
      <c r="EN287" s="401">
        <f>EN285+EN286</f>
        <v>-31</v>
      </c>
      <c r="EO287" s="291"/>
      <c r="EP287" s="287">
        <f>EP285+EP286</f>
        <v>-2339.3119364563263</v>
      </c>
      <c r="EQ287" s="289"/>
      <c r="ER287" s="289"/>
      <c r="ES287" s="289"/>
      <c r="ET287" s="290"/>
      <c r="EU287" s="401">
        <f>EU285+EU286</f>
        <v>-2556.4379500585869</v>
      </c>
      <c r="EV287" s="401">
        <f>EV285+EV286</f>
        <v>-31</v>
      </c>
      <c r="EW287" s="291"/>
      <c r="EX287" s="287">
        <f>EX285+EX286</f>
        <v>-2587.4379500585869</v>
      </c>
      <c r="EY287" s="289"/>
      <c r="EZ287" s="289"/>
      <c r="FA287" s="289"/>
      <c r="FB287" s="290"/>
      <c r="FC287" s="401">
        <f>FC285+FC286</f>
        <v>-2756.1752864289297</v>
      </c>
      <c r="FD287" s="401">
        <f>FD285+FD286</f>
        <v>-31</v>
      </c>
      <c r="FE287" s="291"/>
      <c r="FF287" s="287">
        <f>FF285+FF286</f>
        <v>-2787.1752864289297</v>
      </c>
    </row>
    <row r="288" spans="1:162" ht="11.25" customHeight="1" x14ac:dyDescent="0.2">
      <c r="A288" s="186"/>
      <c r="B288" s="4" t="s">
        <v>416</v>
      </c>
      <c r="C288" s="288"/>
      <c r="D288" s="289"/>
      <c r="E288" s="289"/>
      <c r="F288" s="290"/>
      <c r="G288" s="402">
        <v>-15</v>
      </c>
      <c r="H288" s="402">
        <f t="shared" si="311"/>
        <v>-12</v>
      </c>
      <c r="I288" s="291"/>
      <c r="J288" s="291">
        <v>-27</v>
      </c>
      <c r="K288" s="288"/>
      <c r="L288" s="289"/>
      <c r="M288" s="289"/>
      <c r="N288" s="290"/>
      <c r="O288" s="402">
        <v>-17</v>
      </c>
      <c r="P288" s="402">
        <f t="shared" si="312"/>
        <v>20</v>
      </c>
      <c r="Q288" s="291"/>
      <c r="R288" s="291">
        <v>3</v>
      </c>
      <c r="S288" s="288"/>
      <c r="T288" s="289"/>
      <c r="U288" s="289"/>
      <c r="V288" s="290"/>
      <c r="W288" s="402">
        <v>-11</v>
      </c>
      <c r="X288" s="402">
        <f>Z288-W288</f>
        <v>-3</v>
      </c>
      <c r="Y288" s="291"/>
      <c r="Z288" s="291">
        <v>-14</v>
      </c>
      <c r="AA288" s="288"/>
      <c r="AB288" s="289"/>
      <c r="AC288" s="289"/>
      <c r="AD288" s="290"/>
      <c r="AE288" s="402">
        <v>-12</v>
      </c>
      <c r="AF288" s="402">
        <f>AH288-AE288</f>
        <v>-12</v>
      </c>
      <c r="AG288" s="291"/>
      <c r="AH288" s="291">
        <v>-24</v>
      </c>
      <c r="AI288" s="288"/>
      <c r="AJ288" s="289"/>
      <c r="AK288" s="289"/>
      <c r="AL288" s="290"/>
      <c r="AM288" s="402">
        <v>-11</v>
      </c>
      <c r="AN288" s="402"/>
      <c r="AO288" s="291"/>
      <c r="AP288" s="291"/>
      <c r="AQ288" s="288"/>
      <c r="AR288" s="289"/>
      <c r="AS288" s="289"/>
      <c r="AT288" s="290"/>
      <c r="AU288" s="402"/>
      <c r="AV288" s="402"/>
      <c r="AW288" s="291"/>
      <c r="AX288" s="291"/>
      <c r="AY288" s="288"/>
      <c r="AZ288" s="289"/>
      <c r="BA288" s="289"/>
      <c r="BB288" s="290"/>
      <c r="BC288" s="402">
        <v>1</v>
      </c>
      <c r="BD288" s="402"/>
      <c r="BE288" s="291"/>
      <c r="BF288" s="291"/>
      <c r="BG288" s="288"/>
      <c r="BH288" s="289"/>
      <c r="BI288" s="289"/>
      <c r="BJ288" s="290"/>
      <c r="BK288" s="402">
        <f t="shared" si="299"/>
        <v>1</v>
      </c>
      <c r="BL288" s="402">
        <f t="shared" si="299"/>
        <v>0</v>
      </c>
      <c r="BM288" s="291"/>
      <c r="BN288" s="291">
        <f t="shared" si="300"/>
        <v>0</v>
      </c>
      <c r="BO288" s="288"/>
      <c r="BP288" s="289"/>
      <c r="BQ288" s="289"/>
      <c r="BR288" s="290"/>
      <c r="BS288" s="402">
        <v>883</v>
      </c>
      <c r="BT288" s="402"/>
      <c r="BU288" s="291"/>
      <c r="BV288" s="291"/>
      <c r="BW288" s="288"/>
      <c r="BX288" s="289"/>
      <c r="BY288" s="289"/>
      <c r="BZ288" s="290"/>
      <c r="CA288" s="402">
        <v>-547</v>
      </c>
      <c r="CB288" s="402">
        <f t="shared" si="315"/>
        <v>537</v>
      </c>
      <c r="CC288" s="291"/>
      <c r="CD288" s="291">
        <f>CF!R51</f>
        <v>-10</v>
      </c>
      <c r="CE288" s="288"/>
      <c r="CF288" s="289"/>
      <c r="CG288" s="289"/>
      <c r="CH288" s="290"/>
      <c r="CI288" s="402">
        <v>-8</v>
      </c>
      <c r="CJ288" s="402">
        <f t="shared" si="316"/>
        <v>8</v>
      </c>
      <c r="CK288" s="291"/>
      <c r="CL288" s="291"/>
      <c r="CM288" s="288"/>
      <c r="CN288" s="289"/>
      <c r="CO288" s="289"/>
      <c r="CP288" s="290"/>
      <c r="CQ288" s="402">
        <v>-17</v>
      </c>
      <c r="CR288" s="402">
        <f t="shared" si="317"/>
        <v>0</v>
      </c>
      <c r="CS288" s="291"/>
      <c r="CT288" s="291">
        <f>+CF!T51</f>
        <v>-17</v>
      </c>
      <c r="CU288" s="289"/>
      <c r="CV288" s="289"/>
      <c r="CW288" s="289"/>
      <c r="CX288" s="290"/>
      <c r="CY288" s="402">
        <v>-6</v>
      </c>
      <c r="CZ288" s="289">
        <f>DB288-CY288</f>
        <v>1</v>
      </c>
      <c r="DA288" s="291"/>
      <c r="DB288" s="291">
        <f>+CF!U51</f>
        <v>-5</v>
      </c>
      <c r="DC288" s="289"/>
      <c r="DD288" s="289"/>
      <c r="DE288" s="289"/>
      <c r="DF288" s="290"/>
      <c r="DG288" s="402">
        <v>-9</v>
      </c>
      <c r="DH288" s="289">
        <f>DJ288-DG288</f>
        <v>-12</v>
      </c>
      <c r="DI288" s="291"/>
      <c r="DJ288" s="291">
        <f>+CF!V51</f>
        <v>-21</v>
      </c>
      <c r="DK288" s="289"/>
      <c r="DL288" s="289"/>
      <c r="DM288" s="289"/>
      <c r="DN288" s="290"/>
      <c r="DO288" s="402">
        <v>-13</v>
      </c>
      <c r="DP288" s="289">
        <f>DR288-DO288</f>
        <v>-6</v>
      </c>
      <c r="DQ288" s="291"/>
      <c r="DR288" s="291">
        <f>+CF!W51</f>
        <v>-19</v>
      </c>
      <c r="DS288" s="289"/>
      <c r="DT288" s="289"/>
      <c r="DU288" s="289"/>
      <c r="DV288" s="290"/>
      <c r="DW288" s="402">
        <v>-13</v>
      </c>
      <c r="DX288" s="289"/>
      <c r="DY288" s="291"/>
      <c r="DZ288" s="287">
        <f>+CF!X51</f>
        <v>-13</v>
      </c>
      <c r="EA288" s="289"/>
      <c r="EB288" s="289"/>
      <c r="EC288" s="289"/>
      <c r="ED288" s="290"/>
      <c r="EE288" s="289"/>
      <c r="EF288" s="289"/>
      <c r="EG288" s="291"/>
      <c r="EH288" s="287">
        <f>+CF!Y51</f>
        <v>0</v>
      </c>
      <c r="EI288" s="289"/>
      <c r="EJ288" s="289"/>
      <c r="EK288" s="289"/>
      <c r="EL288" s="290"/>
      <c r="EM288" s="289"/>
      <c r="EN288" s="289"/>
      <c r="EO288" s="291"/>
      <c r="EP288" s="287">
        <f>+CF!Z51</f>
        <v>0</v>
      </c>
      <c r="EQ288" s="289"/>
      <c r="ER288" s="289"/>
      <c r="ES288" s="289"/>
      <c r="ET288" s="290"/>
      <c r="EU288" s="289"/>
      <c r="EV288" s="289"/>
      <c r="EW288" s="291"/>
      <c r="EX288" s="287">
        <f>+CF!AA51</f>
        <v>0</v>
      </c>
      <c r="EY288" s="289"/>
      <c r="EZ288" s="289"/>
      <c r="FA288" s="289"/>
      <c r="FB288" s="290"/>
      <c r="FC288" s="289"/>
      <c r="FD288" s="289"/>
      <c r="FE288" s="291"/>
      <c r="FF288" s="287">
        <f>+CF!AB51</f>
        <v>0</v>
      </c>
    </row>
    <row r="289" spans="1:162" ht="11.25" customHeight="1" x14ac:dyDescent="0.2">
      <c r="A289" s="186"/>
      <c r="B289" s="4" t="s">
        <v>417</v>
      </c>
      <c r="C289" s="288"/>
      <c r="D289" s="289"/>
      <c r="E289" s="289"/>
      <c r="F289" s="290"/>
      <c r="G289" s="402">
        <v>0</v>
      </c>
      <c r="H289" s="402">
        <f t="shared" si="311"/>
        <v>2</v>
      </c>
      <c r="I289" s="291"/>
      <c r="J289" s="291">
        <v>2</v>
      </c>
      <c r="K289" s="288"/>
      <c r="L289" s="289"/>
      <c r="M289" s="289"/>
      <c r="N289" s="290"/>
      <c r="O289" s="402">
        <v>-6</v>
      </c>
      <c r="P289" s="402">
        <f t="shared" si="312"/>
        <v>5</v>
      </c>
      <c r="Q289" s="291"/>
      <c r="R289" s="291">
        <v>-1</v>
      </c>
      <c r="S289" s="288"/>
      <c r="T289" s="289"/>
      <c r="U289" s="289"/>
      <c r="V289" s="290"/>
      <c r="W289" s="402">
        <v>-3</v>
      </c>
      <c r="X289" s="402">
        <f>Z289-W289</f>
        <v>3</v>
      </c>
      <c r="Y289" s="291"/>
      <c r="Z289" s="291">
        <v>0</v>
      </c>
      <c r="AA289" s="288"/>
      <c r="AB289" s="289"/>
      <c r="AC289" s="289"/>
      <c r="AD289" s="290"/>
      <c r="AE289" s="402">
        <v>2</v>
      </c>
      <c r="AF289" s="402">
        <f>AH289-AE289</f>
        <v>-40</v>
      </c>
      <c r="AG289" s="291"/>
      <c r="AH289" s="291">
        <v>-38</v>
      </c>
      <c r="AI289" s="288"/>
      <c r="AJ289" s="289"/>
      <c r="AK289" s="289"/>
      <c r="AL289" s="290"/>
      <c r="AM289" s="402">
        <v>-453</v>
      </c>
      <c r="AN289" s="402"/>
      <c r="AO289" s="291"/>
      <c r="AP289" s="291"/>
      <c r="AQ289" s="288"/>
      <c r="AR289" s="289"/>
      <c r="AS289" s="289"/>
      <c r="AT289" s="290"/>
      <c r="AU289" s="402"/>
      <c r="AV289" s="402"/>
      <c r="AW289" s="291"/>
      <c r="AX289" s="291"/>
      <c r="AY289" s="288"/>
      <c r="AZ289" s="289"/>
      <c r="BA289" s="289"/>
      <c r="BB289" s="290"/>
      <c r="BC289" s="402">
        <v>-117</v>
      </c>
      <c r="BD289" s="402"/>
      <c r="BE289" s="291"/>
      <c r="BF289" s="291"/>
      <c r="BG289" s="288"/>
      <c r="BH289" s="289"/>
      <c r="BI289" s="289"/>
      <c r="BJ289" s="290"/>
      <c r="BK289" s="402">
        <f t="shared" si="299"/>
        <v>-117</v>
      </c>
      <c r="BL289" s="402">
        <f t="shared" si="299"/>
        <v>0</v>
      </c>
      <c r="BM289" s="291"/>
      <c r="BN289" s="291">
        <f t="shared" si="300"/>
        <v>0</v>
      </c>
      <c r="BO289" s="288"/>
      <c r="BP289" s="289"/>
      <c r="BQ289" s="289"/>
      <c r="BR289" s="290"/>
      <c r="BS289" s="402">
        <v>-422</v>
      </c>
      <c r="BT289" s="402"/>
      <c r="BU289" s="291"/>
      <c r="BV289" s="291"/>
      <c r="BW289" s="288"/>
      <c r="BX289" s="289"/>
      <c r="BY289" s="289"/>
      <c r="BZ289" s="290"/>
      <c r="CA289" s="402">
        <v>91</v>
      </c>
      <c r="CB289" s="402">
        <f t="shared" si="315"/>
        <v>5</v>
      </c>
      <c r="CC289" s="291"/>
      <c r="CD289" s="291">
        <f>CF!R49</f>
        <v>96</v>
      </c>
      <c r="CE289" s="288"/>
      <c r="CF289" s="289"/>
      <c r="CG289" s="289"/>
      <c r="CH289" s="290"/>
      <c r="CI289" s="402">
        <v>-77</v>
      </c>
      <c r="CJ289" s="402">
        <f t="shared" si="316"/>
        <v>77</v>
      </c>
      <c r="CK289" s="291"/>
      <c r="CL289" s="291"/>
      <c r="CM289" s="288"/>
      <c r="CN289" s="289"/>
      <c r="CO289" s="289"/>
      <c r="CP289" s="290"/>
      <c r="CQ289" s="402">
        <v>-4</v>
      </c>
      <c r="CR289" s="402">
        <f t="shared" si="317"/>
        <v>-266</v>
      </c>
      <c r="CS289" s="291"/>
      <c r="CT289" s="291">
        <f>+CF!T49</f>
        <v>-270</v>
      </c>
      <c r="CU289" s="289"/>
      <c r="CV289" s="289"/>
      <c r="CW289" s="289"/>
      <c r="CX289" s="290"/>
      <c r="CY289" s="402">
        <v>-931</v>
      </c>
      <c r="CZ289" s="289">
        <f>DB289-CY289</f>
        <v>-604</v>
      </c>
      <c r="DA289" s="291"/>
      <c r="DB289" s="291">
        <f>+CF!U49</f>
        <v>-1535</v>
      </c>
      <c r="DC289" s="289"/>
      <c r="DD289" s="289"/>
      <c r="DE289" s="289"/>
      <c r="DF289" s="290"/>
      <c r="DG289" s="402">
        <v>-574</v>
      </c>
      <c r="DH289" s="289">
        <f>DJ289-DG289</f>
        <v>-746</v>
      </c>
      <c r="DI289" s="291"/>
      <c r="DJ289" s="291">
        <f>+CF!V49</f>
        <v>-1320</v>
      </c>
      <c r="DK289" s="289"/>
      <c r="DL289" s="289"/>
      <c r="DM289" s="289"/>
      <c r="DN289" s="290"/>
      <c r="DO289" s="402">
        <v>-707</v>
      </c>
      <c r="DP289" s="289">
        <f>DR289-DO289</f>
        <v>-651</v>
      </c>
      <c r="DQ289" s="291"/>
      <c r="DR289" s="291">
        <f>+CF!W49</f>
        <v>-1358</v>
      </c>
      <c r="DS289" s="289"/>
      <c r="DT289" s="289"/>
      <c r="DU289" s="289"/>
      <c r="DV289" s="290"/>
      <c r="DW289" s="402">
        <v>-913</v>
      </c>
      <c r="DX289" s="289"/>
      <c r="DY289" s="291"/>
      <c r="DZ289" s="287">
        <f>+CF!X49</f>
        <v>-1250</v>
      </c>
      <c r="EA289" s="289"/>
      <c r="EB289" s="289"/>
      <c r="EC289" s="289"/>
      <c r="ED289" s="290"/>
      <c r="EE289" s="289"/>
      <c r="EF289" s="289"/>
      <c r="EG289" s="291"/>
      <c r="EH289" s="287">
        <f>+CF!Y49</f>
        <v>-1250</v>
      </c>
      <c r="EI289" s="289"/>
      <c r="EJ289" s="289"/>
      <c r="EK289" s="289"/>
      <c r="EL289" s="290"/>
      <c r="EM289" s="289"/>
      <c r="EN289" s="289"/>
      <c r="EO289" s="291"/>
      <c r="EP289" s="287">
        <f>+CF!Z49</f>
        <v>-1250</v>
      </c>
      <c r="EQ289" s="289"/>
      <c r="ER289" s="289"/>
      <c r="ES289" s="289"/>
      <c r="ET289" s="290"/>
      <c r="EU289" s="289"/>
      <c r="EV289" s="289"/>
      <c r="EW289" s="291"/>
      <c r="EX289" s="287">
        <f>+CF!AA49</f>
        <v>0</v>
      </c>
      <c r="EY289" s="289"/>
      <c r="EZ289" s="289"/>
      <c r="FA289" s="289"/>
      <c r="FB289" s="290"/>
      <c r="FC289" s="289"/>
      <c r="FD289" s="289"/>
      <c r="FE289" s="291"/>
      <c r="FF289" s="287">
        <f>+CF!AB49</f>
        <v>0</v>
      </c>
    </row>
    <row r="290" spans="1:162" ht="11.25" customHeight="1" x14ac:dyDescent="0.2">
      <c r="A290" s="186"/>
      <c r="B290" s="4" t="s">
        <v>418</v>
      </c>
      <c r="C290" s="288"/>
      <c r="D290" s="289"/>
      <c r="E290" s="289"/>
      <c r="F290" s="290"/>
      <c r="G290" s="402">
        <v>0</v>
      </c>
      <c r="H290" s="402">
        <f t="shared" si="311"/>
        <v>0</v>
      </c>
      <c r="I290" s="291"/>
      <c r="J290" s="291">
        <v>0</v>
      </c>
      <c r="K290" s="288"/>
      <c r="L290" s="289"/>
      <c r="M290" s="289"/>
      <c r="N290" s="290"/>
      <c r="O290" s="402">
        <v>0</v>
      </c>
      <c r="P290" s="402">
        <f t="shared" si="312"/>
        <v>0</v>
      </c>
      <c r="Q290" s="291"/>
      <c r="R290" s="291">
        <v>0</v>
      </c>
      <c r="S290" s="288"/>
      <c r="T290" s="289"/>
      <c r="U290" s="289"/>
      <c r="V290" s="290"/>
      <c r="W290" s="402">
        <v>-3</v>
      </c>
      <c r="X290" s="402">
        <f>Z290-W290</f>
        <v>-2</v>
      </c>
      <c r="Y290" s="291"/>
      <c r="Z290" s="291">
        <v>-5</v>
      </c>
      <c r="AA290" s="288"/>
      <c r="AB290" s="289"/>
      <c r="AC290" s="289"/>
      <c r="AD290" s="290"/>
      <c r="AE290" s="402">
        <v>-8</v>
      </c>
      <c r="AF290" s="402">
        <f>AH290-AE290</f>
        <v>-1</v>
      </c>
      <c r="AG290" s="291"/>
      <c r="AH290" s="291">
        <v>-9</v>
      </c>
      <c r="AI290" s="288"/>
      <c r="AJ290" s="289"/>
      <c r="AK290" s="289"/>
      <c r="AL290" s="290"/>
      <c r="AM290" s="402">
        <v>-3</v>
      </c>
      <c r="AN290" s="402"/>
      <c r="AO290" s="291"/>
      <c r="AP290" s="291"/>
      <c r="AQ290" s="288"/>
      <c r="AR290" s="289"/>
      <c r="AS290" s="289"/>
      <c r="AT290" s="290"/>
      <c r="AU290" s="402"/>
      <c r="AV290" s="402"/>
      <c r="AW290" s="291"/>
      <c r="AX290" s="291"/>
      <c r="AY290" s="288"/>
      <c r="AZ290" s="289"/>
      <c r="BA290" s="289"/>
      <c r="BB290" s="290"/>
      <c r="BC290" s="402">
        <v>-1</v>
      </c>
      <c r="BD290" s="402"/>
      <c r="BE290" s="291"/>
      <c r="BF290" s="291"/>
      <c r="BG290" s="288"/>
      <c r="BH290" s="289"/>
      <c r="BI290" s="289"/>
      <c r="BJ290" s="290"/>
      <c r="BK290" s="402">
        <f t="shared" si="299"/>
        <v>-1</v>
      </c>
      <c r="BL290" s="402">
        <f t="shared" si="299"/>
        <v>0</v>
      </c>
      <c r="BM290" s="291"/>
      <c r="BN290" s="291">
        <f t="shared" si="300"/>
        <v>0</v>
      </c>
      <c r="BO290" s="288"/>
      <c r="BP290" s="289"/>
      <c r="BQ290" s="289"/>
      <c r="BR290" s="290"/>
      <c r="BS290" s="402">
        <v>-8</v>
      </c>
      <c r="BT290" s="402"/>
      <c r="BU290" s="291"/>
      <c r="BV290" s="291"/>
      <c r="BW290" s="288"/>
      <c r="BX290" s="289"/>
      <c r="BY290" s="289"/>
      <c r="BZ290" s="290"/>
      <c r="CA290" s="402">
        <v>0</v>
      </c>
      <c r="CB290" s="402">
        <f t="shared" si="315"/>
        <v>0</v>
      </c>
      <c r="CC290" s="291"/>
      <c r="CD290" s="291">
        <f>CF!R48</f>
        <v>0</v>
      </c>
      <c r="CE290" s="288"/>
      <c r="CF290" s="289"/>
      <c r="CG290" s="289"/>
      <c r="CH290" s="290"/>
      <c r="CI290" s="402">
        <v>0</v>
      </c>
      <c r="CJ290" s="402">
        <f t="shared" si="316"/>
        <v>0</v>
      </c>
      <c r="CK290" s="291"/>
      <c r="CL290" s="291"/>
      <c r="CM290" s="288"/>
      <c r="CN290" s="289"/>
      <c r="CO290" s="289"/>
      <c r="CP290" s="290"/>
      <c r="CQ290" s="402">
        <v>0</v>
      </c>
      <c r="CR290" s="402">
        <f t="shared" si="317"/>
        <v>0</v>
      </c>
      <c r="CS290" s="291"/>
      <c r="CT290" s="291">
        <f>CF!T48</f>
        <v>0</v>
      </c>
      <c r="CU290" s="289"/>
      <c r="CV290" s="289"/>
      <c r="CW290" s="289"/>
      <c r="CX290" s="290"/>
      <c r="CY290" s="402">
        <v>2</v>
      </c>
      <c r="CZ290" s="289">
        <f>DB290-CY290</f>
        <v>0</v>
      </c>
      <c r="DA290" s="291"/>
      <c r="DB290" s="291">
        <f>CF!U48</f>
        <v>2</v>
      </c>
      <c r="DC290" s="289"/>
      <c r="DD290" s="289"/>
      <c r="DE290" s="289"/>
      <c r="DF290" s="290"/>
      <c r="DG290" s="402">
        <v>0</v>
      </c>
      <c r="DH290" s="289">
        <f>DJ290-DG290</f>
        <v>0</v>
      </c>
      <c r="DI290" s="291"/>
      <c r="DJ290" s="291">
        <f>CF!V48</f>
        <v>0</v>
      </c>
      <c r="DK290" s="289"/>
      <c r="DL290" s="289"/>
      <c r="DM290" s="289"/>
      <c r="DN290" s="290"/>
      <c r="DO290" s="402">
        <v>0</v>
      </c>
      <c r="DP290" s="289">
        <f>DR290-DO290</f>
        <v>6</v>
      </c>
      <c r="DQ290" s="291"/>
      <c r="DR290" s="291">
        <f>CF!W48</f>
        <v>6</v>
      </c>
      <c r="DS290" s="289"/>
      <c r="DT290" s="289"/>
      <c r="DU290" s="289"/>
      <c r="DV290" s="290"/>
      <c r="DW290" s="402">
        <v>10</v>
      </c>
      <c r="DX290" s="289"/>
      <c r="DY290" s="291"/>
      <c r="DZ290" s="287">
        <f>CF!X48</f>
        <v>0</v>
      </c>
      <c r="EA290" s="289"/>
      <c r="EB290" s="289"/>
      <c r="EC290" s="289"/>
      <c r="ED290" s="290"/>
      <c r="EE290" s="289"/>
      <c r="EF290" s="289"/>
      <c r="EG290" s="291"/>
      <c r="EH290" s="287">
        <f>CF!Y48</f>
        <v>0</v>
      </c>
      <c r="EI290" s="289"/>
      <c r="EJ290" s="289"/>
      <c r="EK290" s="289"/>
      <c r="EL290" s="290"/>
      <c r="EM290" s="289"/>
      <c r="EN290" s="289"/>
      <c r="EO290" s="291"/>
      <c r="EP290" s="287">
        <f>CF!Z48</f>
        <v>0</v>
      </c>
      <c r="EQ290" s="289"/>
      <c r="ER290" s="289"/>
      <c r="ES290" s="289"/>
      <c r="ET290" s="290"/>
      <c r="EU290" s="289"/>
      <c r="EV290" s="289"/>
      <c r="EW290" s="291"/>
      <c r="EX290" s="287">
        <f>CF!AA48</f>
        <v>0</v>
      </c>
      <c r="EY290" s="289"/>
      <c r="EZ290" s="289"/>
      <c r="FA290" s="289"/>
      <c r="FB290" s="290"/>
      <c r="FC290" s="289"/>
      <c r="FD290" s="289"/>
      <c r="FE290" s="291"/>
      <c r="FF290" s="287">
        <f>CF!AB48</f>
        <v>0</v>
      </c>
    </row>
    <row r="291" spans="1:162" ht="11.25" customHeight="1" x14ac:dyDescent="0.2">
      <c r="A291" s="4" t="s">
        <v>419</v>
      </c>
      <c r="C291" s="404"/>
      <c r="D291" s="405"/>
      <c r="E291" s="405"/>
      <c r="F291" s="406"/>
      <c r="G291" s="405">
        <f>G288+G289+G290</f>
        <v>-15</v>
      </c>
      <c r="H291" s="402">
        <f>H288+H289+H290</f>
        <v>-10</v>
      </c>
      <c r="I291" s="407"/>
      <c r="J291" s="407">
        <f>J288+J289+J290</f>
        <v>-25</v>
      </c>
      <c r="K291" s="404"/>
      <c r="L291" s="405"/>
      <c r="M291" s="405"/>
      <c r="N291" s="406"/>
      <c r="O291" s="405">
        <f>O288+O289+O290</f>
        <v>-23</v>
      </c>
      <c r="P291" s="402">
        <f>P288+P289+P290</f>
        <v>25</v>
      </c>
      <c r="Q291" s="407"/>
      <c r="R291" s="407">
        <f>R288+R289+R290</f>
        <v>2</v>
      </c>
      <c r="S291" s="404"/>
      <c r="T291" s="405"/>
      <c r="U291" s="405"/>
      <c r="V291" s="406"/>
      <c r="W291" s="405">
        <f>W288+W289+W290</f>
        <v>-17</v>
      </c>
      <c r="X291" s="402">
        <f>X288+X289+X290</f>
        <v>-2</v>
      </c>
      <c r="Y291" s="407"/>
      <c r="Z291" s="407">
        <f>CF!M48+CF!M49+CF!M51+CF!M53</f>
        <v>-19</v>
      </c>
      <c r="AA291" s="404"/>
      <c r="AB291" s="405"/>
      <c r="AC291" s="405"/>
      <c r="AD291" s="406"/>
      <c r="AE291" s="405">
        <f>AE288+AE289+AE290</f>
        <v>-18</v>
      </c>
      <c r="AF291" s="402">
        <f>AF288+AF289+AF290</f>
        <v>-53</v>
      </c>
      <c r="AG291" s="407"/>
      <c r="AH291" s="407">
        <f>CF!N48+CF!N49+CF!N51+CF!N53</f>
        <v>-71</v>
      </c>
      <c r="AI291" s="404"/>
      <c r="AJ291" s="405"/>
      <c r="AK291" s="405"/>
      <c r="AL291" s="406"/>
      <c r="AM291" s="405">
        <f>AM288+AM289+AM290</f>
        <v>-467</v>
      </c>
      <c r="AN291" s="402">
        <f>AP291-AM291</f>
        <v>-11</v>
      </c>
      <c r="AO291" s="407"/>
      <c r="AP291" s="407">
        <f>CF!O48+CF!O49+CF!O51+CF!O53</f>
        <v>-478</v>
      </c>
      <c r="AQ291" s="404"/>
      <c r="AR291" s="405"/>
      <c r="AS291" s="405"/>
      <c r="AT291" s="406"/>
      <c r="AU291" s="405"/>
      <c r="AV291" s="402"/>
      <c r="AW291" s="407"/>
      <c r="AX291" s="407"/>
      <c r="AY291" s="404"/>
      <c r="AZ291" s="405"/>
      <c r="BA291" s="405"/>
      <c r="BB291" s="406"/>
      <c r="BC291" s="405">
        <f>BC288+BC289+BC290</f>
        <v>-117</v>
      </c>
      <c r="BD291" s="402">
        <f t="shared" si="313"/>
        <v>-433</v>
      </c>
      <c r="BE291" s="407"/>
      <c r="BF291" s="407">
        <f>CF!P48+CF!P49+CF!P51+CF!P53</f>
        <v>-550</v>
      </c>
      <c r="BG291" s="404"/>
      <c r="BH291" s="405"/>
      <c r="BI291" s="405"/>
      <c r="BJ291" s="406"/>
      <c r="BK291" s="405">
        <f t="shared" si="299"/>
        <v>-117</v>
      </c>
      <c r="BL291" s="402">
        <f t="shared" si="299"/>
        <v>-433</v>
      </c>
      <c r="BM291" s="407"/>
      <c r="BN291" s="407">
        <f t="shared" si="300"/>
        <v>-550</v>
      </c>
      <c r="BO291" s="404"/>
      <c r="BP291" s="405"/>
      <c r="BQ291" s="405"/>
      <c r="BR291" s="406"/>
      <c r="BS291" s="405">
        <f>BS288+BS289+BS290</f>
        <v>453</v>
      </c>
      <c r="BT291" s="402">
        <f t="shared" si="314"/>
        <v>-1786</v>
      </c>
      <c r="BU291" s="407"/>
      <c r="BV291" s="407">
        <f>CF!Q48+CF!Q49+CF!Q51+CF!Q53</f>
        <v>-1333</v>
      </c>
      <c r="BW291" s="404"/>
      <c r="BX291" s="405"/>
      <c r="BY291" s="405"/>
      <c r="BZ291" s="406"/>
      <c r="CA291" s="405">
        <f>CA288+CA289+CA290</f>
        <v>-456</v>
      </c>
      <c r="CB291" s="402">
        <f t="shared" si="315"/>
        <v>542</v>
      </c>
      <c r="CC291" s="407"/>
      <c r="CD291" s="407">
        <f>CF!R48+CF!R49+CF!R51+CF!R53</f>
        <v>86</v>
      </c>
      <c r="CE291" s="404"/>
      <c r="CF291" s="405"/>
      <c r="CG291" s="405"/>
      <c r="CH291" s="406"/>
      <c r="CI291" s="405">
        <f>CI288+CI289+CI290</f>
        <v>-85</v>
      </c>
      <c r="CJ291" s="402">
        <f t="shared" si="316"/>
        <v>1</v>
      </c>
      <c r="CK291" s="407"/>
      <c r="CL291" s="407">
        <f>CF!S48+CF!S49+CF!S51+CF!S53</f>
        <v>-84</v>
      </c>
      <c r="CM291" s="404"/>
      <c r="CN291" s="405"/>
      <c r="CO291" s="405"/>
      <c r="CP291" s="406"/>
      <c r="CQ291" s="405">
        <f>CQ288+CQ289+CQ290</f>
        <v>-21</v>
      </c>
      <c r="CR291" s="402">
        <f t="shared" si="317"/>
        <v>-266</v>
      </c>
      <c r="CS291" s="407"/>
      <c r="CT291" s="407">
        <f>CT288+CT289+CT290</f>
        <v>-287</v>
      </c>
      <c r="CU291" s="405"/>
      <c r="CV291" s="405"/>
      <c r="CW291" s="405"/>
      <c r="CX291" s="406"/>
      <c r="CY291" s="405">
        <f>CY288+CY289+CY290</f>
        <v>-935</v>
      </c>
      <c r="CZ291" s="405">
        <f>DB291-CY291</f>
        <v>-603</v>
      </c>
      <c r="DA291" s="407"/>
      <c r="DB291" s="407">
        <f>DB288+DB289+DB290</f>
        <v>-1538</v>
      </c>
      <c r="DC291" s="405"/>
      <c r="DD291" s="405"/>
      <c r="DE291" s="405"/>
      <c r="DF291" s="406"/>
      <c r="DG291" s="405">
        <f>DG288+DG289+DG290</f>
        <v>-583</v>
      </c>
      <c r="DH291" s="405">
        <f>DJ291-DG291</f>
        <v>-758</v>
      </c>
      <c r="DI291" s="407"/>
      <c r="DJ291" s="407">
        <f>DJ288+DJ289+DJ290</f>
        <v>-1341</v>
      </c>
      <c r="DK291" s="405"/>
      <c r="DL291" s="405"/>
      <c r="DM291" s="405"/>
      <c r="DN291" s="406"/>
      <c r="DO291" s="405">
        <f>DO288+DO289+DO290</f>
        <v>-720</v>
      </c>
      <c r="DP291" s="405">
        <f>DR291-DO291</f>
        <v>-651</v>
      </c>
      <c r="DQ291" s="407"/>
      <c r="DR291" s="407">
        <f>DR288+DR289+DR290</f>
        <v>-1371</v>
      </c>
      <c r="DS291" s="405"/>
      <c r="DT291" s="405"/>
      <c r="DU291" s="405"/>
      <c r="DV291" s="406"/>
      <c r="DW291" s="405">
        <f>DW288+DW289+DW290</f>
        <v>-916</v>
      </c>
      <c r="DX291" s="408">
        <f>DZ291-DW291</f>
        <v>-347</v>
      </c>
      <c r="DY291" s="407"/>
      <c r="DZ291" s="409">
        <f>CF!X48+CF!X49+CF!X51+CF!X53</f>
        <v>-1263</v>
      </c>
      <c r="EA291" s="405"/>
      <c r="EB291" s="405"/>
      <c r="EC291" s="405"/>
      <c r="ED291" s="406"/>
      <c r="EE291" s="408">
        <f>EH291/2</f>
        <v>-625</v>
      </c>
      <c r="EF291" s="408">
        <f>EH291-EE291</f>
        <v>-625</v>
      </c>
      <c r="EG291" s="407"/>
      <c r="EH291" s="409">
        <f>CF!Y48+CF!Y49+CF!Y51+CF!Y53</f>
        <v>-1250</v>
      </c>
      <c r="EI291" s="405"/>
      <c r="EJ291" s="405"/>
      <c r="EK291" s="405"/>
      <c r="EL291" s="406"/>
      <c r="EM291" s="408">
        <f>EP291/2</f>
        <v>-625</v>
      </c>
      <c r="EN291" s="408">
        <f>EP291-EM291</f>
        <v>-625</v>
      </c>
      <c r="EO291" s="407"/>
      <c r="EP291" s="409">
        <f>CF!Z48+CF!Z49+CF!Z51+CF!Z53</f>
        <v>-1250</v>
      </c>
      <c r="EQ291" s="405"/>
      <c r="ER291" s="405"/>
      <c r="ES291" s="405"/>
      <c r="ET291" s="406"/>
      <c r="EU291" s="408">
        <f>EX291/2</f>
        <v>0</v>
      </c>
      <c r="EV291" s="408">
        <f>EX291-EU291</f>
        <v>0</v>
      </c>
      <c r="EW291" s="407"/>
      <c r="EX291" s="409">
        <f>CF!AA48+CF!AA49+CF!AA51+CF!AA53</f>
        <v>0</v>
      </c>
      <c r="EY291" s="405"/>
      <c r="EZ291" s="405"/>
      <c r="FA291" s="405"/>
      <c r="FB291" s="406"/>
      <c r="FC291" s="408">
        <f>FF291/2</f>
        <v>0</v>
      </c>
      <c r="FD291" s="408">
        <f>FF291-FC291</f>
        <v>0</v>
      </c>
      <c r="FE291" s="407"/>
      <c r="FF291" s="409">
        <f>CF!AB48+CF!AB49+CF!AB51+CF!AB53</f>
        <v>0</v>
      </c>
    </row>
    <row r="292" spans="1:162" ht="11.25" customHeight="1" x14ac:dyDescent="0.2">
      <c r="A292" s="419" t="s">
        <v>420</v>
      </c>
      <c r="B292" s="420"/>
      <c r="C292" s="421"/>
      <c r="D292" s="422"/>
      <c r="E292" s="422"/>
      <c r="F292" s="423"/>
      <c r="G292" s="422">
        <f>G284+G287+G291</f>
        <v>-573</v>
      </c>
      <c r="H292" s="422">
        <f>H284+H287+H291</f>
        <v>-232</v>
      </c>
      <c r="I292" s="425"/>
      <c r="J292" s="425">
        <f>J284+J287+J291</f>
        <v>-805</v>
      </c>
      <c r="K292" s="421"/>
      <c r="L292" s="422"/>
      <c r="M292" s="422"/>
      <c r="N292" s="423"/>
      <c r="O292" s="422">
        <f>O284+O287+O291</f>
        <v>204</v>
      </c>
      <c r="P292" s="422">
        <f>P284+P287+P291</f>
        <v>-545</v>
      </c>
      <c r="Q292" s="425"/>
      <c r="R292" s="425">
        <f>R284+R287+R291</f>
        <v>-341</v>
      </c>
      <c r="S292" s="421"/>
      <c r="T292" s="422"/>
      <c r="U292" s="422"/>
      <c r="V292" s="423"/>
      <c r="W292" s="422">
        <f>W284+W287+W291</f>
        <v>-268</v>
      </c>
      <c r="X292" s="422">
        <f>X284+X287+X291</f>
        <v>-1010</v>
      </c>
      <c r="Y292" s="425"/>
      <c r="Z292" s="425">
        <f>Z284+Z287+Z291</f>
        <v>-1278</v>
      </c>
      <c r="AA292" s="421"/>
      <c r="AB292" s="422"/>
      <c r="AC292" s="422"/>
      <c r="AD292" s="423"/>
      <c r="AE292" s="422">
        <f>AE284+AE287+AE291</f>
        <v>453</v>
      </c>
      <c r="AF292" s="422">
        <f>AF284+AF287+AF291</f>
        <v>-547</v>
      </c>
      <c r="AG292" s="425"/>
      <c r="AH292" s="425">
        <f>AH284+AH287+AH291</f>
        <v>-94</v>
      </c>
      <c r="AI292" s="421"/>
      <c r="AJ292" s="422"/>
      <c r="AK292" s="422"/>
      <c r="AL292" s="423"/>
      <c r="AM292" s="422">
        <f>AM284+AM287+AM291</f>
        <v>1128</v>
      </c>
      <c r="AN292" s="422">
        <f>AN284+AN287+AN291</f>
        <v>-537</v>
      </c>
      <c r="AO292" s="425"/>
      <c r="AP292" s="425">
        <f>AP284+AP287+AP291</f>
        <v>591</v>
      </c>
      <c r="AQ292" s="421"/>
      <c r="AR292" s="422"/>
      <c r="AS292" s="422"/>
      <c r="AT292" s="423"/>
      <c r="AU292" s="422"/>
      <c r="AV292" s="422"/>
      <c r="AW292" s="425"/>
      <c r="AX292" s="425"/>
      <c r="AY292" s="421"/>
      <c r="AZ292" s="422"/>
      <c r="BA292" s="422"/>
      <c r="BB292" s="423"/>
      <c r="BC292" s="422">
        <f>BC284+BC287+BC291</f>
        <v>-1214</v>
      </c>
      <c r="BD292" s="422">
        <f>BD284+BD287+BD291</f>
        <v>-944</v>
      </c>
      <c r="BE292" s="425"/>
      <c r="BF292" s="425">
        <f>BF284+BF287+BF291</f>
        <v>-2158</v>
      </c>
      <c r="BG292" s="421"/>
      <c r="BH292" s="422"/>
      <c r="BI292" s="422"/>
      <c r="BJ292" s="423"/>
      <c r="BK292" s="422">
        <f t="shared" si="299"/>
        <v>-1214</v>
      </c>
      <c r="BL292" s="422">
        <f t="shared" si="299"/>
        <v>-944</v>
      </c>
      <c r="BM292" s="425"/>
      <c r="BN292" s="425">
        <f t="shared" si="300"/>
        <v>-2158</v>
      </c>
      <c r="BO292" s="421"/>
      <c r="BP292" s="422"/>
      <c r="BQ292" s="422"/>
      <c r="BR292" s="423"/>
      <c r="BS292" s="422">
        <f>BS284+BS287+BS291</f>
        <v>-1080</v>
      </c>
      <c r="BT292" s="422">
        <f>BT284+BT287+BT291</f>
        <v>-660</v>
      </c>
      <c r="BU292" s="425"/>
      <c r="BV292" s="425">
        <f>BV284+BV287+BV291</f>
        <v>-1740</v>
      </c>
      <c r="BW292" s="421"/>
      <c r="BX292" s="422"/>
      <c r="BY292" s="422"/>
      <c r="BZ292" s="423"/>
      <c r="CA292" s="422">
        <f>CA284+CA287+CA291</f>
        <v>844</v>
      </c>
      <c r="CB292" s="422">
        <f>CB284+CB287+CB291</f>
        <v>-776</v>
      </c>
      <c r="CC292" s="425"/>
      <c r="CD292" s="425">
        <f>CD284+CD287+CD291</f>
        <v>68</v>
      </c>
      <c r="CE292" s="421"/>
      <c r="CF292" s="422"/>
      <c r="CG292" s="422"/>
      <c r="CH292" s="423"/>
      <c r="CI292" s="422">
        <f>CI284+CI287+CI291</f>
        <v>-420</v>
      </c>
      <c r="CJ292" s="422">
        <f>CJ284+CJ287+CJ291</f>
        <v>152</v>
      </c>
      <c r="CK292" s="425"/>
      <c r="CL292" s="425">
        <f>CL284+CL287+CL291</f>
        <v>-268</v>
      </c>
      <c r="CM292" s="421"/>
      <c r="CN292" s="422"/>
      <c r="CO292" s="422"/>
      <c r="CP292" s="423"/>
      <c r="CQ292" s="422">
        <f>CQ284+CQ287+CQ291</f>
        <v>-520</v>
      </c>
      <c r="CR292" s="422">
        <f>CR284+CR287+CR291</f>
        <v>-295</v>
      </c>
      <c r="CS292" s="425"/>
      <c r="CT292" s="425">
        <f>CT284+CT287+CT291</f>
        <v>-815</v>
      </c>
      <c r="CU292" s="422"/>
      <c r="CV292" s="422"/>
      <c r="CW292" s="422"/>
      <c r="CX292" s="423"/>
      <c r="CY292" s="422">
        <f>CY284+CY287+CY291</f>
        <v>-1789</v>
      </c>
      <c r="CZ292" s="422">
        <f>CZ284+CZ287+CZ291</f>
        <v>-787</v>
      </c>
      <c r="DA292" s="425"/>
      <c r="DB292" s="425">
        <f>DB284+DB287+DB291</f>
        <v>-2576</v>
      </c>
      <c r="DC292" s="422"/>
      <c r="DD292" s="422"/>
      <c r="DE292" s="422"/>
      <c r="DF292" s="423"/>
      <c r="DG292" s="422">
        <f>DG284+DG287+DG291</f>
        <v>-2232</v>
      </c>
      <c r="DH292" s="422">
        <f>DH284+DH287+DH291</f>
        <v>-841</v>
      </c>
      <c r="DI292" s="425"/>
      <c r="DJ292" s="425">
        <f>DJ284+DJ287+DJ291</f>
        <v>-3073</v>
      </c>
      <c r="DK292" s="422"/>
      <c r="DL292" s="422"/>
      <c r="DM292" s="422"/>
      <c r="DN292" s="423"/>
      <c r="DO292" s="422">
        <f>DO284+DO287+DO291</f>
        <v>-1367</v>
      </c>
      <c r="DP292" s="422">
        <f>DP284+DP287+DP291</f>
        <v>-638</v>
      </c>
      <c r="DQ292" s="425"/>
      <c r="DR292" s="425">
        <f>DR284+DR287+DR291</f>
        <v>-2005</v>
      </c>
      <c r="DS292" s="422"/>
      <c r="DT292" s="422"/>
      <c r="DU292" s="422"/>
      <c r="DV292" s="423"/>
      <c r="DW292" s="422">
        <f>DW284+DW287+DW291</f>
        <v>-2871</v>
      </c>
      <c r="DX292" s="426">
        <f>DX284+DX287+DX291</f>
        <v>-347.57969103834967</v>
      </c>
      <c r="DY292" s="425"/>
      <c r="DZ292" s="427">
        <f>DZ284+DZ287+DZ291</f>
        <v>-3218.5796910383497</v>
      </c>
      <c r="EA292" s="422"/>
      <c r="EB292" s="422"/>
      <c r="EC292" s="422"/>
      <c r="ED292" s="423"/>
      <c r="EE292" s="426">
        <f>EE284+EE287+EE291</f>
        <v>-2367.0081799562354</v>
      </c>
      <c r="EF292" s="426">
        <f>EF284+EF287+EF291</f>
        <v>-656</v>
      </c>
      <c r="EG292" s="425"/>
      <c r="EH292" s="427">
        <f>EH284+EH287+EH291</f>
        <v>-3023.0081799562354</v>
      </c>
      <c r="EI292" s="422"/>
      <c r="EJ292" s="422"/>
      <c r="EK292" s="422"/>
      <c r="EL292" s="423"/>
      <c r="EM292" s="426">
        <f>EM284+EM287+EM291</f>
        <v>-2933.3119364563263</v>
      </c>
      <c r="EN292" s="426">
        <f>EN284+EN287+EN291</f>
        <v>-656</v>
      </c>
      <c r="EO292" s="425"/>
      <c r="EP292" s="427">
        <f>EP284+EP287+EP291</f>
        <v>-3589.3119364563263</v>
      </c>
      <c r="EQ292" s="422"/>
      <c r="ER292" s="422"/>
      <c r="ES292" s="422"/>
      <c r="ET292" s="423"/>
      <c r="EU292" s="426">
        <f>EU284+EU287+EU291</f>
        <v>-2556.4379500585869</v>
      </c>
      <c r="EV292" s="426">
        <f>EV284+EV287+EV291</f>
        <v>-31</v>
      </c>
      <c r="EW292" s="425"/>
      <c r="EX292" s="427">
        <f>EX284+EX287+EX291</f>
        <v>-2587.4379500585869</v>
      </c>
      <c r="EY292" s="422"/>
      <c r="EZ292" s="422"/>
      <c r="FA292" s="422"/>
      <c r="FB292" s="423"/>
      <c r="FC292" s="426">
        <f>FC284+FC287+FC291</f>
        <v>-2756.1752864289297</v>
      </c>
      <c r="FD292" s="426">
        <f>FD284+FD287+FD291</f>
        <v>-31</v>
      </c>
      <c r="FE292" s="425"/>
      <c r="FF292" s="427">
        <f>FF284+FF287+FF291</f>
        <v>-2787.1752864289297</v>
      </c>
    </row>
    <row r="293" spans="1:162" ht="11.25" customHeight="1" x14ac:dyDescent="0.2">
      <c r="A293" s="186"/>
      <c r="C293" s="38"/>
      <c r="F293" s="179"/>
      <c r="I293" s="180"/>
      <c r="J293" s="180"/>
      <c r="K293" s="38"/>
      <c r="N293" s="179"/>
      <c r="Q293" s="180"/>
      <c r="R293" s="180"/>
      <c r="S293" s="38"/>
      <c r="V293" s="179"/>
      <c r="Y293" s="180"/>
      <c r="Z293" s="180"/>
      <c r="AA293" s="38"/>
      <c r="AD293" s="179"/>
      <c r="AG293" s="180"/>
      <c r="AH293" s="180"/>
      <c r="AI293" s="38"/>
      <c r="AL293" s="179"/>
      <c r="AO293" s="180"/>
      <c r="AP293" s="180"/>
      <c r="AQ293" s="38"/>
      <c r="AT293" s="179"/>
      <c r="AW293" s="180"/>
      <c r="AX293" s="180"/>
      <c r="AY293" s="38"/>
      <c r="BB293" s="179"/>
      <c r="BE293" s="180"/>
      <c r="BF293" s="180"/>
      <c r="BG293" s="38"/>
      <c r="BJ293" s="179"/>
      <c r="BM293" s="180"/>
      <c r="BN293" s="180"/>
      <c r="BO293" s="38"/>
      <c r="BR293" s="179"/>
      <c r="BU293" s="180"/>
      <c r="BV293" s="180"/>
      <c r="BW293" s="38"/>
      <c r="BZ293" s="179"/>
      <c r="CC293" s="180"/>
      <c r="CD293" s="180"/>
      <c r="CE293" s="38"/>
      <c r="CH293" s="179"/>
      <c r="CK293" s="180"/>
      <c r="CL293" s="180"/>
      <c r="CM293" s="38"/>
      <c r="CP293" s="179"/>
      <c r="CS293" s="180"/>
      <c r="CT293" s="180"/>
      <c r="CX293" s="179"/>
      <c r="DA293" s="180"/>
      <c r="DB293" s="180"/>
      <c r="DF293" s="179"/>
      <c r="DI293" s="180"/>
      <c r="DJ293" s="180"/>
      <c r="DN293" s="179"/>
      <c r="DQ293" s="180"/>
      <c r="DR293" s="180"/>
      <c r="DV293" s="179"/>
      <c r="DY293" s="180"/>
      <c r="DZ293" s="180"/>
      <c r="ED293" s="179"/>
      <c r="EG293" s="180"/>
      <c r="EH293" s="180"/>
      <c r="EL293" s="179"/>
      <c r="EO293" s="180"/>
      <c r="EP293" s="180"/>
      <c r="ET293" s="179"/>
      <c r="EW293" s="180"/>
      <c r="EX293" s="180"/>
      <c r="FB293" s="179"/>
      <c r="FE293" s="180"/>
      <c r="FF293" s="180"/>
    </row>
    <row r="294" spans="1:162" ht="11.25" customHeight="1" x14ac:dyDescent="0.2">
      <c r="A294" s="4" t="s">
        <v>421</v>
      </c>
      <c r="C294" s="38"/>
      <c r="F294" s="179"/>
      <c r="G294" s="402"/>
      <c r="I294" s="180"/>
      <c r="J294" s="180"/>
      <c r="K294" s="38"/>
      <c r="N294" s="179"/>
      <c r="O294" s="402"/>
      <c r="Q294" s="180"/>
      <c r="R294" s="180"/>
      <c r="S294" s="38"/>
      <c r="V294" s="179"/>
      <c r="W294" s="402"/>
      <c r="Y294" s="180"/>
      <c r="Z294" s="180"/>
      <c r="AA294" s="38"/>
      <c r="AD294" s="179"/>
      <c r="AE294" s="402"/>
      <c r="AG294" s="180"/>
      <c r="AH294" s="180">
        <f>171-111-8</f>
        <v>52</v>
      </c>
      <c r="AI294" s="38"/>
      <c r="AL294" s="179"/>
      <c r="AM294" s="402">
        <f>14-52-139</f>
        <v>-177</v>
      </c>
      <c r="AO294" s="180"/>
      <c r="AP294" s="180"/>
      <c r="AQ294" s="38"/>
      <c r="AT294" s="179"/>
      <c r="AU294" s="402"/>
      <c r="AW294" s="180"/>
      <c r="AX294" s="180"/>
      <c r="AY294" s="38"/>
      <c r="BB294" s="179"/>
      <c r="BC294" s="402">
        <v>0</v>
      </c>
      <c r="BE294" s="180"/>
      <c r="BF294" s="180"/>
      <c r="BG294" s="38"/>
      <c r="BJ294" s="179"/>
      <c r="BK294" s="402">
        <f t="shared" ref="BK294:BK301" si="318">BC294</f>
        <v>0</v>
      </c>
      <c r="BM294" s="180"/>
      <c r="BN294" s="180"/>
      <c r="BO294" s="38"/>
      <c r="BR294" s="179"/>
      <c r="BS294" s="402"/>
      <c r="BU294" s="180"/>
      <c r="BV294" s="180"/>
      <c r="BW294" s="38"/>
      <c r="BZ294" s="179"/>
      <c r="CA294" s="402">
        <v>0</v>
      </c>
      <c r="CB294" s="4">
        <f>CD294-CA294</f>
        <v>0</v>
      </c>
      <c r="CC294" s="180"/>
      <c r="CD294" s="180"/>
      <c r="CE294" s="38"/>
      <c r="CH294" s="179"/>
      <c r="CI294" s="402">
        <v>0</v>
      </c>
      <c r="CJ294" s="4">
        <f>CL294-CI294</f>
        <v>0</v>
      </c>
      <c r="CK294" s="180"/>
      <c r="CL294" s="180"/>
      <c r="CM294" s="38"/>
      <c r="CP294" s="179"/>
      <c r="CQ294" s="402">
        <v>0</v>
      </c>
      <c r="CR294" s="4">
        <f>CT294-CQ294</f>
        <v>0</v>
      </c>
      <c r="CS294" s="180"/>
      <c r="CT294" s="180">
        <v>0</v>
      </c>
      <c r="CX294" s="179"/>
      <c r="CY294" s="402">
        <v>0</v>
      </c>
      <c r="CZ294" s="289">
        <f>DB294-CY294</f>
        <v>0</v>
      </c>
      <c r="DA294" s="180"/>
      <c r="DB294" s="180">
        <v>0</v>
      </c>
      <c r="DF294" s="179"/>
      <c r="DG294" s="402">
        <v>0</v>
      </c>
      <c r="DH294" s="289">
        <f>DJ294-DG294</f>
        <v>0</v>
      </c>
      <c r="DI294" s="180"/>
      <c r="DJ294" s="180">
        <v>0</v>
      </c>
      <c r="DN294" s="179"/>
      <c r="DO294" s="402">
        <v>0</v>
      </c>
      <c r="DP294" s="289">
        <f>DR294-DO294</f>
        <v>0</v>
      </c>
      <c r="DQ294" s="180"/>
      <c r="DR294" s="180">
        <v>0</v>
      </c>
      <c r="DV294" s="179"/>
      <c r="DW294" s="402">
        <v>0</v>
      </c>
      <c r="DY294" s="180"/>
      <c r="DZ294" s="180"/>
      <c r="ED294" s="179"/>
      <c r="EG294" s="180"/>
      <c r="EH294" s="180"/>
      <c r="EL294" s="179"/>
      <c r="EO294" s="180"/>
      <c r="EP294" s="180"/>
      <c r="ET294" s="179"/>
      <c r="EW294" s="180"/>
      <c r="EX294" s="180"/>
      <c r="FB294" s="179"/>
      <c r="FE294" s="180"/>
      <c r="FF294" s="180"/>
    </row>
    <row r="295" spans="1:162" ht="11.25" customHeight="1" x14ac:dyDescent="0.2">
      <c r="A295" s="4" t="s">
        <v>275</v>
      </c>
      <c r="C295" s="288"/>
      <c r="D295" s="289"/>
      <c r="E295" s="289"/>
      <c r="F295" s="290"/>
      <c r="G295" s="289">
        <v>-4</v>
      </c>
      <c r="H295" s="4">
        <f>J295-G295</f>
        <v>-11</v>
      </c>
      <c r="I295" s="291"/>
      <c r="J295" s="291">
        <v>-15</v>
      </c>
      <c r="K295" s="288"/>
      <c r="L295" s="289"/>
      <c r="M295" s="289"/>
      <c r="N295" s="290"/>
      <c r="O295" s="289">
        <v>3</v>
      </c>
      <c r="P295" s="4">
        <f>R295-O295</f>
        <v>21</v>
      </c>
      <c r="Q295" s="291"/>
      <c r="R295" s="291">
        <v>24</v>
      </c>
      <c r="S295" s="288"/>
      <c r="T295" s="289"/>
      <c r="U295" s="289"/>
      <c r="V295" s="290"/>
      <c r="W295" s="289">
        <v>12</v>
      </c>
      <c r="X295" s="4">
        <f>Z295-W295</f>
        <v>-7</v>
      </c>
      <c r="Y295" s="291"/>
      <c r="Z295" s="291">
        <f>CF!M63</f>
        <v>5</v>
      </c>
      <c r="AA295" s="288"/>
      <c r="AB295" s="289"/>
      <c r="AC295" s="289"/>
      <c r="AD295" s="290"/>
      <c r="AE295" s="289">
        <v>-3</v>
      </c>
      <c r="AG295" s="291"/>
      <c r="AH295" s="291">
        <f>CF!N63</f>
        <v>15</v>
      </c>
      <c r="AI295" s="288"/>
      <c r="AJ295" s="289"/>
      <c r="AK295" s="289"/>
      <c r="AL295" s="290"/>
      <c r="AM295" s="289">
        <v>-17</v>
      </c>
      <c r="AO295" s="291"/>
      <c r="AP295" s="291">
        <f>CF!O63</f>
        <v>-17</v>
      </c>
      <c r="AQ295" s="288"/>
      <c r="AR295" s="289"/>
      <c r="AS295" s="289"/>
      <c r="AT295" s="290"/>
      <c r="AU295" s="289"/>
      <c r="AW295" s="291"/>
      <c r="AX295" s="291"/>
      <c r="AY295" s="288"/>
      <c r="AZ295" s="289"/>
      <c r="BA295" s="289"/>
      <c r="BB295" s="290"/>
      <c r="BC295" s="289">
        <v>-2</v>
      </c>
      <c r="BE295" s="291"/>
      <c r="BF295" s="291">
        <f>CF!P63</f>
        <v>-3</v>
      </c>
      <c r="BG295" s="288"/>
      <c r="BH295" s="289"/>
      <c r="BI295" s="289"/>
      <c r="BJ295" s="290"/>
      <c r="BK295" s="289">
        <f t="shared" si="318"/>
        <v>-2</v>
      </c>
      <c r="BM295" s="291"/>
      <c r="BN295" s="291">
        <f t="shared" ref="BN295:BN301" si="319">BF295</f>
        <v>-3</v>
      </c>
      <c r="BO295" s="288"/>
      <c r="BP295" s="289"/>
      <c r="BQ295" s="289"/>
      <c r="BR295" s="290"/>
      <c r="BS295" s="289">
        <v>1</v>
      </c>
      <c r="BT295" s="4">
        <v>1</v>
      </c>
      <c r="BU295" s="291"/>
      <c r="BV295" s="291">
        <f>CF!Q63</f>
        <v>2</v>
      </c>
      <c r="BW295" s="288"/>
      <c r="BX295" s="289"/>
      <c r="BY295" s="289"/>
      <c r="BZ295" s="290"/>
      <c r="CA295" s="289">
        <v>-10</v>
      </c>
      <c r="CB295" s="4">
        <f>CD295-CA295</f>
        <v>-10</v>
      </c>
      <c r="CC295" s="291"/>
      <c r="CD295" s="291">
        <f>CF!R63</f>
        <v>-20</v>
      </c>
      <c r="CE295" s="288"/>
      <c r="CF295" s="289"/>
      <c r="CG295" s="289"/>
      <c r="CH295" s="290"/>
      <c r="CI295" s="289">
        <v>45</v>
      </c>
      <c r="CJ295" s="4">
        <f>CL295-CI295</f>
        <v>25</v>
      </c>
      <c r="CK295" s="291"/>
      <c r="CL295" s="291">
        <f>CF!S63</f>
        <v>70</v>
      </c>
      <c r="CM295" s="288"/>
      <c r="CN295" s="289"/>
      <c r="CO295" s="289"/>
      <c r="CP295" s="290"/>
      <c r="CQ295" s="289">
        <v>16</v>
      </c>
      <c r="CR295" s="4">
        <f>CT295-CQ295</f>
        <v>-18</v>
      </c>
      <c r="CS295" s="291"/>
      <c r="CT295" s="291">
        <f>CF!T63</f>
        <v>-2</v>
      </c>
      <c r="CU295" s="289"/>
      <c r="CV295" s="289"/>
      <c r="CW295" s="289"/>
      <c r="CX295" s="290"/>
      <c r="CY295" s="289">
        <v>1</v>
      </c>
      <c r="CZ295" s="289">
        <f>DB295-CY295</f>
        <v>-2</v>
      </c>
      <c r="DA295" s="291"/>
      <c r="DB295" s="291">
        <f>CF!U63</f>
        <v>-1</v>
      </c>
      <c r="DC295" s="289"/>
      <c r="DD295" s="289"/>
      <c r="DE295" s="289"/>
      <c r="DF295" s="290"/>
      <c r="DG295" s="289">
        <v>20</v>
      </c>
      <c r="DH295" s="289">
        <f>DJ295-DG295</f>
        <v>6</v>
      </c>
      <c r="DI295" s="291"/>
      <c r="DJ295" s="291">
        <f>CF!V63</f>
        <v>26</v>
      </c>
      <c r="DK295" s="289"/>
      <c r="DL295" s="289"/>
      <c r="DM295" s="289"/>
      <c r="DN295" s="290"/>
      <c r="DO295" s="289">
        <v>-54</v>
      </c>
      <c r="DP295" s="289">
        <f>DR295-DO295</f>
        <v>-3</v>
      </c>
      <c r="DQ295" s="291"/>
      <c r="DR295" s="291">
        <f>CF!W63</f>
        <v>-57</v>
      </c>
      <c r="DS295" s="289"/>
      <c r="DT295" s="289"/>
      <c r="DU295" s="289"/>
      <c r="DV295" s="290"/>
      <c r="DW295" s="289">
        <v>19</v>
      </c>
      <c r="DX295" s="401">
        <f>DZ295-DW295</f>
        <v>0</v>
      </c>
      <c r="DY295" s="291"/>
      <c r="DZ295" s="287">
        <f>CF!X63</f>
        <v>19</v>
      </c>
      <c r="EA295" s="289"/>
      <c r="EB295" s="289"/>
      <c r="EC295" s="289"/>
      <c r="ED295" s="290"/>
      <c r="EE295" s="401">
        <f>EH295/2</f>
        <v>0</v>
      </c>
      <c r="EF295" s="401">
        <f>EH295-EE295</f>
        <v>0</v>
      </c>
      <c r="EG295" s="291"/>
      <c r="EH295" s="287">
        <f>CF!Y63</f>
        <v>0</v>
      </c>
      <c r="EI295" s="289"/>
      <c r="EJ295" s="289"/>
      <c r="EK295" s="289"/>
      <c r="EL295" s="290"/>
      <c r="EM295" s="401">
        <f>EP295/2</f>
        <v>0</v>
      </c>
      <c r="EN295" s="401">
        <f>EP295-EM295</f>
        <v>0</v>
      </c>
      <c r="EO295" s="291"/>
      <c r="EP295" s="287">
        <f>CF!Z63</f>
        <v>0</v>
      </c>
      <c r="EQ295" s="289"/>
      <c r="ER295" s="289"/>
      <c r="ES295" s="289"/>
      <c r="ET295" s="290"/>
      <c r="EU295" s="401">
        <f>EX295/2</f>
        <v>0</v>
      </c>
      <c r="EV295" s="401">
        <f>EX295-EU295</f>
        <v>0</v>
      </c>
      <c r="EW295" s="291"/>
      <c r="EX295" s="287">
        <f>CF!AA63</f>
        <v>0</v>
      </c>
      <c r="EY295" s="289"/>
      <c r="EZ295" s="289"/>
      <c r="FA295" s="289"/>
      <c r="FB295" s="290"/>
      <c r="FC295" s="401">
        <f>FF295/2</f>
        <v>0</v>
      </c>
      <c r="FD295" s="401">
        <f>FF295-FC295</f>
        <v>0</v>
      </c>
      <c r="FE295" s="291"/>
      <c r="FF295" s="287">
        <f>CF!AB63</f>
        <v>0</v>
      </c>
    </row>
    <row r="296" spans="1:162" ht="11.25" customHeight="1" x14ac:dyDescent="0.2">
      <c r="A296" s="186" t="s">
        <v>422</v>
      </c>
      <c r="C296" s="395"/>
      <c r="D296" s="396"/>
      <c r="E296" s="396"/>
      <c r="F296" s="397"/>
      <c r="G296" s="396">
        <f>G273+G282+G292+G295</f>
        <v>-515</v>
      </c>
      <c r="H296" s="396">
        <f>H273+H282+H292+H295</f>
        <v>-21</v>
      </c>
      <c r="I296" s="398"/>
      <c r="J296" s="398">
        <f>J273+J282+J292+J295</f>
        <v>-536</v>
      </c>
      <c r="K296" s="395"/>
      <c r="L296" s="396"/>
      <c r="M296" s="396"/>
      <c r="N296" s="397"/>
      <c r="O296" s="396">
        <f>O273+O282+O292+O295</f>
        <v>-24</v>
      </c>
      <c r="P296" s="396">
        <f>P273+P282+P292+P295</f>
        <v>110</v>
      </c>
      <c r="Q296" s="398"/>
      <c r="R296" s="398">
        <f>R273+R282+R292+R295</f>
        <v>86</v>
      </c>
      <c r="S296" s="395"/>
      <c r="T296" s="396"/>
      <c r="U296" s="396"/>
      <c r="V296" s="397"/>
      <c r="W296" s="396">
        <f>W273+W282+W292+W295</f>
        <v>156</v>
      </c>
      <c r="X296" s="396">
        <f>X273+X282+X292+X295</f>
        <v>56</v>
      </c>
      <c r="Y296" s="398"/>
      <c r="Z296" s="398">
        <f>Z273+Z282+Z292+Z295</f>
        <v>212</v>
      </c>
      <c r="AA296" s="395"/>
      <c r="AB296" s="396"/>
      <c r="AC296" s="396"/>
      <c r="AD296" s="397"/>
      <c r="AE296" s="396">
        <f>AE273+AE282+AE292+AE295</f>
        <v>526</v>
      </c>
      <c r="AF296" s="396"/>
      <c r="AG296" s="398"/>
      <c r="AH296" s="398">
        <f>AH273+AH282+AH292+AH294+AH295</f>
        <v>261</v>
      </c>
      <c r="AI296" s="395"/>
      <c r="AJ296" s="396"/>
      <c r="AK296" s="396"/>
      <c r="AL296" s="397"/>
      <c r="AM296" s="396">
        <f>AM273+AM282+AM292+AM294+AM295</f>
        <v>4645</v>
      </c>
      <c r="AN296" s="396"/>
      <c r="AO296" s="398"/>
      <c r="AP296" s="398">
        <f>AP273+AP282+AP292+AP295</f>
        <v>3044</v>
      </c>
      <c r="AQ296" s="395"/>
      <c r="AR296" s="396"/>
      <c r="AS296" s="396"/>
      <c r="AT296" s="397"/>
      <c r="AU296" s="396"/>
      <c r="AV296" s="396"/>
      <c r="AW296" s="398"/>
      <c r="AX296" s="398"/>
      <c r="AY296" s="395"/>
      <c r="AZ296" s="396"/>
      <c r="BA296" s="396"/>
      <c r="BB296" s="397"/>
      <c r="BC296" s="396">
        <f>BC273+BC282+BC292+BC294+BC295</f>
        <v>-2534</v>
      </c>
      <c r="BD296" s="396"/>
      <c r="BE296" s="398"/>
      <c r="BF296" s="398">
        <f>BF273+BF282+BF292+BF295</f>
        <v>-2584</v>
      </c>
      <c r="BG296" s="395"/>
      <c r="BH296" s="396"/>
      <c r="BI296" s="396"/>
      <c r="BJ296" s="397"/>
      <c r="BK296" s="396">
        <f t="shared" si="318"/>
        <v>-2534</v>
      </c>
      <c r="BL296" s="396"/>
      <c r="BM296" s="398"/>
      <c r="BN296" s="398">
        <f t="shared" si="319"/>
        <v>-2584</v>
      </c>
      <c r="BO296" s="395"/>
      <c r="BP296" s="396"/>
      <c r="BQ296" s="396"/>
      <c r="BR296" s="397"/>
      <c r="BS296" s="396">
        <f>BS273+BS282+BS292+BS294+BS295</f>
        <v>140</v>
      </c>
      <c r="BT296" s="396">
        <f>BT273+BT282+BT292+BT294+BT295</f>
        <v>162</v>
      </c>
      <c r="BU296" s="398"/>
      <c r="BV296" s="398">
        <f>BV273+BV282+BV292+BV295</f>
        <v>302</v>
      </c>
      <c r="BW296" s="395"/>
      <c r="BX296" s="396"/>
      <c r="BY296" s="396"/>
      <c r="BZ296" s="397"/>
      <c r="CA296" s="396">
        <f>CA273+CA282+CA292+CA294+CA295</f>
        <v>1741</v>
      </c>
      <c r="CB296" s="396">
        <f>CB273+CB282+CB292+CB294+CB295</f>
        <v>-626</v>
      </c>
      <c r="CC296" s="398"/>
      <c r="CD296" s="398">
        <f>CD273+CD282+CD292+CD295</f>
        <v>1115</v>
      </c>
      <c r="CE296" s="395"/>
      <c r="CF296" s="396"/>
      <c r="CG296" s="396"/>
      <c r="CH296" s="397"/>
      <c r="CI296" s="396">
        <f>CI273+CI282+CI292+CI294+CI295</f>
        <v>180</v>
      </c>
      <c r="CJ296" s="396">
        <f>CJ273+CJ282+CJ292+CJ294+CJ295</f>
        <v>1320</v>
      </c>
      <c r="CK296" s="398"/>
      <c r="CL296" s="398">
        <f>CL273+CL282+CL292+CL295</f>
        <v>1500</v>
      </c>
      <c r="CM296" s="395"/>
      <c r="CN296" s="396"/>
      <c r="CO296" s="396"/>
      <c r="CP296" s="397"/>
      <c r="CQ296" s="396">
        <f>CQ273+CQ282+CQ292+CQ294+CQ295</f>
        <v>961</v>
      </c>
      <c r="CR296" s="396">
        <f>CR273+CR282+CR292+CR294+CR295</f>
        <v>479</v>
      </c>
      <c r="CS296" s="398"/>
      <c r="CT296" s="398">
        <f>CT273+CT282+CT292+CT295</f>
        <v>1440</v>
      </c>
      <c r="CU296" s="396"/>
      <c r="CV296" s="396"/>
      <c r="CW296" s="396"/>
      <c r="CX296" s="397"/>
      <c r="CY296" s="396">
        <f>CY273+CY282+CY292+CY294+CY295</f>
        <v>-540</v>
      </c>
      <c r="CZ296" s="396">
        <f>CZ273+CZ282+CZ292+CZ295</f>
        <v>529</v>
      </c>
      <c r="DA296" s="398"/>
      <c r="DB296" s="398">
        <f>DB273+DB282+DB292+DB295</f>
        <v>-11</v>
      </c>
      <c r="DC296" s="396"/>
      <c r="DD296" s="396"/>
      <c r="DE296" s="396"/>
      <c r="DF296" s="397"/>
      <c r="DG296" s="396">
        <f>DG273+DG282+DG292+DG294+DG295</f>
        <v>-977</v>
      </c>
      <c r="DH296" s="396">
        <f>DH273+DH282+DH292+DH295</f>
        <v>815</v>
      </c>
      <c r="DI296" s="398"/>
      <c r="DJ296" s="398">
        <f>DJ273+DJ282+DJ292+DJ295</f>
        <v>-162</v>
      </c>
      <c r="DK296" s="396"/>
      <c r="DL296" s="396"/>
      <c r="DM296" s="396"/>
      <c r="DN296" s="397"/>
      <c r="DO296" s="396">
        <f>DO273+DO282+DO292+DO294+DO295</f>
        <v>193</v>
      </c>
      <c r="DP296" s="396">
        <f>DP273+DP282+DP292+DP295</f>
        <v>82</v>
      </c>
      <c r="DQ296" s="398"/>
      <c r="DR296" s="398">
        <f>DR273+DR282+DR292+DR295</f>
        <v>275</v>
      </c>
      <c r="DS296" s="396"/>
      <c r="DT296" s="396"/>
      <c r="DU296" s="396"/>
      <c r="DV296" s="397"/>
      <c r="DW296" s="396">
        <f>DW273+DW282+DW292+DW294+DW295</f>
        <v>-282</v>
      </c>
      <c r="DX296" s="399">
        <f>DX273+DX282+DX292+DX295</f>
        <v>2290.1282082866701</v>
      </c>
      <c r="DY296" s="398"/>
      <c r="DZ296" s="400">
        <f>DZ273+DZ282+DZ292+DZ295</f>
        <v>2011.5518355188215</v>
      </c>
      <c r="EA296" s="396"/>
      <c r="EB296" s="396"/>
      <c r="EC296" s="396"/>
      <c r="ED296" s="397"/>
      <c r="EE296" s="399">
        <f>EE273+EE282+EE292+EE295</f>
        <v>-1064.8898846380721</v>
      </c>
      <c r="EF296" s="399">
        <f>EF273+EF282+EF292+EF295</f>
        <v>3693.5017502015817</v>
      </c>
      <c r="EG296" s="398"/>
      <c r="EH296" s="400">
        <f>EH273+EH282+EH292+EH295</f>
        <v>2628.6118655635041</v>
      </c>
      <c r="EI296" s="396"/>
      <c r="EJ296" s="396"/>
      <c r="EK296" s="396"/>
      <c r="EL296" s="397"/>
      <c r="EM296" s="399">
        <f>EM273+EM282+EM292+EM295</f>
        <v>-1549.298695662892</v>
      </c>
      <c r="EN296" s="399">
        <f>EN273+EN282+EN292+EN295</f>
        <v>3977.0094083549229</v>
      </c>
      <c r="EO296" s="398"/>
      <c r="EP296" s="400">
        <f>EP273+EP282+EP292+EP295</f>
        <v>2427.71071269202</v>
      </c>
      <c r="EQ296" s="396"/>
      <c r="ER296" s="396"/>
      <c r="ES296" s="396"/>
      <c r="ET296" s="397"/>
      <c r="EU296" s="399">
        <f>EU273+EU282+EU292+EU295</f>
        <v>-1046.5213234385251</v>
      </c>
      <c r="EV296" s="399">
        <f>EV273+EV282+EV292+EV295</f>
        <v>4926.3447469088551</v>
      </c>
      <c r="EW296" s="398"/>
      <c r="EX296" s="400">
        <f>EX273+EX282+EX292+EX295</f>
        <v>3879.8234234703273</v>
      </c>
      <c r="EY296" s="396"/>
      <c r="EZ296" s="396"/>
      <c r="FA296" s="396"/>
      <c r="FB296" s="397"/>
      <c r="FC296" s="399">
        <f>FC273+FC282+FC292+FC295</f>
        <v>-1222.4910400569822</v>
      </c>
      <c r="FD296" s="399">
        <f>FD273+FD282+FD292+FD295</f>
        <v>5023.3978429940962</v>
      </c>
      <c r="FE296" s="398"/>
      <c r="FF296" s="400">
        <f>FF273+FF282+FF292+FF295</f>
        <v>3800.9068029371088</v>
      </c>
    </row>
    <row r="297" spans="1:162" ht="11.25" customHeight="1" x14ac:dyDescent="0.2">
      <c r="A297" s="4" t="s">
        <v>423</v>
      </c>
      <c r="C297" s="288"/>
      <c r="D297" s="289"/>
      <c r="E297" s="289"/>
      <c r="F297" s="290"/>
      <c r="G297" s="289">
        <v>2083</v>
      </c>
      <c r="H297" s="289">
        <f>G298</f>
        <v>1568</v>
      </c>
      <c r="I297" s="291"/>
      <c r="J297" s="291">
        <v>2083</v>
      </c>
      <c r="K297" s="288"/>
      <c r="L297" s="289"/>
      <c r="M297" s="289"/>
      <c r="N297" s="290"/>
      <c r="O297" s="289">
        <f>J298</f>
        <v>1547</v>
      </c>
      <c r="P297" s="289">
        <f>O298</f>
        <v>1523</v>
      </c>
      <c r="Q297" s="291"/>
      <c r="R297" s="291">
        <f>O297</f>
        <v>1547</v>
      </c>
      <c r="S297" s="288"/>
      <c r="T297" s="289"/>
      <c r="U297" s="289"/>
      <c r="V297" s="290"/>
      <c r="W297" s="289">
        <f>R298</f>
        <v>1633</v>
      </c>
      <c r="X297" s="289">
        <f>W298</f>
        <v>1789</v>
      </c>
      <c r="Y297" s="291"/>
      <c r="Z297" s="291">
        <f>R298</f>
        <v>1633</v>
      </c>
      <c r="AA297" s="288"/>
      <c r="AB297" s="289"/>
      <c r="AC297" s="289"/>
      <c r="AD297" s="290"/>
      <c r="AE297" s="289">
        <f>Z298</f>
        <v>1845</v>
      </c>
      <c r="AF297" s="289"/>
      <c r="AG297" s="291"/>
      <c r="AH297" s="291">
        <f>Z298</f>
        <v>1845</v>
      </c>
      <c r="AI297" s="288"/>
      <c r="AJ297" s="289"/>
      <c r="AK297" s="289"/>
      <c r="AL297" s="290"/>
      <c r="AM297" s="289">
        <f>1926+180</f>
        <v>2106</v>
      </c>
      <c r="AN297" s="289"/>
      <c r="AO297" s="291"/>
      <c r="AP297" s="291">
        <f>AH298</f>
        <v>1926</v>
      </c>
      <c r="AQ297" s="288"/>
      <c r="AR297" s="289"/>
      <c r="AS297" s="289"/>
      <c r="AT297" s="290"/>
      <c r="AU297" s="289"/>
      <c r="AV297" s="289"/>
      <c r="AW297" s="291"/>
      <c r="AX297" s="291"/>
      <c r="AY297" s="288"/>
      <c r="AZ297" s="289"/>
      <c r="BA297" s="289"/>
      <c r="BB297" s="290"/>
      <c r="BC297" s="289">
        <v>4914</v>
      </c>
      <c r="BD297" s="289"/>
      <c r="BE297" s="291"/>
      <c r="BF297" s="291">
        <f>AP298</f>
        <v>4970</v>
      </c>
      <c r="BG297" s="288"/>
      <c r="BH297" s="289"/>
      <c r="BI297" s="289"/>
      <c r="BJ297" s="290"/>
      <c r="BK297" s="289">
        <f t="shared" si="318"/>
        <v>4914</v>
      </c>
      <c r="BL297" s="289"/>
      <c r="BM297" s="291"/>
      <c r="BN297" s="291">
        <f t="shared" si="319"/>
        <v>4970</v>
      </c>
      <c r="BO297" s="288"/>
      <c r="BP297" s="289"/>
      <c r="BQ297" s="289"/>
      <c r="BR297" s="290"/>
      <c r="BS297" s="289">
        <v>2330</v>
      </c>
      <c r="BT297" s="289"/>
      <c r="BU297" s="291"/>
      <c r="BV297" s="291">
        <f>BS297</f>
        <v>2330</v>
      </c>
      <c r="BW297" s="288"/>
      <c r="BX297" s="289"/>
      <c r="BY297" s="289"/>
      <c r="BZ297" s="290"/>
      <c r="CA297" s="289">
        <f>BV298</f>
        <v>2632</v>
      </c>
      <c r="CB297" s="289">
        <f>CA298</f>
        <v>4373</v>
      </c>
      <c r="CC297" s="291"/>
      <c r="CD297" s="291">
        <f>BV298</f>
        <v>2632</v>
      </c>
      <c r="CE297" s="288"/>
      <c r="CF297" s="289"/>
      <c r="CG297" s="289"/>
      <c r="CH297" s="290"/>
      <c r="CI297" s="289">
        <f>CD298</f>
        <v>3747</v>
      </c>
      <c r="CJ297" s="289">
        <f>CI298</f>
        <v>3927</v>
      </c>
      <c r="CK297" s="291"/>
      <c r="CL297" s="291">
        <f>CD298</f>
        <v>3747</v>
      </c>
      <c r="CM297" s="288"/>
      <c r="CN297" s="289"/>
      <c r="CO297" s="289"/>
      <c r="CP297" s="290"/>
      <c r="CQ297" s="289">
        <f>CL298</f>
        <v>5247</v>
      </c>
      <c r="CR297" s="289">
        <f>CQ298</f>
        <v>6208</v>
      </c>
      <c r="CS297" s="291"/>
      <c r="CT297" s="291">
        <f>CL298</f>
        <v>5247</v>
      </c>
      <c r="CU297" s="289"/>
      <c r="CV297" s="289"/>
      <c r="CW297" s="289"/>
      <c r="CX297" s="290"/>
      <c r="CY297" s="289">
        <f>CT298</f>
        <v>6687</v>
      </c>
      <c r="CZ297" s="289">
        <f>CY298</f>
        <v>6147</v>
      </c>
      <c r="DA297" s="291"/>
      <c r="DB297" s="291">
        <f>CT298</f>
        <v>6687</v>
      </c>
      <c r="DC297" s="289"/>
      <c r="DD297" s="289"/>
      <c r="DE297" s="289"/>
      <c r="DF297" s="290"/>
      <c r="DG297" s="289">
        <f>DB298</f>
        <v>6676</v>
      </c>
      <c r="DH297" s="289">
        <f>DG298</f>
        <v>5699</v>
      </c>
      <c r="DI297" s="291"/>
      <c r="DJ297" s="291">
        <f>DB298</f>
        <v>6676</v>
      </c>
      <c r="DK297" s="289"/>
      <c r="DL297" s="289"/>
      <c r="DM297" s="289"/>
      <c r="DN297" s="290"/>
      <c r="DO297" s="289">
        <f>DJ298</f>
        <v>6514</v>
      </c>
      <c r="DP297" s="289">
        <f>DO298</f>
        <v>6707</v>
      </c>
      <c r="DQ297" s="291"/>
      <c r="DR297" s="291">
        <f>DJ298</f>
        <v>6514</v>
      </c>
      <c r="DS297" s="289"/>
      <c r="DT297" s="289"/>
      <c r="DU297" s="289"/>
      <c r="DV297" s="290"/>
      <c r="DW297" s="289">
        <f>DR298</f>
        <v>6789</v>
      </c>
      <c r="DX297" s="401">
        <f>DW298</f>
        <v>6507</v>
      </c>
      <c r="DY297" s="291"/>
      <c r="DZ297" s="287">
        <f>DR298</f>
        <v>6789</v>
      </c>
      <c r="EA297" s="289"/>
      <c r="EB297" s="289"/>
      <c r="EC297" s="289"/>
      <c r="ED297" s="290"/>
      <c r="EE297" s="401">
        <f>DZ298</f>
        <v>8800.5518355188215</v>
      </c>
      <c r="EF297" s="401">
        <f>EE298</f>
        <v>7735.6619508807489</v>
      </c>
      <c r="EG297" s="291"/>
      <c r="EH297" s="287">
        <f>DZ298</f>
        <v>8800.5518355188215</v>
      </c>
      <c r="EI297" s="289"/>
      <c r="EJ297" s="289"/>
      <c r="EK297" s="289"/>
      <c r="EL297" s="290"/>
      <c r="EM297" s="401">
        <f>EH298</f>
        <v>11429.163701082325</v>
      </c>
      <c r="EN297" s="401">
        <f>EM298</f>
        <v>9879.8650054194331</v>
      </c>
      <c r="EO297" s="291"/>
      <c r="EP297" s="287">
        <f>EH298</f>
        <v>11429.163701082325</v>
      </c>
      <c r="EQ297" s="289"/>
      <c r="ER297" s="289"/>
      <c r="ES297" s="289"/>
      <c r="ET297" s="290"/>
      <c r="EU297" s="401">
        <f>EP298</f>
        <v>13856.874413774345</v>
      </c>
      <c r="EV297" s="401">
        <f>EU298</f>
        <v>12810.353090335821</v>
      </c>
      <c r="EW297" s="291"/>
      <c r="EX297" s="287">
        <f>EP298</f>
        <v>13856.874413774345</v>
      </c>
      <c r="EY297" s="289"/>
      <c r="EZ297" s="289"/>
      <c r="FA297" s="289"/>
      <c r="FB297" s="290"/>
      <c r="FC297" s="401">
        <f>EX298</f>
        <v>17736.697837244672</v>
      </c>
      <c r="FD297" s="401">
        <f>FC298</f>
        <v>16514.20679718769</v>
      </c>
      <c r="FE297" s="291"/>
      <c r="FF297" s="287">
        <f>EX298</f>
        <v>17736.697837244672</v>
      </c>
    </row>
    <row r="298" spans="1:162" ht="11.25" customHeight="1" x14ac:dyDescent="0.2">
      <c r="A298" s="186" t="s">
        <v>424</v>
      </c>
      <c r="C298" s="395"/>
      <c r="D298" s="396"/>
      <c r="E298" s="396"/>
      <c r="F298" s="397"/>
      <c r="G298" s="396">
        <f>G296+G297</f>
        <v>1568</v>
      </c>
      <c r="H298" s="396">
        <f>H296+H297</f>
        <v>1547</v>
      </c>
      <c r="I298" s="398"/>
      <c r="J298" s="398">
        <f>J296+J297</f>
        <v>1547</v>
      </c>
      <c r="K298" s="395"/>
      <c r="L298" s="396"/>
      <c r="M298" s="396"/>
      <c r="N298" s="397"/>
      <c r="O298" s="396">
        <f>O296+O297</f>
        <v>1523</v>
      </c>
      <c r="P298" s="396">
        <f>P296+P297</f>
        <v>1633</v>
      </c>
      <c r="Q298" s="398"/>
      <c r="R298" s="398">
        <f>R296+R297</f>
        <v>1633</v>
      </c>
      <c r="S298" s="395"/>
      <c r="T298" s="396"/>
      <c r="U298" s="396"/>
      <c r="V298" s="397"/>
      <c r="W298" s="396">
        <f>W296+W297</f>
        <v>1789</v>
      </c>
      <c r="X298" s="396">
        <f>X296+X297</f>
        <v>1845</v>
      </c>
      <c r="Y298" s="398"/>
      <c r="Z298" s="398">
        <f>Z296+Z297</f>
        <v>1845</v>
      </c>
      <c r="AA298" s="395"/>
      <c r="AB298" s="396"/>
      <c r="AC298" s="396"/>
      <c r="AD298" s="397"/>
      <c r="AE298" s="396">
        <f>AE296+AE297-18</f>
        <v>2353</v>
      </c>
      <c r="AF298" s="396"/>
      <c r="AG298" s="398"/>
      <c r="AH298" s="398">
        <v>1926</v>
      </c>
      <c r="AI298" s="395"/>
      <c r="AJ298" s="396"/>
      <c r="AK298" s="396"/>
      <c r="AL298" s="397"/>
      <c r="AM298" s="396">
        <f>AM296+AM297</f>
        <v>6751</v>
      </c>
      <c r="AN298" s="396"/>
      <c r="AO298" s="398"/>
      <c r="AP298" s="398">
        <f>AP296+AP297</f>
        <v>4970</v>
      </c>
      <c r="AQ298" s="395"/>
      <c r="AR298" s="396"/>
      <c r="AS298" s="396"/>
      <c r="AT298" s="397"/>
      <c r="AU298" s="396"/>
      <c r="AV298" s="396"/>
      <c r="AW298" s="398"/>
      <c r="AX298" s="398"/>
      <c r="AY298" s="395"/>
      <c r="AZ298" s="396"/>
      <c r="BA298" s="396"/>
      <c r="BB298" s="397"/>
      <c r="BC298" s="396">
        <f>BC296+BC297</f>
        <v>2380</v>
      </c>
      <c r="BD298" s="396"/>
      <c r="BE298" s="398"/>
      <c r="BF298" s="398">
        <f>BF296+BF297</f>
        <v>2386</v>
      </c>
      <c r="BG298" s="395"/>
      <c r="BH298" s="396"/>
      <c r="BI298" s="396"/>
      <c r="BJ298" s="397"/>
      <c r="BK298" s="396">
        <f t="shared" si="318"/>
        <v>2380</v>
      </c>
      <c r="BL298" s="396"/>
      <c r="BM298" s="398"/>
      <c r="BN298" s="398">
        <f t="shared" si="319"/>
        <v>2386</v>
      </c>
      <c r="BO298" s="395"/>
      <c r="BP298" s="396"/>
      <c r="BQ298" s="396"/>
      <c r="BR298" s="397"/>
      <c r="BS298" s="396">
        <f>BS296+BS297</f>
        <v>2470</v>
      </c>
      <c r="BT298" s="396">
        <f>BV298</f>
        <v>2632</v>
      </c>
      <c r="BU298" s="398"/>
      <c r="BV298" s="398">
        <f>BV296+BV297</f>
        <v>2632</v>
      </c>
      <c r="BW298" s="395"/>
      <c r="BX298" s="396"/>
      <c r="BY298" s="396"/>
      <c r="BZ298" s="397"/>
      <c r="CA298" s="396">
        <f>CA296+CA297</f>
        <v>4373</v>
      </c>
      <c r="CB298" s="396">
        <f>CB296+CB297</f>
        <v>3747</v>
      </c>
      <c r="CC298" s="398"/>
      <c r="CD298" s="398">
        <f>CD296+CD297</f>
        <v>3747</v>
      </c>
      <c r="CE298" s="395"/>
      <c r="CF298" s="396"/>
      <c r="CG298" s="396"/>
      <c r="CH298" s="397"/>
      <c r="CI298" s="396">
        <f>CI296+CI297</f>
        <v>3927</v>
      </c>
      <c r="CJ298" s="396">
        <f>CJ296+CJ297</f>
        <v>5247</v>
      </c>
      <c r="CK298" s="398"/>
      <c r="CL298" s="398">
        <f>CL296+CL297</f>
        <v>5247</v>
      </c>
      <c r="CM298" s="395"/>
      <c r="CN298" s="396"/>
      <c r="CO298" s="396"/>
      <c r="CP298" s="397"/>
      <c r="CQ298" s="396">
        <f>CQ296+CQ297</f>
        <v>6208</v>
      </c>
      <c r="CR298" s="396">
        <f>CR296+CR297</f>
        <v>6687</v>
      </c>
      <c r="CS298" s="398"/>
      <c r="CT298" s="398">
        <f>CT296+CT297</f>
        <v>6687</v>
      </c>
      <c r="CU298" s="396"/>
      <c r="CV298" s="396"/>
      <c r="CW298" s="396"/>
      <c r="CX298" s="397"/>
      <c r="CY298" s="396">
        <f>CY296+CY297</f>
        <v>6147</v>
      </c>
      <c r="CZ298" s="396">
        <f>CZ296+CZ297</f>
        <v>6676</v>
      </c>
      <c r="DA298" s="398"/>
      <c r="DB298" s="398">
        <f>DB296+DB297</f>
        <v>6676</v>
      </c>
      <c r="DC298" s="396"/>
      <c r="DD298" s="396"/>
      <c r="DE298" s="396"/>
      <c r="DF298" s="397"/>
      <c r="DG298" s="396">
        <f>DG296+DG297</f>
        <v>5699</v>
      </c>
      <c r="DH298" s="396">
        <f>DH296+DH297</f>
        <v>6514</v>
      </c>
      <c r="DI298" s="398"/>
      <c r="DJ298" s="398">
        <f>DJ296+DJ297</f>
        <v>6514</v>
      </c>
      <c r="DK298" s="396"/>
      <c r="DL298" s="396"/>
      <c r="DM298" s="396"/>
      <c r="DN298" s="397"/>
      <c r="DO298" s="396">
        <f>DO296+DO297</f>
        <v>6707</v>
      </c>
      <c r="DP298" s="396">
        <f>DP296+DP297</f>
        <v>6789</v>
      </c>
      <c r="DQ298" s="398"/>
      <c r="DR298" s="398">
        <f>DR296+DR297</f>
        <v>6789</v>
      </c>
      <c r="DS298" s="396"/>
      <c r="DT298" s="396"/>
      <c r="DU298" s="396"/>
      <c r="DV298" s="397"/>
      <c r="DW298" s="396">
        <f>DW296+DW297</f>
        <v>6507</v>
      </c>
      <c r="DX298" s="399">
        <f>DX296+DX297</f>
        <v>8797.128208286671</v>
      </c>
      <c r="DY298" s="398"/>
      <c r="DZ298" s="400">
        <f>DZ296+DZ297</f>
        <v>8800.5518355188215</v>
      </c>
      <c r="EA298" s="396"/>
      <c r="EB298" s="396"/>
      <c r="EC298" s="396"/>
      <c r="ED298" s="397"/>
      <c r="EE298" s="399">
        <f>EE296+EE297</f>
        <v>7735.6619508807489</v>
      </c>
      <c r="EF298" s="399">
        <f>EF296+EF297</f>
        <v>11429.163701082331</v>
      </c>
      <c r="EG298" s="398"/>
      <c r="EH298" s="400">
        <f>EH296+EH297</f>
        <v>11429.163701082325</v>
      </c>
      <c r="EI298" s="396"/>
      <c r="EJ298" s="396"/>
      <c r="EK298" s="396"/>
      <c r="EL298" s="397"/>
      <c r="EM298" s="399">
        <f>EM296+EM297</f>
        <v>9879.8650054194331</v>
      </c>
      <c r="EN298" s="399">
        <f>EN296+EN297</f>
        <v>13856.874413774356</v>
      </c>
      <c r="EO298" s="398"/>
      <c r="EP298" s="400">
        <f>EP296+EP297</f>
        <v>13856.874413774345</v>
      </c>
      <c r="EQ298" s="396"/>
      <c r="ER298" s="396"/>
      <c r="ES298" s="396"/>
      <c r="ET298" s="397"/>
      <c r="EU298" s="399">
        <f>EU296+EU297</f>
        <v>12810.353090335821</v>
      </c>
      <c r="EV298" s="399">
        <f>EV296+EV297</f>
        <v>17736.697837244676</v>
      </c>
      <c r="EW298" s="398"/>
      <c r="EX298" s="400">
        <f>EX296+EX297</f>
        <v>17736.697837244672</v>
      </c>
      <c r="EY298" s="396"/>
      <c r="EZ298" s="396"/>
      <c r="FA298" s="396"/>
      <c r="FB298" s="397"/>
      <c r="FC298" s="399">
        <f>FC296+FC297</f>
        <v>16514.20679718769</v>
      </c>
      <c r="FD298" s="399">
        <f>FD296+FD297</f>
        <v>21537.604640181788</v>
      </c>
      <c r="FE298" s="398"/>
      <c r="FF298" s="400">
        <f>FF296+FF297</f>
        <v>21537.60464018178</v>
      </c>
    </row>
    <row r="299" spans="1:162" ht="11.25" customHeight="1" x14ac:dyDescent="0.2">
      <c r="A299" s="4" t="s">
        <v>425</v>
      </c>
      <c r="C299" s="288"/>
      <c r="D299" s="289"/>
      <c r="E299" s="289"/>
      <c r="F299" s="290"/>
      <c r="G299" s="289">
        <v>-2871</v>
      </c>
      <c r="H299" s="289">
        <f>J299</f>
        <v>-2736</v>
      </c>
      <c r="I299" s="291"/>
      <c r="J299" s="291">
        <v>-2736</v>
      </c>
      <c r="K299" s="288"/>
      <c r="L299" s="289"/>
      <c r="M299" s="289"/>
      <c r="N299" s="290"/>
      <c r="O299" s="289">
        <v>-3320</v>
      </c>
      <c r="P299" s="289">
        <v>-3165</v>
      </c>
      <c r="Q299" s="291"/>
      <c r="R299" s="291">
        <v>-3165</v>
      </c>
      <c r="S299" s="288"/>
      <c r="T299" s="289"/>
      <c r="U299" s="289"/>
      <c r="V299" s="290"/>
      <c r="W299" s="289">
        <v>-3307</v>
      </c>
      <c r="X299" s="289">
        <f>Z299</f>
        <v>-2628</v>
      </c>
      <c r="Y299" s="291"/>
      <c r="Z299" s="291">
        <f>CF!M68</f>
        <v>-2628</v>
      </c>
      <c r="AA299" s="288"/>
      <c r="AB299" s="289"/>
      <c r="AC299" s="289"/>
      <c r="AD299" s="290"/>
      <c r="AE299" s="289">
        <v>-3459</v>
      </c>
      <c r="AF299" s="289"/>
      <c r="AG299" s="291"/>
      <c r="AH299" s="291">
        <f>CF!N68</f>
        <v>-3337</v>
      </c>
      <c r="AI299" s="288"/>
      <c r="AJ299" s="289"/>
      <c r="AK299" s="289"/>
      <c r="AL299" s="290"/>
      <c r="AM299" s="289">
        <v>-5220</v>
      </c>
      <c r="AN299" s="289"/>
      <c r="AO299" s="291"/>
      <c r="AP299" s="291">
        <f>CF!O68</f>
        <v>-4636</v>
      </c>
      <c r="AQ299" s="288"/>
      <c r="AR299" s="289"/>
      <c r="AS299" s="289"/>
      <c r="AT299" s="290"/>
      <c r="AU299" s="289"/>
      <c r="AV299" s="289"/>
      <c r="AW299" s="291"/>
      <c r="AX299" s="291"/>
      <c r="AY299" s="288"/>
      <c r="AZ299" s="289"/>
      <c r="BA299" s="289"/>
      <c r="BB299" s="290"/>
      <c r="BC299" s="289">
        <v>-5905</v>
      </c>
      <c r="BD299" s="289"/>
      <c r="BE299" s="291"/>
      <c r="BF299" s="291">
        <f>CF!P68</f>
        <v>-5605</v>
      </c>
      <c r="BG299" s="288"/>
      <c r="BH299" s="289"/>
      <c r="BI299" s="289"/>
      <c r="BJ299" s="290"/>
      <c r="BK299" s="289">
        <f t="shared" si="318"/>
        <v>-5905</v>
      </c>
      <c r="BL299" s="289"/>
      <c r="BM299" s="291"/>
      <c r="BN299" s="291">
        <f t="shared" si="319"/>
        <v>-5605</v>
      </c>
      <c r="BO299" s="288"/>
      <c r="BP299" s="289"/>
      <c r="BQ299" s="289"/>
      <c r="BR299" s="290"/>
      <c r="BS299" s="289"/>
      <c r="BT299" s="289"/>
      <c r="BU299" s="291"/>
      <c r="BV299" s="291">
        <f>CF!Q68</f>
        <v>-6779</v>
      </c>
      <c r="BW299" s="288"/>
      <c r="BX299" s="289"/>
      <c r="BY299" s="289"/>
      <c r="BZ299" s="290"/>
      <c r="CA299" s="289">
        <v>-7518</v>
      </c>
      <c r="CB299" s="289">
        <f>CD299</f>
        <v>-6591</v>
      </c>
      <c r="CC299" s="291"/>
      <c r="CD299" s="291">
        <f>CF!R68</f>
        <v>-6591</v>
      </c>
      <c r="CE299" s="288"/>
      <c r="CF299" s="289"/>
      <c r="CG299" s="289"/>
      <c r="CH299" s="290"/>
      <c r="CI299" s="289">
        <v>-6532</v>
      </c>
      <c r="CJ299" s="289">
        <f>CL299</f>
        <v>-6814</v>
      </c>
      <c r="CK299" s="291"/>
      <c r="CL299" s="291">
        <f>CF!S68</f>
        <v>-6814</v>
      </c>
      <c r="CM299" s="288"/>
      <c r="CN299" s="289"/>
      <c r="CO299" s="289"/>
      <c r="CP299" s="290"/>
      <c r="CQ299" s="289">
        <v>-6627</v>
      </c>
      <c r="CR299" s="289">
        <f>CT299</f>
        <v>-6655</v>
      </c>
      <c r="CS299" s="291"/>
      <c r="CT299" s="291">
        <f>CF!T68</f>
        <v>-6655</v>
      </c>
      <c r="CU299" s="289"/>
      <c r="CV299" s="289"/>
      <c r="CW299" s="289"/>
      <c r="CX299" s="290"/>
      <c r="CY299" s="289">
        <v>-6397</v>
      </c>
      <c r="CZ299" s="289">
        <f>DB299</f>
        <v>-6299</v>
      </c>
      <c r="DA299" s="291"/>
      <c r="DB299" s="291">
        <f>CF!U68</f>
        <v>-6299</v>
      </c>
      <c r="DC299" s="289"/>
      <c r="DD299" s="289"/>
      <c r="DE299" s="289"/>
      <c r="DF299" s="290"/>
      <c r="DG299" s="289">
        <v>-4804</v>
      </c>
      <c r="DH299" s="289">
        <f>DJ299</f>
        <v>-4776</v>
      </c>
      <c r="DI299" s="291"/>
      <c r="DJ299" s="291">
        <f>CF!V68</f>
        <v>-4776</v>
      </c>
      <c r="DK299" s="289"/>
      <c r="DL299" s="289"/>
      <c r="DM299" s="289"/>
      <c r="DN299" s="290"/>
      <c r="DO299" s="289">
        <v>-4838</v>
      </c>
      <c r="DP299" s="289">
        <f>DR299</f>
        <v>-5048</v>
      </c>
      <c r="DQ299" s="291"/>
      <c r="DR299" s="291">
        <f>CF!W68</f>
        <v>-5048</v>
      </c>
      <c r="DS299" s="289"/>
      <c r="DT299" s="289"/>
      <c r="DU299" s="289"/>
      <c r="DV299" s="290"/>
      <c r="DW299" s="289">
        <v>-4840</v>
      </c>
      <c r="DX299" s="401">
        <f>DZ299</f>
        <v>-4545</v>
      </c>
      <c r="DY299" s="291"/>
      <c r="DZ299" s="287">
        <f>CF!X68</f>
        <v>-4545</v>
      </c>
      <c r="EA299" s="289"/>
      <c r="EB299" s="289"/>
      <c r="EC299" s="289"/>
      <c r="ED299" s="290"/>
      <c r="EE299" s="401">
        <f>EH299</f>
        <v>-4545</v>
      </c>
      <c r="EF299" s="401">
        <f>EH299</f>
        <v>-4545</v>
      </c>
      <c r="EG299" s="291"/>
      <c r="EH299" s="287">
        <f>CF!Y68</f>
        <v>-4545</v>
      </c>
      <c r="EI299" s="289"/>
      <c r="EJ299" s="289"/>
      <c r="EK299" s="289"/>
      <c r="EL299" s="290"/>
      <c r="EM299" s="401">
        <f>EP299</f>
        <v>-4545</v>
      </c>
      <c r="EN299" s="401">
        <f>EP299</f>
        <v>-4545</v>
      </c>
      <c r="EO299" s="291"/>
      <c r="EP299" s="287">
        <f>CF!Z68</f>
        <v>-4545</v>
      </c>
      <c r="EQ299" s="289"/>
      <c r="ER299" s="289"/>
      <c r="ES299" s="289"/>
      <c r="ET299" s="290"/>
      <c r="EU299" s="401">
        <f>EX299</f>
        <v>-4545</v>
      </c>
      <c r="EV299" s="401">
        <f>EX299</f>
        <v>-4545</v>
      </c>
      <c r="EW299" s="291"/>
      <c r="EX299" s="287">
        <f>CF!AA68</f>
        <v>-4545</v>
      </c>
      <c r="EY299" s="289"/>
      <c r="EZ299" s="289"/>
      <c r="FA299" s="289"/>
      <c r="FB299" s="290"/>
      <c r="FC299" s="401">
        <f>FF299</f>
        <v>-4545</v>
      </c>
      <c r="FD299" s="401">
        <f>FF299</f>
        <v>-4545</v>
      </c>
      <c r="FE299" s="291"/>
      <c r="FF299" s="287">
        <f>CF!AB68</f>
        <v>-4545</v>
      </c>
    </row>
    <row r="300" spans="1:162" ht="11.25" customHeight="1" x14ac:dyDescent="0.2">
      <c r="A300" s="4" t="s">
        <v>426</v>
      </c>
      <c r="C300" s="288"/>
      <c r="D300" s="289"/>
      <c r="E300" s="289"/>
      <c r="F300" s="290"/>
      <c r="G300" s="289">
        <v>-14</v>
      </c>
      <c r="H300" s="289">
        <f>J300</f>
        <v>-31</v>
      </c>
      <c r="I300" s="291"/>
      <c r="J300" s="291">
        <v>-31</v>
      </c>
      <c r="K300" s="288"/>
      <c r="L300" s="289"/>
      <c r="M300" s="289"/>
      <c r="N300" s="290"/>
      <c r="O300" s="289">
        <v>0</v>
      </c>
      <c r="P300" s="289">
        <v>29</v>
      </c>
      <c r="Q300" s="291"/>
      <c r="R300" s="291">
        <v>29</v>
      </c>
      <c r="S300" s="288"/>
      <c r="T300" s="289"/>
      <c r="U300" s="289"/>
      <c r="V300" s="290"/>
      <c r="W300" s="289">
        <v>19</v>
      </c>
      <c r="X300" s="289">
        <f>Z300</f>
        <v>35</v>
      </c>
      <c r="Y300" s="291"/>
      <c r="Z300" s="291">
        <f>CF!M69</f>
        <v>35</v>
      </c>
      <c r="AA300" s="288"/>
      <c r="AB300" s="289"/>
      <c r="AC300" s="289"/>
      <c r="AD300" s="290"/>
      <c r="AE300" s="289">
        <v>91</v>
      </c>
      <c r="AF300" s="289"/>
      <c r="AG300" s="291"/>
      <c r="AH300" s="291">
        <f>CF!N69</f>
        <v>28</v>
      </c>
      <c r="AI300" s="288"/>
      <c r="AJ300" s="289"/>
      <c r="AK300" s="289"/>
      <c r="AL300" s="290"/>
      <c r="AM300" s="289">
        <v>29</v>
      </c>
      <c r="AN300" s="289"/>
      <c r="AO300" s="291"/>
      <c r="AP300" s="291">
        <f>CF!O69</f>
        <v>16</v>
      </c>
      <c r="AQ300" s="288"/>
      <c r="AR300" s="289"/>
      <c r="AS300" s="289"/>
      <c r="AT300" s="290"/>
      <c r="AU300" s="289"/>
      <c r="AV300" s="289"/>
      <c r="AW300" s="291"/>
      <c r="AX300" s="291"/>
      <c r="AY300" s="288"/>
      <c r="AZ300" s="289"/>
      <c r="BA300" s="289"/>
      <c r="BB300" s="290"/>
      <c r="BC300" s="289">
        <v>-8</v>
      </c>
      <c r="BD300" s="289"/>
      <c r="BE300" s="291"/>
      <c r="BF300" s="291">
        <f>CF!P69</f>
        <v>6</v>
      </c>
      <c r="BG300" s="288"/>
      <c r="BH300" s="289"/>
      <c r="BI300" s="289"/>
      <c r="BJ300" s="290"/>
      <c r="BK300" s="289">
        <f t="shared" si="318"/>
        <v>-8</v>
      </c>
      <c r="BL300" s="289"/>
      <c r="BM300" s="291"/>
      <c r="BN300" s="291">
        <f t="shared" si="319"/>
        <v>6</v>
      </c>
      <c r="BO300" s="288"/>
      <c r="BP300" s="289"/>
      <c r="BQ300" s="289"/>
      <c r="BR300" s="290"/>
      <c r="BS300" s="289"/>
      <c r="BT300" s="289"/>
      <c r="BU300" s="291"/>
      <c r="BV300" s="291">
        <f>CF!Q69</f>
        <v>33</v>
      </c>
      <c r="BW300" s="288"/>
      <c r="BX300" s="289"/>
      <c r="BY300" s="289"/>
      <c r="BZ300" s="290"/>
      <c r="CA300" s="289">
        <v>63</v>
      </c>
      <c r="CB300" s="289">
        <f>CD300</f>
        <v>52</v>
      </c>
      <c r="CC300" s="291"/>
      <c r="CD300" s="291">
        <f>CF!R69</f>
        <v>52</v>
      </c>
      <c r="CE300" s="288"/>
      <c r="CF300" s="289"/>
      <c r="CG300" s="289"/>
      <c r="CH300" s="290"/>
      <c r="CI300" s="289">
        <v>39</v>
      </c>
      <c r="CJ300" s="289">
        <f>CL300</f>
        <v>23</v>
      </c>
      <c r="CK300" s="291"/>
      <c r="CL300" s="291">
        <f>CF!S69</f>
        <v>23</v>
      </c>
      <c r="CM300" s="288"/>
      <c r="CN300" s="289"/>
      <c r="CO300" s="289"/>
      <c r="CP300" s="290"/>
      <c r="CQ300" s="289">
        <v>-6</v>
      </c>
      <c r="CR300" s="289">
        <f>CT300</f>
        <v>-18</v>
      </c>
      <c r="CS300" s="291"/>
      <c r="CT300" s="291">
        <f>CF!T69</f>
        <v>-18</v>
      </c>
      <c r="CU300" s="289"/>
      <c r="CV300" s="289"/>
      <c r="CW300" s="289"/>
      <c r="CX300" s="290"/>
      <c r="CY300" s="289">
        <v>-13</v>
      </c>
      <c r="CZ300" s="289">
        <f>DB300</f>
        <v>-3</v>
      </c>
      <c r="DA300" s="291"/>
      <c r="DB300" s="291">
        <f>CF!U69</f>
        <v>-3</v>
      </c>
      <c r="DC300" s="289"/>
      <c r="DD300" s="289"/>
      <c r="DE300" s="289"/>
      <c r="DF300" s="290"/>
      <c r="DG300" s="289">
        <v>0</v>
      </c>
      <c r="DH300" s="289">
        <f>DJ300</f>
        <v>0</v>
      </c>
      <c r="DI300" s="291"/>
      <c r="DJ300" s="291">
        <f>CF!V69</f>
        <v>0</v>
      </c>
      <c r="DK300" s="289"/>
      <c r="DL300" s="289"/>
      <c r="DM300" s="289"/>
      <c r="DN300" s="290"/>
      <c r="DO300" s="289">
        <v>0</v>
      </c>
      <c r="DP300" s="289">
        <f>DR300</f>
        <v>0</v>
      </c>
      <c r="DQ300" s="291"/>
      <c r="DR300" s="291">
        <f>CF!W69</f>
        <v>0</v>
      </c>
      <c r="DS300" s="289"/>
      <c r="DT300" s="289"/>
      <c r="DU300" s="289"/>
      <c r="DV300" s="290"/>
      <c r="DW300" s="289">
        <v>0</v>
      </c>
      <c r="DX300" s="401">
        <f>DZ300</f>
        <v>0</v>
      </c>
      <c r="DY300" s="291"/>
      <c r="DZ300" s="287">
        <f>CF!X69</f>
        <v>0</v>
      </c>
      <c r="EA300" s="289"/>
      <c r="EB300" s="289"/>
      <c r="EC300" s="289"/>
      <c r="ED300" s="290"/>
      <c r="EE300" s="401">
        <f>EH300</f>
        <v>0</v>
      </c>
      <c r="EF300" s="401">
        <f>EH300</f>
        <v>0</v>
      </c>
      <c r="EG300" s="291"/>
      <c r="EH300" s="287">
        <f>CF!Y69</f>
        <v>0</v>
      </c>
      <c r="EI300" s="289"/>
      <c r="EJ300" s="289"/>
      <c r="EK300" s="289"/>
      <c r="EL300" s="290"/>
      <c r="EM300" s="401">
        <f>EP300</f>
        <v>0</v>
      </c>
      <c r="EN300" s="401">
        <f>EP300</f>
        <v>0</v>
      </c>
      <c r="EO300" s="291"/>
      <c r="EP300" s="287">
        <f>CF!Z69</f>
        <v>0</v>
      </c>
      <c r="EQ300" s="289"/>
      <c r="ER300" s="289"/>
      <c r="ES300" s="289"/>
      <c r="ET300" s="290"/>
      <c r="EU300" s="401">
        <f>EX300</f>
        <v>0</v>
      </c>
      <c r="EV300" s="401">
        <f>EX300</f>
        <v>0</v>
      </c>
      <c r="EW300" s="291"/>
      <c r="EX300" s="287">
        <f>CF!AA69</f>
        <v>0</v>
      </c>
      <c r="EY300" s="289"/>
      <c r="EZ300" s="289"/>
      <c r="FA300" s="289"/>
      <c r="FB300" s="290"/>
      <c r="FC300" s="401">
        <f>FF300</f>
        <v>0</v>
      </c>
      <c r="FD300" s="401">
        <f>FF300</f>
        <v>0</v>
      </c>
      <c r="FE300" s="291"/>
      <c r="FF300" s="287">
        <f>CF!AB69</f>
        <v>0</v>
      </c>
    </row>
    <row r="301" spans="1:162" ht="11.25" customHeight="1" x14ac:dyDescent="0.2">
      <c r="A301" s="186" t="s">
        <v>427</v>
      </c>
      <c r="C301" s="395"/>
      <c r="D301" s="396"/>
      <c r="E301" s="396"/>
      <c r="F301" s="397"/>
      <c r="G301" s="396">
        <f>G298+G299+G300</f>
        <v>-1317</v>
      </c>
      <c r="H301" s="396">
        <f>H298+H299+H300</f>
        <v>-1220</v>
      </c>
      <c r="I301" s="398"/>
      <c r="J301" s="398">
        <f>J298+J299+J300</f>
        <v>-1220</v>
      </c>
      <c r="K301" s="395"/>
      <c r="L301" s="396"/>
      <c r="M301" s="396"/>
      <c r="N301" s="397"/>
      <c r="O301" s="396">
        <f>O298+O299+O300</f>
        <v>-1797</v>
      </c>
      <c r="P301" s="396">
        <f>P298+P299+P300</f>
        <v>-1503</v>
      </c>
      <c r="Q301" s="398"/>
      <c r="R301" s="398">
        <f>R298+R299+R300</f>
        <v>-1503</v>
      </c>
      <c r="S301" s="395"/>
      <c r="T301" s="396"/>
      <c r="U301" s="396"/>
      <c r="V301" s="397"/>
      <c r="W301" s="396">
        <f>W298+W299+W300</f>
        <v>-1499</v>
      </c>
      <c r="X301" s="396">
        <f>X298+X299+X300</f>
        <v>-748</v>
      </c>
      <c r="Y301" s="398"/>
      <c r="Z301" s="398">
        <f>Z298+Z299+Z300</f>
        <v>-748</v>
      </c>
      <c r="AA301" s="395"/>
      <c r="AB301" s="396"/>
      <c r="AC301" s="396"/>
      <c r="AD301" s="397"/>
      <c r="AE301" s="396">
        <f>AE298+AE299+AE300</f>
        <v>-1015</v>
      </c>
      <c r="AF301" s="396"/>
      <c r="AG301" s="398"/>
      <c r="AH301" s="398">
        <f>AH298+AH299+AH300</f>
        <v>-1383</v>
      </c>
      <c r="AI301" s="395"/>
      <c r="AJ301" s="396"/>
      <c r="AK301" s="396"/>
      <c r="AL301" s="397"/>
      <c r="AM301" s="396">
        <f>AM298+AM299+AM300</f>
        <v>1560</v>
      </c>
      <c r="AN301" s="396"/>
      <c r="AO301" s="398"/>
      <c r="AP301" s="398">
        <f>AP298+AP299+AP300</f>
        <v>350</v>
      </c>
      <c r="AQ301" s="395"/>
      <c r="AR301" s="396"/>
      <c r="AS301" s="396"/>
      <c r="AT301" s="397"/>
      <c r="AU301" s="396"/>
      <c r="AV301" s="396"/>
      <c r="AW301" s="398"/>
      <c r="AX301" s="398"/>
      <c r="AY301" s="395"/>
      <c r="AZ301" s="396"/>
      <c r="BA301" s="396"/>
      <c r="BB301" s="397"/>
      <c r="BC301" s="396">
        <f>BC298+BC299+BC300</f>
        <v>-3533</v>
      </c>
      <c r="BD301" s="396"/>
      <c r="BE301" s="398"/>
      <c r="BF301" s="398">
        <f>BF298+BF299+BF300</f>
        <v>-3213</v>
      </c>
      <c r="BG301" s="395"/>
      <c r="BH301" s="396"/>
      <c r="BI301" s="396"/>
      <c r="BJ301" s="397"/>
      <c r="BK301" s="396">
        <f t="shared" si="318"/>
        <v>-3533</v>
      </c>
      <c r="BL301" s="396"/>
      <c r="BM301" s="398"/>
      <c r="BN301" s="398">
        <f t="shared" si="319"/>
        <v>-3213</v>
      </c>
      <c r="BO301" s="395"/>
      <c r="BP301" s="396"/>
      <c r="BQ301" s="396"/>
      <c r="BR301" s="397"/>
      <c r="BS301" s="396">
        <f>BS334</f>
        <v>-3970</v>
      </c>
      <c r="BT301" s="396"/>
      <c r="BU301" s="398"/>
      <c r="BV301" s="398">
        <f>BV298+BV299+BV300</f>
        <v>-4114</v>
      </c>
      <c r="BW301" s="395"/>
      <c r="BX301" s="396"/>
      <c r="BY301" s="396"/>
      <c r="BZ301" s="397"/>
      <c r="CA301" s="396">
        <f>CA298+CA299+CA300</f>
        <v>-3082</v>
      </c>
      <c r="CB301" s="396">
        <f>CB298+CB299+CB300</f>
        <v>-2792</v>
      </c>
      <c r="CC301" s="398"/>
      <c r="CD301" s="398">
        <f>CD298+CD299+CD300</f>
        <v>-2792</v>
      </c>
      <c r="CE301" s="395"/>
      <c r="CF301" s="396"/>
      <c r="CG301" s="396"/>
      <c r="CH301" s="397"/>
      <c r="CI301" s="396">
        <f>CI298+CI299+CI300</f>
        <v>-2566</v>
      </c>
      <c r="CJ301" s="396">
        <f>CJ298+CJ299+CJ300</f>
        <v>-1544</v>
      </c>
      <c r="CK301" s="398"/>
      <c r="CL301" s="398">
        <f>CL298+CL299+CL300</f>
        <v>-1544</v>
      </c>
      <c r="CM301" s="395"/>
      <c r="CN301" s="396"/>
      <c r="CO301" s="396"/>
      <c r="CP301" s="397"/>
      <c r="CQ301" s="396">
        <f>CQ298+CQ299+CQ300</f>
        <v>-425</v>
      </c>
      <c r="CR301" s="396">
        <f>CR298+CR299+CR300</f>
        <v>14</v>
      </c>
      <c r="CS301" s="398"/>
      <c r="CT301" s="398">
        <f>CT298+CT299+CT300</f>
        <v>14</v>
      </c>
      <c r="CU301" s="396"/>
      <c r="CV301" s="396"/>
      <c r="CW301" s="396"/>
      <c r="CX301" s="397"/>
      <c r="CY301" s="396">
        <f>CY298+CY299+CY300</f>
        <v>-263</v>
      </c>
      <c r="CZ301" s="396">
        <f>CZ298+CZ299+CZ300</f>
        <v>374</v>
      </c>
      <c r="DA301" s="398"/>
      <c r="DB301" s="398">
        <f>DB298+DB299+DB300</f>
        <v>374</v>
      </c>
      <c r="DC301" s="396"/>
      <c r="DD301" s="396"/>
      <c r="DE301" s="396"/>
      <c r="DF301" s="397"/>
      <c r="DG301" s="396">
        <f>DG298+DG299+DG300</f>
        <v>895</v>
      </c>
      <c r="DH301" s="396">
        <f>DH298+DH299+DH300</f>
        <v>1738</v>
      </c>
      <c r="DI301" s="398"/>
      <c r="DJ301" s="398">
        <f>DJ298+DJ299+DJ300</f>
        <v>1738</v>
      </c>
      <c r="DK301" s="396"/>
      <c r="DL301" s="396"/>
      <c r="DM301" s="396"/>
      <c r="DN301" s="397"/>
      <c r="DO301" s="396">
        <f>DO298+DO299+DO300</f>
        <v>1869</v>
      </c>
      <c r="DP301" s="396">
        <f>DP298+DP299+DP300</f>
        <v>1741</v>
      </c>
      <c r="DQ301" s="398"/>
      <c r="DR301" s="398">
        <f>DR298+DR299+DR300</f>
        <v>1741</v>
      </c>
      <c r="DS301" s="396"/>
      <c r="DT301" s="396"/>
      <c r="DU301" s="396"/>
      <c r="DV301" s="397"/>
      <c r="DW301" s="396">
        <f>DW298+DW299+DW300</f>
        <v>1667</v>
      </c>
      <c r="DX301" s="399">
        <f>DX298+DX299+DX300</f>
        <v>4252.128208286671</v>
      </c>
      <c r="DY301" s="398"/>
      <c r="DZ301" s="400">
        <f>DZ298+DZ299+DZ300</f>
        <v>4255.5518355188215</v>
      </c>
      <c r="EA301" s="396"/>
      <c r="EB301" s="396"/>
      <c r="EC301" s="396"/>
      <c r="ED301" s="397"/>
      <c r="EE301" s="399">
        <f>EE298+EE299+EE300</f>
        <v>3190.6619508807489</v>
      </c>
      <c r="EF301" s="399">
        <f>EF298+EF299+EF300</f>
        <v>6884.1637010823306</v>
      </c>
      <c r="EG301" s="398"/>
      <c r="EH301" s="400">
        <f>EH298+EH299+EH300</f>
        <v>6884.1637010823251</v>
      </c>
      <c r="EI301" s="396"/>
      <c r="EJ301" s="396"/>
      <c r="EK301" s="396"/>
      <c r="EL301" s="397"/>
      <c r="EM301" s="399">
        <f>EM298+EM299+EM300</f>
        <v>5334.8650054194331</v>
      </c>
      <c r="EN301" s="399">
        <f>EN298+EN299+EN300</f>
        <v>9311.8744137743561</v>
      </c>
      <c r="EO301" s="398"/>
      <c r="EP301" s="400">
        <f>EP298+EP299+EP300</f>
        <v>9311.8744137743452</v>
      </c>
      <c r="EQ301" s="396"/>
      <c r="ER301" s="396"/>
      <c r="ES301" s="396"/>
      <c r="ET301" s="397"/>
      <c r="EU301" s="399">
        <f>EU298+EU299+EU300</f>
        <v>8265.3530903358205</v>
      </c>
      <c r="EV301" s="399">
        <f>EV298+EV299+EV300</f>
        <v>13191.697837244676</v>
      </c>
      <c r="EW301" s="398"/>
      <c r="EX301" s="400">
        <f>EX298+EX299+EX300</f>
        <v>13191.697837244672</v>
      </c>
      <c r="EY301" s="396"/>
      <c r="EZ301" s="396"/>
      <c r="FA301" s="396"/>
      <c r="FB301" s="397"/>
      <c r="FC301" s="399">
        <f>FC298+FC299+FC300</f>
        <v>11969.20679718769</v>
      </c>
      <c r="FD301" s="399">
        <f>FD298+FD299+FD300</f>
        <v>16992.604640181788</v>
      </c>
      <c r="FE301" s="398"/>
      <c r="FF301" s="400">
        <f>FF298+FF299+FF300</f>
        <v>16992.60464018178</v>
      </c>
    </row>
    <row r="302" spans="1:162" ht="11.25" customHeight="1" x14ac:dyDescent="0.2">
      <c r="C302" s="38"/>
      <c r="F302" s="179"/>
      <c r="G302" s="199"/>
      <c r="H302" s="199"/>
      <c r="I302" s="180"/>
      <c r="J302" s="180"/>
      <c r="K302" s="38"/>
      <c r="N302" s="179"/>
      <c r="O302" s="199"/>
      <c r="P302" s="199"/>
      <c r="Q302" s="180"/>
      <c r="R302" s="180"/>
      <c r="S302" s="38"/>
      <c r="V302" s="179"/>
      <c r="W302" s="199"/>
      <c r="X302" s="199"/>
      <c r="Y302" s="180"/>
      <c r="Z302" s="180"/>
      <c r="AA302" s="38"/>
      <c r="AD302" s="179"/>
      <c r="AE302" s="199"/>
      <c r="AF302" s="199"/>
      <c r="AG302" s="180"/>
      <c r="AH302" s="180"/>
      <c r="AI302" s="38"/>
      <c r="AL302" s="179"/>
      <c r="AM302" s="199"/>
      <c r="AN302" s="199"/>
      <c r="AO302" s="180"/>
      <c r="AP302" s="180"/>
      <c r="AQ302" s="38"/>
      <c r="AT302" s="179"/>
      <c r="AU302" s="199"/>
      <c r="AV302" s="199"/>
      <c r="AW302" s="180"/>
      <c r="AX302" s="180"/>
      <c r="AY302" s="38"/>
      <c r="BB302" s="179"/>
      <c r="BC302" s="199"/>
      <c r="BD302" s="199"/>
      <c r="BE302" s="180"/>
      <c r="BF302" s="180"/>
      <c r="BG302" s="38"/>
      <c r="BJ302" s="179"/>
      <c r="BK302" s="199"/>
      <c r="BL302" s="199"/>
      <c r="BM302" s="180"/>
      <c r="BN302" s="180"/>
      <c r="BO302" s="38"/>
      <c r="BR302" s="179"/>
      <c r="BS302" s="199"/>
      <c r="BT302" s="199"/>
      <c r="BU302" s="180"/>
      <c r="BV302" s="180"/>
      <c r="BW302" s="38"/>
      <c r="BZ302" s="179"/>
      <c r="CA302" s="199"/>
      <c r="CB302" s="199"/>
      <c r="CC302" s="180"/>
      <c r="CD302" s="180"/>
      <c r="CE302" s="38"/>
      <c r="CH302" s="179"/>
      <c r="CI302" s="199"/>
      <c r="CJ302" s="199"/>
      <c r="CK302" s="180"/>
      <c r="CL302" s="180"/>
      <c r="CM302" s="38"/>
      <c r="CP302" s="179"/>
      <c r="CQ302" s="199"/>
      <c r="CR302" s="199"/>
      <c r="CS302" s="180"/>
      <c r="CT302" s="180"/>
      <c r="CX302" s="179"/>
      <c r="DA302" s="180"/>
      <c r="DB302" s="180"/>
      <c r="DF302" s="179"/>
      <c r="DI302" s="180"/>
      <c r="DJ302" s="180"/>
      <c r="DN302" s="179"/>
      <c r="DQ302" s="180"/>
      <c r="DR302" s="180"/>
      <c r="DV302" s="179"/>
      <c r="DY302" s="180"/>
      <c r="DZ302" s="180"/>
      <c r="ED302" s="179"/>
      <c r="EG302" s="180"/>
      <c r="EH302" s="180"/>
      <c r="EL302" s="179"/>
      <c r="EO302" s="180"/>
      <c r="EP302" s="180"/>
      <c r="ET302" s="179"/>
      <c r="EW302" s="180"/>
      <c r="EX302" s="180"/>
      <c r="FB302" s="179"/>
      <c r="FE302" s="180"/>
      <c r="FF302" s="180"/>
    </row>
    <row r="303" spans="1:162" ht="11.25" customHeight="1" x14ac:dyDescent="0.2">
      <c r="A303" s="4" t="s">
        <v>428</v>
      </c>
      <c r="C303" s="288"/>
      <c r="D303" s="289"/>
      <c r="E303" s="289"/>
      <c r="F303" s="290"/>
      <c r="G303" s="402">
        <v>43</v>
      </c>
      <c r="H303" s="402">
        <f>J303-G303</f>
        <v>-214</v>
      </c>
      <c r="I303" s="291"/>
      <c r="J303" s="291">
        <v>-171</v>
      </c>
      <c r="K303" s="288"/>
      <c r="L303" s="289"/>
      <c r="M303" s="289"/>
      <c r="N303" s="290"/>
      <c r="O303" s="402">
        <v>-117</v>
      </c>
      <c r="P303" s="402">
        <f>R303-O303</f>
        <v>-162</v>
      </c>
      <c r="Q303" s="291"/>
      <c r="R303" s="291">
        <v>-279</v>
      </c>
      <c r="S303" s="288"/>
      <c r="T303" s="289"/>
      <c r="U303" s="289"/>
      <c r="V303" s="290"/>
      <c r="W303" s="402">
        <v>-111</v>
      </c>
      <c r="X303" s="402">
        <f>Z303-W303</f>
        <v>-295</v>
      </c>
      <c r="Y303" s="291"/>
      <c r="Z303" s="291">
        <f>-IS!M110</f>
        <v>-406</v>
      </c>
      <c r="AA303" s="288"/>
      <c r="AB303" s="289"/>
      <c r="AC303" s="289"/>
      <c r="AD303" s="290"/>
      <c r="AE303" s="402">
        <v>-20</v>
      </c>
      <c r="AF303" s="402"/>
      <c r="AG303" s="291"/>
      <c r="AH303" s="291">
        <f>-IS!N110</f>
        <v>-292</v>
      </c>
      <c r="AI303" s="288"/>
      <c r="AJ303" s="289"/>
      <c r="AK303" s="289"/>
      <c r="AL303" s="290"/>
      <c r="AM303" s="402">
        <v>-64</v>
      </c>
      <c r="AN303" s="402"/>
      <c r="AO303" s="291"/>
      <c r="AP303" s="291">
        <f>-IS!O110</f>
        <v>-582</v>
      </c>
      <c r="AQ303" s="288"/>
      <c r="AR303" s="289"/>
      <c r="AS303" s="289"/>
      <c r="AT303" s="290"/>
      <c r="AU303" s="402"/>
      <c r="AV303" s="402"/>
      <c r="AW303" s="291"/>
      <c r="AX303" s="291"/>
      <c r="AY303" s="288"/>
      <c r="AZ303" s="289"/>
      <c r="BA303" s="289"/>
      <c r="BB303" s="290"/>
      <c r="BC303" s="402">
        <v>-103</v>
      </c>
      <c r="BD303" s="402"/>
      <c r="BE303" s="291"/>
      <c r="BF303" s="291">
        <f>-IS!P110</f>
        <v>-531</v>
      </c>
      <c r="BG303" s="288"/>
      <c r="BH303" s="289"/>
      <c r="BI303" s="289"/>
      <c r="BJ303" s="290"/>
      <c r="BK303" s="402">
        <f t="shared" ref="BK303:BK334" si="320">BC303</f>
        <v>-103</v>
      </c>
      <c r="BL303" s="402"/>
      <c r="BM303" s="291"/>
      <c r="BN303" s="291">
        <f t="shared" ref="BN303:BN334" si="321">BF303</f>
        <v>-531</v>
      </c>
      <c r="BO303" s="288"/>
      <c r="BP303" s="289"/>
      <c r="BQ303" s="289"/>
      <c r="BR303" s="290"/>
      <c r="BS303" s="402">
        <v>-120</v>
      </c>
      <c r="BT303" s="402"/>
      <c r="BU303" s="291"/>
      <c r="BV303" s="291">
        <f>-IS!Q110</f>
        <v>-887</v>
      </c>
      <c r="BW303" s="288"/>
      <c r="BX303" s="289"/>
      <c r="BY303" s="289"/>
      <c r="BZ303" s="290"/>
      <c r="CA303" s="402">
        <v>-39</v>
      </c>
      <c r="CB303" s="402"/>
      <c r="CC303" s="291"/>
      <c r="CD303" s="291">
        <f>-IS!R110</f>
        <v>-143</v>
      </c>
      <c r="CE303" s="288"/>
      <c r="CF303" s="289"/>
      <c r="CG303" s="289"/>
      <c r="CH303" s="290"/>
      <c r="CI303" s="402">
        <v>-110</v>
      </c>
      <c r="CJ303" s="402"/>
      <c r="CK303" s="291"/>
      <c r="CL303" s="291">
        <f>-IS!S110</f>
        <v>-302</v>
      </c>
      <c r="CM303" s="288"/>
      <c r="CN303" s="289"/>
      <c r="CO303" s="289"/>
      <c r="CP303" s="290"/>
      <c r="CQ303" s="402">
        <v>-206</v>
      </c>
      <c r="CR303" s="4">
        <f>CT303-CQ303</f>
        <v>-27</v>
      </c>
      <c r="CS303" s="291"/>
      <c r="CT303" s="291">
        <f>-IS!T110</f>
        <v>-233</v>
      </c>
      <c r="CU303" s="289"/>
      <c r="CV303" s="289"/>
      <c r="CW303" s="289"/>
      <c r="CX303" s="290"/>
      <c r="CY303" s="402">
        <v>-31</v>
      </c>
      <c r="CZ303" s="289">
        <f>DB303-CY303</f>
        <v>-819</v>
      </c>
      <c r="DA303" s="291"/>
      <c r="DB303" s="291">
        <f>-IS!U110</f>
        <v>-850</v>
      </c>
      <c r="DC303" s="289"/>
      <c r="DD303" s="289"/>
      <c r="DE303" s="289"/>
      <c r="DF303" s="290"/>
      <c r="DG303" s="402">
        <v>-157</v>
      </c>
      <c r="DH303" s="289">
        <f>DJ303-DG303</f>
        <v>-778</v>
      </c>
      <c r="DI303" s="291"/>
      <c r="DJ303" s="291">
        <f>-IS!V110</f>
        <v>-935</v>
      </c>
      <c r="DK303" s="289"/>
      <c r="DL303" s="289"/>
      <c r="DM303" s="289"/>
      <c r="DN303" s="290"/>
      <c r="DO303" s="402">
        <v>-360</v>
      </c>
      <c r="DP303" s="289">
        <f>DR303-DO303</f>
        <v>-1602</v>
      </c>
      <c r="DQ303" s="291"/>
      <c r="DR303" s="291">
        <f>-IS!W110</f>
        <v>-1962</v>
      </c>
      <c r="DS303" s="289"/>
      <c r="DT303" s="289"/>
      <c r="DU303" s="289"/>
      <c r="DV303" s="290"/>
      <c r="DW303" s="1705">
        <v>-338</v>
      </c>
      <c r="DX303" s="401">
        <f>DZ303-DW303</f>
        <v>-1748.058297312592</v>
      </c>
      <c r="DY303" s="291"/>
      <c r="DZ303" s="287">
        <f>-IS!X110</f>
        <v>-2086.058297312592</v>
      </c>
      <c r="EA303" s="289"/>
      <c r="EB303" s="289"/>
      <c r="EC303" s="289"/>
      <c r="ED303" s="290"/>
      <c r="EE303" s="401">
        <f>EH303/2</f>
        <v>-977.90937069751419</v>
      </c>
      <c r="EF303" s="401">
        <f>EH303-EE303</f>
        <v>-977.90937069751419</v>
      </c>
      <c r="EG303" s="291"/>
      <c r="EH303" s="287">
        <f>-IS!Y110</f>
        <v>-1955.8187413950284</v>
      </c>
      <c r="EI303" s="289"/>
      <c r="EJ303" s="289"/>
      <c r="EK303" s="289"/>
      <c r="EL303" s="290"/>
      <c r="EM303" s="401">
        <f>EP303/2</f>
        <v>-1078.5807682410539</v>
      </c>
      <c r="EN303" s="401">
        <f>EP303-EM303</f>
        <v>-1078.5807682410539</v>
      </c>
      <c r="EO303" s="291"/>
      <c r="EP303" s="287">
        <f>-IS!Z110</f>
        <v>-2157.1615364821077</v>
      </c>
      <c r="EQ303" s="289"/>
      <c r="ER303" s="289"/>
      <c r="ES303" s="289"/>
      <c r="ET303" s="290"/>
      <c r="EU303" s="401">
        <f>EX303/2</f>
        <v>-1158.1791526787206</v>
      </c>
      <c r="EV303" s="401">
        <f>EX303-EU303</f>
        <v>-1158.1791526787206</v>
      </c>
      <c r="EW303" s="291"/>
      <c r="EX303" s="287">
        <f>-IS!AA110</f>
        <v>-2316.3583053574412</v>
      </c>
      <c r="EY303" s="289"/>
      <c r="EZ303" s="289"/>
      <c r="FA303" s="289"/>
      <c r="FB303" s="290"/>
      <c r="FC303" s="401">
        <f>FF303/2</f>
        <v>-1219.0317514631222</v>
      </c>
      <c r="FD303" s="401">
        <f>FF303-FC303</f>
        <v>-1219.0317514631222</v>
      </c>
      <c r="FE303" s="291"/>
      <c r="FF303" s="287">
        <f>-IS!AB110</f>
        <v>-2438.0635029262444</v>
      </c>
    </row>
    <row r="304" spans="1:162" ht="11.25" customHeight="1" x14ac:dyDescent="0.2">
      <c r="B304" s="4" t="s">
        <v>429</v>
      </c>
      <c r="C304" s="38"/>
      <c r="F304" s="179"/>
      <c r="G304" s="199">
        <v>-31</v>
      </c>
      <c r="H304" s="199">
        <f>J304-G304</f>
        <v>-62</v>
      </c>
      <c r="I304" s="180"/>
      <c r="J304" s="180">
        <v>-93</v>
      </c>
      <c r="K304" s="38"/>
      <c r="N304" s="179"/>
      <c r="O304" s="199">
        <v>-31</v>
      </c>
      <c r="P304" s="199">
        <f>R304-O304</f>
        <v>-54</v>
      </c>
      <c r="Q304" s="180"/>
      <c r="R304" s="180">
        <v>-85</v>
      </c>
      <c r="S304" s="38"/>
      <c r="V304" s="179"/>
      <c r="W304" s="199">
        <v>-34</v>
      </c>
      <c r="X304" s="199">
        <f>Z304-W304</f>
        <v>67</v>
      </c>
      <c r="Y304" s="180"/>
      <c r="Z304" s="180">
        <f>BS!M182</f>
        <v>33</v>
      </c>
      <c r="AA304" s="38"/>
      <c r="AD304" s="179"/>
      <c r="AE304" s="199">
        <v>-33</v>
      </c>
      <c r="AF304" s="199"/>
      <c r="AG304" s="180"/>
      <c r="AH304" s="180">
        <f>BS!N182</f>
        <v>20</v>
      </c>
      <c r="AI304" s="38"/>
      <c r="AL304" s="179"/>
      <c r="AM304" s="199">
        <v>-35</v>
      </c>
      <c r="AN304" s="199"/>
      <c r="AO304" s="180"/>
      <c r="AP304" s="180"/>
      <c r="AQ304" s="38"/>
      <c r="AT304" s="179"/>
      <c r="AU304" s="199"/>
      <c r="AV304" s="199"/>
      <c r="AW304" s="180"/>
      <c r="AX304" s="180"/>
      <c r="AY304" s="38"/>
      <c r="BB304" s="179"/>
      <c r="BC304" s="199">
        <v>-35</v>
      </c>
      <c r="BD304" s="199"/>
      <c r="BE304" s="180"/>
      <c r="BF304" s="180"/>
      <c r="BG304" s="38"/>
      <c r="BJ304" s="179"/>
      <c r="BK304" s="199">
        <f t="shared" si="320"/>
        <v>-35</v>
      </c>
      <c r="BL304" s="199"/>
      <c r="BM304" s="180"/>
      <c r="BN304" s="180"/>
      <c r="BO304" s="38"/>
      <c r="BR304" s="179"/>
      <c r="BS304" s="199">
        <v>-54</v>
      </c>
      <c r="BT304" s="199"/>
      <c r="BU304" s="180"/>
      <c r="BV304" s="180"/>
      <c r="BW304" s="38"/>
      <c r="BZ304" s="179"/>
      <c r="CA304" s="199">
        <v>-34</v>
      </c>
      <c r="CB304" s="199"/>
      <c r="CC304" s="180"/>
      <c r="CD304" s="180"/>
      <c r="CE304" s="38"/>
      <c r="CH304" s="179"/>
      <c r="CI304" s="199">
        <v>-50</v>
      </c>
      <c r="CJ304" s="199"/>
      <c r="CK304" s="180"/>
      <c r="CL304" s="180"/>
      <c r="CM304" s="38"/>
      <c r="CP304" s="179"/>
      <c r="CQ304" s="199">
        <v>-48</v>
      </c>
      <c r="CR304" s="4">
        <f>CT304-CQ304</f>
        <v>-39</v>
      </c>
      <c r="CS304" s="180"/>
      <c r="CT304" s="201">
        <v>-87</v>
      </c>
      <c r="CX304" s="179"/>
      <c r="CY304" s="199">
        <v>-74</v>
      </c>
      <c r="CZ304" s="289">
        <f t="shared" ref="CZ304:CZ305" si="322">DB304-CY304</f>
        <v>-42</v>
      </c>
      <c r="DA304" s="180"/>
      <c r="DB304" s="201">
        <v>-116</v>
      </c>
      <c r="DF304" s="179"/>
      <c r="DG304" s="199">
        <v>-64</v>
      </c>
      <c r="DH304" s="289">
        <f t="shared" ref="DH304:DH305" si="323">DJ304-DG304</f>
        <v>-28</v>
      </c>
      <c r="DI304" s="180"/>
      <c r="DJ304" s="180">
        <f>BS!V183</f>
        <v>-92</v>
      </c>
      <c r="DN304" s="179"/>
      <c r="DO304" s="199"/>
      <c r="DP304" s="289">
        <f t="shared" ref="DP304:DP305" si="324">DR304-DO304</f>
        <v>-99</v>
      </c>
      <c r="DQ304" s="180"/>
      <c r="DR304" s="180">
        <f>BS!W183</f>
        <v>-99</v>
      </c>
      <c r="DV304" s="179"/>
      <c r="DW304" s="1706"/>
      <c r="DY304" s="180"/>
      <c r="DZ304" s="180"/>
      <c r="ED304" s="179"/>
      <c r="EG304" s="180"/>
      <c r="EH304" s="180"/>
      <c r="EL304" s="179"/>
      <c r="EO304" s="180"/>
      <c r="EP304" s="180"/>
      <c r="ET304" s="179"/>
      <c r="EW304" s="180"/>
      <c r="EX304" s="180"/>
      <c r="FB304" s="179"/>
      <c r="FE304" s="180"/>
      <c r="FF304" s="180"/>
    </row>
    <row r="305" spans="1:162" ht="11.25" customHeight="1" x14ac:dyDescent="0.2">
      <c r="B305" s="4" t="s">
        <v>430</v>
      </c>
      <c r="C305" s="38"/>
      <c r="F305" s="179"/>
      <c r="G305" s="199">
        <v>18</v>
      </c>
      <c r="H305" s="199">
        <f>J305-G305</f>
        <v>25</v>
      </c>
      <c r="I305" s="180"/>
      <c r="J305" s="180">
        <v>43</v>
      </c>
      <c r="K305" s="38"/>
      <c r="N305" s="179"/>
      <c r="O305" s="199">
        <v>18</v>
      </c>
      <c r="P305" s="199">
        <f>R305-O305</f>
        <v>20</v>
      </c>
      <c r="Q305" s="180"/>
      <c r="R305" s="180">
        <v>38</v>
      </c>
      <c r="S305" s="38"/>
      <c r="V305" s="179"/>
      <c r="W305" s="199">
        <v>20</v>
      </c>
      <c r="X305" s="199">
        <f>Z305-W305</f>
        <v>-85</v>
      </c>
      <c r="Y305" s="180"/>
      <c r="Z305" s="180">
        <f>BS!M183</f>
        <v>-65</v>
      </c>
      <c r="AA305" s="38"/>
      <c r="AD305" s="179"/>
      <c r="AE305" s="199">
        <v>12</v>
      </c>
      <c r="AF305" s="199"/>
      <c r="AG305" s="180"/>
      <c r="AH305" s="180">
        <f>BS!N183</f>
        <v>-50</v>
      </c>
      <c r="AI305" s="38"/>
      <c r="AL305" s="179"/>
      <c r="AM305" s="199">
        <v>12</v>
      </c>
      <c r="AN305" s="199"/>
      <c r="AO305" s="180"/>
      <c r="AP305" s="180"/>
      <c r="AQ305" s="38"/>
      <c r="AT305" s="179"/>
      <c r="AU305" s="199"/>
      <c r="AV305" s="199"/>
      <c r="AW305" s="180"/>
      <c r="AX305" s="180"/>
      <c r="AY305" s="38"/>
      <c r="BB305" s="179"/>
      <c r="BC305" s="199">
        <v>9</v>
      </c>
      <c r="BD305" s="199"/>
      <c r="BE305" s="180"/>
      <c r="BF305" s="180"/>
      <c r="BG305" s="38"/>
      <c r="BJ305" s="179"/>
      <c r="BK305" s="199">
        <f t="shared" si="320"/>
        <v>9</v>
      </c>
      <c r="BL305" s="199"/>
      <c r="BM305" s="180"/>
      <c r="BN305" s="180"/>
      <c r="BO305" s="38"/>
      <c r="BR305" s="179"/>
      <c r="BS305" s="199">
        <v>27</v>
      </c>
      <c r="BT305" s="199"/>
      <c r="BU305" s="180"/>
      <c r="BV305" s="180"/>
      <c r="BW305" s="38"/>
      <c r="BZ305" s="179"/>
      <c r="CA305" s="199">
        <v>16</v>
      </c>
      <c r="CB305" s="199"/>
      <c r="CC305" s="180"/>
      <c r="CD305" s="180"/>
      <c r="CE305" s="38"/>
      <c r="CH305" s="179"/>
      <c r="CI305" s="199">
        <v>7</v>
      </c>
      <c r="CJ305" s="199"/>
      <c r="CK305" s="180"/>
      <c r="CL305" s="180"/>
      <c r="CM305" s="38"/>
      <c r="CP305" s="179"/>
      <c r="CQ305" s="199">
        <v>3</v>
      </c>
      <c r="CR305" s="4">
        <f t="shared" ref="CR305:CR306" si="325">CT305-CQ305</f>
        <v>35</v>
      </c>
      <c r="CS305" s="180"/>
      <c r="CT305" s="201">
        <v>38</v>
      </c>
      <c r="CX305" s="179"/>
      <c r="CY305" s="199">
        <v>102</v>
      </c>
      <c r="CZ305" s="289">
        <f t="shared" si="322"/>
        <v>127</v>
      </c>
      <c r="DA305" s="180"/>
      <c r="DB305" s="201">
        <v>229</v>
      </c>
      <c r="DF305" s="179"/>
      <c r="DG305" s="199">
        <v>136</v>
      </c>
      <c r="DH305" s="289">
        <f t="shared" si="323"/>
        <v>113</v>
      </c>
      <c r="DI305" s="180"/>
      <c r="DJ305" s="180">
        <f>BS!V182</f>
        <v>249</v>
      </c>
      <c r="DN305" s="179"/>
      <c r="DO305" s="199"/>
      <c r="DP305" s="289">
        <f t="shared" si="324"/>
        <v>215</v>
      </c>
      <c r="DQ305" s="180"/>
      <c r="DR305" s="180">
        <f>BS!W182</f>
        <v>215</v>
      </c>
      <c r="DV305" s="179"/>
      <c r="DW305" s="1706"/>
      <c r="DY305" s="180"/>
      <c r="DZ305" s="180"/>
      <c r="ED305" s="179"/>
      <c r="EG305" s="180"/>
      <c r="EH305" s="180"/>
      <c r="EL305" s="179"/>
      <c r="EO305" s="180"/>
      <c r="EP305" s="180"/>
      <c r="ET305" s="179"/>
      <c r="EW305" s="180"/>
      <c r="EX305" s="180"/>
      <c r="FB305" s="179"/>
      <c r="FE305" s="180"/>
      <c r="FF305" s="180"/>
    </row>
    <row r="306" spans="1:162" ht="11.25" customHeight="1" x14ac:dyDescent="0.2">
      <c r="A306" s="4" t="s">
        <v>431</v>
      </c>
      <c r="C306" s="38"/>
      <c r="F306" s="179"/>
      <c r="G306" s="199">
        <f>G304+G305</f>
        <v>-13</v>
      </c>
      <c r="H306" s="199">
        <f>H304+H305</f>
        <v>-37</v>
      </c>
      <c r="I306" s="180"/>
      <c r="J306" s="180">
        <f>J304+J305</f>
        <v>-50</v>
      </c>
      <c r="K306" s="38"/>
      <c r="N306" s="179"/>
      <c r="O306" s="199">
        <f>O304+O305</f>
        <v>-13</v>
      </c>
      <c r="P306" s="199">
        <f>P304+P305</f>
        <v>-34</v>
      </c>
      <c r="Q306" s="180"/>
      <c r="R306" s="180">
        <f>R304+R305</f>
        <v>-47</v>
      </c>
      <c r="S306" s="38"/>
      <c r="V306" s="179"/>
      <c r="W306" s="199">
        <f>W304+W305</f>
        <v>-14</v>
      </c>
      <c r="X306" s="199">
        <f>X304+X305</f>
        <v>-18</v>
      </c>
      <c r="Y306" s="180"/>
      <c r="Z306" s="180">
        <f>Z304+Z305</f>
        <v>-32</v>
      </c>
      <c r="AA306" s="38"/>
      <c r="AD306" s="179"/>
      <c r="AE306" s="199">
        <f>AE304+AE305</f>
        <v>-21</v>
      </c>
      <c r="AF306" s="199"/>
      <c r="AG306" s="180"/>
      <c r="AH306" s="180">
        <f>AH304+AH305</f>
        <v>-30</v>
      </c>
      <c r="AI306" s="38"/>
      <c r="AL306" s="179"/>
      <c r="AM306" s="199">
        <f>AM304+AM305</f>
        <v>-23</v>
      </c>
      <c r="AN306" s="199"/>
      <c r="AO306" s="180"/>
      <c r="AP306" s="180"/>
      <c r="AQ306" s="38"/>
      <c r="AT306" s="179"/>
      <c r="AU306" s="199"/>
      <c r="AV306" s="199"/>
      <c r="AW306" s="180"/>
      <c r="AX306" s="180"/>
      <c r="AY306" s="38"/>
      <c r="BB306" s="179"/>
      <c r="BC306" s="199">
        <f>BC304+BC305</f>
        <v>-26</v>
      </c>
      <c r="BD306" s="199"/>
      <c r="BE306" s="180"/>
      <c r="BF306" s="180"/>
      <c r="BG306" s="38"/>
      <c r="BJ306" s="179"/>
      <c r="BK306" s="199">
        <f t="shared" si="320"/>
        <v>-26</v>
      </c>
      <c r="BL306" s="199"/>
      <c r="BM306" s="180"/>
      <c r="BN306" s="180"/>
      <c r="BO306" s="38"/>
      <c r="BR306" s="179"/>
      <c r="BS306" s="199">
        <f>BS304+BS305</f>
        <v>-27</v>
      </c>
      <c r="BT306" s="199"/>
      <c r="BU306" s="180"/>
      <c r="BV306" s="180"/>
      <c r="BW306" s="38"/>
      <c r="BZ306" s="179"/>
      <c r="CA306" s="199">
        <f>CA305+CA304</f>
        <v>-18</v>
      </c>
      <c r="CB306" s="199"/>
      <c r="CC306" s="180"/>
      <c r="CD306" s="180"/>
      <c r="CE306" s="38"/>
      <c r="CH306" s="179"/>
      <c r="CI306" s="199">
        <f>CI304+CI305</f>
        <v>-43</v>
      </c>
      <c r="CJ306" s="199"/>
      <c r="CK306" s="180"/>
      <c r="CL306" s="180"/>
      <c r="CM306" s="38"/>
      <c r="CP306" s="179"/>
      <c r="CQ306" s="199">
        <f>CQ304+CQ305</f>
        <v>-45</v>
      </c>
      <c r="CR306" s="4">
        <f t="shared" si="325"/>
        <v>-4</v>
      </c>
      <c r="CS306" s="180"/>
      <c r="CT306" s="201">
        <f>CT304+CT305</f>
        <v>-49</v>
      </c>
      <c r="CX306" s="179"/>
      <c r="CY306" s="199">
        <f>CY304+CY305</f>
        <v>28</v>
      </c>
      <c r="CZ306" s="199">
        <f>CZ304+CZ305</f>
        <v>85</v>
      </c>
      <c r="DA306" s="180"/>
      <c r="DB306" s="201">
        <f>DB304+DB305</f>
        <v>113</v>
      </c>
      <c r="DF306" s="179"/>
      <c r="DG306" s="199">
        <f>DG304+DG305</f>
        <v>72</v>
      </c>
      <c r="DH306" s="199">
        <f>DH304+DH305</f>
        <v>85</v>
      </c>
      <c r="DI306" s="180"/>
      <c r="DJ306" s="201">
        <f>DJ304+DJ305</f>
        <v>157</v>
      </c>
      <c r="DN306" s="179"/>
      <c r="DO306" s="199"/>
      <c r="DP306" s="199">
        <f>DP304+DP305</f>
        <v>116</v>
      </c>
      <c r="DQ306" s="180"/>
      <c r="DR306" s="201">
        <f>DR304+DR305</f>
        <v>116</v>
      </c>
      <c r="DV306" s="179"/>
      <c r="DW306" s="1707"/>
      <c r="DY306" s="180"/>
      <c r="DZ306" s="180"/>
      <c r="ED306" s="179"/>
      <c r="EG306" s="180"/>
      <c r="EH306" s="180"/>
      <c r="EL306" s="179"/>
      <c r="EO306" s="180"/>
      <c r="EP306" s="180"/>
      <c r="ET306" s="179"/>
      <c r="EW306" s="180"/>
      <c r="EX306" s="180"/>
      <c r="FB306" s="179"/>
      <c r="FE306" s="180"/>
      <c r="FF306" s="180"/>
    </row>
    <row r="307" spans="1:162" ht="11.25" customHeight="1" x14ac:dyDescent="0.2">
      <c r="C307" s="38"/>
      <c r="F307" s="179"/>
      <c r="G307" s="199"/>
      <c r="H307" s="199"/>
      <c r="I307" s="180"/>
      <c r="J307" s="180"/>
      <c r="K307" s="38"/>
      <c r="N307" s="179"/>
      <c r="O307" s="199"/>
      <c r="P307" s="199"/>
      <c r="Q307" s="180"/>
      <c r="R307" s="180"/>
      <c r="S307" s="38"/>
      <c r="V307" s="179"/>
      <c r="W307" s="199"/>
      <c r="X307" s="199"/>
      <c r="Y307" s="180"/>
      <c r="Z307" s="180"/>
      <c r="AA307" s="38"/>
      <c r="AD307" s="179"/>
      <c r="AE307" s="199"/>
      <c r="AF307" s="199"/>
      <c r="AG307" s="180"/>
      <c r="AH307" s="180"/>
      <c r="AI307" s="38"/>
      <c r="AL307" s="179"/>
      <c r="AM307" s="199"/>
      <c r="AN307" s="199"/>
      <c r="AO307" s="180"/>
      <c r="AP307" s="180"/>
      <c r="AQ307" s="38"/>
      <c r="AT307" s="179"/>
      <c r="AU307" s="199"/>
      <c r="AV307" s="199"/>
      <c r="AW307" s="180"/>
      <c r="AX307" s="180"/>
      <c r="AY307" s="38"/>
      <c r="BB307" s="179"/>
      <c r="BC307" s="199"/>
      <c r="BD307" s="199"/>
      <c r="BE307" s="180"/>
      <c r="BF307" s="180"/>
      <c r="BG307" s="38"/>
      <c r="BJ307" s="179"/>
      <c r="BK307" s="199"/>
      <c r="BL307" s="199"/>
      <c r="BM307" s="180"/>
      <c r="BN307" s="180"/>
      <c r="BO307" s="38"/>
      <c r="BR307" s="179"/>
      <c r="BS307" s="199"/>
      <c r="BT307" s="199"/>
      <c r="BU307" s="180"/>
      <c r="BV307" s="180"/>
      <c r="BW307" s="38"/>
      <c r="BZ307" s="179"/>
      <c r="CA307" s="199"/>
      <c r="CB307" s="199"/>
      <c r="CC307" s="180"/>
      <c r="CD307" s="180"/>
      <c r="CE307" s="38"/>
      <c r="CH307" s="179"/>
      <c r="CI307" s="199"/>
      <c r="CJ307" s="199"/>
      <c r="CK307" s="180"/>
      <c r="CL307" s="180"/>
      <c r="CM307" s="38"/>
      <c r="CP307" s="179"/>
      <c r="CQ307" s="199"/>
      <c r="CR307" s="199"/>
      <c r="CS307" s="180"/>
      <c r="CT307" s="180"/>
      <c r="CX307" s="179"/>
      <c r="CY307" s="199"/>
      <c r="DA307" s="180"/>
      <c r="DB307" s="180"/>
      <c r="DF307" s="179"/>
      <c r="DI307" s="180"/>
      <c r="DJ307" s="180"/>
      <c r="DN307" s="179"/>
      <c r="DQ307" s="180"/>
      <c r="DR307" s="180"/>
      <c r="DV307" s="179"/>
      <c r="DW307" s="1706"/>
      <c r="DY307" s="180"/>
      <c r="DZ307" s="180"/>
      <c r="ED307" s="179"/>
      <c r="EG307" s="180"/>
      <c r="EH307" s="180"/>
      <c r="EL307" s="179"/>
      <c r="EO307" s="180"/>
      <c r="EP307" s="180"/>
      <c r="ET307" s="179"/>
      <c r="EW307" s="180"/>
      <c r="EX307" s="180"/>
      <c r="FB307" s="179"/>
      <c r="FE307" s="180"/>
      <c r="FF307" s="180"/>
    </row>
    <row r="308" spans="1:162" ht="11.25" customHeight="1" x14ac:dyDescent="0.2">
      <c r="A308" s="219" t="s">
        <v>112</v>
      </c>
      <c r="C308" s="38"/>
      <c r="F308" s="179"/>
      <c r="I308" s="180"/>
      <c r="J308" s="180"/>
      <c r="K308" s="38"/>
      <c r="N308" s="179"/>
      <c r="Q308" s="180"/>
      <c r="R308" s="180"/>
      <c r="S308" s="38"/>
      <c r="V308" s="179"/>
      <c r="Y308" s="180"/>
      <c r="Z308" s="180"/>
      <c r="AA308" s="38"/>
      <c r="AD308" s="179"/>
      <c r="AG308" s="180"/>
      <c r="AH308" s="180"/>
      <c r="AI308" s="38"/>
      <c r="AL308" s="179"/>
      <c r="AO308" s="180"/>
      <c r="AP308" s="180"/>
      <c r="AQ308" s="38"/>
      <c r="AT308" s="179"/>
      <c r="AW308" s="180"/>
      <c r="AX308" s="180"/>
      <c r="AY308" s="38"/>
      <c r="BB308" s="179"/>
      <c r="BE308" s="180"/>
      <c r="BF308" s="180"/>
      <c r="BG308" s="38"/>
      <c r="BJ308" s="179"/>
      <c r="BM308" s="180"/>
      <c r="BN308" s="180"/>
      <c r="BO308" s="38"/>
      <c r="BR308" s="179"/>
      <c r="BU308" s="180"/>
      <c r="BV308" s="180"/>
      <c r="BW308" s="38"/>
      <c r="BZ308" s="179"/>
      <c r="CC308" s="180"/>
      <c r="CD308" s="180"/>
      <c r="CE308" s="38"/>
      <c r="CH308" s="179"/>
      <c r="CK308" s="180"/>
      <c r="CL308" s="180"/>
      <c r="CM308" s="38"/>
      <c r="CP308" s="179"/>
      <c r="CS308" s="180"/>
      <c r="CT308" s="180"/>
      <c r="CX308" s="179"/>
      <c r="DA308" s="180"/>
      <c r="DB308" s="180"/>
      <c r="DF308" s="179"/>
      <c r="DI308" s="180"/>
      <c r="DJ308" s="180"/>
      <c r="DN308" s="179"/>
      <c r="DQ308" s="180"/>
      <c r="DR308" s="180"/>
      <c r="DV308" s="179"/>
      <c r="DW308" s="1706"/>
      <c r="DY308" s="180"/>
      <c r="DZ308" s="180"/>
      <c r="ED308" s="179"/>
      <c r="EG308" s="180"/>
      <c r="EH308" s="180"/>
      <c r="EL308" s="179"/>
      <c r="EO308" s="180"/>
      <c r="EP308" s="180"/>
      <c r="ET308" s="179"/>
      <c r="EW308" s="180"/>
      <c r="EX308" s="180"/>
      <c r="FB308" s="179"/>
      <c r="FE308" s="180"/>
      <c r="FF308" s="180"/>
    </row>
    <row r="309" spans="1:162" ht="11.25" customHeight="1" x14ac:dyDescent="0.2">
      <c r="A309" s="186" t="s">
        <v>432</v>
      </c>
      <c r="C309" s="395"/>
      <c r="D309" s="396"/>
      <c r="E309" s="396"/>
      <c r="F309" s="397"/>
      <c r="G309" s="396">
        <f>G114</f>
        <v>658</v>
      </c>
      <c r="H309" s="396">
        <f>J309-G309</f>
        <v>535</v>
      </c>
      <c r="I309" s="398"/>
      <c r="J309" s="398">
        <f>J114</f>
        <v>1193</v>
      </c>
      <c r="K309" s="395"/>
      <c r="L309" s="396"/>
      <c r="M309" s="396"/>
      <c r="N309" s="397"/>
      <c r="O309" s="396">
        <f>O114</f>
        <v>616</v>
      </c>
      <c r="P309" s="396">
        <f>R309-O309</f>
        <v>632</v>
      </c>
      <c r="Q309" s="398"/>
      <c r="R309" s="398">
        <f>R114</f>
        <v>1248</v>
      </c>
      <c r="S309" s="395"/>
      <c r="T309" s="396"/>
      <c r="U309" s="396"/>
      <c r="V309" s="397"/>
      <c r="W309" s="396">
        <f>W114</f>
        <v>1164</v>
      </c>
      <c r="X309" s="396">
        <f>X114</f>
        <v>318</v>
      </c>
      <c r="Y309" s="398"/>
      <c r="Z309" s="398">
        <f>Z114</f>
        <v>1482</v>
      </c>
      <c r="AA309" s="395"/>
      <c r="AB309" s="396"/>
      <c r="AC309" s="396"/>
      <c r="AD309" s="397"/>
      <c r="AE309" s="396">
        <f>AE114</f>
        <v>862</v>
      </c>
      <c r="AF309" s="396"/>
      <c r="AG309" s="398"/>
      <c r="AH309" s="398">
        <f>AH114</f>
        <v>1806</v>
      </c>
      <c r="AI309" s="395"/>
      <c r="AJ309" s="396"/>
      <c r="AK309" s="396"/>
      <c r="AL309" s="397"/>
      <c r="AM309" s="396">
        <f>AM114-766</f>
        <v>840</v>
      </c>
      <c r="AN309" s="396"/>
      <c r="AO309" s="398"/>
      <c r="AP309" s="398">
        <v>2623</v>
      </c>
      <c r="AQ309" s="395"/>
      <c r="AR309" s="396"/>
      <c r="AS309" s="396"/>
      <c r="AT309" s="397"/>
      <c r="AU309" s="396">
        <v>1488</v>
      </c>
      <c r="AV309" s="396"/>
      <c r="AW309" s="398"/>
      <c r="AX309" s="398"/>
      <c r="AY309" s="395"/>
      <c r="AZ309" s="396"/>
      <c r="BA309" s="396"/>
      <c r="BB309" s="397"/>
      <c r="BC309" s="396">
        <v>932</v>
      </c>
      <c r="BD309" s="396"/>
      <c r="BE309" s="398"/>
      <c r="BF309" s="398">
        <f>BF114</f>
        <v>1981</v>
      </c>
      <c r="BG309" s="395"/>
      <c r="BH309" s="396"/>
      <c r="BI309" s="396"/>
      <c r="BJ309" s="397"/>
      <c r="BK309" s="396">
        <f t="shared" si="320"/>
        <v>932</v>
      </c>
      <c r="BL309" s="396">
        <f>+BN309-BK309</f>
        <v>1049</v>
      </c>
      <c r="BM309" s="398"/>
      <c r="BN309" s="398">
        <f t="shared" si="321"/>
        <v>1981</v>
      </c>
      <c r="BO309" s="395"/>
      <c r="BP309" s="396"/>
      <c r="BQ309" s="396"/>
      <c r="BR309" s="397"/>
      <c r="BS309" s="396">
        <f>BS114</f>
        <v>1353</v>
      </c>
      <c r="BT309" s="396">
        <f>BV309-BS309</f>
        <v>1312</v>
      </c>
      <c r="BU309" s="398"/>
      <c r="BV309" s="398">
        <f>BV114</f>
        <v>2665</v>
      </c>
      <c r="BW309" s="395"/>
      <c r="BX309" s="396"/>
      <c r="BY309" s="396"/>
      <c r="BZ309" s="397"/>
      <c r="CA309" s="396">
        <f>CA114</f>
        <v>501</v>
      </c>
      <c r="CB309" s="396">
        <f>CD309-CA309</f>
        <v>343</v>
      </c>
      <c r="CC309" s="398"/>
      <c r="CD309" s="398">
        <f>CD114</f>
        <v>844</v>
      </c>
      <c r="CE309" s="395"/>
      <c r="CF309" s="396"/>
      <c r="CG309" s="396"/>
      <c r="CH309" s="397"/>
      <c r="CI309" s="396">
        <f>CI114</f>
        <v>269</v>
      </c>
      <c r="CJ309" s="396">
        <f>CL309-CI309</f>
        <v>491</v>
      </c>
      <c r="CK309" s="398"/>
      <c r="CL309" s="398">
        <f>CL114</f>
        <v>760</v>
      </c>
      <c r="CM309" s="395"/>
      <c r="CN309" s="396"/>
      <c r="CO309" s="396"/>
      <c r="CP309" s="397"/>
      <c r="CQ309" s="396">
        <f>CQ114</f>
        <v>536</v>
      </c>
      <c r="CR309" s="396">
        <f>CT309-CQ309</f>
        <v>642</v>
      </c>
      <c r="CS309" s="398"/>
      <c r="CT309" s="398">
        <f>CT114</f>
        <v>1178</v>
      </c>
      <c r="CU309" s="396"/>
      <c r="CV309" s="396"/>
      <c r="CW309" s="396"/>
      <c r="CX309" s="397"/>
      <c r="CY309" s="396">
        <f>CY114</f>
        <v>1043</v>
      </c>
      <c r="CZ309" s="396">
        <f>CZ114</f>
        <v>985</v>
      </c>
      <c r="DA309" s="398"/>
      <c r="DB309" s="398">
        <f>DB114</f>
        <v>2028</v>
      </c>
      <c r="DC309" s="396"/>
      <c r="DD309" s="396"/>
      <c r="DE309" s="396"/>
      <c r="DF309" s="397"/>
      <c r="DG309" s="396">
        <f>DG114</f>
        <v>1432</v>
      </c>
      <c r="DH309" s="396">
        <f>DH114</f>
        <v>1636</v>
      </c>
      <c r="DI309" s="398"/>
      <c r="DJ309" s="398">
        <f>DJ114</f>
        <v>3068</v>
      </c>
      <c r="DK309" s="396"/>
      <c r="DL309" s="396"/>
      <c r="DM309" s="396"/>
      <c r="DN309" s="397"/>
      <c r="DO309" s="396">
        <f>DO114</f>
        <v>1587</v>
      </c>
      <c r="DP309" s="396">
        <f>DP114</f>
        <v>1587.0000000000005</v>
      </c>
      <c r="DQ309" s="398"/>
      <c r="DR309" s="398">
        <f>DR114</f>
        <v>3174</v>
      </c>
      <c r="DS309" s="396"/>
      <c r="DT309" s="396"/>
      <c r="DU309" s="396"/>
      <c r="DV309" s="397"/>
      <c r="DW309" s="1708">
        <f>DW114</f>
        <v>1924</v>
      </c>
      <c r="DX309" s="399">
        <f>DX114</f>
        <v>2387.8502545571055</v>
      </c>
      <c r="DY309" s="398"/>
      <c r="DZ309" s="400">
        <f>DZ114</f>
        <v>4315.2738817892559</v>
      </c>
      <c r="EA309" s="396"/>
      <c r="EB309" s="396"/>
      <c r="EC309" s="396"/>
      <c r="ED309" s="397"/>
      <c r="EE309" s="399">
        <f>EE114</f>
        <v>1333.8830281227954</v>
      </c>
      <c r="EF309" s="399">
        <f>EF114</f>
        <v>4410.0931960622966</v>
      </c>
      <c r="EG309" s="398"/>
      <c r="EH309" s="400">
        <f>EH114</f>
        <v>5743.9762241850894</v>
      </c>
      <c r="EI309" s="396"/>
      <c r="EJ309" s="396"/>
      <c r="EK309" s="396"/>
      <c r="EL309" s="397"/>
      <c r="EM309" s="399">
        <f>EM114</f>
        <v>1534.6617466119201</v>
      </c>
      <c r="EN309" s="399">
        <f>EN114</f>
        <v>4807.1688628344118</v>
      </c>
      <c r="EO309" s="398"/>
      <c r="EP309" s="400">
        <f>EP114</f>
        <v>6341.8306094463242</v>
      </c>
      <c r="EQ309" s="396"/>
      <c r="ER309" s="396"/>
      <c r="ES309" s="396"/>
      <c r="ET309" s="397"/>
      <c r="EU309" s="399">
        <f>EU114</f>
        <v>1671.2782105667861</v>
      </c>
      <c r="EV309" s="399">
        <f>EV114</f>
        <v>5141.660005505546</v>
      </c>
      <c r="EW309" s="398"/>
      <c r="EX309" s="400">
        <f>EX114</f>
        <v>6812.9382160723253</v>
      </c>
      <c r="EY309" s="396"/>
      <c r="EZ309" s="396"/>
      <c r="FA309" s="396"/>
      <c r="FB309" s="397"/>
      <c r="FC309" s="399">
        <f>FC114</f>
        <v>1813.9741538360918</v>
      </c>
      <c r="FD309" s="399">
        <f>FD114</f>
        <v>5357.2728199426465</v>
      </c>
      <c r="FE309" s="398"/>
      <c r="FF309" s="400">
        <f>FF114</f>
        <v>7171.2469737787342</v>
      </c>
    </row>
    <row r="310" spans="1:162" ht="11.25" customHeight="1" x14ac:dyDescent="0.2">
      <c r="A310" s="186"/>
      <c r="B310" s="197" t="s">
        <v>433</v>
      </c>
      <c r="C310" s="38"/>
      <c r="F310" s="179"/>
      <c r="G310" s="199"/>
      <c r="H310" s="199"/>
      <c r="I310" s="180"/>
      <c r="J310" s="180"/>
      <c r="K310" s="38"/>
      <c r="N310" s="179"/>
      <c r="O310" s="199">
        <v>298</v>
      </c>
      <c r="P310" s="199">
        <f>R310-O310</f>
        <v>240</v>
      </c>
      <c r="Q310" s="180"/>
      <c r="R310" s="180">
        <v>538</v>
      </c>
      <c r="S310" s="38"/>
      <c r="V310" s="179"/>
      <c r="W310" s="199">
        <v>302</v>
      </c>
      <c r="X310" s="199">
        <f>Z310-W310</f>
        <v>379</v>
      </c>
      <c r="Y310" s="180"/>
      <c r="Z310" s="180">
        <v>681</v>
      </c>
      <c r="AA310" s="38"/>
      <c r="AD310" s="179"/>
      <c r="AE310" s="199">
        <v>328</v>
      </c>
      <c r="AF310" s="199"/>
      <c r="AG310" s="180"/>
      <c r="AH310" s="180">
        <v>612</v>
      </c>
      <c r="AI310" s="38"/>
      <c r="AL310" s="179"/>
      <c r="AM310" s="199">
        <v>329</v>
      </c>
      <c r="AN310" s="199"/>
      <c r="AO310" s="180"/>
      <c r="AP310" s="180">
        <f>-IS!O16</f>
        <v>966</v>
      </c>
      <c r="AQ310" s="38"/>
      <c r="AT310" s="179"/>
      <c r="AU310" s="199"/>
      <c r="AV310" s="199"/>
      <c r="AW310" s="180"/>
      <c r="AX310" s="180"/>
      <c r="AY310" s="38"/>
      <c r="BB310" s="179"/>
      <c r="BC310" s="199"/>
      <c r="BD310" s="199"/>
      <c r="BE310" s="180"/>
      <c r="BF310" s="180"/>
      <c r="BG310" s="38"/>
      <c r="BJ310" s="179"/>
      <c r="BK310" s="199"/>
      <c r="BL310" s="199"/>
      <c r="BM310" s="180"/>
      <c r="BN310" s="180"/>
      <c r="BO310" s="38"/>
      <c r="BR310" s="179"/>
      <c r="BS310" s="199">
        <v>513</v>
      </c>
      <c r="BT310" s="199"/>
      <c r="BU310" s="180"/>
      <c r="BV310" s="180">
        <f>-IS!Q16</f>
        <v>1194</v>
      </c>
      <c r="BW310" s="38"/>
      <c r="BZ310" s="179"/>
      <c r="CA310" s="199">
        <v>723</v>
      </c>
      <c r="CB310" s="199"/>
      <c r="CC310" s="180"/>
      <c r="CD310" s="180"/>
      <c r="CE310" s="38"/>
      <c r="CH310" s="179"/>
      <c r="CI310" s="199">
        <f>494+149</f>
        <v>643</v>
      </c>
      <c r="CJ310" s="199"/>
      <c r="CK310" s="180"/>
      <c r="CL310" s="180"/>
      <c r="CM310" s="38"/>
      <c r="CP310" s="179"/>
      <c r="CQ310" s="199">
        <v>681</v>
      </c>
      <c r="CR310" s="402">
        <f t="shared" ref="CR310:CR312" si="326">CT310-CQ310</f>
        <v>692</v>
      </c>
      <c r="CS310" s="180"/>
      <c r="CT310" s="201">
        <v>1373</v>
      </c>
      <c r="CX310" s="179"/>
      <c r="CY310" s="199">
        <v>653</v>
      </c>
      <c r="CZ310" s="289">
        <f t="shared" ref="CZ310:CZ320" si="327">DB310-CY310</f>
        <v>683</v>
      </c>
      <c r="DA310" s="180"/>
      <c r="DB310" s="201">
        <v>1336</v>
      </c>
      <c r="DF310" s="179"/>
      <c r="DG310" s="199">
        <v>692</v>
      </c>
      <c r="DH310" s="289">
        <f t="shared" ref="DH310:DH312" si="328">DJ310-DG310</f>
        <v>714</v>
      </c>
      <c r="DI310" s="180"/>
      <c r="DJ310" s="201">
        <v>1406</v>
      </c>
      <c r="DN310" s="179"/>
      <c r="DO310" s="199">
        <v>719</v>
      </c>
      <c r="DP310" s="289">
        <f t="shared" ref="DP310:DP312" si="329">DR310-DO310</f>
        <v>759</v>
      </c>
      <c r="DQ310" s="180"/>
      <c r="DR310" s="201">
        <v>1478</v>
      </c>
      <c r="DV310" s="179"/>
      <c r="DW310" s="1707">
        <v>835</v>
      </c>
      <c r="DY310" s="180"/>
      <c r="DZ310" s="180"/>
      <c r="ED310" s="179"/>
      <c r="EG310" s="180"/>
      <c r="EH310" s="180"/>
      <c r="EL310" s="179"/>
      <c r="EO310" s="180"/>
      <c r="EP310" s="180"/>
      <c r="ET310" s="179"/>
      <c r="EW310" s="180"/>
      <c r="EX310" s="180"/>
      <c r="FB310" s="179"/>
      <c r="FE310" s="180"/>
      <c r="FF310" s="180"/>
    </row>
    <row r="311" spans="1:162" ht="11.25" customHeight="1" x14ac:dyDescent="0.2">
      <c r="A311" s="186"/>
      <c r="B311" s="197" t="s">
        <v>434</v>
      </c>
      <c r="C311" s="38"/>
      <c r="F311" s="179"/>
      <c r="G311" s="199"/>
      <c r="H311" s="199"/>
      <c r="I311" s="180"/>
      <c r="J311" s="180"/>
      <c r="K311" s="38"/>
      <c r="N311" s="179"/>
      <c r="O311" s="199"/>
      <c r="P311" s="199"/>
      <c r="Q311" s="180"/>
      <c r="R311" s="180">
        <v>231</v>
      </c>
      <c r="S311" s="38"/>
      <c r="V311" s="179"/>
      <c r="W311" s="199">
        <v>140</v>
      </c>
      <c r="X311" s="199">
        <f>Z311-W311</f>
        <v>-7</v>
      </c>
      <c r="Y311" s="180"/>
      <c r="Z311" s="180">
        <v>133</v>
      </c>
      <c r="AA311" s="38"/>
      <c r="AD311" s="179"/>
      <c r="AE311" s="199">
        <v>-152</v>
      </c>
      <c r="AF311" s="199"/>
      <c r="AG311" s="180"/>
      <c r="AH311" s="180">
        <v>-46</v>
      </c>
      <c r="AI311" s="38"/>
      <c r="AL311" s="179"/>
      <c r="AM311" s="199">
        <v>-50</v>
      </c>
      <c r="AN311" s="199"/>
      <c r="AO311" s="180"/>
      <c r="AP311" s="180">
        <f>AP259</f>
        <v>205</v>
      </c>
      <c r="AQ311" s="38"/>
      <c r="AT311" s="179"/>
      <c r="AU311" s="199"/>
      <c r="AV311" s="199"/>
      <c r="AW311" s="180"/>
      <c r="AX311" s="180"/>
      <c r="AY311" s="38"/>
      <c r="BB311" s="179"/>
      <c r="BC311" s="199"/>
      <c r="BD311" s="199"/>
      <c r="BE311" s="180"/>
      <c r="BF311" s="180"/>
      <c r="BG311" s="38"/>
      <c r="BJ311" s="179"/>
      <c r="BK311" s="199"/>
      <c r="BL311" s="199"/>
      <c r="BM311" s="180"/>
      <c r="BN311" s="180"/>
      <c r="BO311" s="38"/>
      <c r="BR311" s="179"/>
      <c r="BS311" s="199">
        <v>21</v>
      </c>
      <c r="BT311" s="199"/>
      <c r="BU311" s="180"/>
      <c r="BV311" s="180">
        <f>BV259</f>
        <v>168</v>
      </c>
      <c r="BW311" s="38"/>
      <c r="BZ311" s="179"/>
      <c r="CA311" s="199">
        <v>136</v>
      </c>
      <c r="CB311" s="199"/>
      <c r="CC311" s="180"/>
      <c r="CD311" s="180"/>
      <c r="CE311" s="38"/>
      <c r="CH311" s="179"/>
      <c r="CI311" s="199">
        <v>-33</v>
      </c>
      <c r="CJ311" s="199"/>
      <c r="CK311" s="180"/>
      <c r="CL311" s="180"/>
      <c r="CM311" s="38"/>
      <c r="CP311" s="179"/>
      <c r="CQ311" s="199">
        <v>14</v>
      </c>
      <c r="CR311" s="402">
        <f t="shared" si="326"/>
        <v>-183</v>
      </c>
      <c r="CS311" s="180"/>
      <c r="CT311" s="201">
        <v>-169</v>
      </c>
      <c r="CX311" s="179"/>
      <c r="CY311" s="199">
        <v>-37</v>
      </c>
      <c r="CZ311" s="289">
        <f t="shared" si="327"/>
        <v>-14</v>
      </c>
      <c r="DA311" s="180"/>
      <c r="DB311" s="201">
        <v>-51</v>
      </c>
      <c r="DF311" s="179"/>
      <c r="DG311" s="199">
        <v>111</v>
      </c>
      <c r="DH311" s="289">
        <f t="shared" si="328"/>
        <v>174</v>
      </c>
      <c r="DI311" s="180"/>
      <c r="DJ311" s="201">
        <v>285</v>
      </c>
      <c r="DN311" s="179"/>
      <c r="DO311" s="199">
        <v>-152</v>
      </c>
      <c r="DP311" s="289">
        <f t="shared" si="329"/>
        <v>3</v>
      </c>
      <c r="DQ311" s="180"/>
      <c r="DR311" s="201">
        <v>-149</v>
      </c>
      <c r="DV311" s="179"/>
      <c r="DW311" s="1707">
        <v>31</v>
      </c>
      <c r="DY311" s="180"/>
      <c r="DZ311" s="180"/>
      <c r="ED311" s="179"/>
      <c r="EG311" s="180"/>
      <c r="EH311" s="180"/>
      <c r="EL311" s="179"/>
      <c r="EO311" s="180"/>
      <c r="EP311" s="180"/>
      <c r="ET311" s="179"/>
      <c r="EW311" s="180"/>
      <c r="EX311" s="180"/>
      <c r="FB311" s="179"/>
      <c r="FE311" s="180"/>
      <c r="FF311" s="180"/>
    </row>
    <row r="312" spans="1:162" ht="11.25" customHeight="1" x14ac:dyDescent="0.2">
      <c r="A312" s="186"/>
      <c r="B312" s="197" t="s">
        <v>389</v>
      </c>
      <c r="C312" s="38"/>
      <c r="F312" s="179"/>
      <c r="G312" s="199"/>
      <c r="H312" s="199"/>
      <c r="I312" s="180"/>
      <c r="J312" s="180"/>
      <c r="K312" s="38"/>
      <c r="N312" s="179"/>
      <c r="O312" s="199"/>
      <c r="P312" s="199"/>
      <c r="Q312" s="180"/>
      <c r="R312" s="180">
        <f>R313-R311-R310</f>
        <v>137</v>
      </c>
      <c r="S312" s="38"/>
      <c r="V312" s="179"/>
      <c r="W312" s="199">
        <f>W313-W311-W310</f>
        <v>16</v>
      </c>
      <c r="X312" s="199">
        <f>Z312-W312</f>
        <v>858</v>
      </c>
      <c r="Y312" s="180"/>
      <c r="Z312" s="180">
        <v>874</v>
      </c>
      <c r="AA312" s="38"/>
      <c r="AD312" s="179"/>
      <c r="AE312" s="199">
        <v>122</v>
      </c>
      <c r="AF312" s="199"/>
      <c r="AG312" s="180"/>
      <c r="AH312" s="180">
        <v>237</v>
      </c>
      <c r="AI312" s="38"/>
      <c r="AL312" s="179"/>
      <c r="AM312" s="199">
        <v>81</v>
      </c>
      <c r="AN312" s="199"/>
      <c r="AO312" s="180"/>
      <c r="AP312" s="180"/>
      <c r="AQ312" s="38"/>
      <c r="AT312" s="179"/>
      <c r="AU312" s="199"/>
      <c r="AV312" s="199"/>
      <c r="AW312" s="180"/>
      <c r="AX312" s="180"/>
      <c r="AY312" s="38"/>
      <c r="BB312" s="179"/>
      <c r="BC312" s="199"/>
      <c r="BD312" s="199"/>
      <c r="BE312" s="180"/>
      <c r="BF312" s="180"/>
      <c r="BG312" s="38"/>
      <c r="BJ312" s="179"/>
      <c r="BK312" s="199"/>
      <c r="BL312" s="199"/>
      <c r="BM312" s="180"/>
      <c r="BN312" s="180"/>
      <c r="BO312" s="38"/>
      <c r="BR312" s="179"/>
      <c r="BS312" s="199">
        <v>-17</v>
      </c>
      <c r="BT312" s="199"/>
      <c r="BU312" s="180"/>
      <c r="BV312" s="180"/>
      <c r="BW312" s="38"/>
      <c r="BZ312" s="179"/>
      <c r="CA312" s="199">
        <v>-26</v>
      </c>
      <c r="CB312" s="199"/>
      <c r="CC312" s="180"/>
      <c r="CD312" s="180"/>
      <c r="CE312" s="38"/>
      <c r="CH312" s="179"/>
      <c r="CI312" s="199">
        <v>0</v>
      </c>
      <c r="CJ312" s="199"/>
      <c r="CK312" s="180"/>
      <c r="CL312" s="180"/>
      <c r="CM312" s="38"/>
      <c r="CP312" s="179"/>
      <c r="CQ312" s="199">
        <v>227</v>
      </c>
      <c r="CR312" s="402">
        <f t="shared" si="326"/>
        <v>184</v>
      </c>
      <c r="CS312" s="180"/>
      <c r="CT312" s="201">
        <v>411</v>
      </c>
      <c r="CX312" s="179"/>
      <c r="CY312" s="199">
        <v>136</v>
      </c>
      <c r="CZ312" s="289">
        <f t="shared" si="327"/>
        <v>12</v>
      </c>
      <c r="DA312" s="180"/>
      <c r="DB312" s="201">
        <v>148</v>
      </c>
      <c r="DF312" s="179"/>
      <c r="DG312" s="199">
        <v>-37</v>
      </c>
      <c r="DH312" s="289">
        <f t="shared" si="328"/>
        <v>37</v>
      </c>
      <c r="DI312" s="180"/>
      <c r="DJ312" s="201">
        <v>0</v>
      </c>
      <c r="DN312" s="179"/>
      <c r="DO312" s="199">
        <v>138</v>
      </c>
      <c r="DP312" s="289">
        <f t="shared" si="329"/>
        <v>351</v>
      </c>
      <c r="DQ312" s="180"/>
      <c r="DR312" s="201">
        <v>489</v>
      </c>
      <c r="DV312" s="179"/>
      <c r="DW312" s="1707">
        <v>111</v>
      </c>
      <c r="DY312" s="180"/>
      <c r="DZ312" s="180"/>
      <c r="ED312" s="179"/>
      <c r="EG312" s="180"/>
      <c r="EH312" s="180"/>
      <c r="EL312" s="179"/>
      <c r="EO312" s="180"/>
      <c r="EP312" s="180"/>
      <c r="ET312" s="179"/>
      <c r="EW312" s="180"/>
      <c r="EX312" s="180"/>
      <c r="FB312" s="179"/>
      <c r="FE312" s="180"/>
      <c r="FF312" s="180"/>
    </row>
    <row r="313" spans="1:162" ht="11.25" customHeight="1" x14ac:dyDescent="0.2">
      <c r="A313" s="4" t="s">
        <v>435</v>
      </c>
      <c r="C313" s="288"/>
      <c r="D313" s="289"/>
      <c r="E313" s="289"/>
      <c r="F313" s="290"/>
      <c r="G313" s="402">
        <v>286</v>
      </c>
      <c r="H313" s="402">
        <f>J313-G313</f>
        <v>367</v>
      </c>
      <c r="I313" s="291"/>
      <c r="J313" s="291">
        <v>653</v>
      </c>
      <c r="K313" s="288"/>
      <c r="L313" s="289"/>
      <c r="M313" s="289"/>
      <c r="N313" s="290"/>
      <c r="O313" s="402">
        <v>376</v>
      </c>
      <c r="P313" s="402">
        <f>R313-O313</f>
        <v>530</v>
      </c>
      <c r="Q313" s="291"/>
      <c r="R313" s="291">
        <v>906</v>
      </c>
      <c r="S313" s="288"/>
      <c r="T313" s="289"/>
      <c r="U313" s="289"/>
      <c r="V313" s="290"/>
      <c r="W313" s="402">
        <v>458</v>
      </c>
      <c r="X313" s="402">
        <f>Z313-W313</f>
        <v>1230</v>
      </c>
      <c r="Y313" s="291"/>
      <c r="Z313" s="291">
        <f>Z310+Z311+Z312</f>
        <v>1688</v>
      </c>
      <c r="AA313" s="288"/>
      <c r="AB313" s="289"/>
      <c r="AC313" s="289"/>
      <c r="AD313" s="290"/>
      <c r="AE313" s="402">
        <v>298</v>
      </c>
      <c r="AF313" s="402"/>
      <c r="AG313" s="291"/>
      <c r="AH313" s="291">
        <f>AH310+AH311+AH312</f>
        <v>803</v>
      </c>
      <c r="AI313" s="288"/>
      <c r="AJ313" s="289"/>
      <c r="AK313" s="289"/>
      <c r="AL313" s="290"/>
      <c r="AM313" s="402">
        <f>AM310+AM311+AM312</f>
        <v>360</v>
      </c>
      <c r="AN313" s="402"/>
      <c r="AO313" s="291"/>
      <c r="AP313" s="291">
        <f>AP310+AP311+AP312</f>
        <v>1171</v>
      </c>
      <c r="AQ313" s="288"/>
      <c r="AR313" s="289"/>
      <c r="AS313" s="289"/>
      <c r="AT313" s="290"/>
      <c r="AU313" s="402"/>
      <c r="AV313" s="402"/>
      <c r="AW313" s="291"/>
      <c r="AX313" s="291"/>
      <c r="AY313" s="288"/>
      <c r="AZ313" s="289"/>
      <c r="BA313" s="289"/>
      <c r="BB313" s="290"/>
      <c r="BC313" s="402">
        <v>474</v>
      </c>
      <c r="BD313" s="402"/>
      <c r="BE313" s="291"/>
      <c r="BF313" s="291">
        <v>822</v>
      </c>
      <c r="BG313" s="288"/>
      <c r="BH313" s="289"/>
      <c r="BI313" s="289"/>
      <c r="BJ313" s="290"/>
      <c r="BK313" s="402">
        <f t="shared" si="320"/>
        <v>474</v>
      </c>
      <c r="BL313" s="402">
        <f t="shared" ref="BL313:BL324" si="330">+BN313-BK313</f>
        <v>348</v>
      </c>
      <c r="BM313" s="291"/>
      <c r="BN313" s="291">
        <f t="shared" si="321"/>
        <v>822</v>
      </c>
      <c r="BO313" s="288"/>
      <c r="BP313" s="289"/>
      <c r="BQ313" s="289"/>
      <c r="BR313" s="290"/>
      <c r="BS313" s="402">
        <v>517</v>
      </c>
      <c r="BT313" s="402">
        <f>BV313-BS313</f>
        <v>845</v>
      </c>
      <c r="BU313" s="291"/>
      <c r="BV313" s="291">
        <f>BV310+BV311+BV312</f>
        <v>1362</v>
      </c>
      <c r="BW313" s="288"/>
      <c r="BX313" s="289"/>
      <c r="BY313" s="289"/>
      <c r="BZ313" s="290"/>
      <c r="CA313" s="402">
        <f>CA310+CA311+CA312</f>
        <v>833</v>
      </c>
      <c r="CB313" s="402">
        <f>CD313-CA313</f>
        <v>-10</v>
      </c>
      <c r="CC313" s="291"/>
      <c r="CD313" s="291">
        <v>823</v>
      </c>
      <c r="CE313" s="288"/>
      <c r="CF313" s="289"/>
      <c r="CG313" s="289"/>
      <c r="CH313" s="290"/>
      <c r="CI313" s="402">
        <f>CI310+CI311+CI312</f>
        <v>610</v>
      </c>
      <c r="CJ313" s="402">
        <f>CL313-CI313</f>
        <v>527</v>
      </c>
      <c r="CK313" s="291"/>
      <c r="CL313" s="291">
        <v>1137</v>
      </c>
      <c r="CM313" s="288"/>
      <c r="CN313" s="289"/>
      <c r="CO313" s="289"/>
      <c r="CP313" s="290"/>
      <c r="CQ313" s="402">
        <f>CQ310+CQ311+CQ312</f>
        <v>922</v>
      </c>
      <c r="CR313" s="402">
        <f>CT313-CQ313</f>
        <v>693</v>
      </c>
      <c r="CS313" s="291"/>
      <c r="CT313" s="429">
        <f>CT310+CT311+CT312</f>
        <v>1615</v>
      </c>
      <c r="CU313" s="289"/>
      <c r="CV313" s="289"/>
      <c r="CW313" s="289"/>
      <c r="CX313" s="290"/>
      <c r="CY313" s="402">
        <f>CY310+CY311+CY312</f>
        <v>752</v>
      </c>
      <c r="CZ313" s="402">
        <f>CZ310+CZ311+CZ312</f>
        <v>681</v>
      </c>
      <c r="DA313" s="291"/>
      <c r="DB313" s="429">
        <f>DB310+DB311+DB312</f>
        <v>1433</v>
      </c>
      <c r="DC313" s="289"/>
      <c r="DD313" s="289"/>
      <c r="DE313" s="289"/>
      <c r="DF313" s="290"/>
      <c r="DG313" s="402">
        <f>DG310+DG311+DG312</f>
        <v>766</v>
      </c>
      <c r="DH313" s="402">
        <f>DH310+DH311+DH312</f>
        <v>925</v>
      </c>
      <c r="DI313" s="291"/>
      <c r="DJ313" s="429">
        <f>DJ310+DJ311+DJ312</f>
        <v>1691</v>
      </c>
      <c r="DK313" s="289"/>
      <c r="DL313" s="289"/>
      <c r="DM313" s="289"/>
      <c r="DN313" s="290"/>
      <c r="DO313" s="402">
        <f>DO310+DO311+DO312</f>
        <v>705</v>
      </c>
      <c r="DP313" s="402">
        <f>DP310+DP311+DP312</f>
        <v>1113</v>
      </c>
      <c r="DQ313" s="291"/>
      <c r="DR313" s="429">
        <f>DR310+DR311+DR312</f>
        <v>1818</v>
      </c>
      <c r="DS313" s="289"/>
      <c r="DT313" s="289"/>
      <c r="DU313" s="289"/>
      <c r="DV313" s="290"/>
      <c r="DW313" s="1709">
        <f>DW310+DW311+DW312</f>
        <v>977</v>
      </c>
      <c r="DX313" s="401">
        <f>DZ313-DW313</f>
        <v>529.90303126021672</v>
      </c>
      <c r="DY313" s="291"/>
      <c r="DZ313" s="287">
        <v>1506.9030312602167</v>
      </c>
      <c r="EA313" s="289"/>
      <c r="EB313" s="289"/>
      <c r="EC313" s="289"/>
      <c r="ED313" s="290"/>
      <c r="EE313" s="401">
        <f>Propulsion!BI28+'Equipment &amp; Defense'!BG27+Interiors!AR26+(Divisional!AA114/2)</f>
        <v>761.1800917092678</v>
      </c>
      <c r="EF313" s="401">
        <f>EH313-EE313</f>
        <v>879.84274368322895</v>
      </c>
      <c r="EG313" s="291"/>
      <c r="EH313" s="287">
        <v>1641.0228353924967</v>
      </c>
      <c r="EI313" s="289"/>
      <c r="EJ313" s="289"/>
      <c r="EK313" s="289"/>
      <c r="EL313" s="290"/>
      <c r="EM313" s="401">
        <f>Propulsion!BQ28+'Equipment &amp; Defense'!BO27+Interiors!AZ26+(Divisional!AB114/2)</f>
        <v>830.75172254702693</v>
      </c>
      <c r="EN313" s="401">
        <f>EP313-EM313</f>
        <v>956.86364684247155</v>
      </c>
      <c r="EO313" s="291"/>
      <c r="EP313" s="287">
        <v>1787.6153693894985</v>
      </c>
      <c r="EQ313" s="289"/>
      <c r="ER313" s="289"/>
      <c r="ES313" s="289"/>
      <c r="ET313" s="290"/>
      <c r="EU313" s="401">
        <f>Propulsion!BY28+'Equipment &amp; Defense'!BW27+Interiors!BH26+(Divisional!AC114/2)</f>
        <v>885.9807372911946</v>
      </c>
      <c r="EV313" s="401">
        <f>EX313-EU313</f>
        <v>1019.6083307128936</v>
      </c>
      <c r="EW313" s="291"/>
      <c r="EX313" s="287">
        <v>1905.5890680040882</v>
      </c>
      <c r="EY313" s="289"/>
      <c r="EZ313" s="289"/>
      <c r="FA313" s="289"/>
      <c r="FB313" s="290"/>
      <c r="FC313" s="401">
        <f>Propulsion!CG28+'Equipment &amp; Defense'!CE27+Interiors!BP26+(Divisional!AD114/2)</f>
        <v>910.1191213475355</v>
      </c>
      <c r="FD313" s="401">
        <f>FF313-FC313</f>
        <v>1046.4046873663719</v>
      </c>
      <c r="FE313" s="291"/>
      <c r="FF313" s="287">
        <v>1956.5238087139073</v>
      </c>
    </row>
    <row r="314" spans="1:162" ht="11.25" customHeight="1" x14ac:dyDescent="0.2">
      <c r="B314" s="197" t="s">
        <v>436</v>
      </c>
      <c r="C314" s="38"/>
      <c r="F314" s="179"/>
      <c r="G314" s="430"/>
      <c r="H314" s="199"/>
      <c r="I314" s="180"/>
      <c r="J314" s="180">
        <f>-J88+J306</f>
        <v>88</v>
      </c>
      <c r="K314" s="38"/>
      <c r="N314" s="179"/>
      <c r="O314" s="430">
        <f>-O88+O306</f>
        <v>-2</v>
      </c>
      <c r="P314" s="199">
        <f>-P88+P306</f>
        <v>120</v>
      </c>
      <c r="Q314" s="180"/>
      <c r="R314" s="180">
        <f>-R88+R306</f>
        <v>118</v>
      </c>
      <c r="S314" s="38"/>
      <c r="V314" s="179"/>
      <c r="W314" s="430">
        <f>-W88+W306</f>
        <v>25</v>
      </c>
      <c r="X314" s="199">
        <f>-X88+X306</f>
        <v>167</v>
      </c>
      <c r="Y314" s="180"/>
      <c r="Z314" s="180">
        <f>-Z88+Z306</f>
        <v>192</v>
      </c>
      <c r="AA314" s="38"/>
      <c r="AD314" s="179"/>
      <c r="AE314" s="430">
        <f>-AE88+AE306</f>
        <v>38</v>
      </c>
      <c r="AF314" s="199"/>
      <c r="AG314" s="180"/>
      <c r="AH314" s="180">
        <f>-AH88+AH306</f>
        <v>114</v>
      </c>
      <c r="AI314" s="38"/>
      <c r="AL314" s="179"/>
      <c r="AM314" s="430">
        <f>-AM88+AM306</f>
        <v>1</v>
      </c>
      <c r="AN314" s="199"/>
      <c r="AO314" s="180"/>
      <c r="AP314" s="180"/>
      <c r="AQ314" s="38"/>
      <c r="AT314" s="179"/>
      <c r="AU314" s="430"/>
      <c r="AV314" s="199"/>
      <c r="AW314" s="180"/>
      <c r="AX314" s="180"/>
      <c r="AY314" s="38"/>
      <c r="BB314" s="179"/>
      <c r="BC314" s="430">
        <f>-BC88+BC306</f>
        <v>88</v>
      </c>
      <c r="BD314" s="199"/>
      <c r="BE314" s="180"/>
      <c r="BF314" s="180">
        <v>150</v>
      </c>
      <c r="BG314" s="38"/>
      <c r="BJ314" s="179"/>
      <c r="BK314" s="430">
        <f t="shared" si="320"/>
        <v>88</v>
      </c>
      <c r="BL314" s="199">
        <f t="shared" si="330"/>
        <v>62</v>
      </c>
      <c r="BM314" s="180"/>
      <c r="BN314" s="180">
        <f t="shared" si="321"/>
        <v>150</v>
      </c>
      <c r="BO314" s="38"/>
      <c r="BR314" s="179"/>
      <c r="BS314" s="430">
        <f>BS306-BS88</f>
        <v>5</v>
      </c>
      <c r="BT314" s="199"/>
      <c r="BU314" s="180"/>
      <c r="BV314" s="180">
        <v>45</v>
      </c>
      <c r="BW314" s="38"/>
      <c r="BZ314" s="179"/>
      <c r="CA314" s="430">
        <f>CA306-CA88</f>
        <v>99</v>
      </c>
      <c r="CB314" s="199"/>
      <c r="CC314" s="180"/>
      <c r="CD314" s="180"/>
      <c r="CE314" s="38"/>
      <c r="CH314" s="179"/>
      <c r="CI314" s="430">
        <f>CI306-CI88</f>
        <v>41</v>
      </c>
      <c r="CJ314" s="199"/>
      <c r="CK314" s="180"/>
      <c r="CL314" s="180"/>
      <c r="CM314" s="38"/>
      <c r="CP314" s="179"/>
      <c r="CQ314" s="430">
        <f>CQ306-CQ88</f>
        <v>148</v>
      </c>
      <c r="CR314" s="402">
        <f t="shared" ref="CR314:CR319" si="331">CT314-CQ314</f>
        <v>-11</v>
      </c>
      <c r="CS314" s="180"/>
      <c r="CT314" s="431">
        <f>CT306-CT88</f>
        <v>137</v>
      </c>
      <c r="CX314" s="179"/>
      <c r="CY314" s="430">
        <f>CY306-CY88</f>
        <v>-35</v>
      </c>
      <c r="CZ314" s="289">
        <f t="shared" si="327"/>
        <v>-26</v>
      </c>
      <c r="DA314" s="180"/>
      <c r="DB314" s="431">
        <f>DB306-DB88</f>
        <v>-61</v>
      </c>
      <c r="DF314" s="179"/>
      <c r="DG314" s="430">
        <f>DG306-DG88</f>
        <v>106</v>
      </c>
      <c r="DH314" s="289">
        <f t="shared" ref="DH314:DH320" si="332">DJ314-DG314</f>
        <v>28</v>
      </c>
      <c r="DI314" s="180"/>
      <c r="DJ314" s="431">
        <f>DJ306-DJ88</f>
        <v>134</v>
      </c>
      <c r="DN314" s="179"/>
      <c r="DO314" s="430">
        <f>DO306-DO88</f>
        <v>-32</v>
      </c>
      <c r="DP314" s="289">
        <f t="shared" ref="DP314:DP320" si="333">DR314-DO314</f>
        <v>9</v>
      </c>
      <c r="DQ314" s="180"/>
      <c r="DR314" s="431">
        <f>DR306-DR88</f>
        <v>-23</v>
      </c>
      <c r="DV314" s="179"/>
      <c r="DW314" s="1710">
        <f>DW306-DW88</f>
        <v>123</v>
      </c>
      <c r="DY314" s="180"/>
      <c r="DZ314" s="180"/>
      <c r="ED314" s="179"/>
      <c r="EG314" s="180"/>
      <c r="EH314" s="180"/>
      <c r="EL314" s="179"/>
      <c r="EO314" s="180"/>
      <c r="EP314" s="180"/>
      <c r="ET314" s="179"/>
      <c r="EW314" s="180"/>
      <c r="EX314" s="180"/>
      <c r="FB314" s="179"/>
      <c r="FE314" s="180"/>
      <c r="FF314" s="180"/>
    </row>
    <row r="315" spans="1:162" ht="11.25" customHeight="1" x14ac:dyDescent="0.2">
      <c r="B315" s="197" t="s">
        <v>437</v>
      </c>
      <c r="C315" s="38"/>
      <c r="F315" s="179"/>
      <c r="G315" s="430"/>
      <c r="H315" s="199"/>
      <c r="I315" s="180"/>
      <c r="J315" s="180">
        <f>-J94+J303</f>
        <v>358</v>
      </c>
      <c r="K315" s="38"/>
      <c r="N315" s="179"/>
      <c r="O315" s="430">
        <f>-O94+O303</f>
        <v>187</v>
      </c>
      <c r="P315" s="199">
        <f>-P94+P303</f>
        <v>56</v>
      </c>
      <c r="Q315" s="180"/>
      <c r="R315" s="180">
        <f>-R94+R303</f>
        <v>243</v>
      </c>
      <c r="S315" s="38"/>
      <c r="V315" s="179"/>
      <c r="W315" s="430">
        <f>-W94+W303</f>
        <v>242</v>
      </c>
      <c r="X315" s="199">
        <f>-X94+X303</f>
        <v>-245</v>
      </c>
      <c r="Y315" s="180"/>
      <c r="Z315" s="180">
        <f>-Z94+Z303</f>
        <v>-3</v>
      </c>
      <c r="AA315" s="38"/>
      <c r="AD315" s="179"/>
      <c r="AE315" s="430">
        <f>-AE94+AE303</f>
        <v>322</v>
      </c>
      <c r="AF315" s="199"/>
      <c r="AG315" s="180"/>
      <c r="AH315" s="180">
        <f>-AH94+AH303</f>
        <v>206</v>
      </c>
      <c r="AI315" s="38"/>
      <c r="AL315" s="179"/>
      <c r="AM315" s="430">
        <f>-AM94+AM303</f>
        <v>242</v>
      </c>
      <c r="AN315" s="199"/>
      <c r="AO315" s="180"/>
      <c r="AP315" s="180"/>
      <c r="AQ315" s="38"/>
      <c r="AT315" s="179"/>
      <c r="AU315" s="430"/>
      <c r="AV315" s="199"/>
      <c r="AW315" s="180"/>
      <c r="AX315" s="180"/>
      <c r="AY315" s="38"/>
      <c r="BB315" s="179"/>
      <c r="BC315" s="430">
        <f>-BC94+BC303</f>
        <v>169</v>
      </c>
      <c r="BD315" s="199"/>
      <c r="BE315" s="180"/>
      <c r="BF315" s="180">
        <v>107</v>
      </c>
      <c r="BG315" s="38"/>
      <c r="BJ315" s="179"/>
      <c r="BK315" s="430">
        <f t="shared" si="320"/>
        <v>169</v>
      </c>
      <c r="BL315" s="199">
        <f t="shared" si="330"/>
        <v>-62</v>
      </c>
      <c r="BM315" s="180"/>
      <c r="BN315" s="180">
        <f t="shared" si="321"/>
        <v>107</v>
      </c>
      <c r="BO315" s="38"/>
      <c r="BR315" s="179"/>
      <c r="BS315" s="430">
        <f>BS303-BS94</f>
        <v>376</v>
      </c>
      <c r="BT315" s="199"/>
      <c r="BU315" s="180"/>
      <c r="BV315" s="180">
        <v>125</v>
      </c>
      <c r="BW315" s="38"/>
      <c r="BZ315" s="179"/>
      <c r="CA315" s="430">
        <f>CA303-CA94</f>
        <v>130</v>
      </c>
      <c r="CB315" s="199"/>
      <c r="CC315" s="180"/>
      <c r="CD315" s="180"/>
      <c r="CE315" s="38"/>
      <c r="CH315" s="179"/>
      <c r="CI315" s="430">
        <f>CI303-CI94</f>
        <v>-10</v>
      </c>
      <c r="CJ315" s="199"/>
      <c r="CK315" s="180"/>
      <c r="CL315" s="180"/>
      <c r="CM315" s="38"/>
      <c r="CP315" s="179"/>
      <c r="CQ315" s="430">
        <f>CQ303-CQ94</f>
        <v>5</v>
      </c>
      <c r="CR315" s="402">
        <f t="shared" si="331"/>
        <v>319</v>
      </c>
      <c r="CS315" s="180"/>
      <c r="CT315" s="431">
        <f>CT303-CT94</f>
        <v>324</v>
      </c>
      <c r="CX315" s="179"/>
      <c r="CY315" s="430">
        <f>CY303-CY94</f>
        <v>287</v>
      </c>
      <c r="CZ315" s="289">
        <f t="shared" si="327"/>
        <v>-413</v>
      </c>
      <c r="DA315" s="180"/>
      <c r="DB315" s="431">
        <f>DB303-DB94</f>
        <v>-126</v>
      </c>
      <c r="DF315" s="179"/>
      <c r="DG315" s="430">
        <f>DG303-DG94</f>
        <v>278</v>
      </c>
      <c r="DH315" s="289">
        <f t="shared" si="332"/>
        <v>-226</v>
      </c>
      <c r="DI315" s="180"/>
      <c r="DJ315" s="431">
        <f>DJ303-DJ94</f>
        <v>52</v>
      </c>
      <c r="DN315" s="179"/>
      <c r="DO315" s="430">
        <f>DO303-DO94</f>
        <v>491</v>
      </c>
      <c r="DP315" s="289">
        <f t="shared" si="333"/>
        <v>-882</v>
      </c>
      <c r="DQ315" s="180"/>
      <c r="DR315" s="431">
        <f>DR303-DR94</f>
        <v>-391</v>
      </c>
      <c r="DV315" s="179"/>
      <c r="DW315" s="1710">
        <f>DW303-DW94</f>
        <v>623</v>
      </c>
      <c r="DY315" s="180"/>
      <c r="DZ315" s="180"/>
      <c r="ED315" s="179"/>
      <c r="EG315" s="180"/>
      <c r="EH315" s="180"/>
      <c r="EL315" s="179"/>
      <c r="EO315" s="180"/>
      <c r="EP315" s="180"/>
      <c r="ET315" s="179"/>
      <c r="EW315" s="180"/>
      <c r="EX315" s="180"/>
      <c r="FB315" s="179"/>
      <c r="FE315" s="180"/>
      <c r="FF315" s="180"/>
    </row>
    <row r="316" spans="1:162" ht="11.25" customHeight="1" x14ac:dyDescent="0.2">
      <c r="B316" s="197" t="s">
        <v>438</v>
      </c>
      <c r="C316" s="38"/>
      <c r="F316" s="179"/>
      <c r="G316" s="430"/>
      <c r="H316" s="199"/>
      <c r="I316" s="180"/>
      <c r="J316" s="180">
        <f>J261</f>
        <v>-26</v>
      </c>
      <c r="K316" s="38"/>
      <c r="N316" s="179"/>
      <c r="O316" s="430">
        <f>O261</f>
        <v>-7</v>
      </c>
      <c r="P316" s="199">
        <f>P261</f>
        <v>-29</v>
      </c>
      <c r="Q316" s="180"/>
      <c r="R316" s="180">
        <f>R261</f>
        <v>-36</v>
      </c>
      <c r="S316" s="38"/>
      <c r="V316" s="179"/>
      <c r="W316" s="430">
        <f>W261</f>
        <v>16</v>
      </c>
      <c r="X316" s="199">
        <f>X261</f>
        <v>-24</v>
      </c>
      <c r="Y316" s="180"/>
      <c r="Z316" s="180">
        <f>Z261</f>
        <v>-8</v>
      </c>
      <c r="AA316" s="38"/>
      <c r="AD316" s="179"/>
      <c r="AE316" s="430">
        <f>AE261</f>
        <v>6</v>
      </c>
      <c r="AF316" s="199"/>
      <c r="AG316" s="180"/>
      <c r="AH316" s="180">
        <f>AH261</f>
        <v>-63</v>
      </c>
      <c r="AI316" s="38"/>
      <c r="AL316" s="179"/>
      <c r="AM316" s="430">
        <f>AM261</f>
        <v>-49</v>
      </c>
      <c r="AN316" s="199"/>
      <c r="AO316" s="180"/>
      <c r="AP316" s="180"/>
      <c r="AQ316" s="38"/>
      <c r="AT316" s="179"/>
      <c r="AU316" s="430"/>
      <c r="AV316" s="199"/>
      <c r="AW316" s="180"/>
      <c r="AX316" s="180"/>
      <c r="AY316" s="38"/>
      <c r="BB316" s="179"/>
      <c r="BC316" s="430">
        <f>BC261</f>
        <v>-29</v>
      </c>
      <c r="BD316" s="199"/>
      <c r="BE316" s="180"/>
      <c r="BF316" s="180">
        <v>-124</v>
      </c>
      <c r="BG316" s="38"/>
      <c r="BJ316" s="179"/>
      <c r="BK316" s="430">
        <f t="shared" si="320"/>
        <v>-29</v>
      </c>
      <c r="BL316" s="199">
        <f t="shared" si="330"/>
        <v>-95</v>
      </c>
      <c r="BM316" s="180"/>
      <c r="BN316" s="180">
        <f t="shared" si="321"/>
        <v>-124</v>
      </c>
      <c r="BO316" s="38"/>
      <c r="BR316" s="179"/>
      <c r="BS316" s="430">
        <f>BS261-(BS46-BS48)</f>
        <v>-53</v>
      </c>
      <c r="BT316" s="199"/>
      <c r="BU316" s="180"/>
      <c r="BV316" s="180">
        <v>-87</v>
      </c>
      <c r="BW316" s="38"/>
      <c r="BZ316" s="179"/>
      <c r="CA316" s="430">
        <f>CA261-(CA46-CA48)</f>
        <v>-14</v>
      </c>
      <c r="CB316" s="199"/>
      <c r="CC316" s="180"/>
      <c r="CD316" s="180"/>
      <c r="CE316" s="38"/>
      <c r="CH316" s="179"/>
      <c r="CI316" s="430">
        <f>CI261-(CI46-CI48)</f>
        <v>99</v>
      </c>
      <c r="CJ316" s="199"/>
      <c r="CK316" s="180"/>
      <c r="CL316" s="180"/>
      <c r="CM316" s="38"/>
      <c r="CP316" s="179"/>
      <c r="CQ316" s="430">
        <f>CQ261-(CQ46-CQ48)</f>
        <v>52</v>
      </c>
      <c r="CR316" s="402">
        <f t="shared" si="331"/>
        <v>-65</v>
      </c>
      <c r="CS316" s="180"/>
      <c r="CT316" s="431">
        <f>CT261-(CT46-CT48)</f>
        <v>-13</v>
      </c>
      <c r="CX316" s="179"/>
      <c r="CY316" s="430">
        <f>CY261-(CY46-CY48)</f>
        <v>-51</v>
      </c>
      <c r="CZ316" s="289">
        <f t="shared" si="327"/>
        <v>-55</v>
      </c>
      <c r="DA316" s="180"/>
      <c r="DB316" s="431">
        <f>DB261-(DB46-DB48)</f>
        <v>-106</v>
      </c>
      <c r="DF316" s="179"/>
      <c r="DG316" s="430">
        <f>DG261-(DG46-DG48)</f>
        <v>-48</v>
      </c>
      <c r="DH316" s="289">
        <f t="shared" si="332"/>
        <v>-95</v>
      </c>
      <c r="DI316" s="180"/>
      <c r="DJ316" s="431">
        <f>DJ261-(DJ46-DJ48)</f>
        <v>-143</v>
      </c>
      <c r="DN316" s="179"/>
      <c r="DO316" s="430">
        <f>DO261-(DO46-DO48)</f>
        <v>-62</v>
      </c>
      <c r="DP316" s="289">
        <f t="shared" si="333"/>
        <v>-139</v>
      </c>
      <c r="DQ316" s="180"/>
      <c r="DR316" s="431">
        <f>DR261-(DR46-DR48)</f>
        <v>-201</v>
      </c>
      <c r="DV316" s="179"/>
      <c r="DW316" s="1710">
        <f>DW261-(DW46-DW48)</f>
        <v>-104</v>
      </c>
      <c r="DY316" s="180"/>
      <c r="DZ316" s="180"/>
      <c r="ED316" s="179"/>
      <c r="EG316" s="180"/>
      <c r="EH316" s="180"/>
      <c r="EL316" s="179"/>
      <c r="EO316" s="180"/>
      <c r="EP316" s="180"/>
      <c r="ET316" s="179"/>
      <c r="EW316" s="180"/>
      <c r="EX316" s="180"/>
      <c r="FB316" s="179"/>
      <c r="FE316" s="180"/>
      <c r="FF316" s="180"/>
    </row>
    <row r="317" spans="1:162" ht="11.25" customHeight="1" x14ac:dyDescent="0.2">
      <c r="B317" s="197" t="s">
        <v>8</v>
      </c>
      <c r="C317" s="38"/>
      <c r="F317" s="179"/>
      <c r="G317" s="430"/>
      <c r="H317" s="199"/>
      <c r="I317" s="180"/>
      <c r="J317" s="180">
        <f>-J109</f>
        <v>32</v>
      </c>
      <c r="K317" s="38"/>
      <c r="N317" s="179"/>
      <c r="O317" s="430">
        <f>-O109</f>
        <v>22</v>
      </c>
      <c r="P317" s="199">
        <f>-P109</f>
        <v>43</v>
      </c>
      <c r="Q317" s="180"/>
      <c r="R317" s="180">
        <f>-R109</f>
        <v>65</v>
      </c>
      <c r="S317" s="38"/>
      <c r="V317" s="179"/>
      <c r="W317" s="430">
        <f>-W109</f>
        <v>34</v>
      </c>
      <c r="X317" s="199">
        <f>-X109</f>
        <v>16</v>
      </c>
      <c r="Y317" s="180"/>
      <c r="Z317" s="180">
        <f>-Z109</f>
        <v>50</v>
      </c>
      <c r="AA317" s="38"/>
      <c r="AD317" s="179"/>
      <c r="AE317" s="430">
        <f>-AE109</f>
        <v>33</v>
      </c>
      <c r="AF317" s="199"/>
      <c r="AG317" s="180"/>
      <c r="AH317" s="180">
        <f>-AH109</f>
        <v>55</v>
      </c>
      <c r="AI317" s="38"/>
      <c r="AL317" s="179"/>
      <c r="AM317" s="430">
        <f>-AM109</f>
        <v>31</v>
      </c>
      <c r="AN317" s="199"/>
      <c r="AO317" s="180"/>
      <c r="AP317" s="180"/>
      <c r="AQ317" s="38"/>
      <c r="AT317" s="179"/>
      <c r="AU317" s="430"/>
      <c r="AV317" s="199"/>
      <c r="AW317" s="180"/>
      <c r="AX317" s="180"/>
      <c r="AY317" s="38"/>
      <c r="BB317" s="179"/>
      <c r="BC317" s="430">
        <f>-BC109</f>
        <v>42</v>
      </c>
      <c r="BD317" s="199"/>
      <c r="BE317" s="180"/>
      <c r="BF317" s="180">
        <v>78</v>
      </c>
      <c r="BG317" s="38"/>
      <c r="BJ317" s="179"/>
      <c r="BK317" s="430">
        <f t="shared" si="320"/>
        <v>42</v>
      </c>
      <c r="BL317" s="199">
        <f t="shared" si="330"/>
        <v>36</v>
      </c>
      <c r="BM317" s="180"/>
      <c r="BN317" s="180">
        <f t="shared" si="321"/>
        <v>78</v>
      </c>
      <c r="BO317" s="38"/>
      <c r="BR317" s="179"/>
      <c r="BS317" s="430">
        <f>-BS109</f>
        <v>34</v>
      </c>
      <c r="BT317" s="199"/>
      <c r="BU317" s="180"/>
      <c r="BV317" s="180">
        <v>67</v>
      </c>
      <c r="BW317" s="38"/>
      <c r="BZ317" s="179"/>
      <c r="CA317" s="430">
        <f>-CA109</f>
        <v>16</v>
      </c>
      <c r="CB317" s="199"/>
      <c r="CC317" s="180"/>
      <c r="CD317" s="180"/>
      <c r="CE317" s="38"/>
      <c r="CH317" s="179"/>
      <c r="CI317" s="430">
        <f>-CI109</f>
        <v>11</v>
      </c>
      <c r="CJ317" s="199"/>
      <c r="CK317" s="180"/>
      <c r="CL317" s="180"/>
      <c r="CM317" s="38"/>
      <c r="CP317" s="179"/>
      <c r="CQ317" s="430">
        <f>-CQ109</f>
        <v>15</v>
      </c>
      <c r="CR317" s="402">
        <f t="shared" si="331"/>
        <v>22</v>
      </c>
      <c r="CS317" s="180"/>
      <c r="CT317" s="431">
        <f>-CT109</f>
        <v>37</v>
      </c>
      <c r="CX317" s="179"/>
      <c r="CY317" s="430">
        <f>-CY109</f>
        <v>42</v>
      </c>
      <c r="CZ317" s="289">
        <f t="shared" si="327"/>
        <v>35</v>
      </c>
      <c r="DA317" s="180"/>
      <c r="DB317" s="431">
        <f>-DB109</f>
        <v>77</v>
      </c>
      <c r="DF317" s="179"/>
      <c r="DG317" s="430">
        <f>-DG109</f>
        <v>49</v>
      </c>
      <c r="DH317" s="289">
        <f t="shared" si="332"/>
        <v>44</v>
      </c>
      <c r="DI317" s="180"/>
      <c r="DJ317" s="431">
        <f>-DJ109</f>
        <v>93</v>
      </c>
      <c r="DN317" s="179"/>
      <c r="DO317" s="430">
        <f>-DO109</f>
        <v>67</v>
      </c>
      <c r="DP317" s="289">
        <f t="shared" si="333"/>
        <v>45</v>
      </c>
      <c r="DQ317" s="180"/>
      <c r="DR317" s="431">
        <f>-DR109</f>
        <v>112</v>
      </c>
      <c r="DV317" s="179"/>
      <c r="DW317" s="1710">
        <f>-DW109</f>
        <v>52</v>
      </c>
      <c r="DY317" s="180"/>
      <c r="DZ317" s="180"/>
      <c r="ED317" s="179"/>
      <c r="EG317" s="180"/>
      <c r="EH317" s="180"/>
      <c r="EL317" s="179"/>
      <c r="EO317" s="180"/>
      <c r="EP317" s="180"/>
      <c r="ET317" s="179"/>
      <c r="EW317" s="180"/>
      <c r="EX317" s="180"/>
      <c r="FB317" s="179"/>
      <c r="FE317" s="180"/>
      <c r="FF317" s="180"/>
    </row>
    <row r="318" spans="1:162" ht="11.25" customHeight="1" x14ac:dyDescent="0.2">
      <c r="B318" s="197" t="s">
        <v>439</v>
      </c>
      <c r="C318" s="38"/>
      <c r="F318" s="179"/>
      <c r="G318" s="430"/>
      <c r="H318" s="199"/>
      <c r="I318" s="180"/>
      <c r="J318" s="180">
        <f>-J103</f>
        <v>-131</v>
      </c>
      <c r="K318" s="38"/>
      <c r="N318" s="179"/>
      <c r="O318" s="430">
        <f>-O103</f>
        <v>0</v>
      </c>
      <c r="P318" s="199">
        <f>-P103</f>
        <v>0</v>
      </c>
      <c r="Q318" s="180"/>
      <c r="R318" s="180">
        <f>-R103</f>
        <v>0</v>
      </c>
      <c r="S318" s="38"/>
      <c r="V318" s="179"/>
      <c r="W318" s="430">
        <f>-W103</f>
        <v>-419</v>
      </c>
      <c r="X318" s="199">
        <f>-X103</f>
        <v>-2</v>
      </c>
      <c r="Y318" s="180"/>
      <c r="Z318" s="180">
        <f>-Z103</f>
        <v>-421</v>
      </c>
      <c r="AA318" s="38"/>
      <c r="AD318" s="179"/>
      <c r="AE318" s="430">
        <f>-AE103</f>
        <v>0</v>
      </c>
      <c r="AF318" s="199"/>
      <c r="AG318" s="180"/>
      <c r="AH318" s="180">
        <f>-AH103-AH105</f>
        <v>-117</v>
      </c>
      <c r="AI318" s="38"/>
      <c r="AL318" s="179"/>
      <c r="AM318" s="430">
        <f>-AM103</f>
        <v>0</v>
      </c>
      <c r="AN318" s="199"/>
      <c r="AO318" s="180"/>
      <c r="AP318" s="180"/>
      <c r="AQ318" s="38"/>
      <c r="AT318" s="179"/>
      <c r="AU318" s="430"/>
      <c r="AV318" s="199"/>
      <c r="AW318" s="180"/>
      <c r="AX318" s="180"/>
      <c r="AY318" s="38"/>
      <c r="BB318" s="179"/>
      <c r="BC318" s="430">
        <f>-BC103-BC105</f>
        <v>0</v>
      </c>
      <c r="BD318" s="199"/>
      <c r="BE318" s="180"/>
      <c r="BF318" s="180">
        <v>0</v>
      </c>
      <c r="BG318" s="38"/>
      <c r="BJ318" s="179"/>
      <c r="BK318" s="430">
        <f t="shared" si="320"/>
        <v>0</v>
      </c>
      <c r="BL318" s="199">
        <f t="shared" si="330"/>
        <v>0</v>
      </c>
      <c r="BM318" s="180"/>
      <c r="BN318" s="180">
        <f t="shared" si="321"/>
        <v>0</v>
      </c>
      <c r="BO318" s="38"/>
      <c r="BR318" s="179"/>
      <c r="BS318" s="430">
        <v>0</v>
      </c>
      <c r="BT318" s="199"/>
      <c r="BU318" s="180"/>
      <c r="BV318" s="180">
        <v>0</v>
      </c>
      <c r="BW318" s="38"/>
      <c r="BZ318" s="179"/>
      <c r="CA318" s="430">
        <v>0</v>
      </c>
      <c r="CB318" s="199"/>
      <c r="CC318" s="180"/>
      <c r="CD318" s="180"/>
      <c r="CE318" s="38"/>
      <c r="CH318" s="179"/>
      <c r="CI318" s="430">
        <v>0</v>
      </c>
      <c r="CJ318" s="199"/>
      <c r="CK318" s="180"/>
      <c r="CL318" s="180"/>
      <c r="CM318" s="38"/>
      <c r="CP318" s="179"/>
      <c r="CQ318" s="430">
        <v>0</v>
      </c>
      <c r="CR318" s="402">
        <f t="shared" si="331"/>
        <v>0</v>
      </c>
      <c r="CS318" s="180"/>
      <c r="CT318" s="431">
        <v>0</v>
      </c>
      <c r="CX318" s="179"/>
      <c r="CY318" s="430">
        <v>0</v>
      </c>
      <c r="CZ318" s="289">
        <f t="shared" si="327"/>
        <v>0</v>
      </c>
      <c r="DA318" s="180"/>
      <c r="DB318" s="431">
        <v>0</v>
      </c>
      <c r="DF318" s="179"/>
      <c r="DG318" s="430">
        <v>0</v>
      </c>
      <c r="DH318" s="289">
        <f t="shared" si="332"/>
        <v>0</v>
      </c>
      <c r="DI318" s="180"/>
      <c r="DJ318" s="431">
        <v>0</v>
      </c>
      <c r="DN318" s="179"/>
      <c r="DO318" s="430">
        <v>0</v>
      </c>
      <c r="DP318" s="289">
        <f t="shared" si="333"/>
        <v>0</v>
      </c>
      <c r="DQ318" s="180"/>
      <c r="DR318" s="431">
        <v>0</v>
      </c>
      <c r="DV318" s="179"/>
      <c r="DW318" s="1710">
        <v>0</v>
      </c>
      <c r="DY318" s="180"/>
      <c r="DZ318" s="180"/>
      <c r="ED318" s="179"/>
      <c r="EG318" s="180"/>
      <c r="EH318" s="180"/>
      <c r="EL318" s="179"/>
      <c r="EO318" s="180"/>
      <c r="EP318" s="180"/>
      <c r="ET318" s="179"/>
      <c r="EW318" s="180"/>
      <c r="EX318" s="180"/>
      <c r="FB318" s="179"/>
      <c r="FE318" s="180"/>
      <c r="FF318" s="180"/>
    </row>
    <row r="319" spans="1:162" ht="11.25" customHeight="1" x14ac:dyDescent="0.2">
      <c r="B319" s="197" t="s">
        <v>440</v>
      </c>
      <c r="C319" s="38"/>
      <c r="F319" s="179"/>
      <c r="G319" s="430"/>
      <c r="H319" s="199"/>
      <c r="I319" s="201"/>
      <c r="J319" s="180">
        <f>J320-J314-J315-J316-J317-J318</f>
        <v>-221</v>
      </c>
      <c r="K319" s="38"/>
      <c r="N319" s="179"/>
      <c r="O319" s="430">
        <f>O320-O314-O315-O316-O317-O318</f>
        <v>-77</v>
      </c>
      <c r="P319" s="199">
        <f>P320-P314-P315-P316-P317-P318</f>
        <v>1</v>
      </c>
      <c r="Q319" s="201"/>
      <c r="R319" s="180">
        <f>R320-R314-R315-R316-R317-R318</f>
        <v>-76</v>
      </c>
      <c r="S319" s="38"/>
      <c r="V319" s="179"/>
      <c r="W319" s="430">
        <f>W320-W314-W315-W316-W317-W318</f>
        <v>-25</v>
      </c>
      <c r="X319" s="199">
        <f>Z319-W319</f>
        <v>-142</v>
      </c>
      <c r="Y319" s="201"/>
      <c r="Z319" s="180">
        <f>Z320-Z314-Z315-Z316-Z317-Z318</f>
        <v>-167</v>
      </c>
      <c r="AA319" s="38"/>
      <c r="AD319" s="179"/>
      <c r="AE319" s="430">
        <f>AE320-AE314-AE315-AE316-AE317-AE318</f>
        <v>-200</v>
      </c>
      <c r="AF319" s="199"/>
      <c r="AG319" s="201"/>
      <c r="AH319" s="180">
        <f>AH320-AH314-AH315-AH316-AH317-AH318</f>
        <v>-151</v>
      </c>
      <c r="AI319" s="38"/>
      <c r="AL319" s="179"/>
      <c r="AM319" s="430">
        <f>AM320-AM314-AM315-AM316-AM317-AM318</f>
        <v>-115</v>
      </c>
      <c r="AN319" s="199"/>
      <c r="AO319" s="201"/>
      <c r="AP319" s="180"/>
      <c r="AQ319" s="38"/>
      <c r="AT319" s="179"/>
      <c r="AU319" s="430"/>
      <c r="AV319" s="199"/>
      <c r="AW319" s="201"/>
      <c r="AX319" s="180"/>
      <c r="AY319" s="38"/>
      <c r="BB319" s="179"/>
      <c r="BC319" s="430">
        <f>BC320-BC314-BC315-BC316-BC317-BC318</f>
        <v>43</v>
      </c>
      <c r="BD319" s="199"/>
      <c r="BE319" s="201"/>
      <c r="BF319" s="180">
        <v>84</v>
      </c>
      <c r="BG319" s="38"/>
      <c r="BJ319" s="179"/>
      <c r="BK319" s="430">
        <f t="shared" si="320"/>
        <v>43</v>
      </c>
      <c r="BL319" s="199">
        <f t="shared" si="330"/>
        <v>41</v>
      </c>
      <c r="BM319" s="201"/>
      <c r="BN319" s="180">
        <f t="shared" si="321"/>
        <v>84</v>
      </c>
      <c r="BO319" s="38"/>
      <c r="BR319" s="179"/>
      <c r="BS319" s="430">
        <f>BS320-BS318-BS317-BS316-BS315-BS317-BS314</f>
        <v>328</v>
      </c>
      <c r="BT319" s="199"/>
      <c r="BU319" s="201"/>
      <c r="BV319" s="180">
        <v>33</v>
      </c>
      <c r="BW319" s="38"/>
      <c r="BZ319" s="179"/>
      <c r="CA319" s="430">
        <f>CA320-CA318-CA317-CA316-CA315-CA317-CA314</f>
        <v>-427</v>
      </c>
      <c r="CB319" s="199"/>
      <c r="CC319" s="201"/>
      <c r="CD319" s="180"/>
      <c r="CE319" s="38"/>
      <c r="CH319" s="179"/>
      <c r="CI319" s="430">
        <f>CI320-CI318-CI317-CI316-CI315-CI317-CI314</f>
        <v>-298</v>
      </c>
      <c r="CJ319" s="199"/>
      <c r="CK319" s="201"/>
      <c r="CL319" s="180"/>
      <c r="CM319" s="38"/>
      <c r="CP319" s="179"/>
      <c r="CQ319" s="430">
        <f>CQ320-CQ318-CQ317-CQ316-CQ315-CQ317-CQ314</f>
        <v>-47</v>
      </c>
      <c r="CR319" s="402">
        <f t="shared" si="331"/>
        <v>-452</v>
      </c>
      <c r="CS319" s="201"/>
      <c r="CT319" s="431">
        <f>CT320-CT318-CT317-CT316-CT315-CT317-CT314</f>
        <v>-499</v>
      </c>
      <c r="CX319" s="179"/>
      <c r="CY319" s="430">
        <f>CY320-CY318-CY317-CY316-CY315-CY317-CY314</f>
        <v>-98</v>
      </c>
      <c r="CZ319" s="289">
        <f t="shared" si="327"/>
        <v>288</v>
      </c>
      <c r="DA319" s="180"/>
      <c r="DB319" s="431">
        <f>DB320-DB318-DB317-DB316-DB315-DB317-DB314</f>
        <v>190</v>
      </c>
      <c r="DF319" s="179"/>
      <c r="DG319" s="430">
        <f>DG320-DG318-DG317-DG316-DG315-DG317-DG314</f>
        <v>-272</v>
      </c>
      <c r="DH319" s="289">
        <f t="shared" si="332"/>
        <v>10</v>
      </c>
      <c r="DI319" s="180"/>
      <c r="DJ319" s="431">
        <f>DJ320-DJ318-DJ317-DJ316-DJ315-DJ317-DJ314</f>
        <v>-262</v>
      </c>
      <c r="DN319" s="179"/>
      <c r="DO319" s="430">
        <f>DO320-DO318-DO317-DO316-DO315-DO317-DO314</f>
        <v>-33</v>
      </c>
      <c r="DP319" s="289">
        <f t="shared" si="333"/>
        <v>82</v>
      </c>
      <c r="DQ319" s="180"/>
      <c r="DR319" s="431">
        <f>DR320-DR318-DR317-DR316-DR315-DR317-DR314</f>
        <v>49</v>
      </c>
      <c r="DV319" s="179"/>
      <c r="DW319" s="1710">
        <f>DW320-DW318-DW317-DW316-DW315-DW317-DW314</f>
        <v>-173</v>
      </c>
      <c r="DY319" s="180"/>
      <c r="DZ319" s="180"/>
      <c r="ED319" s="179"/>
      <c r="EG319" s="180"/>
      <c r="EH319" s="180"/>
      <c r="EL319" s="179"/>
      <c r="EO319" s="180"/>
      <c r="EP319" s="180"/>
      <c r="ET319" s="179"/>
      <c r="EW319" s="180"/>
      <c r="EX319" s="180"/>
      <c r="FB319" s="179"/>
      <c r="FE319" s="180"/>
      <c r="FF319" s="180"/>
    </row>
    <row r="320" spans="1:162" ht="11.25" customHeight="1" x14ac:dyDescent="0.2">
      <c r="A320" s="4" t="s">
        <v>265</v>
      </c>
      <c r="C320" s="288"/>
      <c r="D320" s="289"/>
      <c r="E320" s="289"/>
      <c r="F320" s="290"/>
      <c r="G320" s="289">
        <v>68</v>
      </c>
      <c r="H320" s="402">
        <f>J320-G320</f>
        <v>32</v>
      </c>
      <c r="I320" s="429"/>
      <c r="J320" s="291">
        <v>100</v>
      </c>
      <c r="K320" s="288"/>
      <c r="L320" s="289"/>
      <c r="M320" s="289"/>
      <c r="N320" s="290"/>
      <c r="O320" s="289">
        <v>123</v>
      </c>
      <c r="P320" s="402">
        <f>R320-O320</f>
        <v>191</v>
      </c>
      <c r="Q320" s="429"/>
      <c r="R320" s="291">
        <v>314</v>
      </c>
      <c r="S320" s="288"/>
      <c r="T320" s="289"/>
      <c r="U320" s="289"/>
      <c r="V320" s="290"/>
      <c r="W320" s="289">
        <v>-127</v>
      </c>
      <c r="X320" s="402">
        <f>Z320-W320</f>
        <v>-230</v>
      </c>
      <c r="Y320" s="429"/>
      <c r="Z320" s="291">
        <v>-357</v>
      </c>
      <c r="AA320" s="288"/>
      <c r="AB320" s="289"/>
      <c r="AC320" s="289"/>
      <c r="AD320" s="290"/>
      <c r="AE320" s="289">
        <v>199</v>
      </c>
      <c r="AF320" s="402"/>
      <c r="AG320" s="429"/>
      <c r="AH320" s="291">
        <f>847-AH313</f>
        <v>44</v>
      </c>
      <c r="AI320" s="288"/>
      <c r="AJ320" s="289"/>
      <c r="AK320" s="289"/>
      <c r="AL320" s="290"/>
      <c r="AM320" s="289">
        <f>470-AM313</f>
        <v>110</v>
      </c>
      <c r="AN320" s="402"/>
      <c r="AO320" s="429"/>
      <c r="AP320" s="291">
        <v>14624</v>
      </c>
      <c r="AQ320" s="288"/>
      <c r="AR320" s="289"/>
      <c r="AS320" s="289"/>
      <c r="AT320" s="290"/>
      <c r="AU320" s="289"/>
      <c r="AV320" s="402"/>
      <c r="AW320" s="429"/>
      <c r="AX320" s="291"/>
      <c r="AY320" s="288"/>
      <c r="AZ320" s="289"/>
      <c r="BA320" s="289"/>
      <c r="BB320" s="290"/>
      <c r="BC320" s="289">
        <f>787-BC313</f>
        <v>313</v>
      </c>
      <c r="BD320" s="402"/>
      <c r="BE320" s="429"/>
      <c r="BF320" s="291">
        <v>295</v>
      </c>
      <c r="BG320" s="288"/>
      <c r="BH320" s="289"/>
      <c r="BI320" s="289"/>
      <c r="BJ320" s="290"/>
      <c r="BK320" s="289">
        <f t="shared" si="320"/>
        <v>313</v>
      </c>
      <c r="BL320" s="402">
        <f t="shared" si="330"/>
        <v>-18</v>
      </c>
      <c r="BM320" s="429"/>
      <c r="BN320" s="291">
        <f t="shared" si="321"/>
        <v>295</v>
      </c>
      <c r="BO320" s="288"/>
      <c r="BP320" s="289"/>
      <c r="BQ320" s="289"/>
      <c r="BR320" s="290"/>
      <c r="BS320" s="289">
        <f>BS321-BS313-BS309</f>
        <v>724</v>
      </c>
      <c r="BT320" s="402">
        <f>BV320-BS320</f>
        <v>-541</v>
      </c>
      <c r="BU320" s="429"/>
      <c r="BV320" s="291">
        <v>183</v>
      </c>
      <c r="BW320" s="288"/>
      <c r="BX320" s="289"/>
      <c r="BY320" s="289"/>
      <c r="BZ320" s="290"/>
      <c r="CA320" s="289">
        <f>CA321-CA313-CA309</f>
        <v>-180</v>
      </c>
      <c r="CB320" s="402">
        <f>CD320-CA320</f>
        <v>387</v>
      </c>
      <c r="CC320" s="429"/>
      <c r="CD320" s="291">
        <v>207</v>
      </c>
      <c r="CE320" s="288"/>
      <c r="CF320" s="289"/>
      <c r="CG320" s="289"/>
      <c r="CH320" s="290"/>
      <c r="CI320" s="289">
        <f>CI321-CI313-CI309</f>
        <v>-146</v>
      </c>
      <c r="CJ320" s="402">
        <f>CL320-CI320</f>
        <v>435</v>
      </c>
      <c r="CK320" s="429"/>
      <c r="CL320" s="291">
        <v>289</v>
      </c>
      <c r="CM320" s="288"/>
      <c r="CN320" s="289"/>
      <c r="CO320" s="289"/>
      <c r="CP320" s="290"/>
      <c r="CQ320" s="289">
        <f>CQ321-CQ313-CQ309</f>
        <v>188</v>
      </c>
      <c r="CR320" s="402">
        <f>CT320-CQ320</f>
        <v>-165</v>
      </c>
      <c r="CS320" s="429"/>
      <c r="CT320" s="291">
        <f>CT321-CT313-CT309</f>
        <v>23</v>
      </c>
      <c r="CU320" s="289"/>
      <c r="CV320" s="289"/>
      <c r="CW320" s="289"/>
      <c r="CX320" s="290"/>
      <c r="CY320" s="289">
        <f>CY321-CY313-CY309</f>
        <v>187</v>
      </c>
      <c r="CZ320" s="289">
        <f t="shared" si="327"/>
        <v>-136</v>
      </c>
      <c r="DA320" s="291"/>
      <c r="DB320" s="291">
        <f>DB321-DB313-DB309</f>
        <v>51</v>
      </c>
      <c r="DC320" s="289"/>
      <c r="DD320" s="289"/>
      <c r="DE320" s="289"/>
      <c r="DF320" s="290"/>
      <c r="DG320" s="289">
        <f>DG321-DG313-DG309</f>
        <v>162</v>
      </c>
      <c r="DH320" s="289">
        <f t="shared" si="332"/>
        <v>-195</v>
      </c>
      <c r="DI320" s="291"/>
      <c r="DJ320" s="291">
        <f>DJ321-DJ313-DJ309</f>
        <v>-33</v>
      </c>
      <c r="DK320" s="289"/>
      <c r="DL320" s="289"/>
      <c r="DM320" s="289"/>
      <c r="DN320" s="290"/>
      <c r="DO320" s="289">
        <f>DO321-DO313-DO309</f>
        <v>498</v>
      </c>
      <c r="DP320" s="289">
        <f t="shared" si="333"/>
        <v>-840</v>
      </c>
      <c r="DQ320" s="291"/>
      <c r="DR320" s="291">
        <f>DR321-DR313-DR309</f>
        <v>-342</v>
      </c>
      <c r="DS320" s="289"/>
      <c r="DT320" s="289"/>
      <c r="DU320" s="289"/>
      <c r="DV320" s="290"/>
      <c r="DW320" s="1705">
        <f>DW321-DW313-DW309</f>
        <v>573</v>
      </c>
      <c r="DX320" s="401">
        <f>DZ320-DW320</f>
        <v>-307.39999999999998</v>
      </c>
      <c r="DY320" s="291"/>
      <c r="DZ320" s="287">
        <v>265.60000000000002</v>
      </c>
      <c r="EA320" s="289"/>
      <c r="EB320" s="289"/>
      <c r="EC320" s="289"/>
      <c r="ED320" s="290"/>
      <c r="EE320" s="401">
        <f>EH320/2</f>
        <v>-8.2599999999999909</v>
      </c>
      <c r="EF320" s="401">
        <f>EH320-EE320</f>
        <v>-8.2599999999999909</v>
      </c>
      <c r="EG320" s="291"/>
      <c r="EH320" s="287">
        <v>-16.519999999999982</v>
      </c>
      <c r="EI320" s="289"/>
      <c r="EJ320" s="289"/>
      <c r="EK320" s="289"/>
      <c r="EL320" s="290"/>
      <c r="EM320" s="401">
        <f>EP320/2</f>
        <v>-5.1729999999999876</v>
      </c>
      <c r="EN320" s="401">
        <f>EP320-EM320</f>
        <v>-5.1729999999999876</v>
      </c>
      <c r="EO320" s="291"/>
      <c r="EP320" s="287">
        <v>-10.345999999999975</v>
      </c>
      <c r="EQ320" s="289"/>
      <c r="ER320" s="289"/>
      <c r="ES320" s="289"/>
      <c r="ET320" s="290"/>
      <c r="EU320" s="401">
        <f>EX320/2</f>
        <v>-1.9316499999999905</v>
      </c>
      <c r="EV320" s="401">
        <f>EX320-EU320</f>
        <v>-1.9316499999999905</v>
      </c>
      <c r="EW320" s="291"/>
      <c r="EX320" s="287">
        <v>-3.8632999999999811</v>
      </c>
      <c r="EY320" s="289"/>
      <c r="EZ320" s="289"/>
      <c r="FA320" s="289"/>
      <c r="FB320" s="290"/>
      <c r="FC320" s="401">
        <f>FF320/2</f>
        <v>1.4717675000000128</v>
      </c>
      <c r="FD320" s="401">
        <f>FF320-FC320</f>
        <v>1.4717675000000128</v>
      </c>
      <c r="FE320" s="291"/>
      <c r="FF320" s="287">
        <v>2.9435350000000255</v>
      </c>
    </row>
    <row r="321" spans="1:162" ht="11.25" customHeight="1" x14ac:dyDescent="0.2">
      <c r="A321" s="186" t="s">
        <v>441</v>
      </c>
      <c r="C321" s="395"/>
      <c r="D321" s="396"/>
      <c r="E321" s="396"/>
      <c r="F321" s="397"/>
      <c r="G321" s="428">
        <f>G268</f>
        <v>1012</v>
      </c>
      <c r="H321" s="428">
        <f>H268</f>
        <v>934</v>
      </c>
      <c r="I321" s="432"/>
      <c r="J321" s="398">
        <f>J268</f>
        <v>1946</v>
      </c>
      <c r="K321" s="395"/>
      <c r="L321" s="396"/>
      <c r="M321" s="396"/>
      <c r="N321" s="397"/>
      <c r="O321" s="428">
        <f>O268</f>
        <v>1115</v>
      </c>
      <c r="P321" s="428">
        <f>P268</f>
        <v>1353</v>
      </c>
      <c r="Q321" s="432"/>
      <c r="R321" s="398">
        <f>R268</f>
        <v>2468</v>
      </c>
      <c r="S321" s="395"/>
      <c r="T321" s="396"/>
      <c r="U321" s="396"/>
      <c r="V321" s="397"/>
      <c r="W321" s="428">
        <f>W268</f>
        <v>1495</v>
      </c>
      <c r="X321" s="428">
        <f>X268</f>
        <v>1318</v>
      </c>
      <c r="Y321" s="432"/>
      <c r="Z321" s="398">
        <f>Z309+Z313+Z320</f>
        <v>2813</v>
      </c>
      <c r="AA321" s="395"/>
      <c r="AB321" s="396"/>
      <c r="AC321" s="396"/>
      <c r="AD321" s="397"/>
      <c r="AE321" s="428">
        <f>AE268</f>
        <v>1359</v>
      </c>
      <c r="AF321" s="428"/>
      <c r="AG321" s="432"/>
      <c r="AH321" s="398">
        <f>AH309+AH313+AH320</f>
        <v>2653</v>
      </c>
      <c r="AI321" s="395"/>
      <c r="AJ321" s="396"/>
      <c r="AK321" s="396"/>
      <c r="AL321" s="397"/>
      <c r="AM321" s="428">
        <f>AM268</f>
        <v>1310</v>
      </c>
      <c r="AN321" s="428"/>
      <c r="AO321" s="432"/>
      <c r="AP321" s="398">
        <f>AP309+AP313+AP320</f>
        <v>18418</v>
      </c>
      <c r="AQ321" s="395"/>
      <c r="AR321" s="396"/>
      <c r="AS321" s="396"/>
      <c r="AT321" s="397"/>
      <c r="AU321" s="428">
        <v>1094</v>
      </c>
      <c r="AV321" s="428"/>
      <c r="AW321" s="432"/>
      <c r="AX321" s="398"/>
      <c r="AY321" s="395"/>
      <c r="AZ321" s="396"/>
      <c r="BA321" s="396"/>
      <c r="BB321" s="397"/>
      <c r="BC321" s="428">
        <f>BC309+BC313+BC320</f>
        <v>1719</v>
      </c>
      <c r="BD321" s="428"/>
      <c r="BE321" s="432"/>
      <c r="BF321" s="398">
        <f>BF309+BF313+BF320</f>
        <v>3098</v>
      </c>
      <c r="BG321" s="395"/>
      <c r="BH321" s="396"/>
      <c r="BI321" s="396"/>
      <c r="BJ321" s="397"/>
      <c r="BK321" s="428">
        <f t="shared" si="320"/>
        <v>1719</v>
      </c>
      <c r="BL321" s="428">
        <f t="shared" si="330"/>
        <v>1379</v>
      </c>
      <c r="BM321" s="432"/>
      <c r="BN321" s="398">
        <f t="shared" si="321"/>
        <v>3098</v>
      </c>
      <c r="BO321" s="395"/>
      <c r="BP321" s="396"/>
      <c r="BQ321" s="396"/>
      <c r="BR321" s="397"/>
      <c r="BS321" s="428">
        <v>2594</v>
      </c>
      <c r="BT321" s="428">
        <f>BT309+BT313+BT320</f>
        <v>1616</v>
      </c>
      <c r="BU321" s="432"/>
      <c r="BV321" s="398">
        <f>BV309+BV313+BV320</f>
        <v>4210</v>
      </c>
      <c r="BW321" s="395"/>
      <c r="BX321" s="396"/>
      <c r="BY321" s="396"/>
      <c r="BZ321" s="397"/>
      <c r="CA321" s="428">
        <v>1154</v>
      </c>
      <c r="CB321" s="428">
        <f>CB309+CB313+CB320</f>
        <v>720</v>
      </c>
      <c r="CC321" s="432"/>
      <c r="CD321" s="398">
        <f>CD309+CD313+CD320</f>
        <v>1874</v>
      </c>
      <c r="CE321" s="395"/>
      <c r="CF321" s="396"/>
      <c r="CG321" s="396"/>
      <c r="CH321" s="397"/>
      <c r="CI321" s="428">
        <v>733</v>
      </c>
      <c r="CJ321" s="428">
        <f>CJ309+CJ313+CJ320</f>
        <v>1453</v>
      </c>
      <c r="CK321" s="432"/>
      <c r="CL321" s="398">
        <f>CL309+CL313+CL320</f>
        <v>2186</v>
      </c>
      <c r="CM321" s="395"/>
      <c r="CN321" s="396"/>
      <c r="CO321" s="396"/>
      <c r="CP321" s="397"/>
      <c r="CQ321" s="428">
        <v>1646</v>
      </c>
      <c r="CR321" s="428">
        <f>CR309+CR313+CR320</f>
        <v>1170</v>
      </c>
      <c r="CS321" s="432"/>
      <c r="CT321" s="432">
        <v>2816</v>
      </c>
      <c r="CU321" s="396"/>
      <c r="CV321" s="396"/>
      <c r="CW321" s="396"/>
      <c r="CX321" s="397"/>
      <c r="CY321" s="428">
        <v>1982</v>
      </c>
      <c r="CZ321" s="396">
        <f>CZ309+CZ313+CZ320</f>
        <v>1530</v>
      </c>
      <c r="DA321" s="398"/>
      <c r="DB321" s="432">
        <v>3512</v>
      </c>
      <c r="DC321" s="396"/>
      <c r="DD321" s="396"/>
      <c r="DE321" s="396"/>
      <c r="DF321" s="397"/>
      <c r="DG321" s="428">
        <v>2360</v>
      </c>
      <c r="DH321" s="396">
        <f>DH309+DH313+DH320</f>
        <v>2366</v>
      </c>
      <c r="DI321" s="398"/>
      <c r="DJ321" s="432">
        <v>4726</v>
      </c>
      <c r="DK321" s="396"/>
      <c r="DL321" s="396"/>
      <c r="DM321" s="396"/>
      <c r="DN321" s="397"/>
      <c r="DO321" s="428">
        <v>2790</v>
      </c>
      <c r="DP321" s="396">
        <f>DP309+DP313+DP320</f>
        <v>1860.0000000000005</v>
      </c>
      <c r="DQ321" s="398"/>
      <c r="DR321" s="432">
        <v>4650</v>
      </c>
      <c r="DS321" s="396"/>
      <c r="DT321" s="396"/>
      <c r="DU321" s="396"/>
      <c r="DV321" s="397"/>
      <c r="DW321" s="1711">
        <v>3474</v>
      </c>
      <c r="DX321" s="399">
        <f>DX309+DX313+DX320</f>
        <v>2610.3532858173221</v>
      </c>
      <c r="DY321" s="398"/>
      <c r="DZ321" s="400">
        <f>DZ309+DZ313+DZ320</f>
        <v>6087.7769130494726</v>
      </c>
      <c r="EA321" s="396"/>
      <c r="EB321" s="396"/>
      <c r="EC321" s="396"/>
      <c r="ED321" s="397"/>
      <c r="EE321" s="399">
        <f>EE309+EE313+EE320</f>
        <v>2086.8031198320632</v>
      </c>
      <c r="EF321" s="399">
        <f>EF309+EF313+EF320</f>
        <v>5281.6759397455253</v>
      </c>
      <c r="EG321" s="398"/>
      <c r="EH321" s="400">
        <f>EH309+EH313+EH320</f>
        <v>7368.4790595775867</v>
      </c>
      <c r="EI321" s="396"/>
      <c r="EJ321" s="396"/>
      <c r="EK321" s="396"/>
      <c r="EL321" s="397"/>
      <c r="EM321" s="399">
        <f>EM309+EM313+EM320</f>
        <v>2360.2404691589472</v>
      </c>
      <c r="EN321" s="399">
        <f>EN309+EN313+EN320</f>
        <v>5758.8595096768831</v>
      </c>
      <c r="EO321" s="398"/>
      <c r="EP321" s="400">
        <f>EP309+EP313+EP320</f>
        <v>8119.0999788358231</v>
      </c>
      <c r="EQ321" s="396"/>
      <c r="ER321" s="396"/>
      <c r="ES321" s="396"/>
      <c r="ET321" s="397"/>
      <c r="EU321" s="399">
        <f>EU309+EU313+EU320</f>
        <v>2555.3272978579807</v>
      </c>
      <c r="EV321" s="399">
        <f>EV309+EV313+EV320</f>
        <v>6159.3366862184394</v>
      </c>
      <c r="EW321" s="398"/>
      <c r="EX321" s="400">
        <f>EX309+EX313+EX320</f>
        <v>8714.6639840764146</v>
      </c>
      <c r="EY321" s="396"/>
      <c r="EZ321" s="396"/>
      <c r="FA321" s="396"/>
      <c r="FB321" s="397"/>
      <c r="FC321" s="399">
        <f>FC309+FC313+FC320</f>
        <v>2725.5650426836273</v>
      </c>
      <c r="FD321" s="399">
        <f>FD309+FD313+FD320</f>
        <v>6405.1492748090186</v>
      </c>
      <c r="FE321" s="398"/>
      <c r="FF321" s="400">
        <f>FF309+FF313+FF320</f>
        <v>9130.7143174926423</v>
      </c>
    </row>
    <row r="322" spans="1:162" ht="11.25" customHeight="1" x14ac:dyDescent="0.2">
      <c r="A322" s="4" t="s">
        <v>403</v>
      </c>
      <c r="C322" s="288"/>
      <c r="D322" s="289"/>
      <c r="E322" s="289"/>
      <c r="F322" s="290"/>
      <c r="G322" s="402">
        <f>G272</f>
        <v>-218</v>
      </c>
      <c r="H322" s="402">
        <f>H272</f>
        <v>392</v>
      </c>
      <c r="I322" s="429"/>
      <c r="J322" s="291">
        <f>J272</f>
        <v>174</v>
      </c>
      <c r="K322" s="288"/>
      <c r="L322" s="289"/>
      <c r="M322" s="289"/>
      <c r="N322" s="290"/>
      <c r="O322" s="402">
        <f>O272</f>
        <v>-294</v>
      </c>
      <c r="P322" s="402">
        <f>P272</f>
        <v>183</v>
      </c>
      <c r="Q322" s="429"/>
      <c r="R322" s="291">
        <f>R272</f>
        <v>-111</v>
      </c>
      <c r="S322" s="288"/>
      <c r="T322" s="289"/>
      <c r="U322" s="289"/>
      <c r="V322" s="290"/>
      <c r="W322" s="402">
        <f>W272</f>
        <v>-529</v>
      </c>
      <c r="X322" s="402">
        <f>X272</f>
        <v>469</v>
      </c>
      <c r="Y322" s="429"/>
      <c r="Z322" s="291">
        <f>Z272</f>
        <v>-60</v>
      </c>
      <c r="AA322" s="288"/>
      <c r="AB322" s="289"/>
      <c r="AC322" s="289"/>
      <c r="AD322" s="290"/>
      <c r="AE322" s="402">
        <f>AE272</f>
        <v>-64</v>
      </c>
      <c r="AF322" s="402"/>
      <c r="AG322" s="429"/>
      <c r="AH322" s="291">
        <f>AH272</f>
        <v>-168</v>
      </c>
      <c r="AI322" s="288"/>
      <c r="AJ322" s="289"/>
      <c r="AK322" s="289"/>
      <c r="AL322" s="290"/>
      <c r="AM322" s="402">
        <f>AM272</f>
        <v>-40</v>
      </c>
      <c r="AN322" s="402"/>
      <c r="AO322" s="429"/>
      <c r="AP322" s="291">
        <f>AP272</f>
        <v>316</v>
      </c>
      <c r="AQ322" s="288"/>
      <c r="AR322" s="289"/>
      <c r="AS322" s="289"/>
      <c r="AT322" s="290"/>
      <c r="AU322" s="402">
        <v>183</v>
      </c>
      <c r="AV322" s="402"/>
      <c r="AW322" s="429"/>
      <c r="AX322" s="291"/>
      <c r="AY322" s="288"/>
      <c r="AZ322" s="289"/>
      <c r="BA322" s="289"/>
      <c r="BB322" s="290"/>
      <c r="BC322" s="402">
        <v>-299</v>
      </c>
      <c r="BD322" s="402"/>
      <c r="BE322" s="429"/>
      <c r="BF322" s="291">
        <f>BF272</f>
        <v>-27</v>
      </c>
      <c r="BG322" s="288"/>
      <c r="BH322" s="289"/>
      <c r="BI322" s="289"/>
      <c r="BJ322" s="290"/>
      <c r="BK322" s="402">
        <f t="shared" si="320"/>
        <v>-299</v>
      </c>
      <c r="BL322" s="402">
        <f>+BN322-BK322</f>
        <v>272</v>
      </c>
      <c r="BM322" s="429"/>
      <c r="BN322" s="291">
        <f t="shared" si="321"/>
        <v>-27</v>
      </c>
      <c r="BO322" s="288"/>
      <c r="BP322" s="289"/>
      <c r="BQ322" s="289"/>
      <c r="BR322" s="290"/>
      <c r="BS322" s="402">
        <v>-863</v>
      </c>
      <c r="BT322" s="402">
        <f>BV322-BS322</f>
        <v>-34</v>
      </c>
      <c r="BU322" s="429"/>
      <c r="BV322" s="291">
        <f>BV272</f>
        <v>-897</v>
      </c>
      <c r="BW322" s="288"/>
      <c r="BX322" s="289"/>
      <c r="BY322" s="289"/>
      <c r="BZ322" s="290"/>
      <c r="CA322" s="402">
        <v>168</v>
      </c>
      <c r="CB322" s="402">
        <f>CD322-CA322</f>
        <v>-176</v>
      </c>
      <c r="CC322" s="429"/>
      <c r="CD322" s="291">
        <f>CD272</f>
        <v>-8</v>
      </c>
      <c r="CE322" s="288"/>
      <c r="CF322" s="289"/>
      <c r="CG322" s="289"/>
      <c r="CH322" s="290"/>
      <c r="CI322" s="402">
        <f>CI272</f>
        <v>297</v>
      </c>
      <c r="CJ322" s="402">
        <f>CJ272</f>
        <v>-47</v>
      </c>
      <c r="CK322" s="429"/>
      <c r="CL322" s="291">
        <f>CL272</f>
        <v>250</v>
      </c>
      <c r="CM322" s="288"/>
      <c r="CN322" s="289"/>
      <c r="CO322" s="289"/>
      <c r="CP322" s="290"/>
      <c r="CQ322" s="402">
        <f>CQ272</f>
        <v>426</v>
      </c>
      <c r="CR322" s="402">
        <f>+CT322-CQ322</f>
        <v>303</v>
      </c>
      <c r="CS322" s="429"/>
      <c r="CT322" s="291">
        <f>CT272</f>
        <v>729</v>
      </c>
      <c r="CU322" s="289"/>
      <c r="CV322" s="289"/>
      <c r="CW322" s="289"/>
      <c r="CX322" s="290"/>
      <c r="CY322" s="402">
        <f>CY272</f>
        <v>81</v>
      </c>
      <c r="CZ322" s="289">
        <f>CZ272</f>
        <v>677</v>
      </c>
      <c r="DA322" s="291"/>
      <c r="DB322" s="291">
        <f>DB272</f>
        <v>758</v>
      </c>
      <c r="DC322" s="289"/>
      <c r="DD322" s="289"/>
      <c r="DE322" s="289"/>
      <c r="DF322" s="290"/>
      <c r="DG322" s="402">
        <f>DG272</f>
        <v>-140</v>
      </c>
      <c r="DH322" s="289">
        <f>DH272</f>
        <v>147</v>
      </c>
      <c r="DI322" s="291"/>
      <c r="DJ322" s="291">
        <f>DJ272</f>
        <v>7</v>
      </c>
      <c r="DK322" s="289"/>
      <c r="DL322" s="289"/>
      <c r="DM322" s="289"/>
      <c r="DN322" s="290"/>
      <c r="DO322" s="402">
        <f>DO272</f>
        <v>-168</v>
      </c>
      <c r="DP322" s="289">
        <f>DP272</f>
        <v>1239</v>
      </c>
      <c r="DQ322" s="291"/>
      <c r="DR322" s="291">
        <f>DR272</f>
        <v>1071</v>
      </c>
      <c r="DS322" s="289"/>
      <c r="DT322" s="289"/>
      <c r="DU322" s="289"/>
      <c r="DV322" s="290"/>
      <c r="DW322" s="1705">
        <f>DW272</f>
        <v>122</v>
      </c>
      <c r="DX322" s="401">
        <f>DX272</f>
        <v>972.35755019238627</v>
      </c>
      <c r="DY322" s="291"/>
      <c r="DZ322" s="287">
        <f>DZ272</f>
        <v>1094.3575501923863</v>
      </c>
      <c r="EA322" s="289"/>
      <c r="EB322" s="289"/>
      <c r="EC322" s="289"/>
      <c r="ED322" s="290"/>
      <c r="EE322" s="401">
        <f>EE272</f>
        <v>254.03326860499797</v>
      </c>
      <c r="EF322" s="401">
        <f>EF272</f>
        <v>254.03326860499797</v>
      </c>
      <c r="EG322" s="291"/>
      <c r="EH322" s="287">
        <f>EH272</f>
        <v>508.06653720999594</v>
      </c>
      <c r="EI322" s="289"/>
      <c r="EJ322" s="289"/>
      <c r="EK322" s="289"/>
      <c r="EL322" s="290"/>
      <c r="EM322" s="401">
        <f>EM272</f>
        <v>136.25420149800425</v>
      </c>
      <c r="EN322" s="401">
        <f>EN272</f>
        <v>136.25420149800425</v>
      </c>
      <c r="EO322" s="291"/>
      <c r="EP322" s="287">
        <f>EP272</f>
        <v>272.5084029960085</v>
      </c>
      <c r="EQ322" s="289"/>
      <c r="ER322" s="289"/>
      <c r="ES322" s="289"/>
      <c r="ET322" s="290"/>
      <c r="EU322" s="401">
        <f>EU272</f>
        <v>146.23226666815702</v>
      </c>
      <c r="EV322" s="401">
        <f>EV272</f>
        <v>146.23226666815702</v>
      </c>
      <c r="EW322" s="291"/>
      <c r="EX322" s="287">
        <f>EX272</f>
        <v>292.46453333631405</v>
      </c>
      <c r="EY322" s="289"/>
      <c r="EZ322" s="289"/>
      <c r="FA322" s="289"/>
      <c r="FB322" s="290"/>
      <c r="FC322" s="401">
        <f>FC272</f>
        <v>35.479467909035407</v>
      </c>
      <c r="FD322" s="401">
        <f>FD272</f>
        <v>35.479467909035407</v>
      </c>
      <c r="FE322" s="291"/>
      <c r="FF322" s="287">
        <f>FF272</f>
        <v>70.958935818070813</v>
      </c>
    </row>
    <row r="323" spans="1:162" ht="11.25" customHeight="1" x14ac:dyDescent="0.2">
      <c r="A323" s="4" t="s">
        <v>442</v>
      </c>
      <c r="C323" s="288"/>
      <c r="D323" s="289"/>
      <c r="E323" s="289"/>
      <c r="F323" s="290"/>
      <c r="G323" s="402">
        <f>G278</f>
        <v>-227</v>
      </c>
      <c r="H323" s="402">
        <f>H278</f>
        <v>-262</v>
      </c>
      <c r="I323" s="429"/>
      <c r="J323" s="291">
        <f>J278</f>
        <v>-489</v>
      </c>
      <c r="K323" s="288"/>
      <c r="L323" s="289"/>
      <c r="M323" s="289"/>
      <c r="N323" s="290"/>
      <c r="O323" s="402">
        <f>O278</f>
        <v>-299</v>
      </c>
      <c r="P323" s="402">
        <f>P278</f>
        <v>-375</v>
      </c>
      <c r="Q323" s="429"/>
      <c r="R323" s="291">
        <f>R278</f>
        <v>-674</v>
      </c>
      <c r="S323" s="288"/>
      <c r="T323" s="289"/>
      <c r="U323" s="289"/>
      <c r="V323" s="290"/>
      <c r="W323" s="402">
        <f>W278</f>
        <v>-359</v>
      </c>
      <c r="X323" s="402">
        <f>X278</f>
        <v>-399</v>
      </c>
      <c r="Y323" s="429"/>
      <c r="Z323" s="291">
        <f>Z278</f>
        <v>-758</v>
      </c>
      <c r="AA323" s="288"/>
      <c r="AB323" s="289"/>
      <c r="AC323" s="289"/>
      <c r="AD323" s="290"/>
      <c r="AE323" s="402">
        <f>AE278</f>
        <v>-360</v>
      </c>
      <c r="AF323" s="402"/>
      <c r="AG323" s="429"/>
      <c r="AH323" s="291">
        <f>AH278</f>
        <v>-704</v>
      </c>
      <c r="AI323" s="288"/>
      <c r="AJ323" s="289"/>
      <c r="AK323" s="289"/>
      <c r="AL323" s="290"/>
      <c r="AM323" s="402">
        <f>AM278</f>
        <v>-345</v>
      </c>
      <c r="AN323" s="402"/>
      <c r="AO323" s="429"/>
      <c r="AP323" s="291">
        <f>AP278</f>
        <v>-740</v>
      </c>
      <c r="AQ323" s="288"/>
      <c r="AR323" s="289"/>
      <c r="AS323" s="289"/>
      <c r="AT323" s="290"/>
      <c r="AU323" s="402">
        <v>-345</v>
      </c>
      <c r="AV323" s="402"/>
      <c r="AW323" s="429"/>
      <c r="AX323" s="291"/>
      <c r="AY323" s="288"/>
      <c r="AZ323" s="289"/>
      <c r="BA323" s="289"/>
      <c r="BB323" s="290"/>
      <c r="BC323" s="402">
        <v>-387</v>
      </c>
      <c r="BD323" s="402"/>
      <c r="BE323" s="429"/>
      <c r="BF323" s="291">
        <f>BF278</f>
        <v>-780</v>
      </c>
      <c r="BG323" s="288"/>
      <c r="BH323" s="289"/>
      <c r="BI323" s="289"/>
      <c r="BJ323" s="290"/>
      <c r="BK323" s="402">
        <f t="shared" si="320"/>
        <v>-387</v>
      </c>
      <c r="BL323" s="402">
        <f t="shared" si="330"/>
        <v>-393</v>
      </c>
      <c r="BM323" s="429"/>
      <c r="BN323" s="291">
        <f t="shared" si="321"/>
        <v>-780</v>
      </c>
      <c r="BO323" s="288"/>
      <c r="BP323" s="289"/>
      <c r="BQ323" s="289"/>
      <c r="BR323" s="290"/>
      <c r="BS323" s="402">
        <v>-332</v>
      </c>
      <c r="BT323" s="402">
        <f>BV323-BS323</f>
        <v>-363</v>
      </c>
      <c r="BU323" s="429"/>
      <c r="BV323" s="291">
        <f>BV278</f>
        <v>-695</v>
      </c>
      <c r="BW323" s="288"/>
      <c r="BX323" s="289"/>
      <c r="BY323" s="289"/>
      <c r="BZ323" s="290"/>
      <c r="CA323" s="402">
        <v>-273</v>
      </c>
      <c r="CB323" s="402">
        <f>CD323-CA323</f>
        <v>-176</v>
      </c>
      <c r="CC323" s="429"/>
      <c r="CD323" s="291">
        <f>CD278</f>
        <v>-449</v>
      </c>
      <c r="CE323" s="288"/>
      <c r="CF323" s="289"/>
      <c r="CG323" s="289"/>
      <c r="CH323" s="290"/>
      <c r="CI323" s="402">
        <f>CI278</f>
        <v>-183</v>
      </c>
      <c r="CJ323" s="402">
        <f>CJ278</f>
        <v>-204</v>
      </c>
      <c r="CK323" s="429"/>
      <c r="CL323" s="291">
        <f>CL278</f>
        <v>-387</v>
      </c>
      <c r="CM323" s="288"/>
      <c r="CN323" s="289"/>
      <c r="CO323" s="289"/>
      <c r="CP323" s="290"/>
      <c r="CQ323" s="402">
        <f>CQ278</f>
        <v>-243</v>
      </c>
      <c r="CR323" s="402">
        <f>CR278</f>
        <v>-255</v>
      </c>
      <c r="CS323" s="429"/>
      <c r="CT323" s="291">
        <f>CT278</f>
        <v>-498</v>
      </c>
      <c r="CU323" s="289"/>
      <c r="CV323" s="289"/>
      <c r="CW323" s="289"/>
      <c r="CX323" s="290"/>
      <c r="CY323" s="402">
        <f>CY278</f>
        <v>-348</v>
      </c>
      <c r="CZ323" s="289">
        <f>CZ278</f>
        <v>-475</v>
      </c>
      <c r="DA323" s="291"/>
      <c r="DB323" s="291">
        <f>DB278</f>
        <v>-823</v>
      </c>
      <c r="DC323" s="289"/>
      <c r="DD323" s="289"/>
      <c r="DE323" s="289"/>
      <c r="DF323" s="290"/>
      <c r="DG323" s="402">
        <f>DG278</f>
        <v>-512</v>
      </c>
      <c r="DH323" s="289">
        <f>DH278</f>
        <v>-532</v>
      </c>
      <c r="DI323" s="291"/>
      <c r="DJ323" s="291">
        <f>DJ278</f>
        <v>-1044</v>
      </c>
      <c r="DK323" s="289"/>
      <c r="DL323" s="289"/>
      <c r="DM323" s="289"/>
      <c r="DN323" s="290"/>
      <c r="DO323" s="402">
        <f>DO278</f>
        <v>-525</v>
      </c>
      <c r="DP323" s="289">
        <f>DP278</f>
        <v>-713</v>
      </c>
      <c r="DQ323" s="291"/>
      <c r="DR323" s="291">
        <f>DR278</f>
        <v>-1238</v>
      </c>
      <c r="DS323" s="289"/>
      <c r="DT323" s="289"/>
      <c r="DU323" s="289"/>
      <c r="DV323" s="290"/>
      <c r="DW323" s="1705">
        <f>DW278</f>
        <v>-750</v>
      </c>
      <c r="DX323" s="401">
        <f>DX278</f>
        <v>-719.05852493351017</v>
      </c>
      <c r="DY323" s="291"/>
      <c r="DZ323" s="287">
        <f>DZ278</f>
        <v>-1469.0585249335102</v>
      </c>
      <c r="EA323" s="289"/>
      <c r="EB323" s="289"/>
      <c r="EC323" s="289"/>
      <c r="ED323" s="290"/>
      <c r="EE323" s="401">
        <f>EE278</f>
        <v>-703.44406822757333</v>
      </c>
      <c r="EF323" s="401">
        <f>EF278</f>
        <v>-850.93343325761634</v>
      </c>
      <c r="EG323" s="291"/>
      <c r="EH323" s="287">
        <f>EH278</f>
        <v>-1554.3775014851897</v>
      </c>
      <c r="EI323" s="289"/>
      <c r="EJ323" s="289"/>
      <c r="EK323" s="289"/>
      <c r="EL323" s="290"/>
      <c r="EM323" s="401">
        <f>EM278</f>
        <v>-746.20641051592338</v>
      </c>
      <c r="EN323" s="401">
        <f>EN278</f>
        <v>-895.8292834723718</v>
      </c>
      <c r="EO323" s="291"/>
      <c r="EP323" s="287">
        <f>EP278</f>
        <v>-1642.0356939882952</v>
      </c>
      <c r="EQ323" s="289"/>
      <c r="ER323" s="289"/>
      <c r="ES323" s="289"/>
      <c r="ET323" s="290"/>
      <c r="EU323" s="401">
        <f>EU278</f>
        <v>-798.73599292378901</v>
      </c>
      <c r="EV323" s="401">
        <f>EV278</f>
        <v>-955.31726099545438</v>
      </c>
      <c r="EW323" s="291"/>
      <c r="EX323" s="287">
        <f>EX278</f>
        <v>-1754.0532539192434</v>
      </c>
      <c r="EY323" s="289"/>
      <c r="EZ323" s="289"/>
      <c r="FA323" s="289"/>
      <c r="FB323" s="290"/>
      <c r="FC323" s="401">
        <f>FC278</f>
        <v>-821.21066291544093</v>
      </c>
      <c r="FD323" s="401">
        <f>FD278</f>
        <v>-980.08129841868367</v>
      </c>
      <c r="FE323" s="291"/>
      <c r="FF323" s="287">
        <f>FF278</f>
        <v>-1801.2919613341246</v>
      </c>
    </row>
    <row r="324" spans="1:162" ht="11.25" customHeight="1" x14ac:dyDescent="0.2">
      <c r="A324" s="4" t="s">
        <v>443</v>
      </c>
      <c r="C324" s="288"/>
      <c r="D324" s="289"/>
      <c r="E324" s="289"/>
      <c r="F324" s="290"/>
      <c r="G324" s="402">
        <f>G277</f>
        <v>-400</v>
      </c>
      <c r="H324" s="402">
        <f>H277</f>
        <v>-532</v>
      </c>
      <c r="I324" s="429"/>
      <c r="J324" s="291">
        <f>J277</f>
        <v>-932</v>
      </c>
      <c r="K324" s="288"/>
      <c r="L324" s="289"/>
      <c r="M324" s="289"/>
      <c r="N324" s="290"/>
      <c r="O324" s="402">
        <f>O277</f>
        <v>-481</v>
      </c>
      <c r="P324" s="402">
        <f>P277</f>
        <v>-462</v>
      </c>
      <c r="Q324" s="429"/>
      <c r="R324" s="291">
        <f>R277</f>
        <v>-943</v>
      </c>
      <c r="S324" s="288"/>
      <c r="T324" s="289"/>
      <c r="U324" s="289"/>
      <c r="V324" s="290"/>
      <c r="W324" s="402">
        <f>W277</f>
        <v>-511</v>
      </c>
      <c r="X324" s="402">
        <f>X277</f>
        <v>-510</v>
      </c>
      <c r="Y324" s="429"/>
      <c r="Z324" s="291">
        <f>Z277</f>
        <v>-1021</v>
      </c>
      <c r="AA324" s="288"/>
      <c r="AB324" s="289"/>
      <c r="AC324" s="289"/>
      <c r="AD324" s="290"/>
      <c r="AE324" s="402">
        <f>AE277</f>
        <v>-369</v>
      </c>
      <c r="AF324" s="402"/>
      <c r="AG324" s="429"/>
      <c r="AH324" s="291">
        <f>AH277</f>
        <v>-688</v>
      </c>
      <c r="AI324" s="288"/>
      <c r="AJ324" s="289"/>
      <c r="AK324" s="289"/>
      <c r="AL324" s="290"/>
      <c r="AM324" s="402">
        <f>AM277</f>
        <v>-259</v>
      </c>
      <c r="AN324" s="402"/>
      <c r="AO324" s="429"/>
      <c r="AP324" s="291">
        <f>AP277</f>
        <v>-548</v>
      </c>
      <c r="AQ324" s="288"/>
      <c r="AR324" s="289"/>
      <c r="AS324" s="289"/>
      <c r="AT324" s="290"/>
      <c r="AU324" s="402">
        <v>-266</v>
      </c>
      <c r="AV324" s="402"/>
      <c r="AW324" s="429"/>
      <c r="AX324" s="291"/>
      <c r="AY324" s="288"/>
      <c r="AZ324" s="289"/>
      <c r="BA324" s="289"/>
      <c r="BB324" s="290"/>
      <c r="BC324" s="402">
        <v>-213</v>
      </c>
      <c r="BD324" s="402"/>
      <c r="BE324" s="429"/>
      <c r="BF324" s="291">
        <f>BF277</f>
        <v>-510</v>
      </c>
      <c r="BG324" s="288"/>
      <c r="BH324" s="289"/>
      <c r="BI324" s="289"/>
      <c r="BJ324" s="290"/>
      <c r="BK324" s="402">
        <f t="shared" si="320"/>
        <v>-213</v>
      </c>
      <c r="BL324" s="402">
        <f t="shared" si="330"/>
        <v>-297</v>
      </c>
      <c r="BM324" s="429"/>
      <c r="BN324" s="291">
        <f t="shared" si="321"/>
        <v>-510</v>
      </c>
      <c r="BO324" s="288"/>
      <c r="BP324" s="289"/>
      <c r="BQ324" s="289"/>
      <c r="BR324" s="290"/>
      <c r="BS324" s="402">
        <v>-222</v>
      </c>
      <c r="BT324" s="402">
        <f>BV324-BS324</f>
        <v>-245</v>
      </c>
      <c r="BU324" s="429"/>
      <c r="BV324" s="291">
        <f>BV277</f>
        <v>-467</v>
      </c>
      <c r="BW324" s="288"/>
      <c r="BX324" s="289"/>
      <c r="BY324" s="289"/>
      <c r="BZ324" s="290"/>
      <c r="CA324" s="402">
        <f>-127-21</f>
        <v>-148</v>
      </c>
      <c r="CB324" s="402">
        <f>CD324-CA324</f>
        <v>-196</v>
      </c>
      <c r="CC324" s="429"/>
      <c r="CD324" s="291">
        <f>CD277</f>
        <v>-344</v>
      </c>
      <c r="CE324" s="288"/>
      <c r="CF324" s="289"/>
      <c r="CG324" s="289"/>
      <c r="CH324" s="290"/>
      <c r="CI324" s="402">
        <f>CI277</f>
        <v>-146</v>
      </c>
      <c r="CJ324" s="402">
        <f>CJ277</f>
        <v>-223</v>
      </c>
      <c r="CK324" s="429"/>
      <c r="CL324" s="291">
        <f>CL277</f>
        <v>-369</v>
      </c>
      <c r="CM324" s="288"/>
      <c r="CN324" s="289"/>
      <c r="CO324" s="289"/>
      <c r="CP324" s="290"/>
      <c r="CQ324" s="402">
        <f>CQ277</f>
        <v>-164</v>
      </c>
      <c r="CR324" s="402">
        <f>CR277</f>
        <v>-217</v>
      </c>
      <c r="CS324" s="429"/>
      <c r="CT324" s="291">
        <f>CT277</f>
        <v>-381</v>
      </c>
      <c r="CU324" s="289"/>
      <c r="CV324" s="289"/>
      <c r="CW324" s="289"/>
      <c r="CX324" s="290"/>
      <c r="CY324" s="402">
        <f>CY277</f>
        <v>-252</v>
      </c>
      <c r="CZ324" s="289">
        <f>CZ277</f>
        <v>-250</v>
      </c>
      <c r="DA324" s="291"/>
      <c r="DB324" s="291">
        <f>DB277</f>
        <v>-502</v>
      </c>
      <c r="DC324" s="289"/>
      <c r="DD324" s="289"/>
      <c r="DE324" s="289"/>
      <c r="DF324" s="290"/>
      <c r="DG324" s="402">
        <f>DG277</f>
        <v>-245</v>
      </c>
      <c r="DH324" s="289">
        <f>DH277</f>
        <v>-255</v>
      </c>
      <c r="DI324" s="291"/>
      <c r="DJ324" s="291">
        <f>DJ277</f>
        <v>-500</v>
      </c>
      <c r="DK324" s="289"/>
      <c r="DL324" s="289"/>
      <c r="DM324" s="289"/>
      <c r="DN324" s="290"/>
      <c r="DO324" s="402">
        <f>DO277</f>
        <v>-263</v>
      </c>
      <c r="DP324" s="289">
        <f>DP277</f>
        <v>-299</v>
      </c>
      <c r="DQ324" s="291"/>
      <c r="DR324" s="291">
        <f>DR277</f>
        <v>-562</v>
      </c>
      <c r="DS324" s="289"/>
      <c r="DT324" s="289"/>
      <c r="DU324" s="289"/>
      <c r="DV324" s="290"/>
      <c r="DW324" s="1705">
        <f>DW277</f>
        <v>-230</v>
      </c>
      <c r="DX324" s="401">
        <f>DX277</f>
        <v>-383.94441175117845</v>
      </c>
      <c r="DY324" s="291"/>
      <c r="DZ324" s="287">
        <f>DZ277</f>
        <v>-613.94441175117845</v>
      </c>
      <c r="EA324" s="289"/>
      <c r="EB324" s="289"/>
      <c r="EC324" s="289"/>
      <c r="ED324" s="290"/>
      <c r="EE324" s="401">
        <f>EE277</f>
        <v>-335.27402489132453</v>
      </c>
      <c r="EF324" s="401">
        <f>EF277</f>
        <v>-335.27402489132453</v>
      </c>
      <c r="EG324" s="291"/>
      <c r="EH324" s="287">
        <f>EH277</f>
        <v>-670.54804978264906</v>
      </c>
      <c r="EI324" s="289"/>
      <c r="EJ324" s="289"/>
      <c r="EK324" s="289"/>
      <c r="EL324" s="290"/>
      <c r="EM324" s="401">
        <f>EM277</f>
        <v>-366.27501934759391</v>
      </c>
      <c r="EN324" s="401">
        <f>EN277</f>
        <v>-366.27501934759391</v>
      </c>
      <c r="EO324" s="291"/>
      <c r="EP324" s="287">
        <f>EP277</f>
        <v>-732.55003869518782</v>
      </c>
      <c r="EQ324" s="289"/>
      <c r="ER324" s="289"/>
      <c r="ES324" s="289"/>
      <c r="ET324" s="290"/>
      <c r="EU324" s="401">
        <f>EU277</f>
        <v>-392.90694498228328</v>
      </c>
      <c r="EV324" s="401">
        <f>EV277</f>
        <v>-392.90694498228328</v>
      </c>
      <c r="EW324" s="291"/>
      <c r="EX324" s="287">
        <f>EX277</f>
        <v>-785.81388996456656</v>
      </c>
      <c r="EY324" s="289"/>
      <c r="EZ324" s="289"/>
      <c r="FA324" s="289"/>
      <c r="FB324" s="290"/>
      <c r="FC324" s="401">
        <f>FC277</f>
        <v>-406.14960130527447</v>
      </c>
      <c r="FD324" s="401">
        <f>FD277</f>
        <v>-406.14960130527447</v>
      </c>
      <c r="FE324" s="291"/>
      <c r="FF324" s="287">
        <f>FF277</f>
        <v>-812.29920261054895</v>
      </c>
    </row>
    <row r="325" spans="1:162" ht="11.25" customHeight="1" x14ac:dyDescent="0.2">
      <c r="A325" s="186" t="s">
        <v>444</v>
      </c>
      <c r="C325" s="395"/>
      <c r="D325" s="396"/>
      <c r="E325" s="396"/>
      <c r="F325" s="397"/>
      <c r="G325" s="396">
        <f>G321+G322+G323+G324</f>
        <v>167</v>
      </c>
      <c r="H325" s="396">
        <f>H321+H322+H323+H324</f>
        <v>532</v>
      </c>
      <c r="I325" s="398"/>
      <c r="J325" s="398">
        <f>J321+J322+J323+J324</f>
        <v>699</v>
      </c>
      <c r="K325" s="395"/>
      <c r="L325" s="396"/>
      <c r="M325" s="396"/>
      <c r="N325" s="397"/>
      <c r="O325" s="396">
        <f>O321+O322+O323+O324</f>
        <v>41</v>
      </c>
      <c r="P325" s="396">
        <f>P321+P322+P323+P324</f>
        <v>699</v>
      </c>
      <c r="Q325" s="398"/>
      <c r="R325" s="398">
        <f>R321+R322+R323+R324</f>
        <v>740</v>
      </c>
      <c r="S325" s="395"/>
      <c r="T325" s="396"/>
      <c r="U325" s="396"/>
      <c r="V325" s="397"/>
      <c r="W325" s="396">
        <f>W321+W322+W323+W324</f>
        <v>96</v>
      </c>
      <c r="X325" s="396">
        <f>X321+X322+X323+X324</f>
        <v>878</v>
      </c>
      <c r="Y325" s="398"/>
      <c r="Z325" s="398">
        <f>Z321+Z322+Z323+Z324</f>
        <v>974</v>
      </c>
      <c r="AA325" s="395"/>
      <c r="AB325" s="396"/>
      <c r="AC325" s="396"/>
      <c r="AD325" s="397"/>
      <c r="AE325" s="396">
        <f>AE321+AE322+AE323+AE324</f>
        <v>566</v>
      </c>
      <c r="AF325" s="396">
        <f>AH325-AE325</f>
        <v>527</v>
      </c>
      <c r="AG325" s="398"/>
      <c r="AH325" s="398">
        <f>AH321+AH322+AH323+AH324</f>
        <v>1093</v>
      </c>
      <c r="AI325" s="395"/>
      <c r="AJ325" s="396"/>
      <c r="AK325" s="396"/>
      <c r="AL325" s="397"/>
      <c r="AM325" s="396">
        <f>AM321+AM322+AM323+AM324</f>
        <v>666</v>
      </c>
      <c r="AN325" s="396">
        <f>AP325-AM325</f>
        <v>16780</v>
      </c>
      <c r="AO325" s="398"/>
      <c r="AP325" s="398">
        <f>AP321+AP322+AP323+AP324</f>
        <v>17446</v>
      </c>
      <c r="AQ325" s="395"/>
      <c r="AR325" s="396"/>
      <c r="AS325" s="396"/>
      <c r="AT325" s="397"/>
      <c r="AU325" s="396">
        <f>SUM(AU321:AU324)</f>
        <v>666</v>
      </c>
      <c r="AV325" s="396">
        <f>AX325-AU325</f>
        <v>-666</v>
      </c>
      <c r="AW325" s="398"/>
      <c r="AX325" s="398"/>
      <c r="AY325" s="395"/>
      <c r="AZ325" s="396"/>
      <c r="BA325" s="396"/>
      <c r="BB325" s="397"/>
      <c r="BC325" s="396">
        <f>BC321+BC322+BC323+BC324</f>
        <v>820</v>
      </c>
      <c r="BD325" s="396">
        <f>BF325-BC325</f>
        <v>961</v>
      </c>
      <c r="BE325" s="398"/>
      <c r="BF325" s="398">
        <f>BF321+BF322+BF323+BF324</f>
        <v>1781</v>
      </c>
      <c r="BG325" s="395"/>
      <c r="BH325" s="396"/>
      <c r="BI325" s="396"/>
      <c r="BJ325" s="397"/>
      <c r="BK325" s="396">
        <f t="shared" si="320"/>
        <v>820</v>
      </c>
      <c r="BL325" s="396">
        <f>BD325</f>
        <v>961</v>
      </c>
      <c r="BM325" s="398"/>
      <c r="BN325" s="398">
        <f t="shared" si="321"/>
        <v>1781</v>
      </c>
      <c r="BO325" s="395"/>
      <c r="BP325" s="396"/>
      <c r="BQ325" s="396"/>
      <c r="BR325" s="397"/>
      <c r="BS325" s="396">
        <f>BS321+BS322+BS323+BS324</f>
        <v>1177</v>
      </c>
      <c r="BT325" s="396">
        <f>BT321+BT322+BT323+BT324</f>
        <v>974</v>
      </c>
      <c r="BU325" s="398"/>
      <c r="BV325" s="398">
        <f>BV321+BV322+BV323+BV324</f>
        <v>2151</v>
      </c>
      <c r="BW325" s="395"/>
      <c r="BX325" s="396"/>
      <c r="BY325" s="396"/>
      <c r="BZ325" s="397"/>
      <c r="CA325" s="396">
        <f>CA321+CA322+CA323+CA324</f>
        <v>901</v>
      </c>
      <c r="CB325" s="396">
        <f>CB321+CB322+CB323+CB324</f>
        <v>172</v>
      </c>
      <c r="CC325" s="398"/>
      <c r="CD325" s="398">
        <f>CD321+CD322+CD323+CD324</f>
        <v>1073</v>
      </c>
      <c r="CE325" s="395"/>
      <c r="CF325" s="396"/>
      <c r="CG325" s="396"/>
      <c r="CH325" s="397"/>
      <c r="CI325" s="396">
        <f>CI321+CI322+CI323+CI324</f>
        <v>701</v>
      </c>
      <c r="CJ325" s="396">
        <f>CJ321+CJ322+CJ323+CJ324</f>
        <v>979</v>
      </c>
      <c r="CK325" s="398"/>
      <c r="CL325" s="398">
        <f>CL321+CL322+CL323+CL324</f>
        <v>1680</v>
      </c>
      <c r="CM325" s="395"/>
      <c r="CN325" s="396"/>
      <c r="CO325" s="396"/>
      <c r="CP325" s="397"/>
      <c r="CQ325" s="396">
        <f>CQ321+CQ322+CQ323+CQ324</f>
        <v>1665</v>
      </c>
      <c r="CR325" s="396">
        <f>CR321+CR322+CR323+CR324</f>
        <v>1001</v>
      </c>
      <c r="CS325" s="398"/>
      <c r="CT325" s="398">
        <f>CT321+CT322+CT323+CT324</f>
        <v>2666</v>
      </c>
      <c r="CU325" s="396"/>
      <c r="CV325" s="396"/>
      <c r="CW325" s="396"/>
      <c r="CX325" s="397"/>
      <c r="CY325" s="396">
        <f>CY321+CY322+CY323+CY324</f>
        <v>1463</v>
      </c>
      <c r="CZ325" s="396">
        <f>CZ321+CZ322+CZ323+CZ324</f>
        <v>1482</v>
      </c>
      <c r="DA325" s="398"/>
      <c r="DB325" s="398">
        <f>DB321+DB322+DB323+DB324</f>
        <v>2945</v>
      </c>
      <c r="DC325" s="396"/>
      <c r="DD325" s="396"/>
      <c r="DE325" s="396"/>
      <c r="DF325" s="397"/>
      <c r="DG325" s="396">
        <f>DG321+DG322+DG323+DG324</f>
        <v>1463</v>
      </c>
      <c r="DH325" s="396">
        <f>DH321+DH322+DH323+DH324</f>
        <v>1726</v>
      </c>
      <c r="DI325" s="398"/>
      <c r="DJ325" s="398">
        <f>DJ321+DJ322+DJ323+DJ324</f>
        <v>3189</v>
      </c>
      <c r="DK325" s="396"/>
      <c r="DL325" s="396"/>
      <c r="DM325" s="396"/>
      <c r="DN325" s="397"/>
      <c r="DO325" s="396">
        <f>DO321+DO322+DO323+DO324</f>
        <v>1834</v>
      </c>
      <c r="DP325" s="396">
        <f>DP321+DP322+DP323+DP324</f>
        <v>2087.0000000000005</v>
      </c>
      <c r="DQ325" s="398"/>
      <c r="DR325" s="398">
        <f>DR321+DR322+DR323+DR324</f>
        <v>3921</v>
      </c>
      <c r="DS325" s="396"/>
      <c r="DT325" s="396"/>
      <c r="DU325" s="396"/>
      <c r="DV325" s="397"/>
      <c r="DW325" s="1708">
        <f>DW321+DW322+DW323+DW324</f>
        <v>2616</v>
      </c>
      <c r="DX325" s="399">
        <f>DX321+DX322+DX323+DX324</f>
        <v>2479.7078993250198</v>
      </c>
      <c r="DY325" s="398"/>
      <c r="DZ325" s="400">
        <f>DZ321+DZ322+DZ323+DZ324</f>
        <v>5099.1315265571702</v>
      </c>
      <c r="EA325" s="396"/>
      <c r="EB325" s="396"/>
      <c r="EC325" s="396"/>
      <c r="ED325" s="397"/>
      <c r="EE325" s="399">
        <f>EE321+EE322+EE323+EE324</f>
        <v>1302.1182953181633</v>
      </c>
      <c r="EF325" s="399">
        <f>EF321+EF322+EF323+EF324</f>
        <v>4349.5017502015826</v>
      </c>
      <c r="EG325" s="398"/>
      <c r="EH325" s="400">
        <f>EH321+EH322+EH323+EH324</f>
        <v>5651.6200455197431</v>
      </c>
      <c r="EI325" s="396"/>
      <c r="EJ325" s="396"/>
      <c r="EK325" s="396"/>
      <c r="EL325" s="397"/>
      <c r="EM325" s="399">
        <f>EM321+EM322+EM323+EM324</f>
        <v>1384.0132407934343</v>
      </c>
      <c r="EN325" s="399">
        <f>EN321+EN322+EN323+EN324</f>
        <v>4633.009408354922</v>
      </c>
      <c r="EO325" s="398"/>
      <c r="EP325" s="400">
        <f>EP321+EP322+EP323+EP324</f>
        <v>6017.0226491483481</v>
      </c>
      <c r="EQ325" s="396"/>
      <c r="ER325" s="396"/>
      <c r="ES325" s="396"/>
      <c r="ET325" s="397"/>
      <c r="EU325" s="399">
        <f>EU321+EU322+EU323+EU324</f>
        <v>1509.9166266200655</v>
      </c>
      <c r="EV325" s="399">
        <f>EV321+EV322+EV323+EV324</f>
        <v>4957.3447469088578</v>
      </c>
      <c r="EW325" s="398"/>
      <c r="EX325" s="400">
        <f>EX321+EX322+EX323+EX324</f>
        <v>6467.2613735289178</v>
      </c>
      <c r="EY325" s="396"/>
      <c r="EZ325" s="396"/>
      <c r="FA325" s="396"/>
      <c r="FB325" s="397"/>
      <c r="FC325" s="399">
        <f>FC321+FC322+FC323+FC324</f>
        <v>1533.6842463719474</v>
      </c>
      <c r="FD325" s="399">
        <f>FD321+FD322+FD323+FD324</f>
        <v>5054.3978429940962</v>
      </c>
      <c r="FE325" s="398"/>
      <c r="FF325" s="400">
        <f>FF321+FF322+FF323+FF324</f>
        <v>6588.0820893660402</v>
      </c>
    </row>
    <row r="326" spans="1:162" ht="11.25" customHeight="1" x14ac:dyDescent="0.2">
      <c r="A326" s="4" t="s">
        <v>445</v>
      </c>
      <c r="C326" s="288"/>
      <c r="D326" s="289"/>
      <c r="E326" s="289"/>
      <c r="F326" s="290"/>
      <c r="G326" s="402">
        <f>G287</f>
        <v>-280</v>
      </c>
      <c r="H326" s="402">
        <f>H287</f>
        <v>-201</v>
      </c>
      <c r="I326" s="291"/>
      <c r="J326" s="291">
        <f>J287</f>
        <v>-481</v>
      </c>
      <c r="K326" s="288"/>
      <c r="L326" s="289"/>
      <c r="M326" s="289"/>
      <c r="N326" s="290"/>
      <c r="O326" s="402">
        <f>O287</f>
        <v>-276</v>
      </c>
      <c r="P326" s="402">
        <f>P287</f>
        <v>-235</v>
      </c>
      <c r="Q326" s="291"/>
      <c r="R326" s="291">
        <f>R287</f>
        <v>-511</v>
      </c>
      <c r="S326" s="288"/>
      <c r="T326" s="289"/>
      <c r="U326" s="289"/>
      <c r="V326" s="290"/>
      <c r="W326" s="402">
        <f>W287</f>
        <v>-285</v>
      </c>
      <c r="X326" s="402">
        <f>X287</f>
        <v>-255</v>
      </c>
      <c r="Y326" s="291"/>
      <c r="Z326" s="291">
        <f>Z287</f>
        <v>-540</v>
      </c>
      <c r="AA326" s="288"/>
      <c r="AB326" s="289"/>
      <c r="AC326" s="289"/>
      <c r="AD326" s="290"/>
      <c r="AE326" s="402">
        <f>AE287</f>
        <v>-351</v>
      </c>
      <c r="AF326" s="402"/>
      <c r="AG326" s="291"/>
      <c r="AH326" s="291">
        <f>AH287</f>
        <v>-642</v>
      </c>
      <c r="AI326" s="288"/>
      <c r="AJ326" s="289"/>
      <c r="AK326" s="289"/>
      <c r="AL326" s="290"/>
      <c r="AM326" s="402">
        <f>AM287</f>
        <v>-366</v>
      </c>
      <c r="AN326" s="402"/>
      <c r="AO326" s="291"/>
      <c r="AP326" s="291">
        <f>AP287</f>
        <v>-372</v>
      </c>
      <c r="AQ326" s="288"/>
      <c r="AR326" s="289"/>
      <c r="AS326" s="289"/>
      <c r="AT326" s="290"/>
      <c r="AU326" s="402"/>
      <c r="AV326" s="402"/>
      <c r="AW326" s="291"/>
      <c r="AX326" s="291"/>
      <c r="AY326" s="288"/>
      <c r="AZ326" s="289"/>
      <c r="BA326" s="289"/>
      <c r="BB326" s="290"/>
      <c r="BC326" s="402">
        <v>-721</v>
      </c>
      <c r="BD326" s="402"/>
      <c r="BE326" s="291"/>
      <c r="BF326" s="291">
        <f>BF287</f>
        <v>-721</v>
      </c>
      <c r="BG326" s="288"/>
      <c r="BH326" s="289"/>
      <c r="BI326" s="289"/>
      <c r="BJ326" s="290"/>
      <c r="BK326" s="402">
        <f t="shared" si="320"/>
        <v>-721</v>
      </c>
      <c r="BL326" s="402"/>
      <c r="BM326" s="291"/>
      <c r="BN326" s="291">
        <f t="shared" si="321"/>
        <v>-721</v>
      </c>
      <c r="BO326" s="288"/>
      <c r="BP326" s="289"/>
      <c r="BQ326" s="289"/>
      <c r="BR326" s="290"/>
      <c r="BS326" s="402">
        <v>-815</v>
      </c>
      <c r="BT326" s="402">
        <f>BV326-BS326</f>
        <v>-2</v>
      </c>
      <c r="BU326" s="291"/>
      <c r="BV326" s="291">
        <f>BV287</f>
        <v>-817</v>
      </c>
      <c r="BW326" s="288"/>
      <c r="BX326" s="289"/>
      <c r="BY326" s="289"/>
      <c r="BZ326" s="290"/>
      <c r="CA326" s="402">
        <v>-3</v>
      </c>
      <c r="CB326" s="402">
        <f>CD326-CA326</f>
        <v>-1</v>
      </c>
      <c r="CC326" s="291"/>
      <c r="CD326" s="291">
        <f>CD287</f>
        <v>-4</v>
      </c>
      <c r="CE326" s="288"/>
      <c r="CF326" s="289"/>
      <c r="CG326" s="289"/>
      <c r="CH326" s="290"/>
      <c r="CI326" s="402">
        <v>-188</v>
      </c>
      <c r="CJ326" s="402">
        <f>CL326-CI326</f>
        <v>0</v>
      </c>
      <c r="CK326" s="291"/>
      <c r="CL326" s="291">
        <f>CL287</f>
        <v>-188</v>
      </c>
      <c r="CM326" s="288"/>
      <c r="CN326" s="289"/>
      <c r="CO326" s="289"/>
      <c r="CP326" s="290"/>
      <c r="CQ326" s="402">
        <f>-213-12</f>
        <v>-225</v>
      </c>
      <c r="CR326" s="402">
        <f>CT326-CQ326</f>
        <v>0</v>
      </c>
      <c r="CS326" s="291"/>
      <c r="CT326" s="291">
        <f>CT287</f>
        <v>-225</v>
      </c>
      <c r="CU326" s="289"/>
      <c r="CV326" s="289"/>
      <c r="CW326" s="289"/>
      <c r="CX326" s="290"/>
      <c r="CY326" s="402">
        <f>-564-19</f>
        <v>-583</v>
      </c>
      <c r="CZ326" s="289">
        <f t="shared" ref="CZ326:CZ331" si="334">DB326-CY326</f>
        <v>0</v>
      </c>
      <c r="DA326" s="291"/>
      <c r="DB326" s="291">
        <f>DB287</f>
        <v>-583</v>
      </c>
      <c r="DC326" s="289"/>
      <c r="DD326" s="289"/>
      <c r="DE326" s="289"/>
      <c r="DF326" s="290"/>
      <c r="DG326" s="402">
        <f>-911-54</f>
        <v>-965</v>
      </c>
      <c r="DH326" s="289">
        <f t="shared" ref="DH326:DH331" si="335">DJ326-DG326</f>
        <v>-5</v>
      </c>
      <c r="DI326" s="291"/>
      <c r="DJ326" s="291">
        <f>DJ287</f>
        <v>-970</v>
      </c>
      <c r="DK326" s="289"/>
      <c r="DL326" s="289"/>
      <c r="DM326" s="289"/>
      <c r="DN326" s="290"/>
      <c r="DO326" s="402">
        <f>-1216-53</f>
        <v>-1269</v>
      </c>
      <c r="DP326" s="289">
        <f t="shared" ref="DP326:DP331" si="336">DR326-DO326</f>
        <v>-1</v>
      </c>
      <c r="DQ326" s="291"/>
      <c r="DR326" s="291">
        <f>DR287</f>
        <v>-1270</v>
      </c>
      <c r="DS326" s="289"/>
      <c r="DT326" s="289"/>
      <c r="DU326" s="289"/>
      <c r="DV326" s="290"/>
      <c r="DW326" s="1705">
        <v>-1452</v>
      </c>
      <c r="DX326" s="401">
        <f>DX287</f>
        <v>-0.57969103834966518</v>
      </c>
      <c r="DY326" s="291"/>
      <c r="DZ326" s="287">
        <f>DZ287</f>
        <v>-1452.5796910383497</v>
      </c>
      <c r="EA326" s="289"/>
      <c r="EB326" s="289"/>
      <c r="EC326" s="289"/>
      <c r="ED326" s="290"/>
      <c r="EE326" s="401">
        <f>EE287</f>
        <v>-1742.0081799562354</v>
      </c>
      <c r="EF326" s="401">
        <f>EF287</f>
        <v>-31</v>
      </c>
      <c r="EG326" s="291"/>
      <c r="EH326" s="287">
        <f>EH287</f>
        <v>-1773.0081799562354</v>
      </c>
      <c r="EI326" s="289"/>
      <c r="EJ326" s="289"/>
      <c r="EK326" s="289"/>
      <c r="EL326" s="290"/>
      <c r="EM326" s="401">
        <f>EM287</f>
        <v>-2308.3119364563263</v>
      </c>
      <c r="EN326" s="401">
        <f>EN287</f>
        <v>-31</v>
      </c>
      <c r="EO326" s="291"/>
      <c r="EP326" s="287">
        <f>EP287</f>
        <v>-2339.3119364563263</v>
      </c>
      <c r="EQ326" s="289"/>
      <c r="ER326" s="289"/>
      <c r="ES326" s="289"/>
      <c r="ET326" s="290"/>
      <c r="EU326" s="401">
        <f>EU287</f>
        <v>-2556.4379500585869</v>
      </c>
      <c r="EV326" s="401">
        <f>EV287</f>
        <v>-31</v>
      </c>
      <c r="EW326" s="291"/>
      <c r="EX326" s="287">
        <f>EX287</f>
        <v>-2587.4379500585869</v>
      </c>
      <c r="EY326" s="289"/>
      <c r="EZ326" s="289"/>
      <c r="FA326" s="289"/>
      <c r="FB326" s="290"/>
      <c r="FC326" s="401">
        <f>FC287</f>
        <v>-2756.1752864289297</v>
      </c>
      <c r="FD326" s="401">
        <f>FD287</f>
        <v>-31</v>
      </c>
      <c r="FE326" s="291"/>
      <c r="FF326" s="287">
        <f>FF287</f>
        <v>-2787.1752864289297</v>
      </c>
    </row>
    <row r="327" spans="1:162" ht="11.25" customHeight="1" x14ac:dyDescent="0.2">
      <c r="B327" s="197" t="s">
        <v>446</v>
      </c>
      <c r="C327" s="288"/>
      <c r="D327" s="289"/>
      <c r="E327" s="289"/>
      <c r="F327" s="290"/>
      <c r="G327" s="402"/>
      <c r="H327" s="402"/>
      <c r="I327" s="291"/>
      <c r="J327" s="291">
        <f>J279</f>
        <v>-380</v>
      </c>
      <c r="K327" s="288"/>
      <c r="L327" s="289"/>
      <c r="M327" s="289"/>
      <c r="N327" s="290"/>
      <c r="O327" s="402"/>
      <c r="P327" s="402"/>
      <c r="Q327" s="291"/>
      <c r="R327" s="291">
        <f>R279</f>
        <v>-267</v>
      </c>
      <c r="S327" s="288"/>
      <c r="T327" s="289"/>
      <c r="U327" s="289"/>
      <c r="V327" s="290"/>
      <c r="W327" s="402">
        <f>W279</f>
        <v>356</v>
      </c>
      <c r="X327" s="402">
        <f>X279</f>
        <v>217</v>
      </c>
      <c r="Y327" s="291"/>
      <c r="Z327" s="291">
        <f>Z279</f>
        <v>573</v>
      </c>
      <c r="AA327" s="288"/>
      <c r="AB327" s="289"/>
      <c r="AC327" s="289"/>
      <c r="AD327" s="290"/>
      <c r="AE327" s="402">
        <f>AE279</f>
        <v>-500</v>
      </c>
      <c r="AF327" s="402"/>
      <c r="AG327" s="291"/>
      <c r="AH327" s="291">
        <f>AH279</f>
        <v>-808</v>
      </c>
      <c r="AI327" s="288"/>
      <c r="AJ327" s="289"/>
      <c r="AK327" s="289"/>
      <c r="AL327" s="290"/>
      <c r="AM327" s="402">
        <f>AM279</f>
        <v>3113</v>
      </c>
      <c r="AN327" s="402"/>
      <c r="AO327" s="291"/>
      <c r="AP327" s="291"/>
      <c r="AQ327" s="288"/>
      <c r="AR327" s="289"/>
      <c r="AS327" s="289"/>
      <c r="AT327" s="290"/>
      <c r="AU327" s="402"/>
      <c r="AV327" s="402"/>
      <c r="AW327" s="291"/>
      <c r="AX327" s="291"/>
      <c r="AY327" s="288"/>
      <c r="AZ327" s="289"/>
      <c r="BA327" s="289"/>
      <c r="BB327" s="290"/>
      <c r="BC327" s="402">
        <v>-4474</v>
      </c>
      <c r="BD327" s="402"/>
      <c r="BE327" s="291"/>
      <c r="BF327" s="291"/>
      <c r="BG327" s="288"/>
      <c r="BH327" s="289"/>
      <c r="BI327" s="289"/>
      <c r="BJ327" s="290"/>
      <c r="BK327" s="402">
        <f t="shared" si="320"/>
        <v>-4474</v>
      </c>
      <c r="BL327" s="402"/>
      <c r="BM327" s="291"/>
      <c r="BN327" s="291">
        <f t="shared" si="321"/>
        <v>0</v>
      </c>
      <c r="BO327" s="288"/>
      <c r="BP327" s="289"/>
      <c r="BQ327" s="289"/>
      <c r="BR327" s="290"/>
      <c r="BS327" s="402"/>
      <c r="BT327" s="402"/>
      <c r="BU327" s="291"/>
      <c r="BV327" s="291"/>
      <c r="BW327" s="288"/>
      <c r="BX327" s="289"/>
      <c r="BY327" s="289"/>
      <c r="BZ327" s="290"/>
      <c r="CA327" s="402">
        <v>0</v>
      </c>
      <c r="CB327" s="402"/>
      <c r="CC327" s="291"/>
      <c r="CD327" s="291"/>
      <c r="CE327" s="288"/>
      <c r="CF327" s="289"/>
      <c r="CG327" s="289"/>
      <c r="CH327" s="290"/>
      <c r="CI327" s="402">
        <f>CI279</f>
        <v>64</v>
      </c>
      <c r="CJ327" s="402"/>
      <c r="CK327" s="291"/>
      <c r="CL327" s="291"/>
      <c r="CM327" s="288"/>
      <c r="CN327" s="289"/>
      <c r="CO327" s="289"/>
      <c r="CP327" s="290"/>
      <c r="CQ327" s="402">
        <v>0</v>
      </c>
      <c r="CR327" s="402">
        <f t="shared" ref="CR327:CR330" si="337">CT327-CQ327</f>
        <v>-490</v>
      </c>
      <c r="CS327" s="291"/>
      <c r="CT327" s="429">
        <v>-490</v>
      </c>
      <c r="CU327" s="289"/>
      <c r="CV327" s="289"/>
      <c r="CW327" s="289"/>
      <c r="CX327" s="290"/>
      <c r="CY327" s="402">
        <f>CY279</f>
        <v>50</v>
      </c>
      <c r="CZ327" s="289">
        <f t="shared" si="334"/>
        <v>-227</v>
      </c>
      <c r="DA327" s="291"/>
      <c r="DB327" s="429">
        <f>DB279</f>
        <v>-177</v>
      </c>
      <c r="DC327" s="289"/>
      <c r="DD327" s="289"/>
      <c r="DE327" s="289"/>
      <c r="DF327" s="290"/>
      <c r="DG327" s="402">
        <f>DG279</f>
        <v>-171</v>
      </c>
      <c r="DH327" s="289">
        <f t="shared" si="335"/>
        <v>-60</v>
      </c>
      <c r="DI327" s="291"/>
      <c r="DJ327" s="429">
        <f>DJ279</f>
        <v>-231</v>
      </c>
      <c r="DK327" s="289"/>
      <c r="DL327" s="289"/>
      <c r="DM327" s="289"/>
      <c r="DN327" s="290"/>
      <c r="DO327" s="402">
        <f>DO279</f>
        <v>-133</v>
      </c>
      <c r="DP327" s="289">
        <f t="shared" si="336"/>
        <v>-1354</v>
      </c>
      <c r="DQ327" s="291"/>
      <c r="DR327" s="429">
        <f>DR279</f>
        <v>-1487</v>
      </c>
      <c r="DS327" s="289"/>
      <c r="DT327" s="289"/>
      <c r="DU327" s="289"/>
      <c r="DV327" s="290"/>
      <c r="DW327" s="1709">
        <f>DW279</f>
        <v>33</v>
      </c>
      <c r="DX327" s="289"/>
      <c r="DY327" s="291"/>
      <c r="DZ327" s="291"/>
      <c r="EA327" s="289"/>
      <c r="EB327" s="289"/>
      <c r="EC327" s="289"/>
      <c r="ED327" s="290"/>
      <c r="EE327" s="289"/>
      <c r="EF327" s="289"/>
      <c r="EG327" s="291"/>
      <c r="EH327" s="291"/>
      <c r="EI327" s="289"/>
      <c r="EJ327" s="289"/>
      <c r="EK327" s="289"/>
      <c r="EL327" s="290"/>
      <c r="EM327" s="289"/>
      <c r="EN327" s="289"/>
      <c r="EO327" s="291"/>
      <c r="EP327" s="291"/>
      <c r="EQ327" s="289"/>
      <c r="ER327" s="289"/>
      <c r="ES327" s="289"/>
      <c r="ET327" s="290"/>
      <c r="EU327" s="289"/>
      <c r="EV327" s="289"/>
      <c r="EW327" s="291"/>
      <c r="EX327" s="291"/>
      <c r="EY327" s="289"/>
      <c r="EZ327" s="289"/>
      <c r="FA327" s="289"/>
      <c r="FB327" s="290"/>
      <c r="FC327" s="289"/>
      <c r="FD327" s="289"/>
      <c r="FE327" s="291"/>
      <c r="FF327" s="291"/>
    </row>
    <row r="328" spans="1:162" ht="11.25" customHeight="1" x14ac:dyDescent="0.2">
      <c r="B328" s="197" t="s">
        <v>447</v>
      </c>
      <c r="C328" s="288"/>
      <c r="D328" s="289"/>
      <c r="E328" s="289"/>
      <c r="F328" s="290"/>
      <c r="G328" s="402"/>
      <c r="H328" s="402"/>
      <c r="I328" s="291"/>
      <c r="J328" s="291">
        <f>J280</f>
        <v>-35</v>
      </c>
      <c r="K328" s="288"/>
      <c r="L328" s="289"/>
      <c r="M328" s="289"/>
      <c r="N328" s="290"/>
      <c r="O328" s="402"/>
      <c r="P328" s="402"/>
      <c r="Q328" s="291"/>
      <c r="R328" s="291">
        <f>R280</f>
        <v>-70</v>
      </c>
      <c r="S328" s="288"/>
      <c r="T328" s="289"/>
      <c r="U328" s="289"/>
      <c r="V328" s="290"/>
      <c r="W328" s="402">
        <f>W280</f>
        <v>-40</v>
      </c>
      <c r="X328" s="402">
        <f>X280</f>
        <v>-22</v>
      </c>
      <c r="Y328" s="291"/>
      <c r="Z328" s="291">
        <f>Z280</f>
        <v>-62</v>
      </c>
      <c r="AA328" s="288"/>
      <c r="AB328" s="289"/>
      <c r="AC328" s="289"/>
      <c r="AD328" s="290"/>
      <c r="AE328" s="402">
        <f>AE280</f>
        <v>10</v>
      </c>
      <c r="AF328" s="402"/>
      <c r="AG328" s="291"/>
      <c r="AH328" s="291">
        <f>AH280</f>
        <v>5</v>
      </c>
      <c r="AI328" s="288"/>
      <c r="AJ328" s="289"/>
      <c r="AK328" s="289"/>
      <c r="AL328" s="290"/>
      <c r="AM328" s="402">
        <f>AM280</f>
        <v>-68</v>
      </c>
      <c r="AN328" s="402"/>
      <c r="AO328" s="291"/>
      <c r="AP328" s="291"/>
      <c r="AQ328" s="288"/>
      <c r="AR328" s="289"/>
      <c r="AS328" s="289"/>
      <c r="AT328" s="290"/>
      <c r="AU328" s="402"/>
      <c r="AV328" s="402"/>
      <c r="AW328" s="291"/>
      <c r="AX328" s="291"/>
      <c r="AY328" s="288"/>
      <c r="AZ328" s="289"/>
      <c r="BA328" s="289"/>
      <c r="BB328" s="290"/>
      <c r="BC328" s="402">
        <v>2000</v>
      </c>
      <c r="BD328" s="402"/>
      <c r="BE328" s="291"/>
      <c r="BF328" s="291"/>
      <c r="BG328" s="288"/>
      <c r="BH328" s="289"/>
      <c r="BI328" s="289"/>
      <c r="BJ328" s="290"/>
      <c r="BK328" s="402">
        <f t="shared" si="320"/>
        <v>2000</v>
      </c>
      <c r="BL328" s="402"/>
      <c r="BM328" s="291"/>
      <c r="BN328" s="291">
        <f t="shared" si="321"/>
        <v>0</v>
      </c>
      <c r="BO328" s="288"/>
      <c r="BP328" s="289"/>
      <c r="BQ328" s="289"/>
      <c r="BR328" s="290"/>
      <c r="BS328" s="402"/>
      <c r="BT328" s="402"/>
      <c r="BU328" s="291"/>
      <c r="BV328" s="291"/>
      <c r="BW328" s="288"/>
      <c r="BX328" s="289"/>
      <c r="BY328" s="289"/>
      <c r="BZ328" s="290"/>
      <c r="CA328" s="402">
        <v>0</v>
      </c>
      <c r="CB328" s="402"/>
      <c r="CC328" s="291"/>
      <c r="CD328" s="291"/>
      <c r="CE328" s="288"/>
      <c r="CF328" s="289"/>
      <c r="CG328" s="289"/>
      <c r="CH328" s="290"/>
      <c r="CI328" s="402">
        <f>CI280</f>
        <v>-210</v>
      </c>
      <c r="CJ328" s="402"/>
      <c r="CK328" s="291"/>
      <c r="CL328" s="291"/>
      <c r="CM328" s="288"/>
      <c r="CN328" s="289"/>
      <c r="CO328" s="289"/>
      <c r="CP328" s="290"/>
      <c r="CQ328" s="402">
        <f>CQ280</f>
        <v>-206</v>
      </c>
      <c r="CR328" s="402">
        <f t="shared" si="337"/>
        <v>39</v>
      </c>
      <c r="CS328" s="291"/>
      <c r="CT328" s="429">
        <f>CT280</f>
        <v>-167</v>
      </c>
      <c r="CU328" s="289"/>
      <c r="CV328" s="289"/>
      <c r="CW328" s="289"/>
      <c r="CX328" s="290"/>
      <c r="CY328" s="402">
        <f>CY280</f>
        <v>-265</v>
      </c>
      <c r="CZ328" s="289">
        <f t="shared" si="334"/>
        <v>63</v>
      </c>
      <c r="DA328" s="291"/>
      <c r="DB328" s="429">
        <f>DB280</f>
        <v>-202</v>
      </c>
      <c r="DC328" s="289"/>
      <c r="DD328" s="289"/>
      <c r="DE328" s="289"/>
      <c r="DF328" s="290"/>
      <c r="DG328" s="402">
        <f>DG280</f>
        <v>-57</v>
      </c>
      <c r="DH328" s="289">
        <f t="shared" si="335"/>
        <v>-16</v>
      </c>
      <c r="DI328" s="291"/>
      <c r="DJ328" s="429">
        <f>DJ280</f>
        <v>-73</v>
      </c>
      <c r="DK328" s="289"/>
      <c r="DL328" s="289"/>
      <c r="DM328" s="289"/>
      <c r="DN328" s="290"/>
      <c r="DO328" s="402">
        <f>DO280</f>
        <v>-87</v>
      </c>
      <c r="DP328" s="289">
        <f t="shared" si="336"/>
        <v>-10</v>
      </c>
      <c r="DQ328" s="291"/>
      <c r="DR328" s="429">
        <f>DR280</f>
        <v>-97</v>
      </c>
      <c r="DS328" s="289"/>
      <c r="DT328" s="289"/>
      <c r="DU328" s="289"/>
      <c r="DV328" s="290"/>
      <c r="DW328" s="1709">
        <f>DW280</f>
        <v>-79</v>
      </c>
      <c r="DX328" s="289"/>
      <c r="DY328" s="291"/>
      <c r="DZ328" s="291"/>
      <c r="EA328" s="289"/>
      <c r="EB328" s="289"/>
      <c r="EC328" s="289"/>
      <c r="ED328" s="290"/>
      <c r="EE328" s="289"/>
      <c r="EF328" s="289"/>
      <c r="EG328" s="291"/>
      <c r="EH328" s="291"/>
      <c r="EI328" s="289"/>
      <c r="EJ328" s="289"/>
      <c r="EK328" s="289"/>
      <c r="EL328" s="290"/>
      <c r="EM328" s="289"/>
      <c r="EN328" s="289"/>
      <c r="EO328" s="291"/>
      <c r="EP328" s="291"/>
      <c r="EQ328" s="289"/>
      <c r="ER328" s="289"/>
      <c r="ES328" s="289"/>
      <c r="ET328" s="290"/>
      <c r="EU328" s="289"/>
      <c r="EV328" s="289"/>
      <c r="EW328" s="291"/>
      <c r="EX328" s="291"/>
      <c r="EY328" s="289"/>
      <c r="EZ328" s="289"/>
      <c r="FA328" s="289"/>
      <c r="FB328" s="290"/>
      <c r="FC328" s="289"/>
      <c r="FD328" s="289"/>
      <c r="FE328" s="291"/>
      <c r="FF328" s="291"/>
    </row>
    <row r="329" spans="1:162" ht="11.25" customHeight="1" x14ac:dyDescent="0.2">
      <c r="B329" s="197" t="s">
        <v>448</v>
      </c>
      <c r="C329" s="288"/>
      <c r="D329" s="289"/>
      <c r="E329" s="289"/>
      <c r="F329" s="290"/>
      <c r="G329" s="402"/>
      <c r="H329" s="402"/>
      <c r="I329" s="291"/>
      <c r="J329" s="291"/>
      <c r="K329" s="288"/>
      <c r="L329" s="289"/>
      <c r="M329" s="289"/>
      <c r="N329" s="290"/>
      <c r="O329" s="402"/>
      <c r="P329" s="402"/>
      <c r="Q329" s="291"/>
      <c r="R329" s="291"/>
      <c r="S329" s="288"/>
      <c r="T329" s="289"/>
      <c r="U329" s="289"/>
      <c r="V329" s="290"/>
      <c r="W329" s="402"/>
      <c r="X329" s="402"/>
      <c r="Y329" s="291"/>
      <c r="Z329" s="291"/>
      <c r="AA329" s="288"/>
      <c r="AB329" s="289"/>
      <c r="AC329" s="289"/>
      <c r="AD329" s="290"/>
      <c r="AE329" s="402"/>
      <c r="AF329" s="402"/>
      <c r="AG329" s="291"/>
      <c r="AH329" s="291"/>
      <c r="AI329" s="288"/>
      <c r="AJ329" s="289"/>
      <c r="AK329" s="289"/>
      <c r="AL329" s="290"/>
      <c r="AM329" s="402"/>
      <c r="AN329" s="402"/>
      <c r="AO329" s="291"/>
      <c r="AP329" s="291"/>
      <c r="AQ329" s="288"/>
      <c r="AR329" s="289"/>
      <c r="AS329" s="289"/>
      <c r="AT329" s="290"/>
      <c r="AU329" s="402"/>
      <c r="AV329" s="402"/>
      <c r="AW329" s="291"/>
      <c r="AX329" s="291"/>
      <c r="AY329" s="288"/>
      <c r="AZ329" s="289"/>
      <c r="BA329" s="289"/>
      <c r="BB329" s="290"/>
      <c r="BC329" s="402">
        <v>-122</v>
      </c>
      <c r="BD329" s="402"/>
      <c r="BE329" s="291"/>
      <c r="BF329" s="291"/>
      <c r="BG329" s="288"/>
      <c r="BH329" s="289"/>
      <c r="BI329" s="289"/>
      <c r="BJ329" s="290"/>
      <c r="BK329" s="402">
        <f t="shared" si="320"/>
        <v>-122</v>
      </c>
      <c r="BL329" s="402"/>
      <c r="BM329" s="291"/>
      <c r="BN329" s="291">
        <f t="shared" si="321"/>
        <v>0</v>
      </c>
      <c r="BO329" s="288"/>
      <c r="BP329" s="289"/>
      <c r="BQ329" s="289"/>
      <c r="BR329" s="290"/>
      <c r="BS329" s="402">
        <v>-458</v>
      </c>
      <c r="BT329" s="402"/>
      <c r="BU329" s="291"/>
      <c r="BV329" s="291"/>
      <c r="BW329" s="288"/>
      <c r="BX329" s="289"/>
      <c r="BY329" s="289"/>
      <c r="BZ329" s="290"/>
      <c r="CA329" s="402">
        <v>-91</v>
      </c>
      <c r="CB329" s="402"/>
      <c r="CC329" s="291"/>
      <c r="CD329" s="291"/>
      <c r="CE329" s="288"/>
      <c r="CF329" s="289"/>
      <c r="CG329" s="289"/>
      <c r="CH329" s="290"/>
      <c r="CI329" s="402">
        <f>CI289+CI290</f>
        <v>-77</v>
      </c>
      <c r="CJ329" s="402"/>
      <c r="CK329" s="291"/>
      <c r="CL329" s="291"/>
      <c r="CM329" s="288"/>
      <c r="CN329" s="289"/>
      <c r="CO329" s="289"/>
      <c r="CP329" s="290"/>
      <c r="CQ329" s="402">
        <v>0</v>
      </c>
      <c r="CR329" s="402">
        <f t="shared" si="337"/>
        <v>-270</v>
      </c>
      <c r="CS329" s="291"/>
      <c r="CT329" s="429">
        <v>-270</v>
      </c>
      <c r="CU329" s="289"/>
      <c r="CV329" s="289"/>
      <c r="CW329" s="289"/>
      <c r="CX329" s="290"/>
      <c r="CY329" s="402">
        <v>-947</v>
      </c>
      <c r="CZ329" s="289">
        <f t="shared" si="334"/>
        <v>-588</v>
      </c>
      <c r="DA329" s="291"/>
      <c r="DB329" s="429">
        <v>-1535</v>
      </c>
      <c r="DC329" s="289"/>
      <c r="DD329" s="289"/>
      <c r="DE329" s="289"/>
      <c r="DF329" s="290"/>
      <c r="DG329" s="402">
        <v>-574</v>
      </c>
      <c r="DH329" s="289">
        <f t="shared" si="335"/>
        <v>-746</v>
      </c>
      <c r="DI329" s="291"/>
      <c r="DJ329" s="429">
        <v>-1320</v>
      </c>
      <c r="DK329" s="289"/>
      <c r="DL329" s="289"/>
      <c r="DM329" s="289"/>
      <c r="DN329" s="290"/>
      <c r="DO329" s="402">
        <v>-707</v>
      </c>
      <c r="DP329" s="289">
        <f t="shared" si="336"/>
        <v>-638</v>
      </c>
      <c r="DQ329" s="291"/>
      <c r="DR329" s="429">
        <v>-1345</v>
      </c>
      <c r="DS329" s="289"/>
      <c r="DT329" s="289"/>
      <c r="DU329" s="289"/>
      <c r="DV329" s="290"/>
      <c r="DW329" s="1709">
        <v>-913</v>
      </c>
      <c r="DX329" s="289"/>
      <c r="DY329" s="291"/>
      <c r="DZ329" s="291"/>
      <c r="EA329" s="289"/>
      <c r="EB329" s="289"/>
      <c r="EC329" s="289"/>
      <c r="ED329" s="290"/>
      <c r="EE329" s="289"/>
      <c r="EF329" s="289"/>
      <c r="EG329" s="291"/>
      <c r="EH329" s="291"/>
      <c r="EI329" s="289"/>
      <c r="EJ329" s="289"/>
      <c r="EK329" s="289"/>
      <c r="EL329" s="290"/>
      <c r="EM329" s="289"/>
      <c r="EN329" s="289"/>
      <c r="EO329" s="291"/>
      <c r="EP329" s="291"/>
      <c r="EQ329" s="289"/>
      <c r="ER329" s="289"/>
      <c r="ES329" s="289"/>
      <c r="ET329" s="290"/>
      <c r="EU329" s="289"/>
      <c r="EV329" s="289"/>
      <c r="EW329" s="291"/>
      <c r="EX329" s="291"/>
      <c r="EY329" s="289"/>
      <c r="EZ329" s="289"/>
      <c r="FA329" s="289"/>
      <c r="FB329" s="290"/>
      <c r="FC329" s="289"/>
      <c r="FD329" s="289"/>
      <c r="FE329" s="291"/>
      <c r="FF329" s="291"/>
    </row>
    <row r="330" spans="1:162" ht="11.25" customHeight="1" x14ac:dyDescent="0.2">
      <c r="B330" s="197" t="s">
        <v>397</v>
      </c>
      <c r="C330" s="288"/>
      <c r="D330" s="289"/>
      <c r="E330" s="289"/>
      <c r="F330" s="290"/>
      <c r="G330" s="402"/>
      <c r="H330" s="402"/>
      <c r="I330" s="291"/>
      <c r="J330" s="291">
        <f>J331-J327-J328</f>
        <v>34</v>
      </c>
      <c r="K330" s="288"/>
      <c r="L330" s="289"/>
      <c r="M330" s="289"/>
      <c r="N330" s="290"/>
      <c r="O330" s="402"/>
      <c r="P330" s="402"/>
      <c r="Q330" s="291"/>
      <c r="R330" s="291">
        <f>R331-R327-R328</f>
        <v>-175</v>
      </c>
      <c r="S330" s="288"/>
      <c r="T330" s="289"/>
      <c r="U330" s="289"/>
      <c r="V330" s="290"/>
      <c r="W330" s="402">
        <f>W331-W327-W328</f>
        <v>-123</v>
      </c>
      <c r="X330" s="402">
        <f>Z330-W330</f>
        <v>-67</v>
      </c>
      <c r="Y330" s="291"/>
      <c r="Z330" s="291">
        <f>Z331-Z327-Z328</f>
        <v>-190</v>
      </c>
      <c r="AA330" s="288"/>
      <c r="AB330" s="289"/>
      <c r="AC330" s="289"/>
      <c r="AD330" s="290"/>
      <c r="AE330" s="402">
        <f>AE331-AE327-AE328</f>
        <v>8</v>
      </c>
      <c r="AF330" s="402"/>
      <c r="AG330" s="291"/>
      <c r="AH330" s="291">
        <f>AH331-AH327-AH328</f>
        <v>-281</v>
      </c>
      <c r="AI330" s="288"/>
      <c r="AJ330" s="289"/>
      <c r="AK330" s="289"/>
      <c r="AL330" s="290"/>
      <c r="AM330" s="402">
        <f>AM331-AM327-AM328</f>
        <v>-442</v>
      </c>
      <c r="AN330" s="402"/>
      <c r="AO330" s="291"/>
      <c r="AP330" s="291"/>
      <c r="AQ330" s="288"/>
      <c r="AR330" s="289"/>
      <c r="AS330" s="289"/>
      <c r="AT330" s="290"/>
      <c r="AU330" s="402"/>
      <c r="AV330" s="402"/>
      <c r="AW330" s="291"/>
      <c r="AX330" s="291"/>
      <c r="AY330" s="288"/>
      <c r="AZ330" s="289"/>
      <c r="BA330" s="289"/>
      <c r="BB330" s="290"/>
      <c r="BC330" s="402">
        <f>BC331-BC329-BC328-BC327</f>
        <v>-1330</v>
      </c>
      <c r="BD330" s="402"/>
      <c r="BE330" s="291"/>
      <c r="BF330" s="291"/>
      <c r="BG330" s="288"/>
      <c r="BH330" s="289"/>
      <c r="BI330" s="289"/>
      <c r="BJ330" s="290"/>
      <c r="BK330" s="402">
        <f t="shared" si="320"/>
        <v>-1330</v>
      </c>
      <c r="BL330" s="402"/>
      <c r="BM330" s="291"/>
      <c r="BN330" s="291">
        <f t="shared" si="321"/>
        <v>0</v>
      </c>
      <c r="BO330" s="288"/>
      <c r="BP330" s="289"/>
      <c r="BQ330" s="289"/>
      <c r="BR330" s="290"/>
      <c r="BS330" s="402">
        <f>-76</f>
        <v>-76</v>
      </c>
      <c r="BT330" s="402"/>
      <c r="BU330" s="291"/>
      <c r="BV330" s="291"/>
      <c r="BW330" s="288"/>
      <c r="BX330" s="289"/>
      <c r="BY330" s="289"/>
      <c r="BZ330" s="290"/>
      <c r="CA330" s="402">
        <f>CA331-CA329-CA328-CA327</f>
        <v>57</v>
      </c>
      <c r="CB330" s="402"/>
      <c r="CC330" s="291"/>
      <c r="CD330" s="291"/>
      <c r="CE330" s="288"/>
      <c r="CF330" s="289"/>
      <c r="CG330" s="289"/>
      <c r="CH330" s="290"/>
      <c r="CI330" s="402">
        <f>CI331-CI329-CI328-CI327</f>
        <v>-64</v>
      </c>
      <c r="CJ330" s="402"/>
      <c r="CK330" s="291"/>
      <c r="CL330" s="291"/>
      <c r="CM330" s="288"/>
      <c r="CN330" s="289"/>
      <c r="CO330" s="289"/>
      <c r="CP330" s="290"/>
      <c r="CQ330" s="402">
        <f>CQ331-CQ329-CQ328-CQ327</f>
        <v>-115</v>
      </c>
      <c r="CR330" s="402">
        <f t="shared" si="337"/>
        <v>919</v>
      </c>
      <c r="CS330" s="291"/>
      <c r="CT330" s="429">
        <f>CT331-CT329-CT328-CT327</f>
        <v>804</v>
      </c>
      <c r="CU330" s="289"/>
      <c r="CV330" s="289"/>
      <c r="CW330" s="289"/>
      <c r="CX330" s="290"/>
      <c r="CY330" s="402">
        <f>CY331-CY329-CY328-CY327</f>
        <v>952</v>
      </c>
      <c r="CZ330" s="289">
        <f t="shared" si="334"/>
        <v>495</v>
      </c>
      <c r="DA330" s="291"/>
      <c r="DB330" s="429">
        <f>DB331-DB329-DB328-DB327</f>
        <v>1447</v>
      </c>
      <c r="DC330" s="289"/>
      <c r="DD330" s="289"/>
      <c r="DE330" s="289"/>
      <c r="DF330" s="290"/>
      <c r="DG330" s="402">
        <f>DG331-DG329-DG328-DG327</f>
        <v>1570</v>
      </c>
      <c r="DH330" s="289">
        <f t="shared" si="335"/>
        <v>750</v>
      </c>
      <c r="DI330" s="291"/>
      <c r="DJ330" s="429">
        <f>DJ331-DJ329-DJ328-DJ327</f>
        <v>2320</v>
      </c>
      <c r="DK330" s="289"/>
      <c r="DL330" s="289"/>
      <c r="DM330" s="289"/>
      <c r="DN330" s="290"/>
      <c r="DO330" s="402">
        <f>DO331-DO329-DO328-DO327</f>
        <v>1333</v>
      </c>
      <c r="DP330" s="289">
        <f t="shared" si="336"/>
        <v>1777</v>
      </c>
      <c r="DQ330" s="291"/>
      <c r="DR330" s="429">
        <f>DR331-DR329-DR328-DR327</f>
        <v>3110</v>
      </c>
      <c r="DS330" s="289"/>
      <c r="DT330" s="289"/>
      <c r="DU330" s="289"/>
      <c r="DV330" s="290"/>
      <c r="DW330" s="1709">
        <f>DW331-DW329-DW328-DW327</f>
        <v>604</v>
      </c>
      <c r="DX330" s="289"/>
      <c r="DY330" s="291"/>
      <c r="DZ330" s="291"/>
      <c r="EA330" s="289"/>
      <c r="EB330" s="289"/>
      <c r="EC330" s="289"/>
      <c r="ED330" s="290"/>
      <c r="EE330" s="289"/>
      <c r="EF330" s="289"/>
      <c r="EG330" s="291"/>
      <c r="EH330" s="291"/>
      <c r="EI330" s="289"/>
      <c r="EJ330" s="289"/>
      <c r="EK330" s="289"/>
      <c r="EL330" s="290"/>
      <c r="EM330" s="289"/>
      <c r="EN330" s="289"/>
      <c r="EO330" s="291"/>
      <c r="EP330" s="291"/>
      <c r="EQ330" s="289"/>
      <c r="ER330" s="289"/>
      <c r="ES330" s="289"/>
      <c r="ET330" s="290"/>
      <c r="EU330" s="289"/>
      <c r="EV330" s="289"/>
      <c r="EW330" s="291"/>
      <c r="EX330" s="291"/>
      <c r="EY330" s="289"/>
      <c r="EZ330" s="289"/>
      <c r="FA330" s="289"/>
      <c r="FB330" s="290"/>
      <c r="FC330" s="289"/>
      <c r="FD330" s="289"/>
      <c r="FE330" s="291"/>
      <c r="FF330" s="291"/>
    </row>
    <row r="331" spans="1:162" ht="11.25" customHeight="1" x14ac:dyDescent="0.2">
      <c r="A331" s="4" t="s">
        <v>449</v>
      </c>
      <c r="C331" s="288"/>
      <c r="D331" s="289"/>
      <c r="E331" s="289"/>
      <c r="F331" s="290"/>
      <c r="G331" s="402">
        <v>-147</v>
      </c>
      <c r="H331" s="402">
        <f>J331-G331</f>
        <v>-234</v>
      </c>
      <c r="I331" s="291"/>
      <c r="J331" s="291">
        <v>-381</v>
      </c>
      <c r="K331" s="288"/>
      <c r="L331" s="289"/>
      <c r="M331" s="289"/>
      <c r="N331" s="290"/>
      <c r="O331" s="402">
        <v>-342</v>
      </c>
      <c r="P331" s="402">
        <f>R331-O331</f>
        <v>-170</v>
      </c>
      <c r="Q331" s="291"/>
      <c r="R331" s="291">
        <v>-512</v>
      </c>
      <c r="S331" s="288"/>
      <c r="T331" s="289"/>
      <c r="U331" s="289"/>
      <c r="V331" s="290"/>
      <c r="W331" s="402">
        <v>193</v>
      </c>
      <c r="X331" s="402">
        <f>Z331-W331</f>
        <v>128</v>
      </c>
      <c r="Y331" s="291"/>
      <c r="Z331" s="291">
        <v>321</v>
      </c>
      <c r="AA331" s="288"/>
      <c r="AB331" s="289"/>
      <c r="AC331" s="289"/>
      <c r="AD331" s="290"/>
      <c r="AE331" s="402">
        <v>-482</v>
      </c>
      <c r="AF331" s="402"/>
      <c r="AG331" s="291"/>
      <c r="AH331" s="291">
        <f>-917-167</f>
        <v>-1084</v>
      </c>
      <c r="AI331" s="288"/>
      <c r="AJ331" s="289"/>
      <c r="AK331" s="289"/>
      <c r="AL331" s="290"/>
      <c r="AM331" s="402">
        <f>-401+3004</f>
        <v>2603</v>
      </c>
      <c r="AN331" s="402"/>
      <c r="AO331" s="291"/>
      <c r="AP331" s="291">
        <v>609</v>
      </c>
      <c r="AQ331" s="288"/>
      <c r="AR331" s="289"/>
      <c r="AS331" s="289"/>
      <c r="AT331" s="290"/>
      <c r="AU331" s="402"/>
      <c r="AV331" s="402"/>
      <c r="AW331" s="291"/>
      <c r="AX331" s="291"/>
      <c r="AY331" s="288"/>
      <c r="AZ331" s="289"/>
      <c r="BA331" s="289"/>
      <c r="BB331" s="290"/>
      <c r="BC331" s="402">
        <f>2000-4770-1034-122</f>
        <v>-3926</v>
      </c>
      <c r="BD331" s="402"/>
      <c r="BE331" s="291"/>
      <c r="BF331" s="291">
        <v>-4623</v>
      </c>
      <c r="BG331" s="288"/>
      <c r="BH331" s="289"/>
      <c r="BI331" s="289"/>
      <c r="BJ331" s="290"/>
      <c r="BK331" s="402">
        <f t="shared" si="320"/>
        <v>-3926</v>
      </c>
      <c r="BL331" s="402"/>
      <c r="BM331" s="291"/>
      <c r="BN331" s="291">
        <f t="shared" si="321"/>
        <v>-4623</v>
      </c>
      <c r="BO331" s="288"/>
      <c r="BP331" s="289"/>
      <c r="BQ331" s="289"/>
      <c r="BR331" s="290"/>
      <c r="BS331" s="402">
        <f>BS327+BS328+BS329+BS330</f>
        <v>-534</v>
      </c>
      <c r="BT331" s="402">
        <f>BV331-BS331</f>
        <v>-1477</v>
      </c>
      <c r="BU331" s="291"/>
      <c r="BV331" s="291">
        <v>-2011</v>
      </c>
      <c r="BW331" s="288"/>
      <c r="BX331" s="289"/>
      <c r="BY331" s="289"/>
      <c r="BZ331" s="290"/>
      <c r="CA331" s="402">
        <f>CA332-CA326-CA325</f>
        <v>-34</v>
      </c>
      <c r="CB331" s="402">
        <f>CD331-CA331</f>
        <v>287</v>
      </c>
      <c r="CC331" s="291"/>
      <c r="CD331" s="291">
        <v>253</v>
      </c>
      <c r="CE331" s="288"/>
      <c r="CF331" s="289"/>
      <c r="CG331" s="289"/>
      <c r="CH331" s="290"/>
      <c r="CI331" s="402">
        <v>-287</v>
      </c>
      <c r="CJ331" s="402">
        <f>CL331-CI331</f>
        <v>43</v>
      </c>
      <c r="CK331" s="291"/>
      <c r="CL331" s="291">
        <v>-244</v>
      </c>
      <c r="CM331" s="288"/>
      <c r="CN331" s="289"/>
      <c r="CO331" s="289"/>
      <c r="CP331" s="290"/>
      <c r="CQ331" s="402">
        <v>-321</v>
      </c>
      <c r="CR331" s="402">
        <f>CT331-CQ331</f>
        <v>198</v>
      </c>
      <c r="CS331" s="291"/>
      <c r="CT331" s="429">
        <v>-123</v>
      </c>
      <c r="CU331" s="289"/>
      <c r="CV331" s="289"/>
      <c r="CW331" s="289"/>
      <c r="CX331" s="290"/>
      <c r="CY331" s="402">
        <v>-210</v>
      </c>
      <c r="CZ331" s="289">
        <f t="shared" si="334"/>
        <v>-257</v>
      </c>
      <c r="DA331" s="291"/>
      <c r="DB331" s="429">
        <v>-467</v>
      </c>
      <c r="DC331" s="289"/>
      <c r="DD331" s="289"/>
      <c r="DE331" s="289"/>
      <c r="DF331" s="290"/>
      <c r="DG331" s="402">
        <f>-193+961</f>
        <v>768</v>
      </c>
      <c r="DH331" s="289">
        <f t="shared" si="335"/>
        <v>-72</v>
      </c>
      <c r="DI331" s="291"/>
      <c r="DJ331" s="429">
        <f>(-304-DJ327)-192+961</f>
        <v>696</v>
      </c>
      <c r="DK331" s="289"/>
      <c r="DL331" s="289"/>
      <c r="DM331" s="289"/>
      <c r="DN331" s="290"/>
      <c r="DO331" s="402">
        <f>(-133-DO327)-267+673</f>
        <v>406</v>
      </c>
      <c r="DP331" s="289">
        <f t="shared" si="336"/>
        <v>-225</v>
      </c>
      <c r="DQ331" s="291"/>
      <c r="DR331" s="429">
        <f>(-1584-DR327)-395+673</f>
        <v>181</v>
      </c>
      <c r="DS331" s="289"/>
      <c r="DT331" s="289"/>
      <c r="DU331" s="289"/>
      <c r="DV331" s="290"/>
      <c r="DW331" s="1709">
        <f>(33-DW327)-355</f>
        <v>-355</v>
      </c>
      <c r="DX331" s="401">
        <f>DZ331-DW331</f>
        <v>-2216.5796910383497</v>
      </c>
      <c r="DY331" s="291"/>
      <c r="DZ331" s="287">
        <v>-2571.5796910383497</v>
      </c>
      <c r="EA331" s="289"/>
      <c r="EB331" s="289"/>
      <c r="EC331" s="289"/>
      <c r="ED331" s="290"/>
      <c r="EE331" s="401">
        <f>EH331/2</f>
        <v>-1511.5040899781177</v>
      </c>
      <c r="EF331" s="401">
        <f>EH331-EE331</f>
        <v>-1511.5040899781177</v>
      </c>
      <c r="EG331" s="291"/>
      <c r="EH331" s="287">
        <v>-3023.0081799562354</v>
      </c>
      <c r="EI331" s="289"/>
      <c r="EJ331" s="289"/>
      <c r="EK331" s="289"/>
      <c r="EL331" s="290"/>
      <c r="EM331" s="401">
        <f>EP331/2</f>
        <v>-1794.6559682281631</v>
      </c>
      <c r="EN331" s="401">
        <f>EP331-EM331</f>
        <v>-1794.6559682281631</v>
      </c>
      <c r="EO331" s="291"/>
      <c r="EP331" s="287">
        <v>-3589.3119364563263</v>
      </c>
      <c r="EQ331" s="289"/>
      <c r="ER331" s="289"/>
      <c r="ES331" s="289"/>
      <c r="ET331" s="290"/>
      <c r="EU331" s="401">
        <f>EX331/2</f>
        <v>-1293.7189750292935</v>
      </c>
      <c r="EV331" s="401">
        <f>EX331-EU331</f>
        <v>-1293.7189750292935</v>
      </c>
      <c r="EW331" s="291"/>
      <c r="EX331" s="287">
        <v>-2587.4379500585869</v>
      </c>
      <c r="EY331" s="289"/>
      <c r="EZ331" s="289"/>
      <c r="FA331" s="289"/>
      <c r="FB331" s="290"/>
      <c r="FC331" s="401">
        <f>FF331/2</f>
        <v>-1393.5876432144648</v>
      </c>
      <c r="FD331" s="401">
        <f>FF331-FC331</f>
        <v>-1393.5876432144648</v>
      </c>
      <c r="FE331" s="291"/>
      <c r="FF331" s="287">
        <v>-2787.1752864289297</v>
      </c>
    </row>
    <row r="332" spans="1:162" ht="11.25" customHeight="1" x14ac:dyDescent="0.2">
      <c r="A332" s="186" t="s">
        <v>450</v>
      </c>
      <c r="C332" s="395"/>
      <c r="D332" s="396"/>
      <c r="E332" s="396"/>
      <c r="F332" s="397"/>
      <c r="G332" s="396">
        <f>G325+G326+G331</f>
        <v>-260</v>
      </c>
      <c r="H332" s="396">
        <f>H325+H326+H331</f>
        <v>97</v>
      </c>
      <c r="I332" s="398"/>
      <c r="J332" s="398">
        <f>J325+J326+J331</f>
        <v>-163</v>
      </c>
      <c r="K332" s="395"/>
      <c r="L332" s="396"/>
      <c r="M332" s="396"/>
      <c r="N332" s="397"/>
      <c r="O332" s="396">
        <f>O325+O326+O331</f>
        <v>-577</v>
      </c>
      <c r="P332" s="396">
        <f>P325+P326+P331</f>
        <v>294</v>
      </c>
      <c r="Q332" s="398"/>
      <c r="R332" s="398">
        <f>R325+R326+R331</f>
        <v>-283</v>
      </c>
      <c r="S332" s="395"/>
      <c r="T332" s="396"/>
      <c r="U332" s="396"/>
      <c r="V332" s="397"/>
      <c r="W332" s="396">
        <f>W325+W326+W331</f>
        <v>4</v>
      </c>
      <c r="X332" s="396">
        <f>X325+X326+X331</f>
        <v>751</v>
      </c>
      <c r="Y332" s="398"/>
      <c r="Z332" s="398">
        <f>Z325+Z326+Z331</f>
        <v>755</v>
      </c>
      <c r="AA332" s="395"/>
      <c r="AB332" s="396"/>
      <c r="AC332" s="396"/>
      <c r="AD332" s="397"/>
      <c r="AE332" s="396">
        <f>AE325+AE326+AE331</f>
        <v>-267</v>
      </c>
      <c r="AF332" s="396"/>
      <c r="AG332" s="398"/>
      <c r="AH332" s="398">
        <f>AH325+AH326+AH331</f>
        <v>-633</v>
      </c>
      <c r="AI332" s="395"/>
      <c r="AJ332" s="396"/>
      <c r="AK332" s="396"/>
      <c r="AL332" s="397"/>
      <c r="AM332" s="396">
        <f>AM325+AM326+AM331</f>
        <v>2903</v>
      </c>
      <c r="AN332" s="396"/>
      <c r="AO332" s="398"/>
      <c r="AP332" s="398">
        <f>AP325+AP326+AP331</f>
        <v>17683</v>
      </c>
      <c r="AQ332" s="395"/>
      <c r="AR332" s="396"/>
      <c r="AS332" s="396"/>
      <c r="AT332" s="397"/>
      <c r="AU332" s="396"/>
      <c r="AV332" s="396"/>
      <c r="AW332" s="398"/>
      <c r="AX332" s="398"/>
      <c r="AY332" s="395"/>
      <c r="AZ332" s="396"/>
      <c r="BA332" s="396"/>
      <c r="BB332" s="397"/>
      <c r="BC332" s="396">
        <f>BC325+BC326+BC331</f>
        <v>-3827</v>
      </c>
      <c r="BD332" s="396"/>
      <c r="BE332" s="398"/>
      <c r="BF332" s="398">
        <f>BF325+BF326+BF331</f>
        <v>-3563</v>
      </c>
      <c r="BG332" s="395"/>
      <c r="BH332" s="396"/>
      <c r="BI332" s="396"/>
      <c r="BJ332" s="397"/>
      <c r="BK332" s="396">
        <f t="shared" si="320"/>
        <v>-3827</v>
      </c>
      <c r="BL332" s="396"/>
      <c r="BM332" s="398"/>
      <c r="BN332" s="398">
        <f t="shared" si="321"/>
        <v>-3563</v>
      </c>
      <c r="BO332" s="395"/>
      <c r="BP332" s="396"/>
      <c r="BQ332" s="396"/>
      <c r="BR332" s="397"/>
      <c r="BS332" s="396">
        <f>BS325+BS326+BS331</f>
        <v>-172</v>
      </c>
      <c r="BT332" s="396">
        <f>BT325+BT326+BT331</f>
        <v>-505</v>
      </c>
      <c r="BU332" s="398"/>
      <c r="BV332" s="398">
        <f>BV325+BV326+BV331</f>
        <v>-677</v>
      </c>
      <c r="BW332" s="395"/>
      <c r="BX332" s="396"/>
      <c r="BY332" s="396"/>
      <c r="BZ332" s="397"/>
      <c r="CA332" s="396">
        <f>-CA334-CA333</f>
        <v>864</v>
      </c>
      <c r="CB332" s="396">
        <f>CB325+CB326+CB331</f>
        <v>458</v>
      </c>
      <c r="CC332" s="398"/>
      <c r="CD332" s="398">
        <f>CD325+CD326+CD331</f>
        <v>1322</v>
      </c>
      <c r="CE332" s="395"/>
      <c r="CF332" s="396"/>
      <c r="CG332" s="396"/>
      <c r="CH332" s="397"/>
      <c r="CI332" s="396">
        <f>CI325+CI326+CI331</f>
        <v>226</v>
      </c>
      <c r="CJ332" s="396">
        <f>CJ325+CJ326+CJ331</f>
        <v>1022</v>
      </c>
      <c r="CK332" s="398"/>
      <c r="CL332" s="398">
        <f>CL325+CL326+CL331</f>
        <v>1248</v>
      </c>
      <c r="CM332" s="395"/>
      <c r="CN332" s="396"/>
      <c r="CO332" s="396"/>
      <c r="CP332" s="397"/>
      <c r="CQ332" s="396">
        <f>CQ325+CQ326+CQ331+CQ329+CQ327</f>
        <v>1119</v>
      </c>
      <c r="CR332" s="396">
        <f>CR325+CR326+CR331+CR329+CR327</f>
        <v>439</v>
      </c>
      <c r="CS332" s="398"/>
      <c r="CT332" s="398">
        <f>CT325+CT326+CT331+CT329+CT327</f>
        <v>1558</v>
      </c>
      <c r="CU332" s="396"/>
      <c r="CV332" s="396"/>
      <c r="CW332" s="396"/>
      <c r="CX332" s="397"/>
      <c r="CY332" s="396">
        <f>CY325+CY326+CY331+CY329</f>
        <v>-277</v>
      </c>
      <c r="CZ332" s="396">
        <f>CZ325+CZ326+CZ331+CZ329</f>
        <v>637</v>
      </c>
      <c r="DA332" s="398"/>
      <c r="DB332" s="398">
        <f>DB325+DB326+DB331+DB329</f>
        <v>360</v>
      </c>
      <c r="DC332" s="396"/>
      <c r="DD332" s="396"/>
      <c r="DE332" s="396"/>
      <c r="DF332" s="397"/>
      <c r="DG332" s="396">
        <f>DG325+DG326+DG331+DG329+DG327</f>
        <v>521</v>
      </c>
      <c r="DH332" s="396">
        <f>DH325+DH326+DH331+DH329+DH327</f>
        <v>843</v>
      </c>
      <c r="DI332" s="398"/>
      <c r="DJ332" s="398">
        <f>DJ325+DJ326+DJ331+DJ329+DJ327</f>
        <v>1364</v>
      </c>
      <c r="DK332" s="396"/>
      <c r="DL332" s="396"/>
      <c r="DM332" s="396"/>
      <c r="DN332" s="397"/>
      <c r="DO332" s="396">
        <f>DO325+DO326+DO331+DO329+DO327</f>
        <v>131</v>
      </c>
      <c r="DP332" s="396">
        <f>DP325+DP326+DP331+DP329+DP327</f>
        <v>-130.99999999999955</v>
      </c>
      <c r="DQ332" s="398"/>
      <c r="DR332" s="398">
        <f>DR325+DR326+DR331+DR329+DR327</f>
        <v>0</v>
      </c>
      <c r="DS332" s="396"/>
      <c r="DT332" s="396"/>
      <c r="DU332" s="396"/>
      <c r="DV332" s="397"/>
      <c r="DW332" s="1708">
        <f>DW325+DW326+DW331+DW329+DW327</f>
        <v>-71</v>
      </c>
      <c r="DX332" s="399">
        <f>DX325+DX326+DX331</f>
        <v>262.54851724832042</v>
      </c>
      <c r="DY332" s="398"/>
      <c r="DZ332" s="400">
        <f>DZ325+DZ326+DZ331</f>
        <v>1074.9721444804709</v>
      </c>
      <c r="EA332" s="396"/>
      <c r="EB332" s="396"/>
      <c r="EC332" s="396"/>
      <c r="ED332" s="397"/>
      <c r="EE332" s="399">
        <f>EE325+EE326+EE331</f>
        <v>-1951.3939746161898</v>
      </c>
      <c r="EF332" s="399">
        <f>EF325+EF326+EF331</f>
        <v>2806.9976602234647</v>
      </c>
      <c r="EG332" s="398"/>
      <c r="EH332" s="400">
        <f>EH325+EH326+EH331</f>
        <v>855.60368560727238</v>
      </c>
      <c r="EI332" s="396"/>
      <c r="EJ332" s="396"/>
      <c r="EK332" s="396"/>
      <c r="EL332" s="397"/>
      <c r="EM332" s="399">
        <f>EM325+EM326+EM331</f>
        <v>-2718.9546638910551</v>
      </c>
      <c r="EN332" s="399">
        <f>EN325+EN326+EN331</f>
        <v>2807.3534401267589</v>
      </c>
      <c r="EO332" s="398"/>
      <c r="EP332" s="400">
        <f>EP325+EP326+EP331</f>
        <v>88.39877623569555</v>
      </c>
      <c r="EQ332" s="396"/>
      <c r="ER332" s="396"/>
      <c r="ES332" s="396"/>
      <c r="ET332" s="397"/>
      <c r="EU332" s="399">
        <f>EU325+EU326+EU331</f>
        <v>-2340.2402984678147</v>
      </c>
      <c r="EV332" s="399">
        <f>EV325+EV326+EV331</f>
        <v>3632.6257718795641</v>
      </c>
      <c r="EW332" s="398"/>
      <c r="EX332" s="400">
        <f>EX325+EX326+EX331</f>
        <v>1292.385473411744</v>
      </c>
      <c r="EY332" s="396"/>
      <c r="EZ332" s="396"/>
      <c r="FA332" s="396"/>
      <c r="FB332" s="397"/>
      <c r="FC332" s="399">
        <f>FC325+FC326+FC331</f>
        <v>-2616.0786832714471</v>
      </c>
      <c r="FD332" s="399">
        <f>FD325+FD326+FD331</f>
        <v>3629.8101997796311</v>
      </c>
      <c r="FE332" s="398"/>
      <c r="FF332" s="400">
        <f>FF325+FF326+FF331</f>
        <v>1013.7315165081809</v>
      </c>
    </row>
    <row r="333" spans="1:162" ht="11.25" customHeight="1" x14ac:dyDescent="0.2">
      <c r="A333" s="4" t="s">
        <v>451</v>
      </c>
      <c r="C333" s="288"/>
      <c r="D333" s="289"/>
      <c r="E333" s="289"/>
      <c r="F333" s="290"/>
      <c r="G333" s="289">
        <f>J333</f>
        <v>-1057</v>
      </c>
      <c r="H333" s="289">
        <f>G334</f>
        <v>-1317</v>
      </c>
      <c r="I333" s="291"/>
      <c r="J333" s="291">
        <v>-1057</v>
      </c>
      <c r="K333" s="288"/>
      <c r="L333" s="289"/>
      <c r="M333" s="289"/>
      <c r="N333" s="290"/>
      <c r="O333" s="289">
        <f>J334</f>
        <v>-1220</v>
      </c>
      <c r="P333" s="289">
        <f>O334</f>
        <v>-1797</v>
      </c>
      <c r="Q333" s="291"/>
      <c r="R333" s="291">
        <f>J334</f>
        <v>-1220</v>
      </c>
      <c r="S333" s="288"/>
      <c r="T333" s="289"/>
      <c r="U333" s="289"/>
      <c r="V333" s="290"/>
      <c r="W333" s="289">
        <f>R334</f>
        <v>-1503</v>
      </c>
      <c r="X333" s="289">
        <f>W334</f>
        <v>-1499</v>
      </c>
      <c r="Y333" s="291"/>
      <c r="Z333" s="291">
        <f>R334</f>
        <v>-1503</v>
      </c>
      <c r="AA333" s="288"/>
      <c r="AB333" s="289"/>
      <c r="AC333" s="289"/>
      <c r="AD333" s="290"/>
      <c r="AE333" s="289">
        <f>Z334</f>
        <v>-748</v>
      </c>
      <c r="AF333" s="289"/>
      <c r="AG333" s="291"/>
      <c r="AH333" s="291">
        <f>Z334</f>
        <v>-748</v>
      </c>
      <c r="AI333" s="288"/>
      <c r="AJ333" s="289"/>
      <c r="AK333" s="289"/>
      <c r="AL333" s="290"/>
      <c r="AM333" s="289">
        <f>AH334</f>
        <v>-1381</v>
      </c>
      <c r="AN333" s="289"/>
      <c r="AO333" s="291"/>
      <c r="AP333" s="291">
        <f>AH334</f>
        <v>-1381</v>
      </c>
      <c r="AQ333" s="288"/>
      <c r="AR333" s="289"/>
      <c r="AS333" s="289"/>
      <c r="AT333" s="290"/>
      <c r="AU333" s="289"/>
      <c r="AV333" s="289"/>
      <c r="AW333" s="291"/>
      <c r="AX333" s="291"/>
      <c r="AY333" s="288"/>
      <c r="AZ333" s="289"/>
      <c r="BA333" s="289"/>
      <c r="BB333" s="290"/>
      <c r="BC333" s="289">
        <v>294</v>
      </c>
      <c r="BD333" s="289"/>
      <c r="BE333" s="291"/>
      <c r="BF333" s="291">
        <v>294</v>
      </c>
      <c r="BG333" s="288"/>
      <c r="BH333" s="289"/>
      <c r="BI333" s="289"/>
      <c r="BJ333" s="290"/>
      <c r="BK333" s="289">
        <f t="shared" si="320"/>
        <v>294</v>
      </c>
      <c r="BL333" s="289"/>
      <c r="BM333" s="291"/>
      <c r="BN333" s="291">
        <f t="shared" si="321"/>
        <v>294</v>
      </c>
      <c r="BO333" s="288"/>
      <c r="BP333" s="289"/>
      <c r="BQ333" s="289"/>
      <c r="BR333" s="290"/>
      <c r="BS333" s="289">
        <f>BF334-529</f>
        <v>-3798</v>
      </c>
      <c r="BT333" s="289">
        <f>BS334</f>
        <v>-3970</v>
      </c>
      <c r="BU333" s="291"/>
      <c r="BV333" s="291">
        <f>BF334</f>
        <v>-3269</v>
      </c>
      <c r="BW333" s="288"/>
      <c r="BX333" s="289"/>
      <c r="BY333" s="289"/>
      <c r="BZ333" s="290"/>
      <c r="CA333" s="289">
        <f>BV334</f>
        <v>-3946</v>
      </c>
      <c r="CB333" s="289">
        <f>CA334</f>
        <v>3082</v>
      </c>
      <c r="CC333" s="291"/>
      <c r="CD333" s="291">
        <f>CF!Q70</f>
        <v>-4114</v>
      </c>
      <c r="CE333" s="288"/>
      <c r="CF333" s="289"/>
      <c r="CG333" s="289"/>
      <c r="CH333" s="290"/>
      <c r="CI333" s="289">
        <v>-2792</v>
      </c>
      <c r="CJ333" s="289">
        <f>CI334</f>
        <v>-2566</v>
      </c>
      <c r="CK333" s="291"/>
      <c r="CL333" s="291">
        <f>CD334</f>
        <v>-2792</v>
      </c>
      <c r="CM333" s="288"/>
      <c r="CN333" s="289"/>
      <c r="CO333" s="289"/>
      <c r="CP333" s="290"/>
      <c r="CQ333" s="289">
        <f>+CL334</f>
        <v>-1544</v>
      </c>
      <c r="CR333" s="289">
        <f>CQ334</f>
        <v>-425</v>
      </c>
      <c r="CS333" s="291"/>
      <c r="CT333" s="291">
        <f>CL334</f>
        <v>-1544</v>
      </c>
      <c r="CU333" s="289"/>
      <c r="CV333" s="289"/>
      <c r="CW333" s="289"/>
      <c r="CX333" s="290"/>
      <c r="CY333" s="289">
        <f>CT334</f>
        <v>14</v>
      </c>
      <c r="CZ333" s="289">
        <f>CY334</f>
        <v>-263</v>
      </c>
      <c r="DA333" s="291"/>
      <c r="DB333" s="291">
        <f>CT334</f>
        <v>14</v>
      </c>
      <c r="DC333" s="289"/>
      <c r="DD333" s="289"/>
      <c r="DE333" s="289"/>
      <c r="DF333" s="290"/>
      <c r="DG333" s="289">
        <f>DB334</f>
        <v>374</v>
      </c>
      <c r="DH333" s="289">
        <f>DG334</f>
        <v>895</v>
      </c>
      <c r="DI333" s="291"/>
      <c r="DJ333" s="291">
        <f>DB334</f>
        <v>374</v>
      </c>
      <c r="DK333" s="289"/>
      <c r="DL333" s="289"/>
      <c r="DM333" s="289"/>
      <c r="DN333" s="290"/>
      <c r="DO333" s="289">
        <f>DJ334</f>
        <v>1738</v>
      </c>
      <c r="DP333" s="289">
        <f>DO334</f>
        <v>1869</v>
      </c>
      <c r="DQ333" s="291"/>
      <c r="DR333" s="291">
        <f>DJ334</f>
        <v>1738</v>
      </c>
      <c r="DS333" s="289"/>
      <c r="DT333" s="289"/>
      <c r="DU333" s="289"/>
      <c r="DV333" s="290"/>
      <c r="DW333" s="1705">
        <f>DR334</f>
        <v>1738</v>
      </c>
      <c r="DX333" s="401">
        <f>DW334</f>
        <v>1667</v>
      </c>
      <c r="DY333" s="291"/>
      <c r="DZ333" s="287">
        <f>DR334</f>
        <v>1738</v>
      </c>
      <c r="EA333" s="289"/>
      <c r="EB333" s="289"/>
      <c r="EC333" s="289"/>
      <c r="ED333" s="290"/>
      <c r="EE333" s="401">
        <f>DZ334</f>
        <v>2812.9721444804709</v>
      </c>
      <c r="EF333" s="401">
        <f>EE334</f>
        <v>861.57816986428111</v>
      </c>
      <c r="EG333" s="291"/>
      <c r="EH333" s="287">
        <f>DZ334</f>
        <v>2812.9721444804709</v>
      </c>
      <c r="EI333" s="289"/>
      <c r="EJ333" s="289"/>
      <c r="EK333" s="289"/>
      <c r="EL333" s="290"/>
      <c r="EM333" s="401">
        <f>EH334</f>
        <v>3668.5758300877433</v>
      </c>
      <c r="EN333" s="401">
        <f>EM334</f>
        <v>949.62116619668814</v>
      </c>
      <c r="EO333" s="291"/>
      <c r="EP333" s="287">
        <f>EH334</f>
        <v>3668.5758300877433</v>
      </c>
      <c r="EQ333" s="289"/>
      <c r="ER333" s="289"/>
      <c r="ES333" s="289"/>
      <c r="ET333" s="290"/>
      <c r="EU333" s="401">
        <f>EP334</f>
        <v>3756.9746063234388</v>
      </c>
      <c r="EV333" s="401">
        <f>EU334</f>
        <v>1416.7343078556241</v>
      </c>
      <c r="EW333" s="291"/>
      <c r="EX333" s="287">
        <f>EP334</f>
        <v>3756.9746063234388</v>
      </c>
      <c r="EY333" s="289"/>
      <c r="EZ333" s="289"/>
      <c r="FA333" s="289"/>
      <c r="FB333" s="290"/>
      <c r="FC333" s="401">
        <f>EX334</f>
        <v>5049.3600797351828</v>
      </c>
      <c r="FD333" s="401">
        <f>FC334</f>
        <v>2433.2813964637357</v>
      </c>
      <c r="FE333" s="291"/>
      <c r="FF333" s="287">
        <f>EX334</f>
        <v>5049.3600797351828</v>
      </c>
    </row>
    <row r="334" spans="1:162" ht="11.25" customHeight="1" x14ac:dyDescent="0.2">
      <c r="A334" s="186" t="s">
        <v>427</v>
      </c>
      <c r="C334" s="395"/>
      <c r="D334" s="396"/>
      <c r="E334" s="396"/>
      <c r="F334" s="397"/>
      <c r="G334" s="396">
        <f>G332+G333</f>
        <v>-1317</v>
      </c>
      <c r="H334" s="396">
        <f>H332+H333</f>
        <v>-1220</v>
      </c>
      <c r="I334" s="398"/>
      <c r="J334" s="398">
        <f>J332+J333</f>
        <v>-1220</v>
      </c>
      <c r="K334" s="395"/>
      <c r="L334" s="396"/>
      <c r="M334" s="396"/>
      <c r="N334" s="397"/>
      <c r="O334" s="396">
        <f>O332+O333</f>
        <v>-1797</v>
      </c>
      <c r="P334" s="396">
        <f>P332+P333</f>
        <v>-1503</v>
      </c>
      <c r="Q334" s="398"/>
      <c r="R334" s="398">
        <f>R332+R333</f>
        <v>-1503</v>
      </c>
      <c r="S334" s="395"/>
      <c r="T334" s="396"/>
      <c r="U334" s="396"/>
      <c r="V334" s="397"/>
      <c r="W334" s="396">
        <f>W332+W333</f>
        <v>-1499</v>
      </c>
      <c r="X334" s="396">
        <f>X332+X333</f>
        <v>-748</v>
      </c>
      <c r="Y334" s="398"/>
      <c r="Z334" s="398">
        <f>Z332+Z333</f>
        <v>-748</v>
      </c>
      <c r="AA334" s="395"/>
      <c r="AB334" s="396"/>
      <c r="AC334" s="396"/>
      <c r="AD334" s="397"/>
      <c r="AE334" s="396">
        <f>AE332+AE333</f>
        <v>-1015</v>
      </c>
      <c r="AF334" s="396"/>
      <c r="AG334" s="398"/>
      <c r="AH334" s="398">
        <f>AH332+AH333</f>
        <v>-1381</v>
      </c>
      <c r="AI334" s="395"/>
      <c r="AJ334" s="396"/>
      <c r="AK334" s="396"/>
      <c r="AL334" s="397"/>
      <c r="AM334" s="396">
        <f>AM332+AM333</f>
        <v>1522</v>
      </c>
      <c r="AN334" s="396"/>
      <c r="AO334" s="398"/>
      <c r="AP334" s="398">
        <f>AP332+AP333</f>
        <v>16302</v>
      </c>
      <c r="AQ334" s="395"/>
      <c r="AR334" s="396"/>
      <c r="AS334" s="396"/>
      <c r="AT334" s="397"/>
      <c r="AU334" s="396">
        <f>AM334</f>
        <v>1522</v>
      </c>
      <c r="AV334" s="396"/>
      <c r="AW334" s="398"/>
      <c r="AX334" s="398"/>
      <c r="AY334" s="395"/>
      <c r="AZ334" s="396"/>
      <c r="BA334" s="396"/>
      <c r="BB334" s="397"/>
      <c r="BC334" s="396">
        <f>BC332+BC333</f>
        <v>-3533</v>
      </c>
      <c r="BD334" s="396"/>
      <c r="BE334" s="398"/>
      <c r="BF334" s="398">
        <f>BF332+BF333</f>
        <v>-3269</v>
      </c>
      <c r="BG334" s="395"/>
      <c r="BH334" s="396"/>
      <c r="BI334" s="396"/>
      <c r="BJ334" s="397"/>
      <c r="BK334" s="396">
        <f t="shared" si="320"/>
        <v>-3533</v>
      </c>
      <c r="BL334" s="396"/>
      <c r="BM334" s="398"/>
      <c r="BN334" s="398">
        <f t="shared" si="321"/>
        <v>-3269</v>
      </c>
      <c r="BO334" s="395"/>
      <c r="BP334" s="396"/>
      <c r="BQ334" s="396"/>
      <c r="BR334" s="397"/>
      <c r="BS334" s="396">
        <f>BS332+BS333</f>
        <v>-3970</v>
      </c>
      <c r="BT334" s="396">
        <f>BT332+BT333</f>
        <v>-4475</v>
      </c>
      <c r="BU334" s="398"/>
      <c r="BV334" s="398">
        <f>BV332+BV333</f>
        <v>-3946</v>
      </c>
      <c r="BW334" s="395"/>
      <c r="BX334" s="396"/>
      <c r="BY334" s="396"/>
      <c r="BZ334" s="397"/>
      <c r="CA334" s="396">
        <v>3082</v>
      </c>
      <c r="CB334" s="396">
        <f>CB332+CB333</f>
        <v>3540</v>
      </c>
      <c r="CC334" s="398"/>
      <c r="CD334" s="398">
        <f>CD332+CD333</f>
        <v>-2792</v>
      </c>
      <c r="CE334" s="395"/>
      <c r="CF334" s="396"/>
      <c r="CG334" s="396"/>
      <c r="CH334" s="397"/>
      <c r="CI334" s="396">
        <f>CI332+CI333</f>
        <v>-2566</v>
      </c>
      <c r="CJ334" s="396">
        <f>CJ332+CJ333</f>
        <v>-1544</v>
      </c>
      <c r="CK334" s="398"/>
      <c r="CL334" s="398">
        <f>CL332+CL333</f>
        <v>-1544</v>
      </c>
      <c r="CM334" s="395"/>
      <c r="CN334" s="396"/>
      <c r="CO334" s="396"/>
      <c r="CP334" s="397"/>
      <c r="CQ334" s="396">
        <f>CQ332+CQ333</f>
        <v>-425</v>
      </c>
      <c r="CR334" s="396">
        <f>CR332+CR333</f>
        <v>14</v>
      </c>
      <c r="CS334" s="398"/>
      <c r="CT334" s="398">
        <f>CT332+CT333</f>
        <v>14</v>
      </c>
      <c r="CU334" s="396"/>
      <c r="CV334" s="396"/>
      <c r="CW334" s="396"/>
      <c r="CX334" s="397"/>
      <c r="CY334" s="396">
        <f>CY332+CY333</f>
        <v>-263</v>
      </c>
      <c r="CZ334" s="396">
        <f>CZ332+CZ333</f>
        <v>374</v>
      </c>
      <c r="DA334" s="398"/>
      <c r="DB334" s="398">
        <f>DB332+DB333</f>
        <v>374</v>
      </c>
      <c r="DC334" s="396"/>
      <c r="DD334" s="396"/>
      <c r="DE334" s="396"/>
      <c r="DF334" s="397"/>
      <c r="DG334" s="396">
        <f>DG332+DG333</f>
        <v>895</v>
      </c>
      <c r="DH334" s="396">
        <f>DH332+DH333</f>
        <v>1738</v>
      </c>
      <c r="DI334" s="398"/>
      <c r="DJ334" s="398">
        <f>DJ332+DJ333</f>
        <v>1738</v>
      </c>
      <c r="DK334" s="396"/>
      <c r="DL334" s="396"/>
      <c r="DM334" s="396"/>
      <c r="DN334" s="397"/>
      <c r="DO334" s="396">
        <f>DO332+DO333</f>
        <v>1869</v>
      </c>
      <c r="DP334" s="396">
        <f>DP332+DP333</f>
        <v>1738.0000000000005</v>
      </c>
      <c r="DQ334" s="398"/>
      <c r="DR334" s="398">
        <f>DR332+DR333</f>
        <v>1738</v>
      </c>
      <c r="DS334" s="396"/>
      <c r="DT334" s="396"/>
      <c r="DU334" s="396"/>
      <c r="DV334" s="397"/>
      <c r="DW334" s="1708">
        <f>DW332+DW333</f>
        <v>1667</v>
      </c>
      <c r="DX334" s="399">
        <f>DX332+DX333</f>
        <v>1929.5485172483204</v>
      </c>
      <c r="DY334" s="398"/>
      <c r="DZ334" s="400">
        <f>DZ332+DZ333</f>
        <v>2812.9721444804709</v>
      </c>
      <c r="EA334" s="396"/>
      <c r="EB334" s="396"/>
      <c r="EC334" s="396"/>
      <c r="ED334" s="397"/>
      <c r="EE334" s="399">
        <f>EE332+EE333</f>
        <v>861.57816986428111</v>
      </c>
      <c r="EF334" s="399">
        <f>EF332+EF333</f>
        <v>3668.575830087746</v>
      </c>
      <c r="EG334" s="398"/>
      <c r="EH334" s="400">
        <f>EH332+EH333</f>
        <v>3668.5758300877433</v>
      </c>
      <c r="EI334" s="396"/>
      <c r="EJ334" s="396"/>
      <c r="EK334" s="396"/>
      <c r="EL334" s="397"/>
      <c r="EM334" s="399">
        <f>EM332+EM333</f>
        <v>949.62116619668814</v>
      </c>
      <c r="EN334" s="399">
        <f>EN332+EN333</f>
        <v>3756.974606323447</v>
      </c>
      <c r="EO334" s="398"/>
      <c r="EP334" s="400">
        <f>EP332+EP333</f>
        <v>3756.9746063234388</v>
      </c>
      <c r="EQ334" s="396"/>
      <c r="ER334" s="396"/>
      <c r="ES334" s="396"/>
      <c r="ET334" s="397"/>
      <c r="EU334" s="399">
        <f>EU332+EU333</f>
        <v>1416.7343078556241</v>
      </c>
      <c r="EV334" s="399">
        <f>EV332+EV333</f>
        <v>5049.3600797351883</v>
      </c>
      <c r="EW334" s="398"/>
      <c r="EX334" s="400">
        <f>EX332+EX333</f>
        <v>5049.3600797351828</v>
      </c>
      <c r="EY334" s="396"/>
      <c r="EZ334" s="396"/>
      <c r="FA334" s="396"/>
      <c r="FB334" s="397"/>
      <c r="FC334" s="399">
        <f>FC332+FC333</f>
        <v>2433.2813964637357</v>
      </c>
      <c r="FD334" s="399">
        <f>FD332+FD333</f>
        <v>6063.0915962433664</v>
      </c>
      <c r="FE334" s="398"/>
      <c r="FF334" s="400">
        <f>FF332+FF333</f>
        <v>6063.0915962433637</v>
      </c>
    </row>
    <row r="335" spans="1:162" ht="11.25" customHeight="1" x14ac:dyDescent="0.2">
      <c r="C335" s="38"/>
      <c r="F335" s="179"/>
      <c r="I335" s="180"/>
      <c r="J335" s="180"/>
      <c r="K335" s="38"/>
      <c r="N335" s="179"/>
      <c r="Q335" s="180"/>
      <c r="R335" s="180"/>
      <c r="S335" s="38"/>
      <c r="V335" s="179"/>
      <c r="Y335" s="180"/>
      <c r="Z335" s="180"/>
      <c r="AA335" s="38"/>
      <c r="AD335" s="179"/>
      <c r="AG335" s="180"/>
      <c r="AH335" s="180"/>
      <c r="AI335" s="38"/>
      <c r="AL335" s="179"/>
      <c r="AO335" s="180"/>
      <c r="AP335" s="180"/>
      <c r="AQ335" s="38"/>
      <c r="AT335" s="179"/>
      <c r="AW335" s="180"/>
      <c r="AX335" s="180"/>
      <c r="AY335" s="38"/>
      <c r="BB335" s="179"/>
      <c r="BE335" s="180"/>
      <c r="BF335" s="180"/>
      <c r="BG335" s="38"/>
      <c r="BJ335" s="179"/>
      <c r="BM335" s="180"/>
      <c r="BN335" s="180"/>
      <c r="BO335" s="38"/>
      <c r="BR335" s="179"/>
      <c r="BU335" s="180"/>
      <c r="BV335" s="180"/>
      <c r="BW335" s="38"/>
      <c r="BZ335" s="179"/>
      <c r="CC335" s="180"/>
      <c r="CD335" s="180"/>
      <c r="CE335" s="38"/>
      <c r="CH335" s="179"/>
      <c r="CK335" s="180"/>
      <c r="CL335" s="180"/>
      <c r="CM335" s="38"/>
      <c r="CP335" s="179"/>
      <c r="CS335" s="180"/>
      <c r="CT335" s="180"/>
      <c r="CX335" s="179"/>
      <c r="DA335" s="180"/>
      <c r="DB335" s="180"/>
      <c r="DF335" s="179"/>
      <c r="DI335" s="180"/>
      <c r="DJ335" s="180"/>
      <c r="DN335" s="179"/>
      <c r="DQ335" s="180"/>
      <c r="DR335" s="180"/>
      <c r="DV335" s="179"/>
      <c r="DW335" s="1706"/>
      <c r="DY335" s="180"/>
      <c r="DZ335" s="180"/>
      <c r="ED335" s="179"/>
      <c r="EG335" s="180"/>
      <c r="EH335" s="180"/>
      <c r="EL335" s="179"/>
      <c r="EO335" s="180"/>
      <c r="EP335" s="180"/>
      <c r="ET335" s="179"/>
      <c r="EW335" s="180"/>
      <c r="EX335" s="180"/>
      <c r="FB335" s="179"/>
      <c r="FE335" s="180"/>
      <c r="FF335" s="180"/>
    </row>
    <row r="336" spans="1:162" ht="11.25" customHeight="1" x14ac:dyDescent="0.2">
      <c r="A336" s="219" t="s">
        <v>452</v>
      </c>
      <c r="C336" s="38"/>
      <c r="F336" s="179"/>
      <c r="I336" s="180"/>
      <c r="J336" s="180"/>
      <c r="K336" s="38"/>
      <c r="N336" s="179"/>
      <c r="Q336" s="180"/>
      <c r="R336" s="180"/>
      <c r="S336" s="38"/>
      <c r="V336" s="179"/>
      <c r="Y336" s="180"/>
      <c r="Z336" s="180"/>
      <c r="AA336" s="38"/>
      <c r="AD336" s="179"/>
      <c r="AG336" s="180"/>
      <c r="AH336" s="180"/>
      <c r="AI336" s="38"/>
      <c r="AL336" s="179"/>
      <c r="AO336" s="180"/>
      <c r="AP336" s="180"/>
      <c r="AQ336" s="38"/>
      <c r="AT336" s="179"/>
      <c r="AW336" s="180"/>
      <c r="AX336" s="180"/>
      <c r="AY336" s="38"/>
      <c r="BB336" s="179"/>
      <c r="BE336" s="180"/>
      <c r="BF336" s="180"/>
      <c r="BG336" s="38"/>
      <c r="BJ336" s="179"/>
      <c r="BM336" s="180"/>
      <c r="BN336" s="180"/>
      <c r="BO336" s="38"/>
      <c r="BR336" s="179"/>
      <c r="BS336" s="4">
        <f>BS332-BS326-BS325</f>
        <v>-534</v>
      </c>
      <c r="BU336" s="180"/>
      <c r="BV336" s="180"/>
      <c r="BW336" s="38"/>
      <c r="BZ336" s="179"/>
      <c r="CC336" s="180"/>
      <c r="CD336" s="180"/>
      <c r="CE336" s="38"/>
      <c r="CH336" s="179"/>
      <c r="CK336" s="180"/>
      <c r="CL336" s="180"/>
      <c r="CM336" s="38"/>
      <c r="CP336" s="179"/>
      <c r="CS336" s="180"/>
      <c r="CT336" s="180"/>
      <c r="CX336" s="179"/>
      <c r="DA336" s="180"/>
      <c r="DB336" s="180"/>
      <c r="DF336" s="179"/>
      <c r="DI336" s="180"/>
      <c r="DJ336" s="180"/>
      <c r="DN336" s="179"/>
      <c r="DQ336" s="180"/>
      <c r="DR336" s="180"/>
      <c r="DV336" s="179"/>
      <c r="DW336" s="1706"/>
      <c r="DY336" s="180"/>
      <c r="DZ336" s="180"/>
      <c r="ED336" s="179"/>
      <c r="EG336" s="180"/>
      <c r="EH336" s="180"/>
      <c r="EL336" s="179"/>
      <c r="EO336" s="180"/>
      <c r="EP336" s="180"/>
      <c r="ET336" s="179"/>
      <c r="EW336" s="180"/>
      <c r="EX336" s="180"/>
      <c r="FB336" s="179"/>
      <c r="FE336" s="180"/>
      <c r="FF336" s="180"/>
    </row>
    <row r="337" spans="1:162" ht="11.25" customHeight="1" x14ac:dyDescent="0.2">
      <c r="B337" s="4" t="s">
        <v>68</v>
      </c>
      <c r="C337" s="38"/>
      <c r="F337" s="179"/>
      <c r="I337" s="180"/>
      <c r="J337" s="180"/>
      <c r="K337" s="38"/>
      <c r="N337" s="179"/>
      <c r="O337" s="4">
        <v>142</v>
      </c>
      <c r="P337" s="4">
        <f>R337-O337</f>
        <v>238</v>
      </c>
      <c r="Q337" s="180"/>
      <c r="R337" s="180">
        <f>Divisional!L124</f>
        <v>380</v>
      </c>
      <c r="S337" s="38"/>
      <c r="V337" s="179"/>
      <c r="W337" s="4">
        <v>247</v>
      </c>
      <c r="X337" s="4">
        <f>Z337-W337</f>
        <v>480</v>
      </c>
      <c r="Y337" s="180"/>
      <c r="Z337" s="180">
        <v>727</v>
      </c>
      <c r="AA337" s="38"/>
      <c r="AD337" s="179"/>
      <c r="AE337" s="4">
        <v>705</v>
      </c>
      <c r="AG337" s="180"/>
      <c r="AH337" s="180">
        <v>929</v>
      </c>
      <c r="AI337" s="38"/>
      <c r="AL337" s="179"/>
      <c r="AM337" s="4">
        <v>698</v>
      </c>
      <c r="AO337" s="180"/>
      <c r="AP337" s="180">
        <f>Divisional!O124</f>
        <v>1158</v>
      </c>
      <c r="AQ337" s="38"/>
      <c r="AT337" s="179"/>
      <c r="AU337" s="4">
        <v>698</v>
      </c>
      <c r="AW337" s="180"/>
      <c r="AX337" s="180">
        <f t="shared" ref="AX337:AX343" si="338">AP337</f>
        <v>1158</v>
      </c>
      <c r="AY337" s="38"/>
      <c r="BB337" s="179"/>
      <c r="BC337" s="4">
        <v>685</v>
      </c>
      <c r="BD337" s="4">
        <f t="shared" ref="BD337:BD342" si="339">BF337-BC337</f>
        <v>646</v>
      </c>
      <c r="BE337" s="180"/>
      <c r="BF337" s="180">
        <f>Divisional!Q124</f>
        <v>1331</v>
      </c>
      <c r="BG337" s="38"/>
      <c r="BJ337" s="179"/>
      <c r="BM337" s="180"/>
      <c r="BN337" s="180"/>
      <c r="BO337" s="38"/>
      <c r="BR337" s="179"/>
      <c r="BU337" s="180"/>
      <c r="BV337" s="180"/>
      <c r="BW337" s="38"/>
      <c r="BZ337" s="179"/>
      <c r="CC337" s="180"/>
      <c r="CD337" s="180"/>
      <c r="CE337" s="38"/>
      <c r="CH337" s="179"/>
      <c r="CK337" s="180"/>
      <c r="CL337" s="180"/>
      <c r="CM337" s="38"/>
      <c r="CP337" s="179"/>
      <c r="CS337" s="180"/>
      <c r="CT337" s="180"/>
      <c r="CX337" s="179"/>
      <c r="DA337" s="180"/>
      <c r="DB337" s="180"/>
      <c r="DF337" s="179"/>
      <c r="DI337" s="180"/>
      <c r="DJ337" s="180"/>
      <c r="DN337" s="179"/>
      <c r="DQ337" s="180"/>
      <c r="DR337" s="180"/>
      <c r="DV337" s="179"/>
      <c r="DW337" s="1706"/>
      <c r="DY337" s="180"/>
      <c r="DZ337" s="180"/>
      <c r="ED337" s="179"/>
      <c r="EG337" s="180"/>
      <c r="EH337" s="180"/>
      <c r="EL337" s="179"/>
      <c r="EO337" s="180"/>
      <c r="EP337" s="180"/>
      <c r="ET337" s="179"/>
      <c r="EW337" s="180"/>
      <c r="EX337" s="180"/>
      <c r="FB337" s="179"/>
      <c r="FE337" s="180"/>
      <c r="FF337" s="180"/>
    </row>
    <row r="338" spans="1:162" ht="11.25" customHeight="1" x14ac:dyDescent="0.2">
      <c r="B338" s="4" t="s">
        <v>69</v>
      </c>
      <c r="C338" s="38"/>
      <c r="F338" s="179"/>
      <c r="I338" s="180"/>
      <c r="J338" s="180"/>
      <c r="K338" s="38"/>
      <c r="N338" s="179"/>
      <c r="O338" s="4">
        <v>-19</v>
      </c>
      <c r="P338" s="4">
        <f>R338-O338</f>
        <v>168</v>
      </c>
      <c r="Q338" s="180"/>
      <c r="R338" s="180">
        <f>Divisional!L127</f>
        <v>149</v>
      </c>
      <c r="S338" s="38"/>
      <c r="V338" s="179"/>
      <c r="W338" s="4">
        <v>-36</v>
      </c>
      <c r="X338" s="4">
        <f>Z338-W338</f>
        <v>189</v>
      </c>
      <c r="Y338" s="180"/>
      <c r="Z338" s="180">
        <v>153</v>
      </c>
      <c r="AA338" s="38"/>
      <c r="AD338" s="179"/>
      <c r="AE338" s="4">
        <v>44</v>
      </c>
      <c r="AG338" s="180"/>
      <c r="AH338" s="180">
        <v>165</v>
      </c>
      <c r="AI338" s="38"/>
      <c r="AL338" s="179"/>
      <c r="AM338" s="4">
        <v>57</v>
      </c>
      <c r="AO338" s="180"/>
      <c r="AP338" s="180">
        <f>Divisional!O127</f>
        <v>328</v>
      </c>
      <c r="AQ338" s="38"/>
      <c r="AT338" s="179"/>
      <c r="AU338" s="4">
        <v>57</v>
      </c>
      <c r="AW338" s="180"/>
      <c r="AX338" s="180">
        <f t="shared" si="338"/>
        <v>328</v>
      </c>
      <c r="AY338" s="38"/>
      <c r="BB338" s="179"/>
      <c r="BC338" s="4">
        <v>71</v>
      </c>
      <c r="BD338" s="4">
        <f t="shared" si="339"/>
        <v>272</v>
      </c>
      <c r="BE338" s="180"/>
      <c r="BF338" s="180">
        <f>Divisional!Q127</f>
        <v>343</v>
      </c>
      <c r="BG338" s="38"/>
      <c r="BJ338" s="179"/>
      <c r="BM338" s="180"/>
      <c r="BN338" s="180"/>
      <c r="BO338" s="38"/>
      <c r="BR338" s="179"/>
      <c r="BU338" s="180"/>
      <c r="BV338" s="180"/>
      <c r="BW338" s="38"/>
      <c r="BZ338" s="179"/>
      <c r="CC338" s="180"/>
      <c r="CD338" s="180"/>
      <c r="CE338" s="38"/>
      <c r="CH338" s="179"/>
      <c r="CK338" s="180"/>
      <c r="CL338" s="180"/>
      <c r="CM338" s="38"/>
      <c r="CP338" s="179"/>
      <c r="CS338" s="180"/>
      <c r="CT338" s="180"/>
      <c r="CX338" s="179"/>
      <c r="DA338" s="180"/>
      <c r="DB338" s="180"/>
      <c r="DF338" s="179"/>
      <c r="DI338" s="180"/>
      <c r="DJ338" s="180"/>
      <c r="DN338" s="179"/>
      <c r="DQ338" s="180"/>
      <c r="DR338" s="180"/>
      <c r="DV338" s="179"/>
      <c r="DW338" s="1706"/>
      <c r="DY338" s="180"/>
      <c r="DZ338" s="180"/>
      <c r="ED338" s="179"/>
      <c r="EG338" s="180"/>
      <c r="EH338" s="180"/>
      <c r="EL338" s="179"/>
      <c r="EO338" s="180"/>
      <c r="EP338" s="180"/>
      <c r="ET338" s="179"/>
      <c r="EW338" s="180"/>
      <c r="EX338" s="180"/>
      <c r="FB338" s="179"/>
      <c r="FE338" s="180"/>
      <c r="FF338" s="180"/>
    </row>
    <row r="339" spans="1:162" ht="11.25" customHeight="1" x14ac:dyDescent="0.2">
      <c r="B339" s="4" t="s">
        <v>81</v>
      </c>
      <c r="C339" s="38"/>
      <c r="F339" s="179"/>
      <c r="I339" s="180"/>
      <c r="J339" s="180"/>
      <c r="K339" s="38"/>
      <c r="N339" s="179"/>
      <c r="Q339" s="180"/>
      <c r="R339" s="180"/>
      <c r="S339" s="38"/>
      <c r="V339" s="179"/>
      <c r="Y339" s="180"/>
      <c r="Z339" s="180"/>
      <c r="AA339" s="38"/>
      <c r="AD339" s="179"/>
      <c r="AG339" s="180"/>
      <c r="AH339" s="180"/>
      <c r="AI339" s="38"/>
      <c r="AL339" s="179"/>
      <c r="AO339" s="180"/>
      <c r="AP339" s="180"/>
      <c r="AQ339" s="38"/>
      <c r="AT339" s="179"/>
      <c r="AW339" s="180"/>
      <c r="AX339" s="180"/>
      <c r="AY339" s="38"/>
      <c r="BB339" s="179"/>
      <c r="BC339" s="4">
        <v>50</v>
      </c>
      <c r="BD339" s="4">
        <f t="shared" si="339"/>
        <v>-43</v>
      </c>
      <c r="BE339" s="180"/>
      <c r="BF339" s="180">
        <f>Divisional!Q128</f>
        <v>7</v>
      </c>
      <c r="BG339" s="38"/>
      <c r="BJ339" s="179"/>
      <c r="BM339" s="180"/>
      <c r="BN339" s="180"/>
      <c r="BO339" s="38"/>
      <c r="BR339" s="179"/>
      <c r="BU339" s="180"/>
      <c r="BV339" s="180"/>
      <c r="BW339" s="38"/>
      <c r="BZ339" s="179"/>
      <c r="CC339" s="180"/>
      <c r="CD339" s="180"/>
      <c r="CE339" s="38"/>
      <c r="CH339" s="179"/>
      <c r="CK339" s="180"/>
      <c r="CL339" s="180"/>
      <c r="CM339" s="38"/>
      <c r="CP339" s="179"/>
      <c r="CS339" s="180"/>
      <c r="CT339" s="180"/>
      <c r="CX339" s="179"/>
      <c r="DA339" s="180"/>
      <c r="DB339" s="180"/>
      <c r="DF339" s="179"/>
      <c r="DI339" s="180"/>
      <c r="DJ339" s="180"/>
      <c r="DN339" s="179"/>
      <c r="DQ339" s="180"/>
      <c r="DR339" s="180"/>
      <c r="DV339" s="179"/>
      <c r="DW339" s="1706"/>
      <c r="DY339" s="180"/>
      <c r="DZ339" s="180"/>
      <c r="ED339" s="179"/>
      <c r="EG339" s="180"/>
      <c r="EH339" s="180"/>
      <c r="EL339" s="179"/>
      <c r="EO339" s="180"/>
      <c r="EP339" s="180"/>
      <c r="ET339" s="179"/>
      <c r="EW339" s="180"/>
      <c r="EX339" s="180"/>
      <c r="FB339" s="179"/>
      <c r="FE339" s="180"/>
      <c r="FF339" s="180"/>
    </row>
    <row r="340" spans="1:162" ht="11.25" customHeight="1" x14ac:dyDescent="0.2">
      <c r="B340" s="4" t="s">
        <v>263</v>
      </c>
      <c r="C340" s="38"/>
      <c r="F340" s="179"/>
      <c r="I340" s="180"/>
      <c r="J340" s="180"/>
      <c r="K340" s="38"/>
      <c r="N340" s="179"/>
      <c r="O340" s="4">
        <v>-22</v>
      </c>
      <c r="P340" s="4">
        <f>R340-O340</f>
        <v>39</v>
      </c>
      <c r="Q340" s="180"/>
      <c r="R340" s="180">
        <f>Divisional!L128</f>
        <v>17</v>
      </c>
      <c r="S340" s="38"/>
      <c r="V340" s="179"/>
      <c r="W340" s="4">
        <v>25</v>
      </c>
      <c r="X340" s="4">
        <f>Z340-W340</f>
        <v>-25</v>
      </c>
      <c r="Y340" s="180"/>
      <c r="Z340" s="180">
        <v>0</v>
      </c>
      <c r="AA340" s="38"/>
      <c r="AD340" s="179"/>
      <c r="AE340" s="4">
        <v>-71</v>
      </c>
      <c r="AG340" s="180"/>
      <c r="AH340" s="180">
        <v>17</v>
      </c>
      <c r="AI340" s="38"/>
      <c r="AL340" s="179"/>
      <c r="AM340" s="4">
        <v>-20</v>
      </c>
      <c r="AO340" s="180"/>
      <c r="AP340" s="180">
        <f>Divisional!O128</f>
        <v>105</v>
      </c>
      <c r="AQ340" s="38"/>
      <c r="AT340" s="179"/>
      <c r="AU340" s="4">
        <v>-20</v>
      </c>
      <c r="AW340" s="180"/>
      <c r="AX340" s="180">
        <f t="shared" si="338"/>
        <v>105</v>
      </c>
      <c r="AY340" s="38"/>
      <c r="BB340" s="179"/>
      <c r="BC340" s="4">
        <v>-46</v>
      </c>
      <c r="BD340" s="4">
        <f t="shared" si="339"/>
        <v>122</v>
      </c>
      <c r="BE340" s="180"/>
      <c r="BF340" s="180">
        <f>Divisional!Q129</f>
        <v>76</v>
      </c>
      <c r="BG340" s="38"/>
      <c r="BJ340" s="179"/>
      <c r="BM340" s="180"/>
      <c r="BN340" s="180"/>
      <c r="BO340" s="38"/>
      <c r="BR340" s="179"/>
      <c r="BU340" s="180"/>
      <c r="BV340" s="180"/>
      <c r="BW340" s="38"/>
      <c r="BZ340" s="179"/>
      <c r="CC340" s="180"/>
      <c r="CD340" s="180"/>
      <c r="CE340" s="38"/>
      <c r="CH340" s="179"/>
      <c r="CK340" s="180"/>
      <c r="CL340" s="180"/>
      <c r="CM340" s="38"/>
      <c r="CP340" s="179"/>
      <c r="CS340" s="180"/>
      <c r="CT340" s="180"/>
      <c r="CX340" s="179"/>
      <c r="DA340" s="180"/>
      <c r="DB340" s="180"/>
      <c r="DF340" s="179"/>
      <c r="DI340" s="180"/>
      <c r="DJ340" s="180"/>
      <c r="DN340" s="179"/>
      <c r="DQ340" s="180"/>
      <c r="DR340" s="180"/>
      <c r="DV340" s="179"/>
      <c r="DW340" s="1706"/>
      <c r="DY340" s="180"/>
      <c r="DZ340" s="180"/>
      <c r="ED340" s="179"/>
      <c r="EG340" s="180"/>
      <c r="EH340" s="180"/>
      <c r="EL340" s="179"/>
      <c r="EO340" s="180"/>
      <c r="EP340" s="180"/>
      <c r="ET340" s="179"/>
      <c r="EW340" s="180"/>
      <c r="EX340" s="180"/>
      <c r="FB340" s="179"/>
      <c r="FE340" s="180"/>
      <c r="FF340" s="180"/>
    </row>
    <row r="341" spans="1:162" ht="11.25" customHeight="1" x14ac:dyDescent="0.2">
      <c r="B341" s="4" t="s">
        <v>82</v>
      </c>
      <c r="C341" s="38"/>
      <c r="F341" s="179"/>
      <c r="I341" s="180"/>
      <c r="J341" s="180"/>
      <c r="K341" s="38"/>
      <c r="N341" s="179"/>
      <c r="O341" s="4">
        <v>31</v>
      </c>
      <c r="P341" s="4">
        <f>R341-O341</f>
        <v>66</v>
      </c>
      <c r="Q341" s="180"/>
      <c r="R341" s="180">
        <f>Divisional!L130</f>
        <v>97</v>
      </c>
      <c r="S341" s="38"/>
      <c r="V341" s="179"/>
      <c r="W341" s="4">
        <v>-66</v>
      </c>
      <c r="X341" s="4">
        <f>Z341-W341</f>
        <v>111</v>
      </c>
      <c r="Y341" s="180"/>
      <c r="Z341" s="180">
        <v>45</v>
      </c>
      <c r="AA341" s="38"/>
      <c r="AD341" s="179"/>
      <c r="AE341" s="4">
        <v>-29</v>
      </c>
      <c r="AG341" s="180"/>
      <c r="AH341" s="180"/>
      <c r="AI341" s="38"/>
      <c r="AL341" s="179"/>
      <c r="AO341" s="180"/>
      <c r="AP341" s="180"/>
      <c r="AQ341" s="38"/>
      <c r="AT341" s="179"/>
      <c r="AW341" s="180"/>
      <c r="AX341" s="180">
        <f t="shared" si="338"/>
        <v>0</v>
      </c>
      <c r="AY341" s="38"/>
      <c r="BB341" s="179"/>
      <c r="BD341" s="4">
        <f t="shared" si="339"/>
        <v>0</v>
      </c>
      <c r="BE341" s="180"/>
      <c r="BF341" s="180">
        <f>Divisional!Q130</f>
        <v>0</v>
      </c>
      <c r="BG341" s="38"/>
      <c r="BJ341" s="179"/>
      <c r="BM341" s="180"/>
      <c r="BN341" s="180"/>
      <c r="BO341" s="38"/>
      <c r="BR341" s="179"/>
      <c r="BU341" s="180"/>
      <c r="BV341" s="180"/>
      <c r="BW341" s="38"/>
      <c r="BZ341" s="179"/>
      <c r="CC341" s="180"/>
      <c r="CD341" s="180"/>
      <c r="CE341" s="38"/>
      <c r="CH341" s="179"/>
      <c r="CK341" s="180"/>
      <c r="CL341" s="180"/>
      <c r="CM341" s="38"/>
      <c r="CP341" s="179"/>
      <c r="CS341" s="180"/>
      <c r="CT341" s="180"/>
      <c r="CX341" s="179"/>
      <c r="DA341" s="180"/>
      <c r="DB341" s="180"/>
      <c r="DF341" s="179"/>
      <c r="DI341" s="180"/>
      <c r="DJ341" s="180"/>
      <c r="DN341" s="179"/>
      <c r="DQ341" s="180"/>
      <c r="DR341" s="180"/>
      <c r="DV341" s="179"/>
      <c r="DW341" s="1706"/>
      <c r="DY341" s="180"/>
      <c r="DZ341" s="180"/>
      <c r="ED341" s="179"/>
      <c r="EG341" s="180"/>
      <c r="EH341" s="180"/>
      <c r="EL341" s="179"/>
      <c r="EO341" s="180"/>
      <c r="EP341" s="180"/>
      <c r="ET341" s="179"/>
      <c r="EW341" s="180"/>
      <c r="EX341" s="180"/>
      <c r="FB341" s="179"/>
      <c r="FE341" s="180"/>
      <c r="FF341" s="180"/>
    </row>
    <row r="342" spans="1:162" ht="11.25" customHeight="1" x14ac:dyDescent="0.2">
      <c r="B342" s="4" t="s">
        <v>265</v>
      </c>
      <c r="C342" s="38"/>
      <c r="F342" s="179"/>
      <c r="I342" s="180"/>
      <c r="J342" s="180"/>
      <c r="K342" s="38"/>
      <c r="N342" s="179"/>
      <c r="O342" s="4">
        <v>-91</v>
      </c>
      <c r="P342" s="4">
        <f>R342-O342</f>
        <v>188</v>
      </c>
      <c r="Q342" s="180"/>
      <c r="R342" s="180">
        <f>Divisional!L131</f>
        <v>97</v>
      </c>
      <c r="S342" s="38"/>
      <c r="V342" s="179"/>
      <c r="W342" s="4">
        <v>-74</v>
      </c>
      <c r="X342" s="4">
        <f>Z342-W342</f>
        <v>123</v>
      </c>
      <c r="Y342" s="180"/>
      <c r="Z342" s="180">
        <v>49</v>
      </c>
      <c r="AA342" s="38"/>
      <c r="AD342" s="179"/>
      <c r="AE342" s="4">
        <v>-83</v>
      </c>
      <c r="AG342" s="180"/>
      <c r="AH342" s="180">
        <v>-20</v>
      </c>
      <c r="AI342" s="38"/>
      <c r="AL342" s="179"/>
      <c r="AM342" s="4">
        <v>-69</v>
      </c>
      <c r="AO342" s="180"/>
      <c r="AP342" s="180">
        <f>Divisional!O131</f>
        <v>-153</v>
      </c>
      <c r="AQ342" s="38"/>
      <c r="AT342" s="179"/>
      <c r="AU342" s="4">
        <v>-69</v>
      </c>
      <c r="AW342" s="180"/>
      <c r="AX342" s="180">
        <f t="shared" si="338"/>
        <v>-153</v>
      </c>
      <c r="AY342" s="38"/>
      <c r="BB342" s="179"/>
      <c r="BC342" s="4">
        <v>60</v>
      </c>
      <c r="BD342" s="4">
        <f t="shared" si="339"/>
        <v>-36</v>
      </c>
      <c r="BE342" s="180"/>
      <c r="BF342" s="180">
        <f>Divisional!Q131</f>
        <v>24</v>
      </c>
      <c r="BG342" s="38"/>
      <c r="BJ342" s="179"/>
      <c r="BM342" s="180"/>
      <c r="BN342" s="180"/>
      <c r="BO342" s="38"/>
      <c r="BR342" s="179"/>
      <c r="BU342" s="180"/>
      <c r="BV342" s="180"/>
      <c r="BW342" s="38"/>
      <c r="BZ342" s="179"/>
      <c r="CC342" s="180"/>
      <c r="CD342" s="180"/>
      <c r="CE342" s="38"/>
      <c r="CH342" s="179"/>
      <c r="CK342" s="180"/>
      <c r="CL342" s="180"/>
      <c r="CM342" s="38"/>
      <c r="CP342" s="179"/>
      <c r="CS342" s="180"/>
      <c r="CT342" s="180"/>
      <c r="CX342" s="179"/>
      <c r="DA342" s="180"/>
      <c r="DB342" s="180"/>
      <c r="DF342" s="179"/>
      <c r="DI342" s="180"/>
      <c r="DJ342" s="180"/>
      <c r="DN342" s="179"/>
      <c r="DQ342" s="180"/>
      <c r="DR342" s="180"/>
      <c r="DV342" s="179"/>
      <c r="DW342" s="1706"/>
      <c r="DY342" s="180"/>
      <c r="DZ342" s="180"/>
      <c r="ED342" s="179"/>
      <c r="EG342" s="180"/>
      <c r="EH342" s="180"/>
      <c r="EL342" s="179"/>
      <c r="EO342" s="180"/>
      <c r="EP342" s="180"/>
      <c r="ET342" s="179"/>
      <c r="EW342" s="180"/>
      <c r="EX342" s="180"/>
      <c r="FB342" s="179"/>
      <c r="FE342" s="180"/>
      <c r="FF342" s="180"/>
    </row>
    <row r="343" spans="1:162" ht="11.25" customHeight="1" x14ac:dyDescent="0.2">
      <c r="A343" s="186" t="s">
        <v>112</v>
      </c>
      <c r="C343" s="38"/>
      <c r="F343" s="179"/>
      <c r="I343" s="180"/>
      <c r="J343" s="180"/>
      <c r="K343" s="38"/>
      <c r="N343" s="179"/>
      <c r="O343" s="4">
        <f>SUM(O337:O342)</f>
        <v>41</v>
      </c>
      <c r="P343" s="4">
        <f>SUM(P337:P342)</f>
        <v>699</v>
      </c>
      <c r="Q343" s="180"/>
      <c r="R343" s="180">
        <f>SUM(R337:R342)</f>
        <v>740</v>
      </c>
      <c r="S343" s="38"/>
      <c r="V343" s="179"/>
      <c r="W343" s="4">
        <f>SUM(W337:W342)</f>
        <v>96</v>
      </c>
      <c r="X343" s="4">
        <f>SUM(X337:X342)</f>
        <v>878</v>
      </c>
      <c r="Y343" s="180"/>
      <c r="Z343" s="180">
        <f>SUM(Z337:Z342)</f>
        <v>974</v>
      </c>
      <c r="AA343" s="38"/>
      <c r="AD343" s="179"/>
      <c r="AE343" s="4">
        <f>SUM(AE337:AE342)</f>
        <v>566</v>
      </c>
      <c r="AG343" s="180"/>
      <c r="AH343" s="180">
        <f>SUM(AH337:AH342)</f>
        <v>1091</v>
      </c>
      <c r="AI343" s="38"/>
      <c r="AL343" s="179"/>
      <c r="AM343" s="4">
        <f>SUM(AM337:AM342)</f>
        <v>666</v>
      </c>
      <c r="AO343" s="180"/>
      <c r="AP343" s="180">
        <f>SUM(AP337:AP342)</f>
        <v>1438</v>
      </c>
      <c r="AQ343" s="38"/>
      <c r="AT343" s="179"/>
      <c r="AU343" s="4">
        <f>SUM(AU337:AU342)</f>
        <v>666</v>
      </c>
      <c r="AW343" s="180"/>
      <c r="AX343" s="180">
        <f t="shared" si="338"/>
        <v>1438</v>
      </c>
      <c r="AY343" s="38"/>
      <c r="BB343" s="179"/>
      <c r="BC343" s="4">
        <f>SUM(BC337:BC342)</f>
        <v>820</v>
      </c>
      <c r="BD343" s="4">
        <f>SUM(BD337:BD342)</f>
        <v>961</v>
      </c>
      <c r="BE343" s="180"/>
      <c r="BF343" s="180">
        <f>SUM(BF337:BF342)</f>
        <v>1781</v>
      </c>
      <c r="BG343" s="38"/>
      <c r="BJ343" s="179"/>
      <c r="BM343" s="180"/>
      <c r="BN343" s="180"/>
      <c r="BO343" s="38"/>
      <c r="BR343" s="179"/>
      <c r="BU343" s="180"/>
      <c r="BV343" s="180"/>
      <c r="BW343" s="38"/>
      <c r="BZ343" s="179"/>
      <c r="CC343" s="180"/>
      <c r="CD343" s="180"/>
      <c r="CE343" s="38"/>
      <c r="CH343" s="179"/>
      <c r="CK343" s="180"/>
      <c r="CL343" s="180"/>
      <c r="CM343" s="38"/>
      <c r="CP343" s="179"/>
      <c r="CS343" s="180"/>
      <c r="CT343" s="180"/>
      <c r="CX343" s="179"/>
      <c r="DA343" s="180"/>
      <c r="DB343" s="180"/>
      <c r="DF343" s="179"/>
      <c r="DI343" s="180"/>
      <c r="DJ343" s="180"/>
      <c r="DN343" s="179"/>
      <c r="DQ343" s="180"/>
      <c r="DR343" s="180"/>
      <c r="DV343" s="179"/>
      <c r="DW343" s="1706"/>
      <c r="DY343" s="180"/>
      <c r="DZ343" s="180"/>
      <c r="ED343" s="179"/>
      <c r="EG343" s="180"/>
      <c r="EH343" s="180"/>
      <c r="EL343" s="179"/>
      <c r="EO343" s="180"/>
      <c r="EP343" s="180"/>
      <c r="ET343" s="179"/>
      <c r="EW343" s="180"/>
      <c r="EX343" s="180"/>
      <c r="FB343" s="179"/>
      <c r="FE343" s="180"/>
      <c r="FF343" s="180"/>
    </row>
    <row r="344" spans="1:162" ht="11.25" customHeight="1" x14ac:dyDescent="0.2">
      <c r="C344" s="38"/>
      <c r="F344" s="179"/>
      <c r="I344" s="180"/>
      <c r="J344" s="180"/>
      <c r="K344" s="38"/>
      <c r="N344" s="179"/>
      <c r="Q344" s="180"/>
      <c r="R344" s="180"/>
      <c r="S344" s="38"/>
      <c r="V344" s="179"/>
      <c r="Y344" s="180"/>
      <c r="Z344" s="180"/>
      <c r="AA344" s="38"/>
      <c r="AD344" s="179"/>
      <c r="AG344" s="180"/>
      <c r="AH344" s="180"/>
      <c r="AI344" s="38"/>
      <c r="AL344" s="179"/>
      <c r="AO344" s="180"/>
      <c r="AP344" s="180"/>
      <c r="AQ344" s="38"/>
      <c r="AT344" s="179"/>
      <c r="AW344" s="180"/>
      <c r="AX344" s="180"/>
      <c r="AY344" s="38"/>
      <c r="BB344" s="179"/>
      <c r="BE344" s="180"/>
      <c r="BF344" s="180"/>
      <c r="BG344" s="38"/>
      <c r="BJ344" s="179"/>
      <c r="BM344" s="180"/>
      <c r="BN344" s="180"/>
      <c r="BO344" s="38"/>
      <c r="BR344" s="179"/>
      <c r="BU344" s="180"/>
      <c r="BV344" s="180"/>
      <c r="BW344" s="38"/>
      <c r="BZ344" s="179"/>
      <c r="CC344" s="180"/>
      <c r="CD344" s="180"/>
      <c r="CE344" s="38"/>
      <c r="CH344" s="179"/>
      <c r="CK344" s="180"/>
      <c r="CL344" s="180"/>
      <c r="CM344" s="38"/>
      <c r="CP344" s="179"/>
      <c r="CS344" s="180"/>
      <c r="CT344" s="180"/>
      <c r="CX344" s="179"/>
      <c r="DA344" s="180"/>
      <c r="DB344" s="180"/>
      <c r="DF344" s="179"/>
      <c r="DI344" s="180"/>
      <c r="DJ344" s="180"/>
      <c r="DN344" s="179"/>
      <c r="DQ344" s="180"/>
      <c r="DR344" s="180"/>
      <c r="DV344" s="179"/>
      <c r="DW344" s="1706"/>
      <c r="DY344" s="180"/>
      <c r="DZ344" s="180"/>
      <c r="ED344" s="179"/>
      <c r="EG344" s="180"/>
      <c r="EH344" s="180"/>
      <c r="EL344" s="179"/>
      <c r="EO344" s="180"/>
      <c r="EP344" s="180"/>
      <c r="ET344" s="179"/>
      <c r="EW344" s="180"/>
      <c r="EX344" s="180"/>
      <c r="FB344" s="179"/>
      <c r="FE344" s="180"/>
      <c r="FF344" s="180"/>
    </row>
    <row r="345" spans="1:162" ht="11.25" customHeight="1" x14ac:dyDescent="0.2">
      <c r="C345" s="38"/>
      <c r="F345" s="179"/>
      <c r="I345" s="180"/>
      <c r="J345" s="180"/>
      <c r="K345" s="38"/>
      <c r="N345" s="179"/>
      <c r="Q345" s="180"/>
      <c r="R345" s="180"/>
      <c r="S345" s="38"/>
      <c r="V345" s="179"/>
      <c r="Y345" s="180"/>
      <c r="Z345" s="180"/>
      <c r="AA345" s="38"/>
      <c r="AD345" s="179"/>
      <c r="AG345" s="180"/>
      <c r="AH345" s="180"/>
      <c r="AI345" s="38"/>
      <c r="AL345" s="179"/>
      <c r="AO345" s="180"/>
      <c r="AP345" s="180"/>
      <c r="AQ345" s="38"/>
      <c r="AT345" s="179"/>
      <c r="AW345" s="180"/>
      <c r="AX345" s="180"/>
      <c r="AY345" s="38"/>
      <c r="BB345" s="179"/>
      <c r="BE345" s="180"/>
      <c r="BF345" s="180"/>
      <c r="BG345" s="38"/>
      <c r="BJ345" s="179"/>
      <c r="BM345" s="180"/>
      <c r="BN345" s="180"/>
      <c r="BO345" s="38"/>
      <c r="BR345" s="179"/>
      <c r="BU345" s="180"/>
      <c r="BV345" s="180"/>
      <c r="BW345" s="38"/>
      <c r="BZ345" s="179"/>
      <c r="CC345" s="180"/>
      <c r="CD345" s="180"/>
      <c r="CE345" s="38"/>
      <c r="CH345" s="179"/>
      <c r="CK345" s="180"/>
      <c r="CL345" s="180"/>
      <c r="CM345" s="38"/>
      <c r="CP345" s="179"/>
      <c r="CS345" s="180"/>
      <c r="CT345" s="180"/>
      <c r="CX345" s="179"/>
      <c r="DA345" s="180"/>
      <c r="DB345" s="180"/>
      <c r="DF345" s="179"/>
      <c r="DI345" s="180"/>
      <c r="DJ345" s="180"/>
      <c r="DN345" s="179"/>
      <c r="DQ345" s="180"/>
      <c r="DR345" s="180"/>
      <c r="DV345" s="179"/>
      <c r="DW345" s="1706"/>
      <c r="DY345" s="180"/>
      <c r="DZ345" s="180"/>
      <c r="ED345" s="179"/>
      <c r="EG345" s="180"/>
      <c r="EH345" s="180"/>
      <c r="EL345" s="179"/>
      <c r="EO345" s="180"/>
      <c r="EP345" s="180"/>
      <c r="ET345" s="179"/>
      <c r="EW345" s="180"/>
      <c r="EX345" s="180"/>
      <c r="FB345" s="179"/>
      <c r="FE345" s="180"/>
      <c r="FF345" s="180"/>
    </row>
    <row r="346" spans="1:162" ht="11.25" customHeight="1" x14ac:dyDescent="0.2">
      <c r="B346" s="197" t="s">
        <v>68</v>
      </c>
      <c r="C346" s="38"/>
      <c r="F346" s="179"/>
      <c r="I346" s="180"/>
      <c r="J346" s="180"/>
      <c r="K346" s="38"/>
      <c r="N346" s="179"/>
      <c r="Q346" s="180"/>
      <c r="R346" s="180"/>
      <c r="S346" s="38"/>
      <c r="V346" s="179"/>
      <c r="Y346" s="180"/>
      <c r="Z346" s="180"/>
      <c r="AA346" s="38"/>
      <c r="AD346" s="179"/>
      <c r="AG346" s="180"/>
      <c r="AH346" s="180"/>
      <c r="AI346" s="38"/>
      <c r="AL346" s="179"/>
      <c r="AO346" s="180"/>
      <c r="AP346" s="180"/>
      <c r="AQ346" s="38"/>
      <c r="AT346" s="179"/>
      <c r="AW346" s="180"/>
      <c r="AX346" s="180"/>
      <c r="AY346" s="38"/>
      <c r="BB346" s="179"/>
      <c r="BE346" s="180"/>
      <c r="BF346" s="180"/>
      <c r="BG346" s="38"/>
      <c r="BJ346" s="179"/>
      <c r="BK346" s="4">
        <v>687</v>
      </c>
      <c r="BL346" s="4">
        <f>BN346-BK346</f>
        <v>731</v>
      </c>
      <c r="BM346" s="180"/>
      <c r="BN346" s="180">
        <v>1418</v>
      </c>
      <c r="BO346" s="38"/>
      <c r="BR346" s="179"/>
      <c r="BS346" s="4">
        <v>639</v>
      </c>
      <c r="BT346" s="4">
        <f>BV346-BS346</f>
        <v>486</v>
      </c>
      <c r="BU346" s="180"/>
      <c r="BV346" s="180">
        <v>1125</v>
      </c>
      <c r="BW346" s="38"/>
      <c r="BZ346" s="179"/>
      <c r="CA346" s="4">
        <v>837</v>
      </c>
      <c r="CB346" s="4">
        <f>CD346-CA346</f>
        <v>-41</v>
      </c>
      <c r="CC346" s="180"/>
      <c r="CD346" s="180">
        <f>Divisional!T124</f>
        <v>796</v>
      </c>
      <c r="CE346" s="38"/>
      <c r="CH346" s="179"/>
      <c r="CI346" s="4">
        <v>591</v>
      </c>
      <c r="CJ346" s="4">
        <f>CL346-CI346</f>
        <v>740</v>
      </c>
      <c r="CK346" s="180"/>
      <c r="CL346" s="180">
        <v>1331</v>
      </c>
      <c r="CM346" s="38"/>
      <c r="CP346" s="179"/>
      <c r="CQ346" s="4">
        <v>1265</v>
      </c>
      <c r="CR346" s="402">
        <f t="shared" ref="CR346:CR349" si="340">CT346-CQ346</f>
        <v>1183</v>
      </c>
      <c r="CS346" s="180"/>
      <c r="CT346" s="180">
        <v>2448</v>
      </c>
      <c r="CX346" s="179"/>
      <c r="CY346" s="4">
        <v>1498</v>
      </c>
      <c r="CZ346" s="4">
        <f>DB346-CY346</f>
        <v>1202</v>
      </c>
      <c r="DA346" s="180"/>
      <c r="DB346" s="180">
        <v>2700</v>
      </c>
      <c r="DF346" s="179"/>
      <c r="DG346" s="4">
        <f>Propulsion!AK37</f>
        <v>1355</v>
      </c>
      <c r="DH346" s="4">
        <f>DJ346-DG346</f>
        <v>1261</v>
      </c>
      <c r="DI346" s="180"/>
      <c r="DJ346" s="180">
        <f>Propulsion!AN37</f>
        <v>2616</v>
      </c>
      <c r="DN346" s="179"/>
      <c r="DO346" s="4">
        <f>Propulsion!AS37</f>
        <v>1785</v>
      </c>
      <c r="DP346" s="4">
        <f>DR346-DO346</f>
        <v>1008</v>
      </c>
      <c r="DQ346" s="180"/>
      <c r="DR346" s="180">
        <f>Propulsion!AV37</f>
        <v>2793</v>
      </c>
      <c r="DV346" s="179"/>
      <c r="DW346" s="1706">
        <f>Propulsion!BA37</f>
        <v>2348</v>
      </c>
      <c r="DY346" s="180"/>
      <c r="DZ346" s="180"/>
      <c r="ED346" s="179"/>
      <c r="EG346" s="180"/>
      <c r="EH346" s="180"/>
      <c r="EL346" s="179"/>
      <c r="EO346" s="180"/>
      <c r="EP346" s="180"/>
      <c r="ET346" s="179"/>
      <c r="EW346" s="180"/>
      <c r="EX346" s="180"/>
      <c r="FB346" s="179"/>
      <c r="FE346" s="180"/>
      <c r="FF346" s="180"/>
    </row>
    <row r="347" spans="1:162" ht="11.25" customHeight="1" x14ac:dyDescent="0.2">
      <c r="B347" s="197" t="s">
        <v>79</v>
      </c>
      <c r="C347" s="38"/>
      <c r="F347" s="179"/>
      <c r="I347" s="180"/>
      <c r="J347" s="180"/>
      <c r="K347" s="38"/>
      <c r="N347" s="179"/>
      <c r="Q347" s="180"/>
      <c r="R347" s="180"/>
      <c r="S347" s="38"/>
      <c r="V347" s="179"/>
      <c r="Y347" s="180"/>
      <c r="Z347" s="180"/>
      <c r="AA347" s="38"/>
      <c r="AD347" s="179"/>
      <c r="AG347" s="180"/>
      <c r="AH347" s="180"/>
      <c r="AI347" s="38"/>
      <c r="AL347" s="179"/>
      <c r="AO347" s="180"/>
      <c r="AP347" s="180"/>
      <c r="AQ347" s="38"/>
      <c r="AT347" s="179"/>
      <c r="AW347" s="180"/>
      <c r="AX347" s="180"/>
      <c r="AY347" s="38"/>
      <c r="BB347" s="179"/>
      <c r="BE347" s="180"/>
      <c r="BF347" s="180"/>
      <c r="BG347" s="38"/>
      <c r="BJ347" s="179"/>
      <c r="BK347" s="4">
        <v>103</v>
      </c>
      <c r="BL347" s="4">
        <f>BN347-BK347</f>
        <v>303</v>
      </c>
      <c r="BM347" s="180"/>
      <c r="BN347" s="180">
        <v>406</v>
      </c>
      <c r="BO347" s="38"/>
      <c r="BR347" s="179"/>
      <c r="BS347" s="4">
        <v>196</v>
      </c>
      <c r="BT347" s="4">
        <f>BV347-BS347</f>
        <v>510</v>
      </c>
      <c r="BU347" s="180"/>
      <c r="BV347" s="180">
        <v>706</v>
      </c>
      <c r="BW347" s="38"/>
      <c r="BZ347" s="179"/>
      <c r="CA347" s="4">
        <v>382</v>
      </c>
      <c r="CB347" s="4">
        <f>CD347-CA347</f>
        <v>429</v>
      </c>
      <c r="CC347" s="180"/>
      <c r="CD347" s="180">
        <f>Divisional!T125</f>
        <v>811</v>
      </c>
      <c r="CE347" s="38"/>
      <c r="CH347" s="179"/>
      <c r="CI347" s="4">
        <v>320</v>
      </c>
      <c r="CJ347" s="4">
        <f>CL347-CI347</f>
        <v>372</v>
      </c>
      <c r="CK347" s="180"/>
      <c r="CL347" s="180">
        <v>692</v>
      </c>
      <c r="CM347" s="38"/>
      <c r="CP347" s="179"/>
      <c r="CQ347" s="4">
        <v>270</v>
      </c>
      <c r="CR347" s="402">
        <f t="shared" si="340"/>
        <v>337</v>
      </c>
      <c r="CS347" s="180"/>
      <c r="CT347" s="180">
        <v>607</v>
      </c>
      <c r="CX347" s="179"/>
      <c r="CY347" s="4">
        <v>-42</v>
      </c>
      <c r="CZ347" s="4">
        <f t="shared" ref="CZ347:CZ349" si="341">DB347-CY347</f>
        <v>580</v>
      </c>
      <c r="DA347" s="180"/>
      <c r="DB347" s="180">
        <v>538</v>
      </c>
      <c r="DF347" s="179"/>
      <c r="DG347" s="4">
        <f>'Equipment &amp; Defense'!AI33</f>
        <v>105</v>
      </c>
      <c r="DH347" s="4">
        <f t="shared" ref="DH347:DH349" si="342">DJ347-DG347</f>
        <v>464</v>
      </c>
      <c r="DI347" s="180"/>
      <c r="DJ347" s="180">
        <f>'Equipment &amp; Defense'!AL33</f>
        <v>569</v>
      </c>
      <c r="DN347" s="179"/>
      <c r="DO347" s="4">
        <f>'Equipment &amp; Defense'!AQ33</f>
        <v>214</v>
      </c>
      <c r="DP347" s="4">
        <f t="shared" ref="DP347:DP349" si="343">DR347-DO347</f>
        <v>879</v>
      </c>
      <c r="DQ347" s="180"/>
      <c r="DR347" s="180">
        <f>'Equipment &amp; Defense'!AT33</f>
        <v>1093</v>
      </c>
      <c r="DV347" s="179"/>
      <c r="DW347" s="1706">
        <f>'Equipment &amp; Defense'!AY33</f>
        <v>217</v>
      </c>
      <c r="DY347" s="180"/>
      <c r="DZ347" s="180"/>
      <c r="ED347" s="179"/>
      <c r="EG347" s="180"/>
      <c r="EH347" s="180"/>
      <c r="EL347" s="179"/>
      <c r="EO347" s="180"/>
      <c r="EP347" s="180"/>
      <c r="ET347" s="179"/>
      <c r="EW347" s="180"/>
      <c r="EX347" s="180"/>
      <c r="FB347" s="179"/>
      <c r="FE347" s="180"/>
      <c r="FF347" s="180"/>
    </row>
    <row r="348" spans="1:162" ht="11.25" customHeight="1" x14ac:dyDescent="0.2">
      <c r="B348" s="197" t="s">
        <v>70</v>
      </c>
      <c r="C348" s="38"/>
      <c r="F348" s="179"/>
      <c r="I348" s="180"/>
      <c r="J348" s="180"/>
      <c r="K348" s="38"/>
      <c r="N348" s="179"/>
      <c r="Q348" s="180"/>
      <c r="R348" s="180"/>
      <c r="S348" s="38"/>
      <c r="V348" s="179"/>
      <c r="Y348" s="180"/>
      <c r="Z348" s="180"/>
      <c r="AA348" s="38"/>
      <c r="AD348" s="179"/>
      <c r="AG348" s="180"/>
      <c r="AH348" s="180"/>
      <c r="AI348" s="38"/>
      <c r="AL348" s="179"/>
      <c r="AO348" s="180"/>
      <c r="AP348" s="180"/>
      <c r="AQ348" s="38"/>
      <c r="AT348" s="179"/>
      <c r="AW348" s="180"/>
      <c r="AX348" s="180"/>
      <c r="AY348" s="38"/>
      <c r="BB348" s="179"/>
      <c r="BE348" s="180"/>
      <c r="BF348" s="180"/>
      <c r="BG348" s="38"/>
      <c r="BJ348" s="179"/>
      <c r="BK348" s="4">
        <v>-30</v>
      </c>
      <c r="BL348" s="4">
        <f>BN348-BK348</f>
        <v>-37</v>
      </c>
      <c r="BM348" s="180"/>
      <c r="BN348" s="180">
        <v>-67</v>
      </c>
      <c r="BO348" s="38"/>
      <c r="BR348" s="179"/>
      <c r="BS348" s="4">
        <v>-42</v>
      </c>
      <c r="BT348" s="4">
        <f>BV348-BS348</f>
        <v>41</v>
      </c>
      <c r="BU348" s="180"/>
      <c r="BV348" s="180">
        <v>-1</v>
      </c>
      <c r="BW348" s="38"/>
      <c r="BZ348" s="179"/>
      <c r="CA348" s="4">
        <v>-342</v>
      </c>
      <c r="CB348" s="4">
        <f>CD348-CA348</f>
        <v>-35</v>
      </c>
      <c r="CC348" s="180"/>
      <c r="CD348" s="180">
        <f>Divisional!T126</f>
        <v>-377</v>
      </c>
      <c r="CE348" s="38"/>
      <c r="CH348" s="179"/>
      <c r="CI348" s="4">
        <v>-117</v>
      </c>
      <c r="CJ348" s="4">
        <f>CL348-CI348</f>
        <v>-64</v>
      </c>
      <c r="CK348" s="180"/>
      <c r="CL348" s="180">
        <v>-181</v>
      </c>
      <c r="CM348" s="38"/>
      <c r="CP348" s="179"/>
      <c r="CQ348" s="4">
        <v>-219</v>
      </c>
      <c r="CR348" s="402">
        <f t="shared" si="340"/>
        <v>-264</v>
      </c>
      <c r="CS348" s="180"/>
      <c r="CT348" s="180">
        <v>-483</v>
      </c>
      <c r="CX348" s="179"/>
      <c r="CY348" s="4">
        <v>-192</v>
      </c>
      <c r="CZ348" s="4">
        <f t="shared" si="341"/>
        <v>-85</v>
      </c>
      <c r="DA348" s="180"/>
      <c r="DB348" s="180">
        <v>-277</v>
      </c>
      <c r="DF348" s="179"/>
      <c r="DG348" s="4">
        <f>Interiors!T32</f>
        <v>-135</v>
      </c>
      <c r="DH348" s="4">
        <f t="shared" si="342"/>
        <v>3</v>
      </c>
      <c r="DI348" s="180"/>
      <c r="DJ348" s="180">
        <f>Interiors!W32</f>
        <v>-132</v>
      </c>
      <c r="DN348" s="179"/>
      <c r="DO348" s="4">
        <f>Interiors!AB32</f>
        <v>-68</v>
      </c>
      <c r="DP348" s="4">
        <f t="shared" si="343"/>
        <v>77</v>
      </c>
      <c r="DQ348" s="180"/>
      <c r="DR348" s="180">
        <f>Interiors!AE32</f>
        <v>9</v>
      </c>
      <c r="DV348" s="179"/>
      <c r="DW348" s="1706">
        <f>Interiors!AJ32</f>
        <v>-27</v>
      </c>
      <c r="DY348" s="180"/>
      <c r="DZ348" s="180"/>
      <c r="ED348" s="179"/>
      <c r="EG348" s="180"/>
      <c r="EH348" s="180"/>
      <c r="EL348" s="179"/>
      <c r="EO348" s="180"/>
      <c r="EP348" s="180"/>
      <c r="ET348" s="179"/>
      <c r="EW348" s="180"/>
      <c r="EX348" s="180"/>
      <c r="FB348" s="179"/>
      <c r="FE348" s="180"/>
      <c r="FF348" s="180"/>
    </row>
    <row r="349" spans="1:162" ht="11.25" customHeight="1" x14ac:dyDescent="0.2">
      <c r="B349" s="197" t="s">
        <v>265</v>
      </c>
      <c r="C349" s="38"/>
      <c r="F349" s="179"/>
      <c r="I349" s="180"/>
      <c r="J349" s="180"/>
      <c r="K349" s="38"/>
      <c r="N349" s="179"/>
      <c r="Q349" s="180"/>
      <c r="R349" s="180"/>
      <c r="S349" s="38"/>
      <c r="V349" s="179"/>
      <c r="Y349" s="180"/>
      <c r="Z349" s="180"/>
      <c r="AA349" s="38"/>
      <c r="AD349" s="179"/>
      <c r="AG349" s="180"/>
      <c r="AH349" s="180"/>
      <c r="AI349" s="38"/>
      <c r="AL349" s="179"/>
      <c r="AO349" s="180"/>
      <c r="AP349" s="180"/>
      <c r="AQ349" s="38"/>
      <c r="AT349" s="179"/>
      <c r="AW349" s="180"/>
      <c r="AX349" s="180"/>
      <c r="AY349" s="38"/>
      <c r="BB349" s="179"/>
      <c r="BE349" s="180"/>
      <c r="BF349" s="180"/>
      <c r="BG349" s="38"/>
      <c r="BJ349" s="179"/>
      <c r="BK349" s="4">
        <v>60</v>
      </c>
      <c r="BL349" s="4">
        <f>BN349-BK349</f>
        <v>-36</v>
      </c>
      <c r="BM349" s="180"/>
      <c r="BN349" s="180">
        <v>24</v>
      </c>
      <c r="BO349" s="38"/>
      <c r="BR349" s="179"/>
      <c r="BS349" s="4">
        <v>384</v>
      </c>
      <c r="BT349" s="4">
        <f>BV349-BS349</f>
        <v>-231</v>
      </c>
      <c r="BU349" s="180"/>
      <c r="BV349" s="180">
        <v>153</v>
      </c>
      <c r="BW349" s="38"/>
      <c r="BZ349" s="179"/>
      <c r="CA349" s="4">
        <v>24</v>
      </c>
      <c r="CB349" s="4">
        <f>CD349-CA349</f>
        <v>-181</v>
      </c>
      <c r="CC349" s="180"/>
      <c r="CD349" s="180">
        <f>Divisional!T131</f>
        <v>-157</v>
      </c>
      <c r="CE349" s="38"/>
      <c r="CH349" s="179"/>
      <c r="CI349" s="4">
        <v>-93</v>
      </c>
      <c r="CJ349" s="4">
        <f>CL349-CI349</f>
        <v>-69</v>
      </c>
      <c r="CK349" s="180"/>
      <c r="CL349" s="180">
        <v>-162</v>
      </c>
      <c r="CM349" s="38"/>
      <c r="CP349" s="179"/>
      <c r="CQ349" s="4">
        <v>349</v>
      </c>
      <c r="CR349" s="402">
        <f t="shared" si="340"/>
        <v>-255</v>
      </c>
      <c r="CS349" s="180"/>
      <c r="CT349" s="180">
        <v>94</v>
      </c>
      <c r="CX349" s="179"/>
      <c r="CY349" s="4">
        <v>199</v>
      </c>
      <c r="CZ349" s="4">
        <f t="shared" si="341"/>
        <v>-215</v>
      </c>
      <c r="DA349" s="180"/>
      <c r="DB349" s="180">
        <v>-16</v>
      </c>
      <c r="DF349" s="179"/>
      <c r="DG349" s="4">
        <v>138</v>
      </c>
      <c r="DH349" s="4">
        <f t="shared" si="342"/>
        <v>-2</v>
      </c>
      <c r="DI349" s="180"/>
      <c r="DJ349" s="180">
        <v>136</v>
      </c>
      <c r="DN349" s="179"/>
      <c r="DO349" s="4">
        <v>-97</v>
      </c>
      <c r="DP349" s="4">
        <f t="shared" si="343"/>
        <v>123</v>
      </c>
      <c r="DQ349" s="180"/>
      <c r="DR349" s="180">
        <f>3921-DR346-DR347-DR348</f>
        <v>26</v>
      </c>
      <c r="DV349" s="179"/>
      <c r="DW349" s="1706">
        <v>78</v>
      </c>
      <c r="DY349" s="180"/>
      <c r="DZ349" s="180"/>
      <c r="ED349" s="179"/>
      <c r="EG349" s="180"/>
      <c r="EH349" s="180"/>
      <c r="EL349" s="179"/>
      <c r="EO349" s="180"/>
      <c r="EP349" s="180"/>
      <c r="ET349" s="179"/>
      <c r="EW349" s="180"/>
      <c r="EX349" s="180"/>
      <c r="FB349" s="179"/>
      <c r="FE349" s="180"/>
      <c r="FF349" s="180"/>
    </row>
    <row r="350" spans="1:162" ht="11.25" customHeight="1" x14ac:dyDescent="0.2">
      <c r="A350" s="433" t="s">
        <v>112</v>
      </c>
      <c r="B350" s="434"/>
      <c r="C350" s="435"/>
      <c r="D350" s="434"/>
      <c r="E350" s="434"/>
      <c r="F350" s="436"/>
      <c r="G350" s="433"/>
      <c r="H350" s="433"/>
      <c r="I350" s="437"/>
      <c r="J350" s="438"/>
      <c r="K350" s="435"/>
      <c r="L350" s="434"/>
      <c r="M350" s="434"/>
      <c r="N350" s="436"/>
      <c r="O350" s="433"/>
      <c r="P350" s="433"/>
      <c r="Q350" s="437"/>
      <c r="R350" s="438"/>
      <c r="S350" s="435"/>
      <c r="T350" s="434"/>
      <c r="U350" s="434"/>
      <c r="V350" s="436"/>
      <c r="W350" s="433"/>
      <c r="X350" s="433"/>
      <c r="Y350" s="437"/>
      <c r="Z350" s="438"/>
      <c r="AA350" s="435"/>
      <c r="AB350" s="434"/>
      <c r="AC350" s="434"/>
      <c r="AD350" s="436"/>
      <c r="AE350" s="433"/>
      <c r="AF350" s="433"/>
      <c r="AG350" s="437"/>
      <c r="AH350" s="438"/>
      <c r="AI350" s="435"/>
      <c r="AJ350" s="434"/>
      <c r="AK350" s="434"/>
      <c r="AL350" s="436"/>
      <c r="AM350" s="433"/>
      <c r="AN350" s="433"/>
      <c r="AO350" s="437"/>
      <c r="AP350" s="438"/>
      <c r="AQ350" s="435"/>
      <c r="AR350" s="434"/>
      <c r="AS350" s="434"/>
      <c r="AT350" s="436"/>
      <c r="AU350" s="433"/>
      <c r="AV350" s="433"/>
      <c r="AW350" s="437"/>
      <c r="AX350" s="438"/>
      <c r="AY350" s="435"/>
      <c r="AZ350" s="434"/>
      <c r="BA350" s="434"/>
      <c r="BB350" s="436"/>
      <c r="BC350" s="433"/>
      <c r="BD350" s="433"/>
      <c r="BE350" s="437"/>
      <c r="BF350" s="438"/>
      <c r="BG350" s="435"/>
      <c r="BH350" s="434"/>
      <c r="BI350" s="434"/>
      <c r="BJ350" s="436"/>
      <c r="BK350" s="433">
        <f>SUM(BK346:BK349)</f>
        <v>820</v>
      </c>
      <c r="BL350" s="433">
        <f>BN350-BK350</f>
        <v>961</v>
      </c>
      <c r="BM350" s="437"/>
      <c r="BN350" s="438">
        <f>SUM(BN346:BN349)</f>
        <v>1781</v>
      </c>
      <c r="BO350" s="435"/>
      <c r="BP350" s="434"/>
      <c r="BQ350" s="434"/>
      <c r="BR350" s="436"/>
      <c r="BS350" s="433">
        <f>SUM(BS346:BS349)</f>
        <v>1177</v>
      </c>
      <c r="BT350" s="433">
        <f>BV350-BS350</f>
        <v>806</v>
      </c>
      <c r="BU350" s="437"/>
      <c r="BV350" s="438">
        <f>SUM(BV346:BV349)</f>
        <v>1983</v>
      </c>
      <c r="BW350" s="435"/>
      <c r="BX350" s="434"/>
      <c r="BY350" s="434"/>
      <c r="BZ350" s="436"/>
      <c r="CA350" s="433">
        <f>SUM(CA346:CA349)</f>
        <v>901</v>
      </c>
      <c r="CB350" s="433">
        <f>CD350-CA350</f>
        <v>172</v>
      </c>
      <c r="CC350" s="437"/>
      <c r="CD350" s="438">
        <f>SUM(CD346:CD349)</f>
        <v>1073</v>
      </c>
      <c r="CE350" s="435"/>
      <c r="CF350" s="434"/>
      <c r="CG350" s="434"/>
      <c r="CH350" s="436"/>
      <c r="CI350" s="433">
        <f>SUM(CI346:CI349)</f>
        <v>701</v>
      </c>
      <c r="CJ350" s="433">
        <f>CL350-CI350</f>
        <v>979</v>
      </c>
      <c r="CK350" s="437"/>
      <c r="CL350" s="438">
        <f>SUM(CL346:CL349)</f>
        <v>1680</v>
      </c>
      <c r="CM350" s="435"/>
      <c r="CN350" s="434"/>
      <c r="CO350" s="434"/>
      <c r="CP350" s="436"/>
      <c r="CQ350" s="433">
        <f>SUM(CQ346:CQ349)</f>
        <v>1665</v>
      </c>
      <c r="CR350" s="433">
        <f>SUM(CR346:CR349)</f>
        <v>1001</v>
      </c>
      <c r="CS350" s="437"/>
      <c r="CT350" s="438">
        <f>SUM(CT346:CT349)</f>
        <v>2666</v>
      </c>
      <c r="CU350" s="433"/>
      <c r="CV350" s="433"/>
      <c r="CW350" s="433"/>
      <c r="CX350" s="439"/>
      <c r="CY350" s="433">
        <f>SUM(CY346:CY349)</f>
        <v>1463</v>
      </c>
      <c r="CZ350" s="433">
        <f>SUM(CZ346:CZ349)</f>
        <v>1482</v>
      </c>
      <c r="DA350" s="438"/>
      <c r="DB350" s="438">
        <f>SUM(DB346:DB349)</f>
        <v>2945</v>
      </c>
      <c r="DC350" s="433"/>
      <c r="DD350" s="433"/>
      <c r="DE350" s="433"/>
      <c r="DF350" s="439"/>
      <c r="DG350" s="433">
        <f>SUM(DG346:DG349)</f>
        <v>1463</v>
      </c>
      <c r="DH350" s="433">
        <f>SUM(DH346:DH349)</f>
        <v>1726</v>
      </c>
      <c r="DI350" s="438"/>
      <c r="DJ350" s="438">
        <f>SUM(DJ346:DJ349)</f>
        <v>3189</v>
      </c>
      <c r="DK350" s="433"/>
      <c r="DL350" s="433"/>
      <c r="DM350" s="433"/>
      <c r="DN350" s="439"/>
      <c r="DO350" s="433">
        <f>SUM(DO346:DO349)</f>
        <v>1834</v>
      </c>
      <c r="DP350" s="433">
        <f>SUM(DP346:DP349)</f>
        <v>2087</v>
      </c>
      <c r="DQ350" s="438"/>
      <c r="DR350" s="438">
        <f>SUM(DR346:DR349)</f>
        <v>3921</v>
      </c>
      <c r="DS350" s="433"/>
      <c r="DT350" s="433"/>
      <c r="DU350" s="433"/>
      <c r="DV350" s="439"/>
      <c r="DW350" s="1712">
        <f>SUM(DW346:DW349)</f>
        <v>2616</v>
      </c>
      <c r="DX350" s="433"/>
      <c r="DY350" s="438"/>
      <c r="DZ350" s="437"/>
      <c r="EA350" s="433"/>
      <c r="EB350" s="433"/>
      <c r="EC350" s="433"/>
      <c r="ED350" s="439"/>
      <c r="EE350" s="433"/>
      <c r="EF350" s="433"/>
      <c r="EG350" s="438"/>
      <c r="EH350" s="437"/>
      <c r="EI350" s="433"/>
      <c r="EJ350" s="433"/>
      <c r="EK350" s="433"/>
      <c r="EL350" s="439"/>
      <c r="EM350" s="433"/>
      <c r="EN350" s="433"/>
      <c r="EO350" s="438"/>
      <c r="EP350" s="437"/>
      <c r="EQ350" s="433"/>
      <c r="ER350" s="433"/>
      <c r="ES350" s="433"/>
      <c r="ET350" s="439"/>
      <c r="EU350" s="433"/>
      <c r="EV350" s="433"/>
      <c r="EW350" s="438"/>
      <c r="EX350" s="437"/>
      <c r="EY350" s="433"/>
      <c r="EZ350" s="433"/>
      <c r="FA350" s="433"/>
      <c r="FB350" s="439"/>
      <c r="FC350" s="433"/>
      <c r="FD350" s="433"/>
      <c r="FE350" s="438"/>
      <c r="FF350" s="437"/>
    </row>
  </sheetData>
  <pageMargins left="0.7" right="0.7" top="0.75" bottom="0.75" header="0.3" footer="0.3"/>
  <pageSetup paperSize="9" scale="49"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9FC71-4E18-4700-99B0-C0375848715C}">
  <sheetPr codeName="Sheet5">
    <tabColor theme="4"/>
    <pageSetUpPr fitToPage="1"/>
  </sheetPr>
  <dimension ref="A2:AL132"/>
  <sheetViews>
    <sheetView showGridLines="0" zoomScaleNormal="100" workbookViewId="0">
      <pane xSplit="1" ySplit="5" topLeftCell="R6" activePane="bottomRight" state="frozen"/>
      <selection pane="topRight" activeCell="B1" sqref="B1"/>
      <selection pane="bottomLeft" activeCell="A5" sqref="A5"/>
      <selection pane="bottomRight" activeCell="Q6" sqref="Q6"/>
    </sheetView>
  </sheetViews>
  <sheetFormatPr defaultColWidth="8.85546875" defaultRowHeight="15" outlineLevelRow="1" outlineLevelCol="1" x14ac:dyDescent="0.25"/>
  <cols>
    <col min="1" max="1" width="40.42578125" style="4" customWidth="1"/>
    <col min="2" max="7" width="8.28515625" style="4" hidden="1" customWidth="1" outlineLevel="1"/>
    <col min="8" max="8" width="7.7109375" style="4" hidden="1" customWidth="1" outlineLevel="1"/>
    <col min="9" max="9" width="8.28515625" style="4" hidden="1" customWidth="1" outlineLevel="1"/>
    <col min="10" max="16" width="9.42578125" style="4" hidden="1" customWidth="1" outlineLevel="1"/>
    <col min="17" max="17" width="9.42578125" style="4" bestFit="1" customWidth="1" collapsed="1"/>
    <col min="18" max="22" width="9.42578125" style="4" bestFit="1" customWidth="1"/>
    <col min="23" max="23" width="9.42578125" style="4" customWidth="1"/>
    <col min="24" max="28" width="7.140625" style="4" customWidth="1"/>
    <col min="29" max="29" width="4.140625" style="4" customWidth="1"/>
    <col min="30" max="30" width="4.5703125" style="4" customWidth="1"/>
    <col min="31" max="31" width="3.85546875" style="4" customWidth="1"/>
    <col min="32" max="32" width="43" hidden="1" customWidth="1" outlineLevel="1"/>
    <col min="33" max="33" width="7.28515625" hidden="1" customWidth="1" outlineLevel="1"/>
    <col min="34" max="36" width="7.140625" hidden="1" customWidth="1" outlineLevel="1"/>
    <col min="37" max="37" width="7.28515625" hidden="1" customWidth="1" outlineLevel="1"/>
    <col min="38" max="38" width="8.85546875" style="4" collapsed="1"/>
    <col min="39" max="16384" width="8.85546875" style="4"/>
  </cols>
  <sheetData>
    <row r="2" spans="1:37" customFormat="1" ht="11.25" customHeight="1" x14ac:dyDescent="0.25"/>
    <row r="3" spans="1:37" s="444" customFormat="1" x14ac:dyDescent="0.25">
      <c r="A3" s="42" t="s">
        <v>453</v>
      </c>
      <c r="B3" s="440" t="str">
        <f>BS!B58</f>
        <v>OK</v>
      </c>
      <c r="C3" s="440" t="str">
        <f>BS!C58</f>
        <v>OK</v>
      </c>
      <c r="D3" s="440" t="str">
        <f>BS!D58</f>
        <v>OK</v>
      </c>
      <c r="E3" s="440" t="str">
        <f>BS!E58</f>
        <v>OK</v>
      </c>
      <c r="F3" s="440" t="str">
        <f>BS!F58</f>
        <v>OK</v>
      </c>
      <c r="G3" s="440" t="str">
        <f>BS!G58</f>
        <v>OK</v>
      </c>
      <c r="H3" s="440" t="str">
        <f>BS!H58</f>
        <v>OK</v>
      </c>
      <c r="I3" s="440" t="str">
        <f>BS!I58</f>
        <v>OK</v>
      </c>
      <c r="J3" s="440" t="str">
        <f>BS!J58</f>
        <v>OK</v>
      </c>
      <c r="K3" s="441" t="str">
        <f>BS!K58</f>
        <v>OK</v>
      </c>
      <c r="L3" s="441" t="str">
        <f>BS!L58</f>
        <v>OK</v>
      </c>
      <c r="M3" s="441" t="str">
        <f>BS!M58</f>
        <v>OK</v>
      </c>
      <c r="N3" s="441" t="str">
        <f>BS!N58</f>
        <v>OK</v>
      </c>
      <c r="O3" s="441" t="str">
        <f>BS!O58</f>
        <v>OK</v>
      </c>
      <c r="P3" s="441" t="str">
        <f>BS!P58</f>
        <v>OK</v>
      </c>
      <c r="Q3" s="441" t="str">
        <f>BS!Q58</f>
        <v>OK</v>
      </c>
      <c r="R3" s="441" t="str">
        <f>BS!R58</f>
        <v>OK</v>
      </c>
      <c r="S3" s="441" t="str">
        <f>BS!S58</f>
        <v>OK</v>
      </c>
      <c r="T3" s="441" t="str">
        <f>BS!T58</f>
        <v>OK</v>
      </c>
      <c r="U3" s="441" t="str">
        <f>BS!U58</f>
        <v>OK</v>
      </c>
      <c r="V3" s="441" t="str">
        <f>BS!V58</f>
        <v>OK</v>
      </c>
      <c r="W3" s="442" t="str">
        <f>BS!W58</f>
        <v>OK</v>
      </c>
      <c r="X3" s="1625" t="str">
        <f>BS!X58</f>
        <v>OK</v>
      </c>
      <c r="Y3" s="443" t="str">
        <f>BS!Y58</f>
        <v>OK</v>
      </c>
      <c r="Z3" s="443">
        <f>BS!Z58</f>
        <v>1.4551915228366852E-11</v>
      </c>
      <c r="AA3" s="443" t="str">
        <f>BS!AA58</f>
        <v>OK</v>
      </c>
      <c r="AB3" s="443" t="str">
        <f>BS!AB58</f>
        <v>OK</v>
      </c>
      <c r="AF3"/>
      <c r="AG3"/>
      <c r="AH3"/>
      <c r="AI3"/>
      <c r="AJ3"/>
      <c r="AK3"/>
    </row>
    <row r="4" spans="1:37" s="444" customFormat="1" x14ac:dyDescent="0.25">
      <c r="A4" s="162"/>
      <c r="B4" s="440"/>
      <c r="C4" s="440">
        <f t="shared" ref="C4:AB4" si="0">IF(ISERROR(C3-B3),0,+(C3-B3))</f>
        <v>0</v>
      </c>
      <c r="D4" s="445">
        <f t="shared" si="0"/>
        <v>0</v>
      </c>
      <c r="E4" s="445">
        <f t="shared" si="0"/>
        <v>0</v>
      </c>
      <c r="F4" s="445">
        <f t="shared" si="0"/>
        <v>0</v>
      </c>
      <c r="G4" s="445">
        <f t="shared" si="0"/>
        <v>0</v>
      </c>
      <c r="H4" s="445">
        <f t="shared" si="0"/>
        <v>0</v>
      </c>
      <c r="I4" s="445">
        <f t="shared" si="0"/>
        <v>0</v>
      </c>
      <c r="J4" s="445">
        <f t="shared" si="0"/>
        <v>0</v>
      </c>
      <c r="K4" s="445">
        <f t="shared" si="0"/>
        <v>0</v>
      </c>
      <c r="L4" s="445">
        <f t="shared" si="0"/>
        <v>0</v>
      </c>
      <c r="M4" s="445">
        <f t="shared" si="0"/>
        <v>0</v>
      </c>
      <c r="N4" s="445">
        <f t="shared" si="0"/>
        <v>0</v>
      </c>
      <c r="O4" s="445">
        <f t="shared" si="0"/>
        <v>0</v>
      </c>
      <c r="P4" s="445">
        <f t="shared" si="0"/>
        <v>0</v>
      </c>
      <c r="Q4" s="445">
        <f t="shared" si="0"/>
        <v>0</v>
      </c>
      <c r="R4" s="445">
        <f t="shared" si="0"/>
        <v>0</v>
      </c>
      <c r="S4" s="445">
        <f t="shared" si="0"/>
        <v>0</v>
      </c>
      <c r="T4" s="445">
        <f t="shared" si="0"/>
        <v>0</v>
      </c>
      <c r="U4" s="445">
        <f t="shared" si="0"/>
        <v>0</v>
      </c>
      <c r="V4" s="445">
        <f t="shared" si="0"/>
        <v>0</v>
      </c>
      <c r="W4" s="446">
        <f t="shared" si="0"/>
        <v>0</v>
      </c>
      <c r="X4" s="1626">
        <f t="shared" si="0"/>
        <v>0</v>
      </c>
      <c r="Y4" s="447">
        <f t="shared" si="0"/>
        <v>0</v>
      </c>
      <c r="Z4" s="447">
        <f t="shared" si="0"/>
        <v>0</v>
      </c>
      <c r="AA4" s="447">
        <f t="shared" si="0"/>
        <v>0</v>
      </c>
      <c r="AB4" s="447">
        <f t="shared" si="0"/>
        <v>0</v>
      </c>
      <c r="AF4"/>
      <c r="AG4"/>
      <c r="AH4"/>
      <c r="AI4"/>
      <c r="AJ4"/>
      <c r="AK4"/>
    </row>
    <row r="5" spans="1:37" x14ac:dyDescent="0.25">
      <c r="A5" s="448" t="s">
        <v>454</v>
      </c>
      <c r="B5" s="449">
        <v>2004</v>
      </c>
      <c r="C5" s="449">
        <f t="shared" ref="C5:AB5" si="1">B5+1</f>
        <v>2005</v>
      </c>
      <c r="D5" s="449">
        <f t="shared" si="1"/>
        <v>2006</v>
      </c>
      <c r="E5" s="449">
        <f t="shared" si="1"/>
        <v>2007</v>
      </c>
      <c r="F5" s="449">
        <f t="shared" si="1"/>
        <v>2008</v>
      </c>
      <c r="G5" s="449">
        <f t="shared" si="1"/>
        <v>2009</v>
      </c>
      <c r="H5" s="449">
        <f t="shared" si="1"/>
        <v>2010</v>
      </c>
      <c r="I5" s="449">
        <f t="shared" si="1"/>
        <v>2011</v>
      </c>
      <c r="J5" s="449">
        <f t="shared" si="1"/>
        <v>2012</v>
      </c>
      <c r="K5" s="449">
        <f t="shared" si="1"/>
        <v>2013</v>
      </c>
      <c r="L5" s="449">
        <f t="shared" si="1"/>
        <v>2014</v>
      </c>
      <c r="M5" s="449">
        <f t="shared" si="1"/>
        <v>2015</v>
      </c>
      <c r="N5" s="449">
        <f t="shared" si="1"/>
        <v>2016</v>
      </c>
      <c r="O5" s="449">
        <f t="shared" si="1"/>
        <v>2017</v>
      </c>
      <c r="P5" s="449">
        <f t="shared" si="1"/>
        <v>2018</v>
      </c>
      <c r="Q5" s="449">
        <f t="shared" si="1"/>
        <v>2019</v>
      </c>
      <c r="R5" s="449">
        <f t="shared" si="1"/>
        <v>2020</v>
      </c>
      <c r="S5" s="449">
        <f t="shared" si="1"/>
        <v>2021</v>
      </c>
      <c r="T5" s="449">
        <f t="shared" si="1"/>
        <v>2022</v>
      </c>
      <c r="U5" s="449">
        <f t="shared" si="1"/>
        <v>2023</v>
      </c>
      <c r="V5" s="449">
        <f t="shared" si="1"/>
        <v>2024</v>
      </c>
      <c r="W5" s="450">
        <f t="shared" si="1"/>
        <v>2025</v>
      </c>
      <c r="X5" s="1627">
        <f t="shared" si="1"/>
        <v>2026</v>
      </c>
      <c r="Y5" s="7">
        <f t="shared" si="1"/>
        <v>2027</v>
      </c>
      <c r="Z5" s="7">
        <f t="shared" si="1"/>
        <v>2028</v>
      </c>
      <c r="AA5" s="7">
        <f t="shared" si="1"/>
        <v>2029</v>
      </c>
      <c r="AB5" s="7">
        <f t="shared" si="1"/>
        <v>2030</v>
      </c>
    </row>
    <row r="6" spans="1:37" x14ac:dyDescent="0.25">
      <c r="B6" s="36"/>
      <c r="C6" s="36"/>
      <c r="D6" s="36"/>
      <c r="E6" s="36"/>
      <c r="F6" s="36"/>
      <c r="G6" s="36"/>
      <c r="H6" s="36"/>
      <c r="I6" s="36"/>
      <c r="J6" s="36"/>
      <c r="K6" s="451"/>
      <c r="L6" s="36"/>
      <c r="M6" s="36"/>
      <c r="N6" s="36"/>
      <c r="O6" s="452" t="s">
        <v>455</v>
      </c>
      <c r="P6" s="452" t="s">
        <v>74</v>
      </c>
      <c r="Q6" s="452" t="s">
        <v>74</v>
      </c>
      <c r="R6" s="452" t="s">
        <v>74</v>
      </c>
      <c r="S6" s="452" t="s">
        <v>74</v>
      </c>
      <c r="T6" s="452" t="s">
        <v>74</v>
      </c>
      <c r="U6" s="452" t="s">
        <v>74</v>
      </c>
      <c r="V6" s="452" t="s">
        <v>74</v>
      </c>
      <c r="W6" s="453" t="str">
        <f t="shared" ref="W6:AB6" si="2">V6</f>
        <v>IFRS 15</v>
      </c>
      <c r="X6" s="1658" t="str">
        <f t="shared" si="2"/>
        <v>IFRS 15</v>
      </c>
      <c r="Y6" s="452" t="str">
        <f t="shared" si="2"/>
        <v>IFRS 15</v>
      </c>
      <c r="Z6" s="452" t="str">
        <f t="shared" si="2"/>
        <v>IFRS 15</v>
      </c>
      <c r="AA6" s="452" t="str">
        <f t="shared" si="2"/>
        <v>IFRS 15</v>
      </c>
      <c r="AB6" s="452" t="str">
        <f t="shared" si="2"/>
        <v>IFRS 15</v>
      </c>
    </row>
    <row r="7" spans="1:37" x14ac:dyDescent="0.25">
      <c r="A7" s="454" t="s">
        <v>456</v>
      </c>
      <c r="B7" s="455"/>
      <c r="C7" s="455"/>
      <c r="D7" s="455"/>
      <c r="E7" s="455">
        <v>2007</v>
      </c>
      <c r="F7" s="455">
        <f t="shared" ref="F7:AB7" si="3">E7+1</f>
        <v>2008</v>
      </c>
      <c r="G7" s="455">
        <f t="shared" si="3"/>
        <v>2009</v>
      </c>
      <c r="H7" s="455">
        <f t="shared" si="3"/>
        <v>2010</v>
      </c>
      <c r="I7" s="455">
        <f t="shared" si="3"/>
        <v>2011</v>
      </c>
      <c r="J7" s="455">
        <f t="shared" si="3"/>
        <v>2012</v>
      </c>
      <c r="K7" s="455">
        <f t="shared" si="3"/>
        <v>2013</v>
      </c>
      <c r="L7" s="455">
        <f t="shared" si="3"/>
        <v>2014</v>
      </c>
      <c r="M7" s="455">
        <f t="shared" si="3"/>
        <v>2015</v>
      </c>
      <c r="N7" s="455">
        <f t="shared" si="3"/>
        <v>2016</v>
      </c>
      <c r="O7" s="455">
        <f t="shared" si="3"/>
        <v>2017</v>
      </c>
      <c r="P7" s="455">
        <f t="shared" si="3"/>
        <v>2018</v>
      </c>
      <c r="Q7" s="455">
        <f t="shared" si="3"/>
        <v>2019</v>
      </c>
      <c r="R7" s="455">
        <f t="shared" si="3"/>
        <v>2020</v>
      </c>
      <c r="S7" s="455">
        <f t="shared" si="3"/>
        <v>2021</v>
      </c>
      <c r="T7" s="455">
        <f t="shared" si="3"/>
        <v>2022</v>
      </c>
      <c r="U7" s="455">
        <f t="shared" si="3"/>
        <v>2023</v>
      </c>
      <c r="V7" s="455">
        <f t="shared" si="3"/>
        <v>2024</v>
      </c>
      <c r="W7" s="456">
        <f t="shared" si="3"/>
        <v>2025</v>
      </c>
      <c r="X7" s="1659">
        <f t="shared" si="3"/>
        <v>2026</v>
      </c>
      <c r="Y7" s="457">
        <f t="shared" si="3"/>
        <v>2027</v>
      </c>
      <c r="Z7" s="457">
        <f t="shared" si="3"/>
        <v>2028</v>
      </c>
      <c r="AA7" s="457">
        <f t="shared" si="3"/>
        <v>2029</v>
      </c>
      <c r="AB7" s="457">
        <f t="shared" si="3"/>
        <v>2030</v>
      </c>
    </row>
    <row r="8" spans="1:37" x14ac:dyDescent="0.25">
      <c r="A8" s="186" t="s">
        <v>457</v>
      </c>
      <c r="B8" s="458"/>
      <c r="C8" s="458"/>
      <c r="D8" s="458"/>
      <c r="E8" s="458">
        <f>Divisional!E13</f>
        <v>10222</v>
      </c>
      <c r="F8" s="458">
        <f>Divisional!F13</f>
        <v>10329</v>
      </c>
      <c r="G8" s="458">
        <f>Divisional!G13</f>
        <v>10448</v>
      </c>
      <c r="H8" s="458">
        <f>Divisional!H13</f>
        <v>10760</v>
      </c>
      <c r="I8" s="458">
        <f>Divisional!I13</f>
        <v>11736</v>
      </c>
      <c r="J8" s="458">
        <f>Divisional!J13</f>
        <v>13560</v>
      </c>
      <c r="K8" s="458">
        <f>Divisional!K13</f>
        <v>14363</v>
      </c>
      <c r="L8" s="458">
        <f>Divisional!L13</f>
        <v>15355</v>
      </c>
      <c r="M8" s="458">
        <f>Divisional!M13</f>
        <v>17414</v>
      </c>
      <c r="N8" s="458">
        <f>Divisional!N13</f>
        <v>15781</v>
      </c>
      <c r="O8" s="458">
        <f>Divisional!O13</f>
        <v>16521</v>
      </c>
      <c r="P8" s="458">
        <f>Divisional!Q13</f>
        <v>21050</v>
      </c>
      <c r="Q8" s="458">
        <f>Divisional!S13</f>
        <v>24640</v>
      </c>
      <c r="R8" s="458">
        <f>Divisional!T13</f>
        <v>16498</v>
      </c>
      <c r="S8" s="458">
        <f>Divisional!U13</f>
        <v>15257</v>
      </c>
      <c r="T8" s="458">
        <f>Divisional!V13</f>
        <v>19035</v>
      </c>
      <c r="U8" s="458">
        <f>Divisional!W13</f>
        <v>23199</v>
      </c>
      <c r="V8" s="458">
        <f>Divisional!X13</f>
        <v>27317</v>
      </c>
      <c r="W8" s="459">
        <f>Divisional!Y13</f>
        <v>31329</v>
      </c>
      <c r="X8" s="1660">
        <f>Divisional!Z13</f>
        <v>37016.105572645254</v>
      </c>
      <c r="Y8" s="460">
        <f>Divisional!AA13</f>
        <v>40521.236480623185</v>
      </c>
      <c r="Z8" s="460">
        <f>Divisional!AB13</f>
        <v>44358.539477611092</v>
      </c>
      <c r="AA8" s="460">
        <f>Divisional!AC13</f>
        <v>47477.323753297635</v>
      </c>
      <c r="AB8" s="460">
        <f>Divisional!AD13</f>
        <v>48855.523167259729</v>
      </c>
      <c r="AC8" s="461">
        <f>(Z8/V8)^(1/4)-1</f>
        <v>0.12884953632863083</v>
      </c>
    </row>
    <row r="9" spans="1:37" x14ac:dyDescent="0.25">
      <c r="A9" s="186"/>
      <c r="B9" s="458"/>
      <c r="C9" s="458"/>
      <c r="D9" s="458"/>
      <c r="E9" s="458"/>
      <c r="F9" s="458"/>
      <c r="G9" s="458"/>
      <c r="H9" s="458"/>
      <c r="I9" s="458"/>
      <c r="J9" s="458"/>
      <c r="K9" s="458"/>
      <c r="L9" s="458"/>
      <c r="M9" s="458"/>
      <c r="N9" s="458"/>
      <c r="O9" s="458"/>
      <c r="P9" s="462"/>
      <c r="Q9" s="462"/>
      <c r="R9" s="462"/>
      <c r="S9" s="462"/>
      <c r="T9" s="462"/>
      <c r="U9" s="462"/>
      <c r="V9" s="462"/>
      <c r="W9" s="99"/>
      <c r="X9" s="1661"/>
      <c r="Y9" s="463"/>
      <c r="Z9" s="463"/>
      <c r="AA9" s="463"/>
      <c r="AB9" s="463"/>
    </row>
    <row r="10" spans="1:37" x14ac:dyDescent="0.25">
      <c r="A10" s="4" t="s">
        <v>458</v>
      </c>
      <c r="B10" s="1451"/>
      <c r="C10" s="1451"/>
      <c r="D10" s="1451"/>
      <c r="E10" s="1451">
        <v>67</v>
      </c>
      <c r="F10" s="1451">
        <f t="shared" ref="F10:AB10" si="4">F65</f>
        <v>148</v>
      </c>
      <c r="G10" s="1451">
        <f t="shared" si="4"/>
        <v>156</v>
      </c>
      <c r="H10" s="1451">
        <f t="shared" si="4"/>
        <v>200</v>
      </c>
      <c r="I10" s="1451">
        <f t="shared" si="4"/>
        <v>216</v>
      </c>
      <c r="J10" s="1451">
        <f t="shared" si="4"/>
        <v>209</v>
      </c>
      <c r="K10" s="1451">
        <f t="shared" si="4"/>
        <v>258</v>
      </c>
      <c r="L10" s="1451">
        <f t="shared" si="4"/>
        <v>291</v>
      </c>
      <c r="M10" s="1451">
        <f t="shared" si="4"/>
        <v>304</v>
      </c>
      <c r="N10" s="1451">
        <f t="shared" si="4"/>
        <v>277</v>
      </c>
      <c r="O10" s="1451">
        <f t="shared" si="4"/>
        <v>278</v>
      </c>
      <c r="P10" s="1451">
        <f t="shared" si="4"/>
        <v>321</v>
      </c>
      <c r="Q10" s="1451">
        <f t="shared" si="4"/>
        <v>297</v>
      </c>
      <c r="R10" s="1451">
        <f t="shared" si="4"/>
        <v>267</v>
      </c>
      <c r="S10" s="1451">
        <f t="shared" si="4"/>
        <v>373</v>
      </c>
      <c r="T10" s="1451">
        <f t="shared" si="4"/>
        <v>440</v>
      </c>
      <c r="U10" s="1451">
        <f t="shared" ref="U10" si="5">U65</f>
        <v>474</v>
      </c>
      <c r="V10" s="1451">
        <f t="shared" si="4"/>
        <v>438</v>
      </c>
      <c r="W10" s="1452">
        <f t="shared" ref="W10" si="6">W65</f>
        <v>467</v>
      </c>
      <c r="X10" s="1662">
        <f t="shared" si="4"/>
        <v>500</v>
      </c>
      <c r="Y10" s="464">
        <f t="shared" si="4"/>
        <v>500</v>
      </c>
      <c r="Z10" s="464">
        <f t="shared" si="4"/>
        <v>500</v>
      </c>
      <c r="AA10" s="464">
        <f t="shared" si="4"/>
        <v>500</v>
      </c>
      <c r="AB10" s="464">
        <f t="shared" si="4"/>
        <v>500</v>
      </c>
    </row>
    <row r="11" spans="1:37" x14ac:dyDescent="0.25">
      <c r="A11" s="4" t="s">
        <v>459</v>
      </c>
      <c r="B11" s="458"/>
      <c r="C11" s="458"/>
      <c r="D11" s="458"/>
      <c r="E11" s="458">
        <f t="shared" ref="E11:AB11" si="7">SUM(E8:E10)</f>
        <v>10289</v>
      </c>
      <c r="F11" s="458">
        <f t="shared" si="7"/>
        <v>10477</v>
      </c>
      <c r="G11" s="458">
        <f t="shared" si="7"/>
        <v>10604</v>
      </c>
      <c r="H11" s="458">
        <f t="shared" si="7"/>
        <v>10960</v>
      </c>
      <c r="I11" s="458">
        <f t="shared" si="7"/>
        <v>11952</v>
      </c>
      <c r="J11" s="458">
        <f t="shared" si="7"/>
        <v>13769</v>
      </c>
      <c r="K11" s="458">
        <f t="shared" si="7"/>
        <v>14621</v>
      </c>
      <c r="L11" s="458">
        <f t="shared" si="7"/>
        <v>15646</v>
      </c>
      <c r="M11" s="458">
        <f t="shared" si="7"/>
        <v>17718</v>
      </c>
      <c r="N11" s="458">
        <f t="shared" si="7"/>
        <v>16058</v>
      </c>
      <c r="O11" s="458">
        <f t="shared" si="7"/>
        <v>16799</v>
      </c>
      <c r="P11" s="458">
        <f t="shared" si="7"/>
        <v>21371</v>
      </c>
      <c r="Q11" s="458">
        <f t="shared" si="7"/>
        <v>24937</v>
      </c>
      <c r="R11" s="458">
        <f t="shared" si="7"/>
        <v>16765</v>
      </c>
      <c r="S11" s="458">
        <f t="shared" si="7"/>
        <v>15630</v>
      </c>
      <c r="T11" s="458">
        <f t="shared" si="7"/>
        <v>19475</v>
      </c>
      <c r="U11" s="458">
        <f t="shared" ref="U11" si="8">SUM(U8:U10)</f>
        <v>23673</v>
      </c>
      <c r="V11" s="458">
        <f t="shared" si="7"/>
        <v>27755</v>
      </c>
      <c r="W11" s="459">
        <f t="shared" ref="W11" si="9">SUM(W8:W10)</f>
        <v>31796</v>
      </c>
      <c r="X11" s="1660">
        <f t="shared" si="7"/>
        <v>37516.105572645254</v>
      </c>
      <c r="Y11" s="460">
        <f t="shared" si="7"/>
        <v>41021.236480623185</v>
      </c>
      <c r="Z11" s="460">
        <f t="shared" si="7"/>
        <v>44858.539477611092</v>
      </c>
      <c r="AA11" s="460">
        <f t="shared" si="7"/>
        <v>47977.323753297635</v>
      </c>
      <c r="AB11" s="460">
        <f t="shared" si="7"/>
        <v>49355.523167259729</v>
      </c>
    </row>
    <row r="12" spans="1:37" x14ac:dyDescent="0.25">
      <c r="A12" s="4" t="s">
        <v>460</v>
      </c>
      <c r="B12" s="36"/>
      <c r="C12" s="36"/>
      <c r="D12" s="36"/>
      <c r="E12" s="36">
        <f t="shared" ref="E12:J12" si="10">E20-E18-E17-E16-E11</f>
        <v>-8752</v>
      </c>
      <c r="F12" s="36">
        <f t="shared" si="10"/>
        <v>-9258</v>
      </c>
      <c r="G12" s="36">
        <f t="shared" si="10"/>
        <v>-9477</v>
      </c>
      <c r="H12" s="36">
        <f t="shared" si="10"/>
        <v>-9722</v>
      </c>
      <c r="I12" s="36">
        <f t="shared" si="10"/>
        <v>-10374</v>
      </c>
      <c r="J12" s="36">
        <f t="shared" si="10"/>
        <v>-11653</v>
      </c>
      <c r="K12" s="36">
        <f t="shared" ref="K12:AB12" si="11">K20-K18-K17-K16-K11-K19</f>
        <v>-12269</v>
      </c>
      <c r="L12" s="36">
        <f t="shared" si="11"/>
        <v>-12789</v>
      </c>
      <c r="M12" s="36">
        <f t="shared" si="11"/>
        <v>-14334</v>
      </c>
      <c r="N12" s="36">
        <f t="shared" si="11"/>
        <v>-13121</v>
      </c>
      <c r="O12" s="36">
        <f t="shared" si="11"/>
        <v>-13635</v>
      </c>
      <c r="P12" s="36">
        <f t="shared" si="11"/>
        <v>-17624</v>
      </c>
      <c r="Q12" s="36">
        <f t="shared" si="11"/>
        <v>-20285</v>
      </c>
      <c r="R12" s="36">
        <f t="shared" si="11"/>
        <v>-14341</v>
      </c>
      <c r="S12" s="36">
        <f t="shared" si="11"/>
        <v>-12990</v>
      </c>
      <c r="T12" s="36">
        <f t="shared" si="11"/>
        <v>-16204</v>
      </c>
      <c r="U12" s="36">
        <f t="shared" si="11"/>
        <v>-19669</v>
      </c>
      <c r="V12" s="36">
        <f t="shared" si="11"/>
        <v>-22583</v>
      </c>
      <c r="W12" s="1453">
        <f t="shared" ref="W12" si="12">W20-W18-W17-W16-W11-W19</f>
        <v>-25668</v>
      </c>
      <c r="X12" s="1663">
        <f t="shared" si="11"/>
        <v>-29422.325362283191</v>
      </c>
      <c r="Y12" s="465">
        <f t="shared" si="11"/>
        <v>-31964.101334716139</v>
      </c>
      <c r="Z12" s="465">
        <f t="shared" si="11"/>
        <v>-34928.298973325633</v>
      </c>
      <c r="AA12" s="465">
        <f t="shared" si="11"/>
        <v>-37365.153796277009</v>
      </c>
      <c r="AB12" s="465">
        <f t="shared" si="11"/>
        <v>-38321.992381958182</v>
      </c>
    </row>
    <row r="13" spans="1:37" s="186" customFormat="1" x14ac:dyDescent="0.25">
      <c r="A13" s="186" t="s">
        <v>12</v>
      </c>
      <c r="B13" s="458"/>
      <c r="C13" s="458"/>
      <c r="D13" s="458"/>
      <c r="E13" s="458">
        <f t="shared" ref="E13:AB13" si="13">E20-E16</f>
        <v>1348</v>
      </c>
      <c r="F13" s="458">
        <f t="shared" si="13"/>
        <v>1098</v>
      </c>
      <c r="G13" s="458">
        <f t="shared" si="13"/>
        <v>1139</v>
      </c>
      <c r="H13" s="458">
        <f t="shared" si="13"/>
        <v>1265</v>
      </c>
      <c r="I13" s="458">
        <f t="shared" si="13"/>
        <v>1531</v>
      </c>
      <c r="J13" s="458">
        <f t="shared" si="13"/>
        <v>2045</v>
      </c>
      <c r="K13" s="458">
        <f t="shared" si="13"/>
        <v>2280</v>
      </c>
      <c r="L13" s="458">
        <f t="shared" si="13"/>
        <v>2728</v>
      </c>
      <c r="M13" s="458">
        <f t="shared" si="13"/>
        <v>3148</v>
      </c>
      <c r="N13" s="458">
        <f t="shared" si="13"/>
        <v>2920</v>
      </c>
      <c r="O13" s="458">
        <f t="shared" si="13"/>
        <v>3436</v>
      </c>
      <c r="P13" s="458">
        <f t="shared" si="13"/>
        <v>3845</v>
      </c>
      <c r="Q13" s="458">
        <f t="shared" si="13"/>
        <v>5014</v>
      </c>
      <c r="R13" s="458">
        <f t="shared" si="13"/>
        <v>2509</v>
      </c>
      <c r="S13" s="458">
        <f t="shared" si="13"/>
        <v>2942</v>
      </c>
      <c r="T13" s="458">
        <f t="shared" si="13"/>
        <v>3219</v>
      </c>
      <c r="U13" s="458">
        <f t="shared" si="13"/>
        <v>4159</v>
      </c>
      <c r="V13" s="458">
        <f t="shared" si="13"/>
        <v>5389</v>
      </c>
      <c r="W13" s="459">
        <f t="shared" ref="W13" si="14">W20-W16</f>
        <v>6344</v>
      </c>
      <c r="X13" s="1660">
        <f t="shared" si="13"/>
        <v>8257.7802103620652</v>
      </c>
      <c r="Y13" s="460">
        <f t="shared" si="13"/>
        <v>9307.1351459070465</v>
      </c>
      <c r="Z13" s="460">
        <f t="shared" si="13"/>
        <v>10180.240504285459</v>
      </c>
      <c r="AA13" s="460">
        <f t="shared" si="13"/>
        <v>10862.169957020622</v>
      </c>
      <c r="AB13" s="460">
        <f t="shared" si="13"/>
        <v>11283.530785301546</v>
      </c>
      <c r="AC13" s="10">
        <f>W13/S13</f>
        <v>2.1563562202583277</v>
      </c>
      <c r="AF13"/>
      <c r="AG13"/>
      <c r="AH13"/>
      <c r="AI13"/>
      <c r="AJ13"/>
      <c r="AK13"/>
    </row>
    <row r="14" spans="1:37" x14ac:dyDescent="0.25">
      <c r="A14" s="197" t="s">
        <v>461</v>
      </c>
      <c r="B14" s="466"/>
      <c r="C14" s="466"/>
      <c r="D14" s="466"/>
      <c r="E14" s="466"/>
      <c r="F14" s="466"/>
      <c r="G14" s="466"/>
      <c r="H14" s="466"/>
      <c r="I14" s="466"/>
      <c r="J14" s="466"/>
      <c r="K14" s="272"/>
      <c r="L14" s="272">
        <f t="shared" ref="L14:AB14" si="15">+L13/L8</f>
        <v>0.17766199934874632</v>
      </c>
      <c r="M14" s="272">
        <f t="shared" si="15"/>
        <v>0.1807740898127943</v>
      </c>
      <c r="N14" s="272">
        <f t="shared" si="15"/>
        <v>0.18503263418034346</v>
      </c>
      <c r="O14" s="272">
        <f t="shared" si="15"/>
        <v>0.2079777253192906</v>
      </c>
      <c r="P14" s="272">
        <f t="shared" si="15"/>
        <v>0.18266033254156769</v>
      </c>
      <c r="Q14" s="272">
        <f t="shared" si="15"/>
        <v>0.20349025974025975</v>
      </c>
      <c r="R14" s="272">
        <f t="shared" si="15"/>
        <v>0.15207903988362226</v>
      </c>
      <c r="S14" s="272">
        <f t="shared" si="15"/>
        <v>0.19282952087566363</v>
      </c>
      <c r="T14" s="272">
        <f t="shared" si="15"/>
        <v>0.16910953506698187</v>
      </c>
      <c r="U14" s="272">
        <f t="shared" ref="U14" si="16">+U13/U8</f>
        <v>0.17927496874865295</v>
      </c>
      <c r="V14" s="272">
        <f t="shared" si="15"/>
        <v>0.19727642127612841</v>
      </c>
      <c r="W14" s="275">
        <f t="shared" ref="W14" si="17">+W13/W8</f>
        <v>0.2024960898847713</v>
      </c>
      <c r="X14" s="1634">
        <f t="shared" si="15"/>
        <v>0.2230861427103917</v>
      </c>
      <c r="Y14" s="467">
        <f t="shared" si="15"/>
        <v>0.22968536881537702</v>
      </c>
      <c r="Z14" s="467">
        <f t="shared" si="15"/>
        <v>0.22949900118834371</v>
      </c>
      <c r="AA14" s="467">
        <f t="shared" si="15"/>
        <v>0.22878648370036164</v>
      </c>
      <c r="AB14" s="467">
        <f t="shared" si="15"/>
        <v>0.2309571171036634</v>
      </c>
      <c r="AC14" s="197"/>
      <c r="AD14" s="468"/>
      <c r="AE14" s="197"/>
    </row>
    <row r="15" spans="1:37" x14ac:dyDescent="0.25">
      <c r="A15" s="197"/>
      <c r="B15" s="466"/>
      <c r="C15" s="466"/>
      <c r="D15" s="466"/>
      <c r="E15" s="466"/>
      <c r="F15" s="466"/>
      <c r="G15" s="466"/>
      <c r="H15" s="466"/>
      <c r="I15" s="466"/>
      <c r="J15" s="466"/>
      <c r="K15" s="272"/>
      <c r="L15" s="272"/>
      <c r="M15" s="272"/>
      <c r="N15" s="272"/>
      <c r="O15" s="272"/>
      <c r="P15" s="272"/>
      <c r="Q15" s="272"/>
      <c r="R15" s="272"/>
      <c r="S15" s="272"/>
      <c r="T15" s="272"/>
      <c r="U15" s="272"/>
      <c r="V15" s="272"/>
      <c r="W15" s="275"/>
      <c r="X15" s="1634"/>
      <c r="Y15" s="467"/>
      <c r="Z15" s="467"/>
      <c r="AA15" s="467"/>
      <c r="AB15" s="467"/>
      <c r="AC15" s="197"/>
      <c r="AD15" s="468"/>
      <c r="AE15" s="197"/>
    </row>
    <row r="16" spans="1:37" x14ac:dyDescent="0.25">
      <c r="A16" s="4" t="s">
        <v>462</v>
      </c>
      <c r="B16" s="36"/>
      <c r="C16" s="36"/>
      <c r="D16" s="36"/>
      <c r="E16" s="36">
        <v>-561</v>
      </c>
      <c r="F16" s="36">
        <f>-Divisional!F115</f>
        <v>-432</v>
      </c>
      <c r="G16" s="36">
        <f>-Divisional!G115</f>
        <v>-410</v>
      </c>
      <c r="H16" s="36">
        <f>-Divisional!H115</f>
        <v>-387</v>
      </c>
      <c r="I16" s="36">
        <f>-Divisional!I115</f>
        <v>-342</v>
      </c>
      <c r="J16" s="36">
        <f>-Divisional!J115</f>
        <v>-601</v>
      </c>
      <c r="K16" s="36">
        <f>-Divisional!K115</f>
        <v>-500</v>
      </c>
      <c r="L16" s="36">
        <f>-Divisional!L115</f>
        <v>-639</v>
      </c>
      <c r="M16" s="36">
        <f>-Divisional!M115</f>
        <v>-716</v>
      </c>
      <c r="N16" s="36">
        <f>-Divisional!N115</f>
        <v>-516</v>
      </c>
      <c r="O16" s="36">
        <f>-Divisional!O115</f>
        <v>-966</v>
      </c>
      <c r="P16" s="36">
        <f>-Divisional!Q115</f>
        <v>-822</v>
      </c>
      <c r="Q16" s="36">
        <f>-Divisional!S115</f>
        <v>-1194</v>
      </c>
      <c r="R16" s="36">
        <f>-Divisional!T115</f>
        <v>-823</v>
      </c>
      <c r="S16" s="36">
        <f>-Divisional!U115</f>
        <v>-1137</v>
      </c>
      <c r="T16" s="36">
        <f>-Divisional!V115</f>
        <v>-811</v>
      </c>
      <c r="U16" s="36">
        <f>-Divisional!W115</f>
        <v>-993</v>
      </c>
      <c r="V16" s="36">
        <f>-Divisional!X115</f>
        <v>-1270</v>
      </c>
      <c r="W16" s="1453">
        <f>-Divisional!Y115</f>
        <v>-1147</v>
      </c>
      <c r="X16" s="1663">
        <f>-Divisional!Z115</f>
        <v>-1506.9030312602167</v>
      </c>
      <c r="Y16" s="465">
        <f>-Divisional!AA115</f>
        <v>-1641.0228353924967</v>
      </c>
      <c r="Z16" s="465">
        <f>-Divisional!AB115</f>
        <v>-1787.6153693894985</v>
      </c>
      <c r="AA16" s="465">
        <f>-Divisional!AC115</f>
        <v>-1905.5890680040882</v>
      </c>
      <c r="AB16" s="465">
        <f>-Divisional!AD115</f>
        <v>-1956.5238087139073</v>
      </c>
    </row>
    <row r="17" spans="1:30" x14ac:dyDescent="0.25">
      <c r="A17" s="4" t="s">
        <v>463</v>
      </c>
      <c r="B17" s="36"/>
      <c r="C17" s="36"/>
      <c r="D17" s="36"/>
      <c r="E17" s="36">
        <v>-178</v>
      </c>
      <c r="F17" s="36">
        <v>-45</v>
      </c>
      <c r="G17" s="36">
        <v>-30</v>
      </c>
      <c r="H17" s="36">
        <v>6</v>
      </c>
      <c r="I17" s="36">
        <v>-62</v>
      </c>
      <c r="J17" s="36">
        <v>-26</v>
      </c>
      <c r="K17" s="36">
        <v>-82</v>
      </c>
      <c r="L17" s="36">
        <v>-66</v>
      </c>
      <c r="M17" s="36">
        <v>-190</v>
      </c>
      <c r="N17" s="36">
        <v>-231</v>
      </c>
      <c r="O17" s="36">
        <v>-72</v>
      </c>
      <c r="P17" s="36">
        <v>62</v>
      </c>
      <c r="Q17" s="36">
        <v>55</v>
      </c>
      <c r="R17" s="36">
        <v>-147</v>
      </c>
      <c r="S17" s="36">
        <v>77</v>
      </c>
      <c r="T17" s="36">
        <v>-252</v>
      </c>
      <c r="U17" s="36">
        <v>-51</v>
      </c>
      <c r="V17" s="36">
        <v>19</v>
      </c>
      <c r="W17" s="1453">
        <v>6</v>
      </c>
      <c r="X17" s="1664">
        <v>-86</v>
      </c>
      <c r="Y17" s="469">
        <v>0</v>
      </c>
      <c r="Z17" s="469">
        <v>0</v>
      </c>
      <c r="AA17" s="469">
        <v>0</v>
      </c>
      <c r="AB17" s="469">
        <v>0</v>
      </c>
    </row>
    <row r="18" spans="1:30" x14ac:dyDescent="0.25">
      <c r="A18" s="4" t="s">
        <v>464</v>
      </c>
      <c r="B18" s="36"/>
      <c r="C18" s="36"/>
      <c r="D18" s="36"/>
      <c r="E18" s="36">
        <v>-11</v>
      </c>
      <c r="F18" s="36">
        <v>-76</v>
      </c>
      <c r="G18" s="36">
        <v>42</v>
      </c>
      <c r="H18" s="36">
        <v>21</v>
      </c>
      <c r="I18" s="36">
        <v>15</v>
      </c>
      <c r="J18" s="36">
        <v>-45</v>
      </c>
      <c r="K18" s="36">
        <v>-42</v>
      </c>
      <c r="L18" s="36">
        <v>-108</v>
      </c>
      <c r="M18" s="36">
        <v>-92</v>
      </c>
      <c r="N18" s="36">
        <v>115</v>
      </c>
      <c r="O18" s="36">
        <v>167</v>
      </c>
      <c r="P18" s="36">
        <v>-191</v>
      </c>
      <c r="Q18" s="36">
        <v>102</v>
      </c>
      <c r="R18" s="36">
        <v>148</v>
      </c>
      <c r="S18" s="36">
        <v>156</v>
      </c>
      <c r="T18" s="36">
        <v>103</v>
      </c>
      <c r="U18" s="36">
        <v>84</v>
      </c>
      <c r="V18" s="36">
        <v>39</v>
      </c>
      <c r="W18" s="1453">
        <v>-12</v>
      </c>
      <c r="X18" s="1664">
        <v>50</v>
      </c>
      <c r="Y18" s="465">
        <f t="shared" ref="Y18:AB18" si="18">X18</f>
        <v>50</v>
      </c>
      <c r="Z18" s="465">
        <f t="shared" si="18"/>
        <v>50</v>
      </c>
      <c r="AA18" s="465">
        <f t="shared" si="18"/>
        <v>50</v>
      </c>
      <c r="AB18" s="465">
        <f t="shared" si="18"/>
        <v>50</v>
      </c>
    </row>
    <row r="19" spans="1:30" x14ac:dyDescent="0.25">
      <c r="A19" s="4" t="s">
        <v>465</v>
      </c>
      <c r="B19" s="36"/>
      <c r="C19" s="36"/>
      <c r="D19" s="36"/>
      <c r="E19" s="36"/>
      <c r="F19" s="36"/>
      <c r="G19" s="36"/>
      <c r="H19" s="36"/>
      <c r="I19" s="36"/>
      <c r="J19" s="36"/>
      <c r="K19" s="36">
        <v>52</v>
      </c>
      <c r="L19" s="36">
        <v>45</v>
      </c>
      <c r="M19" s="36">
        <v>46</v>
      </c>
      <c r="N19" s="36">
        <v>99</v>
      </c>
      <c r="O19" s="36">
        <v>177</v>
      </c>
      <c r="P19" s="36">
        <v>227</v>
      </c>
      <c r="Q19" s="36">
        <v>205</v>
      </c>
      <c r="R19" s="36">
        <v>84</v>
      </c>
      <c r="S19" s="36">
        <v>69</v>
      </c>
      <c r="T19" s="36">
        <v>97</v>
      </c>
      <c r="U19" s="36">
        <v>122</v>
      </c>
      <c r="V19" s="36">
        <v>159</v>
      </c>
      <c r="W19" s="1453">
        <v>222</v>
      </c>
      <c r="X19" s="1663">
        <f t="shared" ref="X19:AB19" si="19">X72</f>
        <v>200</v>
      </c>
      <c r="Y19" s="465">
        <f t="shared" si="19"/>
        <v>200</v>
      </c>
      <c r="Z19" s="465">
        <f t="shared" si="19"/>
        <v>200</v>
      </c>
      <c r="AA19" s="465">
        <f t="shared" si="19"/>
        <v>200</v>
      </c>
      <c r="AB19" s="465">
        <f t="shared" si="19"/>
        <v>200</v>
      </c>
    </row>
    <row r="20" spans="1:30" x14ac:dyDescent="0.25">
      <c r="A20" s="186" t="s">
        <v>466</v>
      </c>
      <c r="B20" s="470"/>
      <c r="C20" s="470"/>
      <c r="D20" s="470"/>
      <c r="E20" s="470">
        <f>Divisional!E48</f>
        <v>787</v>
      </c>
      <c r="F20" s="470">
        <f>Divisional!F48</f>
        <v>666</v>
      </c>
      <c r="G20" s="470">
        <f>Divisional!G48</f>
        <v>729</v>
      </c>
      <c r="H20" s="470">
        <f>Divisional!H48</f>
        <v>878</v>
      </c>
      <c r="I20" s="470">
        <f>Divisional!I48</f>
        <v>1189</v>
      </c>
      <c r="J20" s="470">
        <f>Divisional!J48</f>
        <v>1444</v>
      </c>
      <c r="K20" s="470">
        <f>Divisional!K48</f>
        <v>1780</v>
      </c>
      <c r="L20" s="470">
        <f>Divisional!L48</f>
        <v>2089</v>
      </c>
      <c r="M20" s="470">
        <f>Divisional!M48</f>
        <v>2432</v>
      </c>
      <c r="N20" s="470">
        <f>Divisional!N48</f>
        <v>2404</v>
      </c>
      <c r="O20" s="470">
        <f>Divisional!O48</f>
        <v>2470</v>
      </c>
      <c r="P20" s="470">
        <f>Divisional!Q48</f>
        <v>3023</v>
      </c>
      <c r="Q20" s="470">
        <f>Divisional!S48</f>
        <v>3820</v>
      </c>
      <c r="R20" s="470">
        <f>Divisional!T48</f>
        <v>1686</v>
      </c>
      <c r="S20" s="470">
        <f>Divisional!U48</f>
        <v>1805</v>
      </c>
      <c r="T20" s="470">
        <f>Divisional!V48</f>
        <v>2408</v>
      </c>
      <c r="U20" s="470">
        <f>Divisional!W48</f>
        <v>3166</v>
      </c>
      <c r="V20" s="470">
        <f>Divisional!X48</f>
        <v>4119</v>
      </c>
      <c r="W20" s="471">
        <f>Divisional!Y48</f>
        <v>5197</v>
      </c>
      <c r="X20" s="1665">
        <f>Divisional!Z48</f>
        <v>6750.8771791018489</v>
      </c>
      <c r="Y20" s="472">
        <f>Divisional!AA48</f>
        <v>7666.1123105145489</v>
      </c>
      <c r="Z20" s="472">
        <f>Divisional!AB48</f>
        <v>8392.6251348959613</v>
      </c>
      <c r="AA20" s="472">
        <f>Divisional!AC48</f>
        <v>8956.5808890165335</v>
      </c>
      <c r="AB20" s="472">
        <f>Divisional!AD48</f>
        <v>9327.0069765876378</v>
      </c>
      <c r="AC20" s="461">
        <f>(Z20/V20)^(1/4)-1</f>
        <v>0.19474853963605665</v>
      </c>
      <c r="AD20" s="103"/>
    </row>
    <row r="21" spans="1:30" x14ac:dyDescent="0.25">
      <c r="A21" s="197" t="s">
        <v>461</v>
      </c>
      <c r="B21" s="458"/>
      <c r="C21" s="458"/>
      <c r="D21" s="458"/>
      <c r="E21" s="458"/>
      <c r="F21" s="458"/>
      <c r="G21" s="458"/>
      <c r="H21" s="458"/>
      <c r="I21" s="458"/>
      <c r="J21" s="458"/>
      <c r="K21" s="458"/>
      <c r="L21" s="247">
        <f t="shared" ref="L21:AB21" si="20">+L20/L8</f>
        <v>0.13604689026375774</v>
      </c>
      <c r="M21" s="247">
        <f t="shared" si="20"/>
        <v>0.13965774664063396</v>
      </c>
      <c r="N21" s="247">
        <f t="shared" si="20"/>
        <v>0.15233508649641975</v>
      </c>
      <c r="O21" s="272">
        <f t="shared" si="20"/>
        <v>0.14950668845711518</v>
      </c>
      <c r="P21" s="247">
        <f t="shared" si="20"/>
        <v>0.14361045130641331</v>
      </c>
      <c r="Q21" s="247">
        <f t="shared" si="20"/>
        <v>0.15503246753246752</v>
      </c>
      <c r="R21" s="247">
        <f t="shared" si="20"/>
        <v>0.10219420535822524</v>
      </c>
      <c r="S21" s="247">
        <f t="shared" si="20"/>
        <v>0.11830635118306351</v>
      </c>
      <c r="T21" s="247">
        <f t="shared" si="20"/>
        <v>0.12650380877331233</v>
      </c>
      <c r="U21" s="247">
        <f t="shared" si="20"/>
        <v>0.13647139962929436</v>
      </c>
      <c r="V21" s="247">
        <f t="shared" si="20"/>
        <v>0.15078522531756783</v>
      </c>
      <c r="W21" s="251">
        <f t="shared" ref="W21" si="21">+W20/W8</f>
        <v>0.16588464362092631</v>
      </c>
      <c r="X21" s="1666">
        <f t="shared" si="20"/>
        <v>0.18237675397410577</v>
      </c>
      <c r="Y21" s="253">
        <f t="shared" si="20"/>
        <v>0.18918752181169005</v>
      </c>
      <c r="Z21" s="253">
        <f t="shared" si="20"/>
        <v>0.1891997625199526</v>
      </c>
      <c r="AA21" s="253">
        <f t="shared" si="20"/>
        <v>0.18864965800424746</v>
      </c>
      <c r="AB21" s="253">
        <f t="shared" si="20"/>
        <v>0.19090998052883573</v>
      </c>
      <c r="AC21" s="11">
        <f>(W21-S21)*10000</f>
        <v>475.78292437862797</v>
      </c>
    </row>
    <row r="22" spans="1:30" x14ac:dyDescent="0.25">
      <c r="B22" s="1345"/>
      <c r="C22" s="1345"/>
      <c r="D22" s="1345"/>
      <c r="E22" s="1345"/>
      <c r="F22" s="1345"/>
      <c r="G22" s="1345"/>
      <c r="H22" s="1345"/>
      <c r="O22" s="32"/>
      <c r="P22" s="32"/>
      <c r="W22" s="180"/>
      <c r="X22" s="1667"/>
      <c r="Y22" s="11"/>
      <c r="Z22" s="11"/>
      <c r="AA22" s="11"/>
      <c r="AB22" s="11"/>
    </row>
    <row r="23" spans="1:30" x14ac:dyDescent="0.25">
      <c r="A23" s="4" t="s">
        <v>467</v>
      </c>
      <c r="B23" s="36"/>
      <c r="C23" s="36"/>
      <c r="D23" s="36"/>
      <c r="E23" s="36">
        <v>0</v>
      </c>
      <c r="F23" s="36">
        <v>146</v>
      </c>
      <c r="G23" s="36">
        <v>-35</v>
      </c>
      <c r="H23" s="36">
        <v>-13</v>
      </c>
      <c r="I23" s="36">
        <v>-29</v>
      </c>
      <c r="J23" s="36">
        <v>-50</v>
      </c>
      <c r="K23" s="36">
        <v>-34</v>
      </c>
      <c r="L23" s="36">
        <v>-107</v>
      </c>
      <c r="M23" s="36">
        <v>-698</v>
      </c>
      <c r="N23" s="36">
        <v>-18</v>
      </c>
      <c r="O23" s="36">
        <v>-90</v>
      </c>
      <c r="P23" s="36">
        <v>-115</v>
      </c>
      <c r="Q23" s="36">
        <v>13</v>
      </c>
      <c r="R23" s="36">
        <v>-466</v>
      </c>
      <c r="S23" s="36">
        <v>-405</v>
      </c>
      <c r="T23" s="36">
        <v>-450</v>
      </c>
      <c r="U23" s="36">
        <v>-511</v>
      </c>
      <c r="V23" s="36">
        <v>6</v>
      </c>
      <c r="W23" s="1453">
        <v>-479</v>
      </c>
      <c r="X23" s="1663">
        <f>Propulsion!BD25+'Equipment &amp; Defense'!BB24+Interiors!AM23</f>
        <v>-173</v>
      </c>
      <c r="Y23" s="465">
        <f>Propulsion!BL25+'Equipment &amp; Defense'!BJ24+Interiors!AU23</f>
        <v>0</v>
      </c>
      <c r="Z23" s="465">
        <f>Propulsion!BT25+'Equipment &amp; Defense'!BR24+Interiors!BC23</f>
        <v>0</v>
      </c>
      <c r="AA23" s="465">
        <f>Propulsion!CB25+'Equipment &amp; Defense'!BZ24+Interiors!BK23</f>
        <v>0</v>
      </c>
      <c r="AB23" s="465">
        <f>Propulsion!CJ25+'Equipment &amp; Defense'!CH24+Interiors!BS23</f>
        <v>0</v>
      </c>
    </row>
    <row r="24" spans="1:30" x14ac:dyDescent="0.25">
      <c r="A24" s="4" t="s">
        <v>468</v>
      </c>
      <c r="B24" s="36"/>
      <c r="C24" s="36"/>
      <c r="D24" s="36"/>
      <c r="E24" s="36">
        <f t="shared" ref="E24:AB24" si="22">E20+E23</f>
        <v>787</v>
      </c>
      <c r="F24" s="36">
        <f t="shared" si="22"/>
        <v>812</v>
      </c>
      <c r="G24" s="36">
        <f t="shared" si="22"/>
        <v>694</v>
      </c>
      <c r="H24" s="36">
        <f t="shared" si="22"/>
        <v>865</v>
      </c>
      <c r="I24" s="36">
        <f t="shared" si="22"/>
        <v>1160</v>
      </c>
      <c r="J24" s="36">
        <f t="shared" si="22"/>
        <v>1394</v>
      </c>
      <c r="K24" s="36">
        <f t="shared" si="22"/>
        <v>1746</v>
      </c>
      <c r="L24" s="36">
        <f t="shared" si="22"/>
        <v>1982</v>
      </c>
      <c r="M24" s="36">
        <f t="shared" si="22"/>
        <v>1734</v>
      </c>
      <c r="N24" s="36">
        <f t="shared" si="22"/>
        <v>2386</v>
      </c>
      <c r="O24" s="36">
        <f t="shared" si="22"/>
        <v>2380</v>
      </c>
      <c r="P24" s="36">
        <f t="shared" si="22"/>
        <v>2908</v>
      </c>
      <c r="Q24" s="36">
        <f t="shared" si="22"/>
        <v>3833</v>
      </c>
      <c r="R24" s="36">
        <f t="shared" si="22"/>
        <v>1220</v>
      </c>
      <c r="S24" s="36">
        <f t="shared" si="22"/>
        <v>1400</v>
      </c>
      <c r="T24" s="36">
        <f t="shared" si="22"/>
        <v>1958</v>
      </c>
      <c r="U24" s="36">
        <f t="shared" ref="U24" si="23">U20+U23</f>
        <v>2655</v>
      </c>
      <c r="V24" s="36">
        <f t="shared" si="22"/>
        <v>4125</v>
      </c>
      <c r="W24" s="1453">
        <f t="shared" ref="W24" si="24">W20+W23</f>
        <v>4718</v>
      </c>
      <c r="X24" s="1663">
        <f t="shared" si="22"/>
        <v>6577.8771791018489</v>
      </c>
      <c r="Y24" s="465">
        <f t="shared" si="22"/>
        <v>7666.1123105145489</v>
      </c>
      <c r="Z24" s="465">
        <f t="shared" si="22"/>
        <v>8392.6251348959613</v>
      </c>
      <c r="AA24" s="465">
        <f t="shared" si="22"/>
        <v>8956.5808890165335</v>
      </c>
      <c r="AB24" s="465">
        <f t="shared" si="22"/>
        <v>9327.0069765876378</v>
      </c>
    </row>
    <row r="25" spans="1:30" x14ac:dyDescent="0.25">
      <c r="B25" s="36"/>
      <c r="C25" s="36"/>
      <c r="D25" s="36"/>
      <c r="E25" s="36"/>
      <c r="F25" s="36"/>
      <c r="G25" s="36"/>
      <c r="H25" s="36"/>
      <c r="I25" s="36"/>
      <c r="J25" s="32"/>
      <c r="K25" s="36"/>
      <c r="L25" s="36"/>
      <c r="M25" s="36"/>
      <c r="N25" s="36"/>
      <c r="O25" s="36"/>
      <c r="P25" s="36"/>
      <c r="Q25" s="36"/>
      <c r="R25" s="36"/>
      <c r="S25" s="36"/>
      <c r="T25" s="36"/>
      <c r="U25" s="36"/>
      <c r="V25" s="36"/>
      <c r="W25" s="1453"/>
      <c r="X25" s="1668"/>
      <c r="Y25" s="36"/>
      <c r="Z25" s="36"/>
      <c r="AA25" s="36"/>
      <c r="AB25" s="36"/>
      <c r="AC25" s="36"/>
    </row>
    <row r="26" spans="1:30" x14ac:dyDescent="0.25">
      <c r="A26" s="4" t="s">
        <v>469</v>
      </c>
      <c r="B26" s="36"/>
      <c r="C26" s="36"/>
      <c r="D26" s="36"/>
      <c r="E26" s="36">
        <v>-10</v>
      </c>
      <c r="F26" s="36">
        <f>-19</f>
        <v>-19</v>
      </c>
      <c r="G26" s="36">
        <v>-38</v>
      </c>
      <c r="H26" s="36">
        <v>-36</v>
      </c>
      <c r="I26" s="36">
        <v>-42</v>
      </c>
      <c r="J26" s="36">
        <v>-54</v>
      </c>
      <c r="K26" s="36">
        <v>-42</v>
      </c>
      <c r="L26" s="36">
        <v>-42</v>
      </c>
      <c r="M26" s="36">
        <v>-28</v>
      </c>
      <c r="N26" s="36">
        <v>-51</v>
      </c>
      <c r="O26" s="36">
        <v>-57</v>
      </c>
      <c r="P26" s="36">
        <v>-67</v>
      </c>
      <c r="Q26" s="36">
        <v>-33</v>
      </c>
      <c r="R26" s="36">
        <v>-58</v>
      </c>
      <c r="S26" s="36">
        <v>-85</v>
      </c>
      <c r="T26" s="36">
        <v>-56</v>
      </c>
      <c r="U26" s="36">
        <v>112</v>
      </c>
      <c r="V26" s="36">
        <v>157</v>
      </c>
      <c r="W26" s="1453">
        <v>116</v>
      </c>
      <c r="X26" s="1663">
        <f>BS!X178</f>
        <v>121.05500000000001</v>
      </c>
      <c r="Y26" s="465">
        <f>BS!Y178</f>
        <v>157.16265506556462</v>
      </c>
      <c r="Z26" s="465">
        <f>BS!Z178</f>
        <v>236.02101103246977</v>
      </c>
      <c r="AA26" s="465">
        <f>BS!AA178</f>
        <v>308.85233241323033</v>
      </c>
      <c r="AB26" s="465">
        <f>BS!AB178</f>
        <v>425.24703511734015</v>
      </c>
    </row>
    <row r="27" spans="1:30" x14ac:dyDescent="0.25">
      <c r="A27" s="4" t="s">
        <v>470</v>
      </c>
      <c r="B27" s="36"/>
      <c r="C27" s="36"/>
      <c r="D27" s="36"/>
      <c r="E27" s="36">
        <v>0</v>
      </c>
      <c r="F27" s="36">
        <v>-59</v>
      </c>
      <c r="G27" s="36">
        <v>9</v>
      </c>
      <c r="H27" s="36">
        <v>4</v>
      </c>
      <c r="I27" s="36">
        <v>-46</v>
      </c>
      <c r="J27" s="36">
        <v>22</v>
      </c>
      <c r="K27" s="36">
        <v>-26</v>
      </c>
      <c r="L27" s="36">
        <v>-48</v>
      </c>
      <c r="M27" s="36">
        <v>-85</v>
      </c>
      <c r="N27" s="36">
        <v>-35</v>
      </c>
      <c r="O27" s="36">
        <v>105</v>
      </c>
      <c r="P27" s="36">
        <v>-86</v>
      </c>
      <c r="Q27" s="36">
        <v>-9</v>
      </c>
      <c r="R27" s="36">
        <v>93</v>
      </c>
      <c r="S27" s="36">
        <v>-105</v>
      </c>
      <c r="T27" s="36">
        <v>-95</v>
      </c>
      <c r="U27" s="36">
        <v>66</v>
      </c>
      <c r="V27" s="36">
        <v>-106</v>
      </c>
      <c r="W27" s="1453">
        <v>10</v>
      </c>
      <c r="X27" s="1664">
        <v>-188</v>
      </c>
      <c r="Y27" s="469">
        <v>0</v>
      </c>
      <c r="Z27" s="469">
        <v>0</v>
      </c>
      <c r="AA27" s="469">
        <v>0</v>
      </c>
      <c r="AB27" s="469">
        <v>0</v>
      </c>
    </row>
    <row r="28" spans="1:30" x14ac:dyDescent="0.25">
      <c r="A28" s="4" t="s">
        <v>471</v>
      </c>
      <c r="B28" s="1451"/>
      <c r="C28" s="1451"/>
      <c r="D28" s="1451"/>
      <c r="E28" s="1451">
        <v>-44</v>
      </c>
      <c r="F28" s="1451">
        <v>-76</v>
      </c>
      <c r="G28" s="1451">
        <v>-145</v>
      </c>
      <c r="H28" s="1451">
        <v>-136</v>
      </c>
      <c r="I28" s="1451">
        <v>-127</v>
      </c>
      <c r="J28" s="1451">
        <v>-122</v>
      </c>
      <c r="K28" s="1451">
        <v>-70</v>
      </c>
      <c r="L28" s="1451">
        <v>-75</v>
      </c>
      <c r="M28" s="1451">
        <v>-111</v>
      </c>
      <c r="N28" s="1451">
        <v>-58</v>
      </c>
      <c r="O28" s="1451">
        <v>-22</v>
      </c>
      <c r="P28" s="1451">
        <v>-58</v>
      </c>
      <c r="Q28" s="1451">
        <v>-47</v>
      </c>
      <c r="R28" s="1451">
        <v>-42</v>
      </c>
      <c r="S28" s="1451">
        <v>-14</v>
      </c>
      <c r="T28" s="1451">
        <v>-35</v>
      </c>
      <c r="U28" s="1451">
        <v>-4</v>
      </c>
      <c r="V28" s="1451">
        <v>-28</v>
      </c>
      <c r="W28" s="1452">
        <v>13</v>
      </c>
      <c r="X28" s="1664">
        <v>8</v>
      </c>
      <c r="Y28" s="469">
        <v>0</v>
      </c>
      <c r="Z28" s="469">
        <v>0</v>
      </c>
      <c r="AA28" s="469">
        <v>0</v>
      </c>
      <c r="AB28" s="469">
        <v>0</v>
      </c>
    </row>
    <row r="29" spans="1:30" x14ac:dyDescent="0.25">
      <c r="A29" s="4" t="s">
        <v>472</v>
      </c>
      <c r="B29" s="36"/>
      <c r="C29" s="36"/>
      <c r="D29" s="36"/>
      <c r="E29" s="36">
        <f t="shared" ref="E29:AB29" si="25">SUM(E26:E28)</f>
        <v>-54</v>
      </c>
      <c r="F29" s="36">
        <f t="shared" si="25"/>
        <v>-154</v>
      </c>
      <c r="G29" s="36">
        <f t="shared" si="25"/>
        <v>-174</v>
      </c>
      <c r="H29" s="36">
        <f t="shared" si="25"/>
        <v>-168</v>
      </c>
      <c r="I29" s="36">
        <f t="shared" si="25"/>
        <v>-215</v>
      </c>
      <c r="J29" s="36">
        <f t="shared" si="25"/>
        <v>-154</v>
      </c>
      <c r="K29" s="36">
        <f t="shared" si="25"/>
        <v>-138</v>
      </c>
      <c r="L29" s="36">
        <f t="shared" si="25"/>
        <v>-165</v>
      </c>
      <c r="M29" s="1454">
        <f t="shared" si="25"/>
        <v>-224</v>
      </c>
      <c r="N29" s="1454">
        <f t="shared" si="25"/>
        <v>-144</v>
      </c>
      <c r="O29" s="1454">
        <f t="shared" si="25"/>
        <v>26</v>
      </c>
      <c r="P29" s="1454">
        <f t="shared" si="25"/>
        <v>-211</v>
      </c>
      <c r="Q29" s="1454">
        <f t="shared" si="25"/>
        <v>-89</v>
      </c>
      <c r="R29" s="1454">
        <f t="shared" si="25"/>
        <v>-7</v>
      </c>
      <c r="S29" s="1454">
        <f t="shared" si="25"/>
        <v>-204</v>
      </c>
      <c r="T29" s="1454">
        <f t="shared" si="25"/>
        <v>-186</v>
      </c>
      <c r="U29" s="1454">
        <f t="shared" ref="U29" si="26">SUM(U26:U28)</f>
        <v>174</v>
      </c>
      <c r="V29" s="1454">
        <f t="shared" si="25"/>
        <v>23</v>
      </c>
      <c r="W29" s="1455">
        <f t="shared" ref="W29" si="27">SUM(W26:W28)</f>
        <v>139</v>
      </c>
      <c r="X29" s="1669">
        <f t="shared" si="25"/>
        <v>-58.944999999999993</v>
      </c>
      <c r="Y29" s="476">
        <f t="shared" si="25"/>
        <v>157.16265506556462</v>
      </c>
      <c r="Z29" s="476">
        <f t="shared" si="25"/>
        <v>236.02101103246977</v>
      </c>
      <c r="AA29" s="476">
        <f t="shared" si="25"/>
        <v>308.85233241323033</v>
      </c>
      <c r="AB29" s="476">
        <f t="shared" si="25"/>
        <v>425.24703511734015</v>
      </c>
    </row>
    <row r="30" spans="1:30" x14ac:dyDescent="0.25">
      <c r="B30" s="36"/>
      <c r="C30" s="36"/>
      <c r="D30" s="36"/>
      <c r="E30" s="36"/>
      <c r="F30" s="36"/>
      <c r="G30" s="36"/>
      <c r="H30" s="36"/>
      <c r="I30" s="36"/>
      <c r="J30" s="36"/>
      <c r="K30" s="36"/>
      <c r="L30" s="36"/>
      <c r="M30" s="36"/>
      <c r="N30" s="36"/>
      <c r="O30" s="36"/>
      <c r="P30" s="36"/>
      <c r="Q30" s="36"/>
      <c r="R30" s="36"/>
      <c r="S30" s="36"/>
      <c r="T30" s="36"/>
      <c r="U30" s="36"/>
      <c r="V30" s="36"/>
      <c r="W30" s="1453"/>
      <c r="X30" s="1668"/>
      <c r="Y30" s="36"/>
      <c r="Z30" s="36"/>
      <c r="AA30" s="36"/>
      <c r="AB30" s="36"/>
    </row>
    <row r="31" spans="1:30" x14ac:dyDescent="0.25">
      <c r="A31" s="4" t="s">
        <v>473</v>
      </c>
      <c r="B31" s="36"/>
      <c r="C31" s="36"/>
      <c r="D31" s="36"/>
      <c r="E31" s="36">
        <v>4</v>
      </c>
      <c r="F31" s="36">
        <v>10</v>
      </c>
      <c r="G31" s="36">
        <v>3</v>
      </c>
      <c r="H31" s="36">
        <v>9</v>
      </c>
      <c r="I31" s="36">
        <v>10</v>
      </c>
      <c r="J31" s="36">
        <v>19</v>
      </c>
      <c r="K31" s="36">
        <v>15</v>
      </c>
      <c r="L31" s="36">
        <v>18</v>
      </c>
      <c r="M31" s="36">
        <v>4</v>
      </c>
      <c r="N31" s="36">
        <v>0</v>
      </c>
      <c r="O31" s="36">
        <v>0</v>
      </c>
      <c r="P31" s="36">
        <v>0</v>
      </c>
      <c r="Q31" s="36">
        <v>0</v>
      </c>
      <c r="R31" s="36">
        <v>0</v>
      </c>
      <c r="S31" s="36">
        <v>0</v>
      </c>
      <c r="T31" s="36">
        <v>0</v>
      </c>
      <c r="U31" s="36">
        <v>0</v>
      </c>
      <c r="V31" s="36">
        <v>0</v>
      </c>
      <c r="W31" s="1453">
        <v>0</v>
      </c>
      <c r="X31" s="1663">
        <f t="shared" ref="X31:AB31" si="28">W31</f>
        <v>0</v>
      </c>
      <c r="Y31" s="465">
        <f t="shared" si="28"/>
        <v>0</v>
      </c>
      <c r="Z31" s="465">
        <f t="shared" si="28"/>
        <v>0</v>
      </c>
      <c r="AA31" s="465">
        <f t="shared" si="28"/>
        <v>0</v>
      </c>
      <c r="AB31" s="465">
        <f t="shared" si="28"/>
        <v>0</v>
      </c>
    </row>
    <row r="32" spans="1:30" x14ac:dyDescent="0.25">
      <c r="A32" s="186" t="s">
        <v>474</v>
      </c>
      <c r="B32" s="458"/>
      <c r="C32" s="458"/>
      <c r="D32" s="458"/>
      <c r="E32" s="458">
        <f t="shared" ref="E32:AB32" si="29">E20+E23+E29+E31</f>
        <v>737</v>
      </c>
      <c r="F32" s="458">
        <f t="shared" si="29"/>
        <v>668</v>
      </c>
      <c r="G32" s="458">
        <f t="shared" si="29"/>
        <v>523</v>
      </c>
      <c r="H32" s="458">
        <f t="shared" si="29"/>
        <v>706</v>
      </c>
      <c r="I32" s="458">
        <f t="shared" si="29"/>
        <v>955</v>
      </c>
      <c r="J32" s="458">
        <f t="shared" si="29"/>
        <v>1259</v>
      </c>
      <c r="K32" s="458">
        <f t="shared" si="29"/>
        <v>1623</v>
      </c>
      <c r="L32" s="458">
        <f t="shared" si="29"/>
        <v>1835</v>
      </c>
      <c r="M32" s="458">
        <f t="shared" si="29"/>
        <v>1514</v>
      </c>
      <c r="N32" s="458">
        <f t="shared" si="29"/>
        <v>2242</v>
      </c>
      <c r="O32" s="458">
        <f t="shared" si="29"/>
        <v>2406</v>
      </c>
      <c r="P32" s="458">
        <f t="shared" si="29"/>
        <v>2697</v>
      </c>
      <c r="Q32" s="458">
        <f t="shared" si="29"/>
        <v>3744</v>
      </c>
      <c r="R32" s="458">
        <f t="shared" si="29"/>
        <v>1213</v>
      </c>
      <c r="S32" s="458">
        <f t="shared" si="29"/>
        <v>1196</v>
      </c>
      <c r="T32" s="458">
        <f t="shared" si="29"/>
        <v>1772</v>
      </c>
      <c r="U32" s="458">
        <f t="shared" ref="U32:V32" si="30">U20+U23+U29+U31</f>
        <v>2829</v>
      </c>
      <c r="V32" s="458">
        <f t="shared" si="30"/>
        <v>4148</v>
      </c>
      <c r="W32" s="459">
        <f t="shared" ref="W32" si="31">W20+W23+W29+W31</f>
        <v>4857</v>
      </c>
      <c r="X32" s="1660">
        <f>X20+X23+X29+X31</f>
        <v>6518.9321791018492</v>
      </c>
      <c r="Y32" s="460">
        <f t="shared" si="29"/>
        <v>7823.2749655801135</v>
      </c>
      <c r="Z32" s="460">
        <f t="shared" si="29"/>
        <v>8628.646145928431</v>
      </c>
      <c r="AA32" s="460">
        <f t="shared" si="29"/>
        <v>9265.4332214297647</v>
      </c>
      <c r="AB32" s="460">
        <f t="shared" si="29"/>
        <v>9752.2540117049775</v>
      </c>
    </row>
    <row r="33" spans="1:37" x14ac:dyDescent="0.25">
      <c r="A33" s="4" t="s">
        <v>475</v>
      </c>
      <c r="B33" s="36"/>
      <c r="C33" s="36"/>
      <c r="D33" s="36"/>
      <c r="E33" s="36">
        <v>-219</v>
      </c>
      <c r="F33" s="36">
        <v>-123</v>
      </c>
      <c r="G33" s="36">
        <v>-108</v>
      </c>
      <c r="H33" s="36">
        <v>-173</v>
      </c>
      <c r="I33" s="36">
        <v>-289</v>
      </c>
      <c r="J33" s="36">
        <v>-254</v>
      </c>
      <c r="K33" s="36">
        <v>-529</v>
      </c>
      <c r="L33" s="36">
        <v>-522</v>
      </c>
      <c r="M33" s="36">
        <v>-403</v>
      </c>
      <c r="N33" s="36">
        <v>-498</v>
      </c>
      <c r="O33" s="36">
        <v>-542</v>
      </c>
      <c r="P33" s="36">
        <v>-638</v>
      </c>
      <c r="Q33" s="36">
        <v>-1012</v>
      </c>
      <c r="R33" s="36">
        <v>-334</v>
      </c>
      <c r="S33" s="36">
        <v>-412</v>
      </c>
      <c r="T33" s="36">
        <v>-557</v>
      </c>
      <c r="U33" s="36">
        <v>-724</v>
      </c>
      <c r="V33" s="36">
        <v>-987</v>
      </c>
      <c r="W33" s="1453">
        <v>-1571</v>
      </c>
      <c r="X33" s="1663">
        <f t="shared" ref="X33:AB33" si="32">(X32)*-X34</f>
        <v>-2086.058297312592</v>
      </c>
      <c r="Y33" s="465">
        <f t="shared" si="32"/>
        <v>-1955.8187413950284</v>
      </c>
      <c r="Z33" s="465">
        <f t="shared" si="32"/>
        <v>-2157.1615364821077</v>
      </c>
      <c r="AA33" s="465">
        <f t="shared" si="32"/>
        <v>-2316.3583053574412</v>
      </c>
      <c r="AB33" s="465">
        <f t="shared" si="32"/>
        <v>-2438.0635029262444</v>
      </c>
    </row>
    <row r="34" spans="1:37" x14ac:dyDescent="0.25">
      <c r="A34" s="197" t="s">
        <v>476</v>
      </c>
      <c r="B34" s="32"/>
      <c r="C34" s="32"/>
      <c r="D34" s="32"/>
      <c r="E34" s="19">
        <f t="shared" ref="E34:T34" si="33">-E33/E32</f>
        <v>0.29715061058344638</v>
      </c>
      <c r="F34" s="19">
        <f t="shared" si="33"/>
        <v>0.18413173652694612</v>
      </c>
      <c r="G34" s="19">
        <f t="shared" si="33"/>
        <v>0.20650095602294455</v>
      </c>
      <c r="H34" s="19">
        <f t="shared" si="33"/>
        <v>0.24504249291784702</v>
      </c>
      <c r="I34" s="19">
        <f t="shared" si="33"/>
        <v>0.30261780104712044</v>
      </c>
      <c r="J34" s="19">
        <f t="shared" si="33"/>
        <v>0.20174741858617951</v>
      </c>
      <c r="K34" s="19">
        <f t="shared" si="33"/>
        <v>0.325939617991374</v>
      </c>
      <c r="L34" s="272">
        <f t="shared" si="33"/>
        <v>0.28446866485013622</v>
      </c>
      <c r="M34" s="272">
        <f t="shared" si="33"/>
        <v>0.26618229854689562</v>
      </c>
      <c r="N34" s="272">
        <f t="shared" si="33"/>
        <v>0.22212310437109722</v>
      </c>
      <c r="O34" s="272">
        <f t="shared" si="33"/>
        <v>0.22527015793848712</v>
      </c>
      <c r="P34" s="272">
        <f t="shared" si="33"/>
        <v>0.23655913978494625</v>
      </c>
      <c r="Q34" s="272">
        <f t="shared" si="33"/>
        <v>0.27029914529914528</v>
      </c>
      <c r="R34" s="272">
        <f t="shared" si="33"/>
        <v>0.27535037098103876</v>
      </c>
      <c r="S34" s="272">
        <f t="shared" si="33"/>
        <v>0.34448160535117056</v>
      </c>
      <c r="T34" s="272">
        <f t="shared" si="33"/>
        <v>0.31433408577878102</v>
      </c>
      <c r="U34" s="272">
        <f t="shared" ref="U34:V34" si="34">-U33/U32</f>
        <v>0.25592082007776601</v>
      </c>
      <c r="V34" s="272">
        <f t="shared" si="34"/>
        <v>0.23794599807135969</v>
      </c>
      <c r="W34" s="275">
        <f t="shared" ref="W34" si="35">-W33/W32</f>
        <v>0.32345068972616842</v>
      </c>
      <c r="X34" s="1641">
        <v>0.32</v>
      </c>
      <c r="Y34" s="277">
        <v>0.25</v>
      </c>
      <c r="Z34" s="274">
        <f t="shared" ref="X34:AB35" si="36">Y34</f>
        <v>0.25</v>
      </c>
      <c r="AA34" s="274">
        <f t="shared" si="36"/>
        <v>0.25</v>
      </c>
      <c r="AB34" s="274">
        <f t="shared" si="36"/>
        <v>0.25</v>
      </c>
    </row>
    <row r="35" spans="1:37" s="477" customFormat="1" x14ac:dyDescent="0.25">
      <c r="A35" s="477" t="s">
        <v>477</v>
      </c>
      <c r="B35" s="1457"/>
      <c r="C35" s="1457"/>
      <c r="D35" s="1457"/>
      <c r="E35" s="1457"/>
      <c r="F35" s="1457"/>
      <c r="G35" s="1457"/>
      <c r="H35" s="1457"/>
      <c r="I35" s="1457"/>
      <c r="J35" s="1457"/>
      <c r="K35" s="477">
        <v>131</v>
      </c>
      <c r="L35" s="477">
        <v>0</v>
      </c>
      <c r="M35" s="477">
        <v>421</v>
      </c>
      <c r="N35" s="477">
        <v>0</v>
      </c>
      <c r="O35" s="477">
        <v>824</v>
      </c>
      <c r="P35" s="477">
        <v>0</v>
      </c>
      <c r="Q35" s="1457">
        <v>0</v>
      </c>
      <c r="R35" s="1457">
        <v>0</v>
      </c>
      <c r="S35" s="1457">
        <v>0</v>
      </c>
      <c r="T35" s="1457">
        <v>0</v>
      </c>
      <c r="U35" s="1457">
        <v>0</v>
      </c>
      <c r="V35" s="1457">
        <v>0</v>
      </c>
      <c r="W35" s="1458">
        <v>0</v>
      </c>
      <c r="X35" s="1670">
        <f t="shared" si="36"/>
        <v>0</v>
      </c>
      <c r="Y35" s="1486">
        <f t="shared" si="36"/>
        <v>0</v>
      </c>
      <c r="Z35" s="1486">
        <f t="shared" si="36"/>
        <v>0</v>
      </c>
      <c r="AA35" s="1486">
        <f t="shared" si="36"/>
        <v>0</v>
      </c>
      <c r="AB35" s="1486">
        <f t="shared" si="36"/>
        <v>0</v>
      </c>
      <c r="AF35"/>
      <c r="AG35"/>
      <c r="AH35"/>
      <c r="AI35"/>
      <c r="AJ35"/>
      <c r="AK35"/>
    </row>
    <row r="36" spans="1:37" x14ac:dyDescent="0.25">
      <c r="A36" s="186" t="s">
        <v>478</v>
      </c>
      <c r="B36" s="458"/>
      <c r="C36" s="458"/>
      <c r="D36" s="458"/>
      <c r="E36" s="458">
        <f t="shared" ref="E36:AB36" si="37">E32+E33+E35</f>
        <v>518</v>
      </c>
      <c r="F36" s="458">
        <f t="shared" si="37"/>
        <v>545</v>
      </c>
      <c r="G36" s="458">
        <f t="shared" si="37"/>
        <v>415</v>
      </c>
      <c r="H36" s="458">
        <f t="shared" si="37"/>
        <v>533</v>
      </c>
      <c r="I36" s="458">
        <f t="shared" si="37"/>
        <v>666</v>
      </c>
      <c r="J36" s="458">
        <f t="shared" si="37"/>
        <v>1005</v>
      </c>
      <c r="K36" s="458">
        <f t="shared" si="37"/>
        <v>1225</v>
      </c>
      <c r="L36" s="458">
        <f t="shared" si="37"/>
        <v>1313</v>
      </c>
      <c r="M36" s="458">
        <f t="shared" si="37"/>
        <v>1532</v>
      </c>
      <c r="N36" s="458">
        <f t="shared" si="37"/>
        <v>1744</v>
      </c>
      <c r="O36" s="458">
        <f t="shared" si="37"/>
        <v>2688</v>
      </c>
      <c r="P36" s="458">
        <f t="shared" si="37"/>
        <v>2059</v>
      </c>
      <c r="Q36" s="458">
        <f t="shared" si="37"/>
        <v>2732</v>
      </c>
      <c r="R36" s="458">
        <f t="shared" si="37"/>
        <v>879</v>
      </c>
      <c r="S36" s="458">
        <f t="shared" si="37"/>
        <v>784</v>
      </c>
      <c r="T36" s="458">
        <f t="shared" si="37"/>
        <v>1215</v>
      </c>
      <c r="U36" s="458">
        <f t="shared" ref="U36:V36" si="38">U32+U33+U35</f>
        <v>2105</v>
      </c>
      <c r="V36" s="458">
        <f t="shared" si="38"/>
        <v>3161</v>
      </c>
      <c r="W36" s="459">
        <f t="shared" ref="W36" si="39">W32+W33+W35</f>
        <v>3286</v>
      </c>
      <c r="X36" s="1660">
        <f>X32+X33+X35</f>
        <v>4432.8738817892572</v>
      </c>
      <c r="Y36" s="460">
        <f t="shared" si="37"/>
        <v>5867.4562241850854</v>
      </c>
      <c r="Z36" s="460">
        <f t="shared" si="37"/>
        <v>6471.4846094463228</v>
      </c>
      <c r="AA36" s="460">
        <f t="shared" si="37"/>
        <v>6949.0749160723235</v>
      </c>
      <c r="AB36" s="460">
        <f t="shared" si="37"/>
        <v>7314.1905087787327</v>
      </c>
    </row>
    <row r="37" spans="1:37" x14ac:dyDescent="0.25">
      <c r="A37" s="4" t="s">
        <v>479</v>
      </c>
      <c r="B37" s="36"/>
      <c r="C37" s="36"/>
      <c r="D37" s="36"/>
      <c r="E37" s="36">
        <v>-97</v>
      </c>
      <c r="F37" s="36">
        <v>-233</v>
      </c>
      <c r="G37" s="36">
        <v>-4</v>
      </c>
      <c r="H37" s="36">
        <v>-5</v>
      </c>
      <c r="I37" s="36">
        <v>3</v>
      </c>
      <c r="J37" s="36">
        <v>0</v>
      </c>
      <c r="K37" s="36">
        <f>0</f>
        <v>0</v>
      </c>
      <c r="L37" s="36">
        <f>0</f>
        <v>0</v>
      </c>
      <c r="M37" s="36">
        <f>0</f>
        <v>0</v>
      </c>
      <c r="N37" s="36">
        <v>117</v>
      </c>
      <c r="O37" s="36">
        <v>-1</v>
      </c>
      <c r="P37" s="36">
        <v>0</v>
      </c>
      <c r="Q37" s="36">
        <f>0</f>
        <v>0</v>
      </c>
      <c r="R37" s="36">
        <f>0</f>
        <v>0</v>
      </c>
      <c r="S37" s="36">
        <f>0</f>
        <v>0</v>
      </c>
      <c r="T37" s="36">
        <f>0</f>
        <v>0</v>
      </c>
      <c r="U37" s="36">
        <v>0</v>
      </c>
      <c r="V37" s="36">
        <v>0</v>
      </c>
      <c r="W37" s="1453">
        <v>0</v>
      </c>
      <c r="X37" s="1664">
        <v>0</v>
      </c>
      <c r="Y37" s="469">
        <v>0</v>
      </c>
      <c r="Z37" s="469">
        <v>0</v>
      </c>
      <c r="AA37" s="469">
        <v>0</v>
      </c>
      <c r="AB37" s="469">
        <v>0</v>
      </c>
    </row>
    <row r="38" spans="1:37" x14ac:dyDescent="0.25">
      <c r="B38" s="36"/>
      <c r="C38" s="36"/>
      <c r="D38" s="36"/>
      <c r="E38" s="36"/>
      <c r="F38" s="36"/>
      <c r="G38" s="36"/>
      <c r="H38" s="36"/>
      <c r="I38" s="36"/>
      <c r="J38" s="36"/>
      <c r="K38" s="36"/>
      <c r="L38" s="36"/>
      <c r="M38" s="36"/>
      <c r="N38" s="36"/>
      <c r="O38" s="36"/>
      <c r="P38" s="36"/>
      <c r="Q38" s="36"/>
      <c r="R38" s="32"/>
      <c r="S38" s="32"/>
      <c r="T38" s="32"/>
      <c r="U38" s="32"/>
      <c r="V38" s="32"/>
      <c r="W38" s="1384"/>
      <c r="X38" s="1668"/>
      <c r="Y38" s="36"/>
      <c r="Z38" s="36"/>
      <c r="AA38" s="36"/>
      <c r="AB38" s="36"/>
    </row>
    <row r="39" spans="1:37" x14ac:dyDescent="0.25">
      <c r="A39" s="186" t="s">
        <v>480</v>
      </c>
      <c r="B39" s="36"/>
      <c r="C39" s="36"/>
      <c r="D39" s="36"/>
      <c r="E39" s="458">
        <f t="shared" ref="E39:AB39" si="40">E36+E37</f>
        <v>421</v>
      </c>
      <c r="F39" s="458">
        <f t="shared" si="40"/>
        <v>312</v>
      </c>
      <c r="G39" s="458">
        <f t="shared" si="40"/>
        <v>411</v>
      </c>
      <c r="H39" s="458">
        <f t="shared" si="40"/>
        <v>528</v>
      </c>
      <c r="I39" s="458">
        <f t="shared" si="40"/>
        <v>669</v>
      </c>
      <c r="J39" s="458">
        <f t="shared" si="40"/>
        <v>1005</v>
      </c>
      <c r="K39" s="458">
        <f t="shared" si="40"/>
        <v>1225</v>
      </c>
      <c r="L39" s="458">
        <f t="shared" si="40"/>
        <v>1313</v>
      </c>
      <c r="M39" s="458">
        <f t="shared" si="40"/>
        <v>1532</v>
      </c>
      <c r="N39" s="458">
        <f t="shared" si="40"/>
        <v>1861</v>
      </c>
      <c r="O39" s="458">
        <f t="shared" si="40"/>
        <v>2687</v>
      </c>
      <c r="P39" s="458">
        <f t="shared" si="40"/>
        <v>2059</v>
      </c>
      <c r="Q39" s="458">
        <f t="shared" si="40"/>
        <v>2732</v>
      </c>
      <c r="R39" s="458">
        <f t="shared" si="40"/>
        <v>879</v>
      </c>
      <c r="S39" s="458">
        <f t="shared" si="40"/>
        <v>784</v>
      </c>
      <c r="T39" s="458">
        <f t="shared" si="40"/>
        <v>1215</v>
      </c>
      <c r="U39" s="458">
        <f t="shared" ref="U39:V39" si="41">U36+U37</f>
        <v>2105</v>
      </c>
      <c r="V39" s="458">
        <f t="shared" si="41"/>
        <v>3161</v>
      </c>
      <c r="W39" s="459">
        <f t="shared" ref="W39" si="42">W36+W37</f>
        <v>3286</v>
      </c>
      <c r="X39" s="1660">
        <f>X36+X37</f>
        <v>4432.8738817892572</v>
      </c>
      <c r="Y39" s="460">
        <f t="shared" si="40"/>
        <v>5867.4562241850854</v>
      </c>
      <c r="Z39" s="460">
        <f t="shared" si="40"/>
        <v>6471.4846094463228</v>
      </c>
      <c r="AA39" s="460">
        <f t="shared" si="40"/>
        <v>6949.0749160723235</v>
      </c>
      <c r="AB39" s="460">
        <f t="shared" si="40"/>
        <v>7314.1905087787327</v>
      </c>
    </row>
    <row r="40" spans="1:37" x14ac:dyDescent="0.25">
      <c r="A40" s="4" t="s">
        <v>481</v>
      </c>
      <c r="B40" s="36"/>
      <c r="C40" s="36"/>
      <c r="D40" s="36"/>
      <c r="E40" s="36">
        <v>-15</v>
      </c>
      <c r="F40" s="36">
        <v>-15</v>
      </c>
      <c r="G40" s="36">
        <v>-16</v>
      </c>
      <c r="H40" s="36">
        <v>-20</v>
      </c>
      <c r="I40" s="36">
        <v>-25</v>
      </c>
      <c r="J40" s="36">
        <v>-26</v>
      </c>
      <c r="K40" s="36">
        <v>-32</v>
      </c>
      <c r="L40" s="36">
        <v>-65</v>
      </c>
      <c r="M40" s="36">
        <v>-50</v>
      </c>
      <c r="N40" s="36">
        <f>-57-N41</f>
        <v>-55</v>
      </c>
      <c r="O40" s="36">
        <f>-64-O41</f>
        <v>-63</v>
      </c>
      <c r="P40" s="36">
        <v>-78</v>
      </c>
      <c r="Q40" s="36">
        <v>-67</v>
      </c>
      <c r="R40" s="36">
        <v>-35</v>
      </c>
      <c r="S40" s="36">
        <v>-24</v>
      </c>
      <c r="T40" s="36">
        <v>-37</v>
      </c>
      <c r="U40" s="36">
        <v>-77</v>
      </c>
      <c r="V40" s="36">
        <v>-93</v>
      </c>
      <c r="W40" s="1453">
        <v>-112</v>
      </c>
      <c r="X40" s="1663">
        <f t="shared" ref="X40:AB40" si="43">W40*1.05</f>
        <v>-117.60000000000001</v>
      </c>
      <c r="Y40" s="465">
        <f t="shared" si="43"/>
        <v>-123.48000000000002</v>
      </c>
      <c r="Z40" s="465">
        <f t="shared" si="43"/>
        <v>-129.65400000000002</v>
      </c>
      <c r="AA40" s="465">
        <f t="shared" si="43"/>
        <v>-136.13670000000002</v>
      </c>
      <c r="AB40" s="465">
        <f t="shared" si="43"/>
        <v>-142.94353500000003</v>
      </c>
    </row>
    <row r="41" spans="1:37" x14ac:dyDescent="0.25">
      <c r="A41" s="4" t="s">
        <v>482</v>
      </c>
      <c r="B41" s="36"/>
      <c r="C41" s="36"/>
      <c r="D41" s="36"/>
      <c r="E41" s="36"/>
      <c r="F41" s="36"/>
      <c r="G41" s="36"/>
      <c r="H41" s="36"/>
      <c r="I41" s="36"/>
      <c r="J41" s="36"/>
      <c r="K41" s="36"/>
      <c r="L41" s="36"/>
      <c r="M41" s="36"/>
      <c r="N41" s="36">
        <v>-2</v>
      </c>
      <c r="O41" s="36">
        <v>-1</v>
      </c>
      <c r="P41" s="36">
        <v>0</v>
      </c>
      <c r="Q41" s="36"/>
      <c r="R41" s="36"/>
      <c r="S41" s="36"/>
      <c r="T41" s="36"/>
      <c r="U41" s="36"/>
      <c r="V41" s="36"/>
      <c r="W41" s="1453"/>
      <c r="X41" s="1671"/>
      <c r="Y41" s="475"/>
      <c r="Z41" s="475"/>
      <c r="AA41" s="475"/>
      <c r="AB41" s="475"/>
    </row>
    <row r="42" spans="1:37" x14ac:dyDescent="0.25">
      <c r="A42" s="186" t="s">
        <v>483</v>
      </c>
      <c r="B42" s="36"/>
      <c r="C42" s="36"/>
      <c r="D42" s="36"/>
      <c r="E42" s="470">
        <f t="shared" ref="E42:AB42" si="44">E39+E40+E41</f>
        <v>406</v>
      </c>
      <c r="F42" s="470">
        <f t="shared" si="44"/>
        <v>297</v>
      </c>
      <c r="G42" s="470">
        <f t="shared" si="44"/>
        <v>395</v>
      </c>
      <c r="H42" s="470">
        <f t="shared" si="44"/>
        <v>508</v>
      </c>
      <c r="I42" s="470">
        <f t="shared" si="44"/>
        <v>644</v>
      </c>
      <c r="J42" s="470">
        <f t="shared" si="44"/>
        <v>979</v>
      </c>
      <c r="K42" s="470">
        <f t="shared" si="44"/>
        <v>1193</v>
      </c>
      <c r="L42" s="470">
        <f t="shared" si="44"/>
        <v>1248</v>
      </c>
      <c r="M42" s="470">
        <f t="shared" si="44"/>
        <v>1482</v>
      </c>
      <c r="N42" s="470">
        <f t="shared" si="44"/>
        <v>1804</v>
      </c>
      <c r="O42" s="470">
        <f t="shared" si="44"/>
        <v>2623</v>
      </c>
      <c r="P42" s="470">
        <f t="shared" si="44"/>
        <v>1981</v>
      </c>
      <c r="Q42" s="470">
        <f t="shared" si="44"/>
        <v>2665</v>
      </c>
      <c r="R42" s="470">
        <f t="shared" si="44"/>
        <v>844</v>
      </c>
      <c r="S42" s="470">
        <f t="shared" si="44"/>
        <v>760</v>
      </c>
      <c r="T42" s="470">
        <f t="shared" si="44"/>
        <v>1178</v>
      </c>
      <c r="U42" s="470">
        <f t="shared" ref="U42" si="45">U39+U40+U41</f>
        <v>2028</v>
      </c>
      <c r="V42" s="470">
        <f t="shared" si="44"/>
        <v>3068</v>
      </c>
      <c r="W42" s="471">
        <f t="shared" ref="W42" si="46">W39+W40+W41</f>
        <v>3174</v>
      </c>
      <c r="X42" s="1665">
        <f>X39+X40+X41</f>
        <v>4315.2738817892568</v>
      </c>
      <c r="Y42" s="472">
        <f t="shared" si="44"/>
        <v>5743.9762241850858</v>
      </c>
      <c r="Z42" s="472">
        <f t="shared" si="44"/>
        <v>6341.8306094463223</v>
      </c>
      <c r="AA42" s="472">
        <f t="shared" si="44"/>
        <v>6812.9382160723235</v>
      </c>
      <c r="AB42" s="472">
        <f t="shared" si="44"/>
        <v>7171.2469737787324</v>
      </c>
    </row>
    <row r="43" spans="1:37" x14ac:dyDescent="0.25">
      <c r="A43" s="4" t="s">
        <v>484</v>
      </c>
      <c r="B43" s="36"/>
      <c r="C43" s="36"/>
      <c r="D43" s="36"/>
      <c r="E43" s="36">
        <f t="shared" ref="E43:AB43" si="47">E42-E41-E37-E35</f>
        <v>503</v>
      </c>
      <c r="F43" s="36">
        <f t="shared" si="47"/>
        <v>530</v>
      </c>
      <c r="G43" s="36">
        <f t="shared" si="47"/>
        <v>399</v>
      </c>
      <c r="H43" s="36">
        <f t="shared" si="47"/>
        <v>513</v>
      </c>
      <c r="I43" s="36">
        <f t="shared" si="47"/>
        <v>641</v>
      </c>
      <c r="J43" s="36">
        <f t="shared" si="47"/>
        <v>979</v>
      </c>
      <c r="K43" s="36">
        <f t="shared" si="47"/>
        <v>1062</v>
      </c>
      <c r="L43" s="36">
        <f t="shared" si="47"/>
        <v>1248</v>
      </c>
      <c r="M43" s="36">
        <f t="shared" si="47"/>
        <v>1061</v>
      </c>
      <c r="N43" s="36">
        <f t="shared" si="47"/>
        <v>1689</v>
      </c>
      <c r="O43" s="36">
        <f t="shared" si="47"/>
        <v>1801</v>
      </c>
      <c r="P43" s="36">
        <f t="shared" si="47"/>
        <v>1981</v>
      </c>
      <c r="Q43" s="36">
        <f t="shared" si="47"/>
        <v>2665</v>
      </c>
      <c r="R43" s="36">
        <f t="shared" si="47"/>
        <v>844</v>
      </c>
      <c r="S43" s="36">
        <f t="shared" si="47"/>
        <v>760</v>
      </c>
      <c r="T43" s="36">
        <f t="shared" si="47"/>
        <v>1178</v>
      </c>
      <c r="U43" s="36">
        <f t="shared" ref="U43" si="48">U42-U41-U37-U35</f>
        <v>2028</v>
      </c>
      <c r="V43" s="36">
        <f t="shared" si="47"/>
        <v>3068</v>
      </c>
      <c r="W43" s="1453">
        <f t="shared" ref="W43" si="49">W42-W41-W37-W35</f>
        <v>3174</v>
      </c>
      <c r="X43" s="1663">
        <f t="shared" si="47"/>
        <v>4315.2738817892568</v>
      </c>
      <c r="Y43" s="465">
        <f t="shared" si="47"/>
        <v>5743.9762241850858</v>
      </c>
      <c r="Z43" s="465">
        <f t="shared" si="47"/>
        <v>6341.8306094463223</v>
      </c>
      <c r="AA43" s="465">
        <f t="shared" si="47"/>
        <v>6812.9382160723235</v>
      </c>
      <c r="AB43" s="465">
        <f t="shared" si="47"/>
        <v>7171.2469737787324</v>
      </c>
      <c r="AC43" s="465"/>
    </row>
    <row r="44" spans="1:37" x14ac:dyDescent="0.25">
      <c r="A44" s="4" t="s">
        <v>485</v>
      </c>
      <c r="B44" s="36"/>
      <c r="C44" s="36"/>
      <c r="D44" s="36"/>
      <c r="E44" s="36">
        <f t="shared" ref="E44:AB44" si="50">E42-E43</f>
        <v>-97</v>
      </c>
      <c r="F44" s="36">
        <f t="shared" si="50"/>
        <v>-233</v>
      </c>
      <c r="G44" s="36">
        <f t="shared" si="50"/>
        <v>-4</v>
      </c>
      <c r="H44" s="36">
        <f t="shared" si="50"/>
        <v>-5</v>
      </c>
      <c r="I44" s="36">
        <f t="shared" si="50"/>
        <v>3</v>
      </c>
      <c r="J44" s="36">
        <f t="shared" si="50"/>
        <v>0</v>
      </c>
      <c r="K44" s="36">
        <f t="shared" si="50"/>
        <v>131</v>
      </c>
      <c r="L44" s="36">
        <f t="shared" si="50"/>
        <v>0</v>
      </c>
      <c r="M44" s="36">
        <f t="shared" si="50"/>
        <v>421</v>
      </c>
      <c r="N44" s="36">
        <f t="shared" si="50"/>
        <v>115</v>
      </c>
      <c r="O44" s="36">
        <f t="shared" si="50"/>
        <v>822</v>
      </c>
      <c r="P44" s="36">
        <f t="shared" si="50"/>
        <v>0</v>
      </c>
      <c r="Q44" s="36">
        <f t="shared" si="50"/>
        <v>0</v>
      </c>
      <c r="R44" s="36">
        <f t="shared" si="50"/>
        <v>0</v>
      </c>
      <c r="S44" s="36">
        <f t="shared" si="50"/>
        <v>0</v>
      </c>
      <c r="T44" s="36">
        <f t="shared" si="50"/>
        <v>0</v>
      </c>
      <c r="U44" s="36">
        <f t="shared" ref="U44" si="51">U42-U43</f>
        <v>0</v>
      </c>
      <c r="V44" s="36">
        <f t="shared" si="50"/>
        <v>0</v>
      </c>
      <c r="W44" s="1453">
        <f t="shared" ref="W44" si="52">W42-W43</f>
        <v>0</v>
      </c>
      <c r="X44" s="1663">
        <f t="shared" si="50"/>
        <v>0</v>
      </c>
      <c r="Y44" s="465">
        <f t="shared" si="50"/>
        <v>0</v>
      </c>
      <c r="Z44" s="465">
        <f t="shared" si="50"/>
        <v>0</v>
      </c>
      <c r="AA44" s="465">
        <f t="shared" si="50"/>
        <v>0</v>
      </c>
      <c r="AB44" s="465">
        <f t="shared" si="50"/>
        <v>0</v>
      </c>
    </row>
    <row r="45" spans="1:37" x14ac:dyDescent="0.25">
      <c r="B45" s="36"/>
      <c r="C45" s="36"/>
      <c r="D45" s="36"/>
      <c r="E45" s="36"/>
      <c r="F45" s="36"/>
      <c r="G45" s="36"/>
      <c r="H45" s="36"/>
      <c r="I45" s="36"/>
      <c r="J45" s="36"/>
      <c r="K45" s="36"/>
      <c r="L45" s="36"/>
      <c r="M45" s="36"/>
      <c r="N45" s="36"/>
      <c r="O45" s="36"/>
      <c r="P45" s="36"/>
      <c r="Q45" s="36"/>
      <c r="R45" s="36"/>
      <c r="S45" s="36"/>
      <c r="T45" s="36"/>
      <c r="U45" s="36"/>
      <c r="V45" s="36"/>
      <c r="W45" s="1453"/>
      <c r="X45" s="1668"/>
      <c r="Y45" s="36"/>
      <c r="Z45" s="36"/>
      <c r="AA45" s="36"/>
      <c r="AB45" s="36"/>
    </row>
    <row r="46" spans="1:37" x14ac:dyDescent="0.25">
      <c r="A46" s="186" t="s">
        <v>486</v>
      </c>
      <c r="B46" s="479"/>
      <c r="C46" s="479"/>
      <c r="D46" s="479"/>
      <c r="E46" s="479">
        <f t="shared" ref="E46:AB46" si="53">E42/E94</f>
        <v>0.98837801590314356</v>
      </c>
      <c r="F46" s="479">
        <f t="shared" si="53"/>
        <v>0.73269217883071125</v>
      </c>
      <c r="G46" s="479">
        <f t="shared" si="53"/>
        <v>0.98931344121715425</v>
      </c>
      <c r="H46" s="479">
        <f t="shared" si="53"/>
        <v>1.2714210673269515</v>
      </c>
      <c r="I46" s="479">
        <f t="shared" si="53"/>
        <v>1.5911627807457247</v>
      </c>
      <c r="J46" s="479">
        <f t="shared" si="53"/>
        <v>2.3574408898907362</v>
      </c>
      <c r="K46" s="479">
        <f t="shared" si="53"/>
        <v>2.8657718399390952</v>
      </c>
      <c r="L46" s="479">
        <f t="shared" si="53"/>
        <v>2.9970219399872868</v>
      </c>
      <c r="M46" s="479">
        <f t="shared" si="53"/>
        <v>3.5491137751544608</v>
      </c>
      <c r="N46" s="479">
        <f t="shared" si="53"/>
        <v>4.3331519574564803</v>
      </c>
      <c r="O46" s="479">
        <f t="shared" si="53"/>
        <v>6.3938019970371425</v>
      </c>
      <c r="P46" s="479">
        <f t="shared" si="53"/>
        <v>4.5972283748732714</v>
      </c>
      <c r="Q46" s="479">
        <f t="shared" si="53"/>
        <v>6.2016640789088848</v>
      </c>
      <c r="R46" s="479">
        <f t="shared" si="53"/>
        <v>1.9810544905186498</v>
      </c>
      <c r="S46" s="479">
        <f t="shared" si="53"/>
        <v>1.7813178083673538</v>
      </c>
      <c r="T46" s="479">
        <f t="shared" si="53"/>
        <v>2.760846972259162</v>
      </c>
      <c r="U46" s="479">
        <f t="shared" ref="U46" si="54">U42/U94</f>
        <v>4.8540495022861565</v>
      </c>
      <c r="V46" s="479">
        <f>V42/V94</f>
        <v>7.3723500300480929</v>
      </c>
      <c r="W46" s="480">
        <f>W42/W94</f>
        <v>7.5954258651186475</v>
      </c>
      <c r="X46" s="1672">
        <f t="shared" si="53"/>
        <v>10.395785007617615</v>
      </c>
      <c r="Y46" s="481">
        <f t="shared" si="53"/>
        <v>13.959756035069969</v>
      </c>
      <c r="Z46" s="481">
        <f t="shared" si="53"/>
        <v>15.549983593616943</v>
      </c>
      <c r="AA46" s="481">
        <f t="shared" si="53"/>
        <v>16.77983456006794</v>
      </c>
      <c r="AB46" s="481">
        <f t="shared" si="53"/>
        <v>17.662326296387128</v>
      </c>
      <c r="AC46" s="1342"/>
      <c r="AD46" s="8"/>
      <c r="AE46" s="8"/>
    </row>
    <row r="47" spans="1:37" x14ac:dyDescent="0.25">
      <c r="A47" s="186" t="s">
        <v>484</v>
      </c>
      <c r="B47" s="479"/>
      <c r="C47" s="479"/>
      <c r="D47" s="479"/>
      <c r="E47" s="479">
        <f t="shared" ref="E47:AB47" si="55">E43/E94</f>
        <v>1.2245175911312345</v>
      </c>
      <c r="F47" s="479">
        <f t="shared" si="55"/>
        <v>1.30749782754302</v>
      </c>
      <c r="G47" s="479">
        <f t="shared" si="55"/>
        <v>0.9993318051788469</v>
      </c>
      <c r="H47" s="479">
        <f t="shared" si="55"/>
        <v>1.2839350542100907</v>
      </c>
      <c r="I47" s="479">
        <f t="shared" si="55"/>
        <v>1.5837505317670955</v>
      </c>
      <c r="J47" s="479">
        <f t="shared" si="55"/>
        <v>2.3574408898907362</v>
      </c>
      <c r="K47" s="479">
        <f t="shared" si="55"/>
        <v>2.551089433374115</v>
      </c>
      <c r="L47" s="479">
        <f t="shared" si="55"/>
        <v>2.9970219399872868</v>
      </c>
      <c r="M47" s="479">
        <f t="shared" si="55"/>
        <v>2.5408972438858859</v>
      </c>
      <c r="N47" s="479">
        <f t="shared" si="55"/>
        <v>4.0569255300133014</v>
      </c>
      <c r="O47" s="479">
        <f t="shared" si="55"/>
        <v>4.3901019430666768</v>
      </c>
      <c r="P47" s="479">
        <f t="shared" si="55"/>
        <v>4.5972283748732714</v>
      </c>
      <c r="Q47" s="479">
        <f t="shared" si="55"/>
        <v>6.2016640789088848</v>
      </c>
      <c r="R47" s="479">
        <f t="shared" si="55"/>
        <v>1.9810544905186498</v>
      </c>
      <c r="S47" s="479">
        <f t="shared" si="55"/>
        <v>1.7813178083673538</v>
      </c>
      <c r="T47" s="479">
        <f>T43/T94</f>
        <v>2.760846972259162</v>
      </c>
      <c r="U47" s="479">
        <f>U43/U94</f>
        <v>4.8540495022861565</v>
      </c>
      <c r="V47" s="479">
        <f>V43/V94</f>
        <v>7.3723500300480929</v>
      </c>
      <c r="W47" s="480">
        <f>W43/W94</f>
        <v>7.5954258651186475</v>
      </c>
      <c r="X47" s="1672">
        <f t="shared" si="55"/>
        <v>10.395785007617615</v>
      </c>
      <c r="Y47" s="481">
        <f t="shared" si="55"/>
        <v>13.959756035069969</v>
      </c>
      <c r="Z47" s="481">
        <f t="shared" si="55"/>
        <v>15.549983593616943</v>
      </c>
      <c r="AA47" s="481">
        <f t="shared" si="55"/>
        <v>16.77983456006794</v>
      </c>
      <c r="AB47" s="481">
        <f t="shared" si="55"/>
        <v>17.662326296387128</v>
      </c>
      <c r="AC47" s="463"/>
      <c r="AD47" s="463"/>
      <c r="AE47" s="463"/>
    </row>
    <row r="48" spans="1:37" x14ac:dyDescent="0.25">
      <c r="A48" s="4" t="s">
        <v>485</v>
      </c>
      <c r="B48" s="479"/>
      <c r="C48" s="479"/>
      <c r="D48" s="479"/>
      <c r="E48" s="482">
        <f t="shared" ref="E48:AB48" si="56">E44/E94</f>
        <v>-0.23613957522809095</v>
      </c>
      <c r="F48" s="482">
        <f t="shared" si="56"/>
        <v>-0.57480564871230877</v>
      </c>
      <c r="G48" s="482">
        <f t="shared" si="56"/>
        <v>-1.0018363961692702E-2</v>
      </c>
      <c r="H48" s="482">
        <f t="shared" si="56"/>
        <v>-1.2513986883139285E-2</v>
      </c>
      <c r="I48" s="482">
        <f t="shared" si="56"/>
        <v>7.4122489786291523E-3</v>
      </c>
      <c r="J48" s="482">
        <f t="shared" si="56"/>
        <v>0</v>
      </c>
      <c r="K48" s="482">
        <f t="shared" si="56"/>
        <v>0.31468240656498025</v>
      </c>
      <c r="L48" s="482">
        <f t="shared" si="56"/>
        <v>0</v>
      </c>
      <c r="M48" s="482">
        <f t="shared" si="56"/>
        <v>1.0082165312685749</v>
      </c>
      <c r="N48" s="482">
        <f t="shared" si="56"/>
        <v>0.27622642744317916</v>
      </c>
      <c r="O48" s="482">
        <f t="shared" si="56"/>
        <v>2.0037000539704652</v>
      </c>
      <c r="P48" s="482">
        <f t="shared" si="56"/>
        <v>0</v>
      </c>
      <c r="Q48" s="482">
        <f t="shared" si="56"/>
        <v>0</v>
      </c>
      <c r="R48" s="482">
        <f t="shared" si="56"/>
        <v>0</v>
      </c>
      <c r="S48" s="482">
        <f t="shared" si="56"/>
        <v>0</v>
      </c>
      <c r="T48" s="482">
        <f t="shared" si="56"/>
        <v>0</v>
      </c>
      <c r="U48" s="482">
        <f t="shared" ref="U48" si="57">U44/U94</f>
        <v>0</v>
      </c>
      <c r="V48" s="482">
        <f t="shared" si="56"/>
        <v>0</v>
      </c>
      <c r="W48" s="1456">
        <f t="shared" ref="W48" si="58">W44/W94</f>
        <v>0</v>
      </c>
      <c r="X48" s="1673">
        <f t="shared" si="56"/>
        <v>0</v>
      </c>
      <c r="Y48" s="483">
        <f t="shared" si="56"/>
        <v>0</v>
      </c>
      <c r="Z48" s="483">
        <f t="shared" si="56"/>
        <v>0</v>
      </c>
      <c r="AA48" s="483">
        <f t="shared" si="56"/>
        <v>0</v>
      </c>
      <c r="AB48" s="483">
        <f t="shared" si="56"/>
        <v>0</v>
      </c>
    </row>
    <row r="49" spans="1:37" x14ac:dyDescent="0.25">
      <c r="A49" s="186"/>
      <c r="B49" s="479"/>
      <c r="C49" s="479"/>
      <c r="D49" s="479"/>
      <c r="E49" s="479"/>
      <c r="F49" s="479"/>
      <c r="G49" s="479"/>
      <c r="H49" s="479"/>
      <c r="I49" s="479"/>
      <c r="J49" s="479"/>
      <c r="K49" s="479"/>
      <c r="L49" s="479"/>
      <c r="M49" s="479"/>
      <c r="N49" s="479"/>
      <c r="O49" s="479"/>
      <c r="P49" s="484"/>
      <c r="Q49" s="479"/>
      <c r="R49" s="479"/>
      <c r="S49" s="479"/>
      <c r="T49" s="479"/>
      <c r="U49" s="479"/>
      <c r="V49" s="479"/>
      <c r="W49" s="480"/>
      <c r="X49" s="1674"/>
      <c r="Y49" s="479"/>
      <c r="Z49" s="479"/>
      <c r="AA49" s="479"/>
      <c r="AB49" s="479"/>
    </row>
    <row r="50" spans="1:37" x14ac:dyDescent="0.25">
      <c r="A50" s="186" t="s">
        <v>487</v>
      </c>
      <c r="B50" s="479"/>
      <c r="C50" s="479"/>
      <c r="D50" s="479"/>
      <c r="E50" s="479">
        <f t="shared" ref="E50:AB50" si="59">E42/E95</f>
        <v>0.98780595878421973</v>
      </c>
      <c r="F50" s="479">
        <f t="shared" si="59"/>
        <v>0.73269217883071125</v>
      </c>
      <c r="G50" s="479">
        <f t="shared" si="59"/>
        <v>0.98483764162361087</v>
      </c>
      <c r="H50" s="479">
        <f t="shared" si="59"/>
        <v>1.2589103780760142</v>
      </c>
      <c r="I50" s="479">
        <f t="shared" si="59"/>
        <v>1.5848811473755926</v>
      </c>
      <c r="J50" s="479">
        <f t="shared" si="59"/>
        <v>2.3538186927513696</v>
      </c>
      <c r="K50" s="479">
        <f t="shared" si="59"/>
        <v>2.864860044298613</v>
      </c>
      <c r="L50" s="479">
        <f t="shared" si="59"/>
        <v>2.9970219399872868</v>
      </c>
      <c r="M50" s="479">
        <f t="shared" si="59"/>
        <v>3.5491137751544608</v>
      </c>
      <c r="N50" s="479">
        <f t="shared" si="59"/>
        <v>4.2585441669148381</v>
      </c>
      <c r="O50" s="479">
        <f t="shared" si="59"/>
        <v>6.2823601424960946</v>
      </c>
      <c r="P50" s="479">
        <f t="shared" si="59"/>
        <v>4.5400830444672078</v>
      </c>
      <c r="Q50" s="479">
        <f t="shared" si="59"/>
        <v>6.12676448604436</v>
      </c>
      <c r="R50" s="479">
        <f t="shared" si="59"/>
        <v>1.9161763871695237</v>
      </c>
      <c r="S50" s="479">
        <f t="shared" si="59"/>
        <v>1.7269311520653794</v>
      </c>
      <c r="T50" s="479">
        <f t="shared" si="59"/>
        <v>2.6762999591450773</v>
      </c>
      <c r="U50" s="479">
        <f t="shared" ref="U50" si="60">U42/U95</f>
        <v>4.7012616983264763</v>
      </c>
      <c r="V50" s="479">
        <f>V42/V95</f>
        <v>7.2922201022202406</v>
      </c>
      <c r="W50" s="480">
        <f>W42/W95</f>
        <v>7.5954258651186475</v>
      </c>
      <c r="X50" s="1672">
        <f t="shared" si="59"/>
        <v>10.395785007617615</v>
      </c>
      <c r="Y50" s="481">
        <f t="shared" si="59"/>
        <v>13.959756035069969</v>
      </c>
      <c r="Z50" s="481">
        <f t="shared" si="59"/>
        <v>15.549983593616943</v>
      </c>
      <c r="AA50" s="481">
        <f t="shared" si="59"/>
        <v>16.77983456006794</v>
      </c>
      <c r="AB50" s="481">
        <f t="shared" si="59"/>
        <v>17.662326296387128</v>
      </c>
    </row>
    <row r="51" spans="1:37" x14ac:dyDescent="0.25">
      <c r="A51" s="197" t="s">
        <v>488</v>
      </c>
      <c r="B51" s="36"/>
      <c r="C51" s="36"/>
      <c r="D51" s="36"/>
      <c r="E51" s="36"/>
      <c r="F51" s="272">
        <f t="shared" ref="F51:AB51" si="61">F50/E50-1</f>
        <v>-0.25826305023255747</v>
      </c>
      <c r="G51" s="272">
        <f t="shared" si="61"/>
        <v>0.34413560029437407</v>
      </c>
      <c r="H51" s="272">
        <f t="shared" si="61"/>
        <v>0.27829230410056716</v>
      </c>
      <c r="I51" s="272">
        <f t="shared" si="61"/>
        <v>0.25893087782607505</v>
      </c>
      <c r="J51" s="272">
        <f t="shared" si="61"/>
        <v>0.48517047896560705</v>
      </c>
      <c r="K51" s="272">
        <f t="shared" si="61"/>
        <v>0.2171116038465517</v>
      </c>
      <c r="L51" s="272">
        <f t="shared" si="61"/>
        <v>4.6132060081500503E-2</v>
      </c>
      <c r="M51" s="272">
        <f t="shared" si="61"/>
        <v>0.1842134779865896</v>
      </c>
      <c r="N51" s="272">
        <f t="shared" si="61"/>
        <v>0.1998894475366606</v>
      </c>
      <c r="O51" s="272">
        <f t="shared" si="61"/>
        <v>0.47523658232889443</v>
      </c>
      <c r="P51" s="272">
        <f t="shared" si="61"/>
        <v>-0.27732843366357041</v>
      </c>
      <c r="Q51" s="272">
        <f t="shared" si="61"/>
        <v>0.34948291166408696</v>
      </c>
      <c r="R51" s="272">
        <f t="shared" si="61"/>
        <v>-0.6872449738301154</v>
      </c>
      <c r="S51" s="272">
        <f t="shared" si="61"/>
        <v>-9.8761907500429791E-2</v>
      </c>
      <c r="T51" s="272">
        <f t="shared" si="61"/>
        <v>0.54974328649076099</v>
      </c>
      <c r="U51" s="272">
        <f t="shared" si="61"/>
        <v>0.75662734749219096</v>
      </c>
      <c r="V51" s="272">
        <f t="shared" si="61"/>
        <v>0.55111979935430444</v>
      </c>
      <c r="W51" s="275">
        <f t="shared" si="61"/>
        <v>4.1579348764595014E-2</v>
      </c>
      <c r="X51" s="1634">
        <f t="shared" si="61"/>
        <v>0.36869020805790242</v>
      </c>
      <c r="Y51" s="274">
        <f t="shared" si="61"/>
        <v>0.34282846604088268</v>
      </c>
      <c r="Z51" s="274">
        <f t="shared" si="61"/>
        <v>0.11391513967378608</v>
      </c>
      <c r="AA51" s="274">
        <f t="shared" si="61"/>
        <v>7.909017775143079E-2</v>
      </c>
      <c r="AB51" s="274">
        <f t="shared" si="61"/>
        <v>5.2592397926217505E-2</v>
      </c>
    </row>
    <row r="52" spans="1:37" x14ac:dyDescent="0.25">
      <c r="A52" s="186" t="s">
        <v>17</v>
      </c>
      <c r="B52" s="479"/>
      <c r="C52" s="479"/>
      <c r="D52" s="479"/>
      <c r="E52" s="479">
        <f t="shared" ref="E52:AB52" si="62">(E43)/E95</f>
        <v>1.2238088602671491</v>
      </c>
      <c r="F52" s="479">
        <f t="shared" si="62"/>
        <v>1.30749782754302</v>
      </c>
      <c r="G52" s="479">
        <f t="shared" si="62"/>
        <v>0.99481068103245762</v>
      </c>
      <c r="H52" s="479">
        <f t="shared" si="62"/>
        <v>1.2713012282539278</v>
      </c>
      <c r="I52" s="479">
        <f t="shared" si="62"/>
        <v>1.5774981606642158</v>
      </c>
      <c r="J52" s="479">
        <f t="shared" si="62"/>
        <v>2.3538186927513696</v>
      </c>
      <c r="K52" s="479">
        <f t="shared" si="62"/>
        <v>2.5502777594678347</v>
      </c>
      <c r="L52" s="479">
        <f t="shared" si="62"/>
        <v>2.9970219399872868</v>
      </c>
      <c r="M52" s="479">
        <f t="shared" si="62"/>
        <v>2.5408972438858859</v>
      </c>
      <c r="N52" s="479">
        <f t="shared" si="62"/>
        <v>3.9870737793343465</v>
      </c>
      <c r="O52" s="479">
        <f t="shared" si="62"/>
        <v>4.3135839178938111</v>
      </c>
      <c r="P52" s="479">
        <f t="shared" si="62"/>
        <v>4.5400830444672078</v>
      </c>
      <c r="Q52" s="479">
        <f t="shared" si="62"/>
        <v>6.12676448604436</v>
      </c>
      <c r="R52" s="479">
        <f t="shared" si="62"/>
        <v>1.9161763871695237</v>
      </c>
      <c r="S52" s="479">
        <f t="shared" si="62"/>
        <v>1.7269311520653794</v>
      </c>
      <c r="T52" s="479">
        <f t="shared" si="62"/>
        <v>2.6762999591450773</v>
      </c>
      <c r="U52" s="479">
        <f t="shared" ref="U52" si="63">(U43)/U95</f>
        <v>4.7012616983264763</v>
      </c>
      <c r="V52" s="479">
        <f t="shared" si="62"/>
        <v>7.2922201022202406</v>
      </c>
      <c r="W52" s="480">
        <f t="shared" ref="W52" si="64">(W43)/W95</f>
        <v>7.5954258651186475</v>
      </c>
      <c r="X52" s="1672">
        <f t="shared" si="62"/>
        <v>10.395785007617615</v>
      </c>
      <c r="Y52" s="481">
        <f t="shared" si="62"/>
        <v>13.959756035069969</v>
      </c>
      <c r="Z52" s="481">
        <f t="shared" si="62"/>
        <v>15.549983593616943</v>
      </c>
      <c r="AA52" s="481">
        <f t="shared" si="62"/>
        <v>16.77983456006794</v>
      </c>
      <c r="AB52" s="481">
        <f t="shared" si="62"/>
        <v>17.662326296387128</v>
      </c>
      <c r="AD52" s="103"/>
      <c r="AE52" s="103"/>
    </row>
    <row r="53" spans="1:37" x14ac:dyDescent="0.25">
      <c r="A53" s="4" t="s">
        <v>489</v>
      </c>
      <c r="B53" s="482"/>
      <c r="C53" s="482"/>
      <c r="D53" s="482"/>
      <c r="E53" s="482"/>
      <c r="F53" s="482"/>
      <c r="G53" s="482"/>
      <c r="H53" s="482"/>
      <c r="I53" s="482"/>
      <c r="J53" s="482"/>
      <c r="K53" s="482"/>
      <c r="L53" s="482">
        <f t="shared" ref="L53:AB53" si="65">(L42-L35-L37)/L94</f>
        <v>2.9970219399872868</v>
      </c>
      <c r="M53" s="482">
        <f t="shared" si="65"/>
        <v>2.5408972438858859</v>
      </c>
      <c r="N53" s="482">
        <f t="shared" si="65"/>
        <v>4.052121592144724</v>
      </c>
      <c r="O53" s="482">
        <f t="shared" si="65"/>
        <v>4.3876643517601428</v>
      </c>
      <c r="P53" s="482">
        <f t="shared" si="65"/>
        <v>4.5972283748732714</v>
      </c>
      <c r="Q53" s="482">
        <f t="shared" si="65"/>
        <v>6.2016640789088848</v>
      </c>
      <c r="R53" s="482">
        <f t="shared" si="65"/>
        <v>1.9810544905186498</v>
      </c>
      <c r="S53" s="482">
        <f t="shared" si="65"/>
        <v>1.7813178083673538</v>
      </c>
      <c r="T53" s="482">
        <f t="shared" si="65"/>
        <v>2.760846972259162</v>
      </c>
      <c r="U53" s="482">
        <f t="shared" ref="U53" si="66">(U42-U35-U37)/U94</f>
        <v>4.8540495022861565</v>
      </c>
      <c r="V53" s="482">
        <f t="shared" si="65"/>
        <v>7.3723500300480929</v>
      </c>
      <c r="W53" s="1456">
        <f t="shared" ref="W53" si="67">(W42-W35-W37)/W94</f>
        <v>7.5954258651186475</v>
      </c>
      <c r="X53" s="1673">
        <f t="shared" si="65"/>
        <v>10.395785007617615</v>
      </c>
      <c r="Y53" s="483">
        <f t="shared" si="65"/>
        <v>13.959756035069969</v>
      </c>
      <c r="Z53" s="483">
        <f t="shared" si="65"/>
        <v>15.549983593616943</v>
      </c>
      <c r="AA53" s="483">
        <f t="shared" si="65"/>
        <v>16.77983456006794</v>
      </c>
      <c r="AB53" s="483">
        <f t="shared" si="65"/>
        <v>17.662326296387128</v>
      </c>
      <c r="AD53" s="485"/>
      <c r="AE53" s="486"/>
    </row>
    <row r="54" spans="1:37" x14ac:dyDescent="0.25">
      <c r="A54" s="186"/>
      <c r="B54" s="479"/>
      <c r="C54" s="479"/>
      <c r="D54" s="479"/>
      <c r="E54" s="479"/>
      <c r="F54" s="479"/>
      <c r="G54" s="479"/>
      <c r="H54" s="479"/>
      <c r="I54" s="479"/>
      <c r="J54" s="479"/>
      <c r="K54" s="479"/>
      <c r="L54" s="479"/>
      <c r="M54" s="479"/>
      <c r="N54" s="479"/>
      <c r="O54" s="479"/>
      <c r="P54" s="479"/>
      <c r="Q54" s="479"/>
      <c r="R54" s="479"/>
      <c r="S54" s="479"/>
      <c r="T54" s="479"/>
      <c r="U54" s="479"/>
      <c r="V54" s="479"/>
      <c r="W54" s="480"/>
      <c r="X54" s="1674"/>
      <c r="Y54" s="479"/>
      <c r="Z54" s="479"/>
      <c r="AA54" s="479"/>
      <c r="AB54" s="479"/>
    </row>
    <row r="55" spans="1:37" outlineLevel="1" x14ac:dyDescent="0.25">
      <c r="A55" s="4" t="s">
        <v>490</v>
      </c>
      <c r="B55" s="36"/>
      <c r="C55" s="36"/>
      <c r="D55" s="36"/>
      <c r="E55" s="36">
        <f t="shared" ref="E55:AB55" si="68">+E32-E80</f>
        <v>570</v>
      </c>
      <c r="F55" s="36">
        <f t="shared" si="68"/>
        <v>771</v>
      </c>
      <c r="G55" s="36">
        <f t="shared" si="68"/>
        <v>-370</v>
      </c>
      <c r="H55" s="36">
        <f t="shared" si="68"/>
        <v>462</v>
      </c>
      <c r="I55" s="36">
        <f t="shared" si="68"/>
        <v>260</v>
      </c>
      <c r="J55" s="36">
        <f t="shared" si="68"/>
        <v>-480</v>
      </c>
      <c r="K55" s="36">
        <f t="shared" si="68"/>
        <v>-300</v>
      </c>
      <c r="L55" s="36">
        <f t="shared" si="68"/>
        <v>2195</v>
      </c>
      <c r="M55" s="36">
        <f t="shared" si="68"/>
        <v>2820</v>
      </c>
      <c r="N55" s="36">
        <f t="shared" si="68"/>
        <v>-45</v>
      </c>
      <c r="O55" s="36">
        <f t="shared" si="68"/>
        <v>-3339</v>
      </c>
      <c r="P55" s="36">
        <f t="shared" si="68"/>
        <v>1008</v>
      </c>
      <c r="Q55" s="36">
        <f t="shared" si="68"/>
        <v>270</v>
      </c>
      <c r="R55" s="36">
        <f t="shared" si="68"/>
        <v>643</v>
      </c>
      <c r="S55" s="36">
        <f t="shared" si="68"/>
        <v>928</v>
      </c>
      <c r="T55" s="36">
        <f t="shared" si="68"/>
        <v>4892</v>
      </c>
      <c r="U55" s="36">
        <f t="shared" ref="U55" si="69">+U32-U80</f>
        <v>-1927</v>
      </c>
      <c r="V55" s="36">
        <f t="shared" si="68"/>
        <v>5007</v>
      </c>
      <c r="W55" s="1453">
        <f t="shared" ref="W55" si="70">+W32-W80</f>
        <v>-5412</v>
      </c>
      <c r="X55" s="1663">
        <f t="shared" si="68"/>
        <v>-72</v>
      </c>
      <c r="Y55" s="465">
        <f t="shared" si="68"/>
        <v>300</v>
      </c>
      <c r="Z55" s="465">
        <f t="shared" si="68"/>
        <v>300</v>
      </c>
      <c r="AA55" s="465">
        <f t="shared" si="68"/>
        <v>300</v>
      </c>
      <c r="AB55" s="465">
        <f t="shared" si="68"/>
        <v>300</v>
      </c>
      <c r="AC55" s="104"/>
    </row>
    <row r="56" spans="1:37" outlineLevel="1" x14ac:dyDescent="0.25">
      <c r="A56" s="4" t="s">
        <v>491</v>
      </c>
      <c r="B56" s="36"/>
      <c r="C56" s="36"/>
      <c r="D56" s="36"/>
      <c r="E56" s="36">
        <f t="shared" ref="E56:AB56" si="71">+E32-E55</f>
        <v>167</v>
      </c>
      <c r="F56" s="36">
        <f t="shared" si="71"/>
        <v>-103</v>
      </c>
      <c r="G56" s="36">
        <f t="shared" si="71"/>
        <v>893</v>
      </c>
      <c r="H56" s="36">
        <f t="shared" si="71"/>
        <v>244</v>
      </c>
      <c r="I56" s="36">
        <f t="shared" si="71"/>
        <v>695</v>
      </c>
      <c r="J56" s="36">
        <f t="shared" si="71"/>
        <v>1739</v>
      </c>
      <c r="K56" s="36">
        <f t="shared" si="71"/>
        <v>1923</v>
      </c>
      <c r="L56" s="36">
        <f t="shared" si="71"/>
        <v>-360</v>
      </c>
      <c r="M56" s="36">
        <f t="shared" si="71"/>
        <v>-1306</v>
      </c>
      <c r="N56" s="36">
        <f t="shared" si="71"/>
        <v>2287</v>
      </c>
      <c r="O56" s="36">
        <f t="shared" si="71"/>
        <v>5745</v>
      </c>
      <c r="P56" s="36">
        <f t="shared" si="71"/>
        <v>1689</v>
      </c>
      <c r="Q56" s="36">
        <f t="shared" si="71"/>
        <v>3474</v>
      </c>
      <c r="R56" s="36">
        <f t="shared" si="71"/>
        <v>570</v>
      </c>
      <c r="S56" s="36">
        <f t="shared" si="71"/>
        <v>268</v>
      </c>
      <c r="T56" s="36">
        <f t="shared" si="71"/>
        <v>-3120</v>
      </c>
      <c r="U56" s="36">
        <f t="shared" ref="U56" si="72">+U32-U55</f>
        <v>4756</v>
      </c>
      <c r="V56" s="36">
        <f t="shared" si="71"/>
        <v>-859</v>
      </c>
      <c r="W56" s="1453">
        <f t="shared" ref="W56" si="73">+W32-W55</f>
        <v>10269</v>
      </c>
      <c r="X56" s="1663">
        <f t="shared" si="71"/>
        <v>6590.9321791018492</v>
      </c>
      <c r="Y56" s="465">
        <f t="shared" si="71"/>
        <v>7523.2749655801135</v>
      </c>
      <c r="Z56" s="465">
        <f t="shared" si="71"/>
        <v>8328.646145928431</v>
      </c>
      <c r="AA56" s="465">
        <f t="shared" si="71"/>
        <v>8965.4332214297647</v>
      </c>
      <c r="AB56" s="465">
        <f t="shared" si="71"/>
        <v>9452.2540117049775</v>
      </c>
    </row>
    <row r="57" spans="1:37" outlineLevel="1" x14ac:dyDescent="0.25">
      <c r="A57" s="4" t="s">
        <v>492</v>
      </c>
      <c r="B57" s="36"/>
      <c r="C57" s="36"/>
      <c r="D57" s="36"/>
      <c r="E57" s="36">
        <f t="shared" ref="E57:AB57" si="74">+E56-E80</f>
        <v>0</v>
      </c>
      <c r="F57" s="36">
        <f t="shared" si="74"/>
        <v>0</v>
      </c>
      <c r="G57" s="36">
        <f t="shared" si="74"/>
        <v>0</v>
      </c>
      <c r="H57" s="36">
        <f t="shared" si="74"/>
        <v>0</v>
      </c>
      <c r="I57" s="36">
        <f t="shared" si="74"/>
        <v>0</v>
      </c>
      <c r="J57" s="36">
        <f t="shared" si="74"/>
        <v>0</v>
      </c>
      <c r="K57" s="36">
        <f t="shared" si="74"/>
        <v>0</v>
      </c>
      <c r="L57" s="36">
        <f t="shared" si="74"/>
        <v>0</v>
      </c>
      <c r="M57" s="36">
        <f t="shared" si="74"/>
        <v>0</v>
      </c>
      <c r="N57" s="36">
        <f t="shared" si="74"/>
        <v>0</v>
      </c>
      <c r="O57" s="36">
        <f t="shared" si="74"/>
        <v>0</v>
      </c>
      <c r="P57" s="36">
        <f t="shared" si="74"/>
        <v>0</v>
      </c>
      <c r="Q57" s="36">
        <f t="shared" si="74"/>
        <v>0</v>
      </c>
      <c r="R57" s="36">
        <f t="shared" si="74"/>
        <v>0</v>
      </c>
      <c r="S57" s="36">
        <f t="shared" si="74"/>
        <v>0</v>
      </c>
      <c r="T57" s="36">
        <f t="shared" si="74"/>
        <v>0</v>
      </c>
      <c r="U57" s="36">
        <f t="shared" ref="U57" si="75">+U56-U80</f>
        <v>0</v>
      </c>
      <c r="V57" s="36">
        <f t="shared" si="74"/>
        <v>0</v>
      </c>
      <c r="W57" s="1453">
        <f t="shared" ref="W57" si="76">+W56-W80</f>
        <v>0</v>
      </c>
      <c r="X57" s="1663">
        <f t="shared" si="74"/>
        <v>0</v>
      </c>
      <c r="Y57" s="465">
        <f t="shared" si="74"/>
        <v>0</v>
      </c>
      <c r="Z57" s="465">
        <f t="shared" si="74"/>
        <v>0</v>
      </c>
      <c r="AA57" s="465">
        <f t="shared" si="74"/>
        <v>0</v>
      </c>
      <c r="AB57" s="465">
        <f t="shared" si="74"/>
        <v>0</v>
      </c>
    </row>
    <row r="58" spans="1:37" outlineLevel="1" x14ac:dyDescent="0.25">
      <c r="A58" s="4" t="s">
        <v>493</v>
      </c>
      <c r="B58" s="36"/>
      <c r="C58" s="36"/>
      <c r="D58" s="36"/>
      <c r="E58" s="36">
        <f t="shared" ref="E58:AB58" si="77">+E82-E33</f>
        <v>194</v>
      </c>
      <c r="F58" s="36">
        <f t="shared" si="77"/>
        <v>265</v>
      </c>
      <c r="G58" s="36">
        <f t="shared" si="77"/>
        <v>-127</v>
      </c>
      <c r="H58" s="36">
        <f t="shared" si="77"/>
        <v>159</v>
      </c>
      <c r="I58" s="36">
        <f t="shared" si="77"/>
        <v>88</v>
      </c>
      <c r="J58" s="36">
        <f t="shared" si="77"/>
        <v>-179</v>
      </c>
      <c r="K58" s="36">
        <f t="shared" si="77"/>
        <v>-110</v>
      </c>
      <c r="L58" s="36">
        <f t="shared" si="77"/>
        <v>814</v>
      </c>
      <c r="M58" s="36">
        <f t="shared" si="77"/>
        <v>911</v>
      </c>
      <c r="N58" s="36">
        <f t="shared" si="77"/>
        <v>100</v>
      </c>
      <c r="O58" s="36">
        <f t="shared" si="77"/>
        <v>-1174</v>
      </c>
      <c r="P58" s="36">
        <f t="shared" si="77"/>
        <v>290</v>
      </c>
      <c r="Q58" s="36">
        <f t="shared" si="77"/>
        <v>50</v>
      </c>
      <c r="R58" s="36">
        <f t="shared" si="77"/>
        <v>150</v>
      </c>
      <c r="S58" s="36">
        <f t="shared" si="77"/>
        <v>212</v>
      </c>
      <c r="T58" s="36">
        <f t="shared" si="77"/>
        <v>1251</v>
      </c>
      <c r="U58" s="36">
        <f t="shared" ref="U58" si="78">+U82-U33</f>
        <v>-512</v>
      </c>
      <c r="V58" s="36">
        <f t="shared" si="77"/>
        <v>1271</v>
      </c>
      <c r="W58" s="1453">
        <f t="shared" ref="W58" si="79">+W82-W33</f>
        <v>-1412</v>
      </c>
      <c r="X58" s="1663">
        <f t="shared" si="77"/>
        <v>40.960000000000264</v>
      </c>
      <c r="Y58" s="465">
        <f t="shared" si="77"/>
        <v>125</v>
      </c>
      <c r="Z58" s="465">
        <f t="shared" si="77"/>
        <v>125</v>
      </c>
      <c r="AA58" s="465">
        <f t="shared" si="77"/>
        <v>125</v>
      </c>
      <c r="AB58" s="465">
        <f t="shared" si="77"/>
        <v>125</v>
      </c>
    </row>
    <row r="59" spans="1:37" outlineLevel="1" x14ac:dyDescent="0.25">
      <c r="A59" s="4" t="s">
        <v>494</v>
      </c>
      <c r="B59" s="36"/>
      <c r="C59" s="36"/>
      <c r="D59" s="36"/>
      <c r="E59" s="36">
        <v>0</v>
      </c>
      <c r="F59" s="36">
        <v>0</v>
      </c>
      <c r="G59" s="36">
        <v>0</v>
      </c>
      <c r="H59" s="36">
        <v>0</v>
      </c>
      <c r="I59" s="36">
        <v>0</v>
      </c>
      <c r="J59" s="36">
        <v>0</v>
      </c>
      <c r="K59" s="36">
        <v>0</v>
      </c>
      <c r="L59" s="36">
        <v>0</v>
      </c>
      <c r="M59" s="36">
        <v>0</v>
      </c>
      <c r="N59" s="36">
        <v>0</v>
      </c>
      <c r="O59" s="36">
        <v>0</v>
      </c>
      <c r="P59" s="36">
        <v>0</v>
      </c>
      <c r="Q59" s="36">
        <v>0</v>
      </c>
      <c r="R59" s="36">
        <v>0</v>
      </c>
      <c r="S59" s="36">
        <v>0</v>
      </c>
      <c r="T59" s="36">
        <v>0</v>
      </c>
      <c r="U59" s="36">
        <v>0</v>
      </c>
      <c r="V59" s="36">
        <v>0</v>
      </c>
      <c r="W59" s="1453">
        <v>0</v>
      </c>
      <c r="X59" s="1664">
        <v>0</v>
      </c>
      <c r="Y59" s="469">
        <v>0</v>
      </c>
      <c r="Z59" s="469">
        <v>0</v>
      </c>
      <c r="AA59" s="469">
        <v>0</v>
      </c>
      <c r="AB59" s="469">
        <v>0</v>
      </c>
    </row>
    <row r="60" spans="1:37" outlineLevel="1" x14ac:dyDescent="0.25">
      <c r="A60" s="4" t="s">
        <v>495</v>
      </c>
      <c r="B60" s="36"/>
      <c r="C60" s="36"/>
      <c r="D60" s="36"/>
      <c r="E60" s="36">
        <f t="shared" ref="E60:AB60" si="80">+E86-E37</f>
        <v>1</v>
      </c>
      <c r="F60" s="36">
        <f t="shared" si="80"/>
        <v>0</v>
      </c>
      <c r="G60" s="36">
        <f t="shared" si="80"/>
        <v>0</v>
      </c>
      <c r="H60" s="36">
        <f t="shared" si="80"/>
        <v>0</v>
      </c>
      <c r="I60" s="36">
        <f t="shared" si="80"/>
        <v>0</v>
      </c>
      <c r="J60" s="36">
        <f t="shared" si="80"/>
        <v>0</v>
      </c>
      <c r="K60" s="36">
        <f t="shared" si="80"/>
        <v>0</v>
      </c>
      <c r="L60" s="36">
        <f t="shared" si="80"/>
        <v>0</v>
      </c>
      <c r="M60" s="36">
        <f t="shared" si="80"/>
        <v>0</v>
      </c>
      <c r="N60" s="36">
        <f t="shared" si="80"/>
        <v>-43</v>
      </c>
      <c r="O60" s="36">
        <f t="shared" si="80"/>
        <v>0</v>
      </c>
      <c r="P60" s="36">
        <f t="shared" si="80"/>
        <v>0</v>
      </c>
      <c r="Q60" s="36">
        <f t="shared" si="80"/>
        <v>0</v>
      </c>
      <c r="R60" s="36">
        <f t="shared" si="80"/>
        <v>0</v>
      </c>
      <c r="S60" s="36">
        <f t="shared" si="80"/>
        <v>0</v>
      </c>
      <c r="T60" s="36">
        <f t="shared" si="80"/>
        <v>0</v>
      </c>
      <c r="U60" s="36">
        <f t="shared" ref="U60" si="81">+U86-U37</f>
        <v>0</v>
      </c>
      <c r="V60" s="36">
        <f t="shared" si="80"/>
        <v>0</v>
      </c>
      <c r="W60" s="1453">
        <f t="shared" ref="W60" si="82">+W86-W37</f>
        <v>0</v>
      </c>
      <c r="X60" s="1663">
        <f t="shared" si="80"/>
        <v>0</v>
      </c>
      <c r="Y60" s="465">
        <f t="shared" si="80"/>
        <v>0</v>
      </c>
      <c r="Z60" s="465">
        <f t="shared" si="80"/>
        <v>0</v>
      </c>
      <c r="AA60" s="465">
        <f t="shared" si="80"/>
        <v>0</v>
      </c>
      <c r="AB60" s="465">
        <f t="shared" si="80"/>
        <v>0</v>
      </c>
    </row>
    <row r="61" spans="1:37" outlineLevel="1" x14ac:dyDescent="0.25">
      <c r="A61" s="4" t="s">
        <v>496</v>
      </c>
      <c r="B61" s="36"/>
      <c r="C61" s="36"/>
      <c r="D61" s="36"/>
      <c r="E61" s="36">
        <f t="shared" ref="E61:AB61" si="83">+E56+E33+E58+E37+E60</f>
        <v>46</v>
      </c>
      <c r="F61" s="36">
        <f t="shared" si="83"/>
        <v>-194</v>
      </c>
      <c r="G61" s="36">
        <f t="shared" si="83"/>
        <v>654</v>
      </c>
      <c r="H61" s="36">
        <f t="shared" si="83"/>
        <v>225</v>
      </c>
      <c r="I61" s="36">
        <f t="shared" si="83"/>
        <v>497</v>
      </c>
      <c r="J61" s="36">
        <f t="shared" si="83"/>
        <v>1306</v>
      </c>
      <c r="K61" s="36">
        <f t="shared" si="83"/>
        <v>1284</v>
      </c>
      <c r="L61" s="36">
        <f t="shared" si="83"/>
        <v>-68</v>
      </c>
      <c r="M61" s="36">
        <f t="shared" si="83"/>
        <v>-798</v>
      </c>
      <c r="N61" s="36">
        <f t="shared" si="83"/>
        <v>1963</v>
      </c>
      <c r="O61" s="36">
        <f t="shared" si="83"/>
        <v>4028</v>
      </c>
      <c r="P61" s="36">
        <f t="shared" si="83"/>
        <v>1341</v>
      </c>
      <c r="Q61" s="36">
        <f t="shared" si="83"/>
        <v>2512</v>
      </c>
      <c r="R61" s="36">
        <f t="shared" si="83"/>
        <v>386</v>
      </c>
      <c r="S61" s="36">
        <f t="shared" si="83"/>
        <v>68</v>
      </c>
      <c r="T61" s="36">
        <f t="shared" si="83"/>
        <v>-2426</v>
      </c>
      <c r="U61" s="36">
        <f t="shared" ref="U61" si="84">+U56+U33+U58+U37+U60</f>
        <v>3520</v>
      </c>
      <c r="V61" s="36">
        <f t="shared" si="83"/>
        <v>-575</v>
      </c>
      <c r="W61" s="1453">
        <f t="shared" ref="W61" si="85">+W56+W33+W58+W37+W60</f>
        <v>7286</v>
      </c>
      <c r="X61" s="1663">
        <f t="shared" si="83"/>
        <v>4545.8338817892572</v>
      </c>
      <c r="Y61" s="465">
        <f t="shared" si="83"/>
        <v>5692.4562241850854</v>
      </c>
      <c r="Z61" s="465">
        <f t="shared" si="83"/>
        <v>6296.4846094463228</v>
      </c>
      <c r="AA61" s="465">
        <f t="shared" si="83"/>
        <v>6774.0749160723235</v>
      </c>
      <c r="AB61" s="465">
        <f t="shared" si="83"/>
        <v>7139.1905087787327</v>
      </c>
    </row>
    <row r="62" spans="1:37" outlineLevel="1" x14ac:dyDescent="0.25">
      <c r="B62" s="36"/>
      <c r="C62" s="36"/>
      <c r="D62" s="36"/>
      <c r="E62" s="36">
        <f t="shared" ref="E62:AB62" si="86">+E61-E87</f>
        <v>0</v>
      </c>
      <c r="F62" s="36">
        <f t="shared" si="86"/>
        <v>0</v>
      </c>
      <c r="G62" s="36">
        <f t="shared" si="86"/>
        <v>0</v>
      </c>
      <c r="H62" s="36">
        <f t="shared" si="86"/>
        <v>0</v>
      </c>
      <c r="I62" s="36">
        <f t="shared" si="86"/>
        <v>0</v>
      </c>
      <c r="J62" s="36">
        <f t="shared" si="86"/>
        <v>0</v>
      </c>
      <c r="K62" s="36">
        <f t="shared" si="86"/>
        <v>-131</v>
      </c>
      <c r="L62" s="36">
        <f t="shared" si="86"/>
        <v>0</v>
      </c>
      <c r="M62" s="36">
        <f t="shared" si="86"/>
        <v>-421</v>
      </c>
      <c r="N62" s="36">
        <f t="shared" si="86"/>
        <v>0</v>
      </c>
      <c r="O62" s="36">
        <f t="shared" si="86"/>
        <v>-824</v>
      </c>
      <c r="P62" s="36">
        <f t="shared" si="86"/>
        <v>0</v>
      </c>
      <c r="Q62" s="36">
        <f t="shared" si="86"/>
        <v>0</v>
      </c>
      <c r="R62" s="36">
        <f t="shared" si="86"/>
        <v>0</v>
      </c>
      <c r="S62" s="36">
        <f t="shared" si="86"/>
        <v>0</v>
      </c>
      <c r="T62" s="36">
        <f t="shared" si="86"/>
        <v>0</v>
      </c>
      <c r="U62" s="36">
        <f t="shared" ref="U62" si="87">+U61-U87</f>
        <v>0</v>
      </c>
      <c r="V62" s="36">
        <f t="shared" si="86"/>
        <v>0</v>
      </c>
      <c r="W62" s="1453">
        <f t="shared" ref="W62" si="88">+W61-W87</f>
        <v>0</v>
      </c>
      <c r="X62" s="1663">
        <f t="shared" si="86"/>
        <v>0</v>
      </c>
      <c r="Y62" s="465">
        <f t="shared" si="86"/>
        <v>0</v>
      </c>
      <c r="Z62" s="465">
        <f t="shared" si="86"/>
        <v>0</v>
      </c>
      <c r="AA62" s="465">
        <f t="shared" si="86"/>
        <v>0</v>
      </c>
      <c r="AB62" s="465">
        <f t="shared" si="86"/>
        <v>0</v>
      </c>
    </row>
    <row r="63" spans="1:37" s="444" customFormat="1" x14ac:dyDescent="0.25">
      <c r="A63" s="42" t="s">
        <v>497</v>
      </c>
      <c r="B63" s="41">
        <v>2004</v>
      </c>
      <c r="C63" s="41">
        <f t="shared" ref="C63:AB63" si="89">B63+1</f>
        <v>2005</v>
      </c>
      <c r="D63" s="41">
        <f t="shared" si="89"/>
        <v>2006</v>
      </c>
      <c r="E63" s="41">
        <f t="shared" si="89"/>
        <v>2007</v>
      </c>
      <c r="F63" s="41">
        <f t="shared" si="89"/>
        <v>2008</v>
      </c>
      <c r="G63" s="41">
        <f t="shared" si="89"/>
        <v>2009</v>
      </c>
      <c r="H63" s="41">
        <f t="shared" si="89"/>
        <v>2010</v>
      </c>
      <c r="I63" s="41">
        <f t="shared" si="89"/>
        <v>2011</v>
      </c>
      <c r="J63" s="41">
        <f t="shared" si="89"/>
        <v>2012</v>
      </c>
      <c r="K63" s="41">
        <f t="shared" si="89"/>
        <v>2013</v>
      </c>
      <c r="L63" s="41">
        <f t="shared" si="89"/>
        <v>2014</v>
      </c>
      <c r="M63" s="41">
        <f t="shared" si="89"/>
        <v>2015</v>
      </c>
      <c r="N63" s="41">
        <f t="shared" si="89"/>
        <v>2016</v>
      </c>
      <c r="O63" s="41">
        <f t="shared" si="89"/>
        <v>2017</v>
      </c>
      <c r="P63" s="41">
        <f t="shared" si="89"/>
        <v>2018</v>
      </c>
      <c r="Q63" s="41">
        <f t="shared" si="89"/>
        <v>2019</v>
      </c>
      <c r="R63" s="41">
        <f t="shared" si="89"/>
        <v>2020</v>
      </c>
      <c r="S63" s="41">
        <f t="shared" si="89"/>
        <v>2021</v>
      </c>
      <c r="T63" s="41">
        <f t="shared" si="89"/>
        <v>2022</v>
      </c>
      <c r="U63" s="41">
        <f t="shared" si="89"/>
        <v>2023</v>
      </c>
      <c r="V63" s="41">
        <f t="shared" si="89"/>
        <v>2024</v>
      </c>
      <c r="W63" s="487">
        <f t="shared" si="89"/>
        <v>2025</v>
      </c>
      <c r="X63" s="1675">
        <f t="shared" si="89"/>
        <v>2026</v>
      </c>
      <c r="Y63" s="488">
        <f t="shared" si="89"/>
        <v>2027</v>
      </c>
      <c r="Z63" s="488">
        <f t="shared" si="89"/>
        <v>2028</v>
      </c>
      <c r="AA63" s="488">
        <f t="shared" si="89"/>
        <v>2029</v>
      </c>
      <c r="AB63" s="488">
        <f t="shared" si="89"/>
        <v>2030</v>
      </c>
      <c r="AD63" s="489"/>
      <c r="AE63" s="489"/>
      <c r="AF63"/>
      <c r="AG63"/>
      <c r="AH63"/>
      <c r="AI63"/>
      <c r="AJ63"/>
      <c r="AK63"/>
    </row>
    <row r="64" spans="1:37" x14ac:dyDescent="0.25">
      <c r="A64" s="186" t="s">
        <v>78</v>
      </c>
      <c r="B64" s="141">
        <f>Divisional!B16</f>
        <v>3567</v>
      </c>
      <c r="C64" s="141">
        <f>Divisional!C16</f>
        <v>8691</v>
      </c>
      <c r="D64" s="141">
        <f>Divisional!D16</f>
        <v>10841</v>
      </c>
      <c r="E64" s="141">
        <f>Divisional!E16</f>
        <v>9714</v>
      </c>
      <c r="F64" s="141">
        <f>Divisional!F16</f>
        <v>10281</v>
      </c>
      <c r="G64" s="141">
        <f>Divisional!G16</f>
        <v>10559</v>
      </c>
      <c r="H64" s="141">
        <f>Divisional!H16</f>
        <v>11028</v>
      </c>
      <c r="I64" s="141">
        <f>Divisional!I16</f>
        <v>11658</v>
      </c>
      <c r="J64" s="141">
        <f>Divisional!J16</f>
        <v>13615</v>
      </c>
      <c r="K64" s="141">
        <f>Divisional!K16</f>
        <v>14158</v>
      </c>
      <c r="L64" s="141">
        <f>Divisional!L16</f>
        <v>15044</v>
      </c>
      <c r="M64" s="141">
        <f>Divisional!M16</f>
        <v>18100</v>
      </c>
      <c r="N64" s="141">
        <f>Divisional!N16</f>
        <v>16482</v>
      </c>
      <c r="O64" s="141">
        <f>Divisional!O16</f>
        <v>16940</v>
      </c>
      <c r="P64" s="141">
        <f>Divisional!Q16</f>
        <v>21025</v>
      </c>
      <c r="Q64" s="141">
        <f>Divisional!S16</f>
        <v>25098</v>
      </c>
      <c r="R64" s="141">
        <f>Divisional!T16</f>
        <v>16631</v>
      </c>
      <c r="S64" s="141">
        <f>Divisional!U16</f>
        <v>15133</v>
      </c>
      <c r="T64" s="141">
        <f>Divisional!V16</f>
        <v>19523</v>
      </c>
      <c r="U64" s="141">
        <f>Divisional!W16</f>
        <v>23651</v>
      </c>
      <c r="V64" s="141">
        <f>Divisional!X16</f>
        <v>27716</v>
      </c>
      <c r="W64" s="144">
        <f>Divisional!Y16</f>
        <v>31189</v>
      </c>
      <c r="X64" s="1616">
        <f>Divisional!Z16</f>
        <v>36690.105572645254</v>
      </c>
      <c r="Y64" s="149">
        <f>Divisional!AA16</f>
        <v>40521.236480623185</v>
      </c>
      <c r="Z64" s="149">
        <f>Divisional!AB16</f>
        <v>44358.539477611092</v>
      </c>
      <c r="AA64" s="149">
        <f>Divisional!AC16</f>
        <v>47477.323753297635</v>
      </c>
      <c r="AB64" s="149">
        <f>Divisional!AD16</f>
        <v>48855.523167259729</v>
      </c>
      <c r="AC64" s="186"/>
      <c r="AD64" s="468"/>
      <c r="AE64" s="468"/>
    </row>
    <row r="65" spans="1:31" x14ac:dyDescent="0.25">
      <c r="A65" s="434" t="s">
        <v>498</v>
      </c>
      <c r="B65" s="1347">
        <v>14</v>
      </c>
      <c r="C65" s="1347">
        <v>111</v>
      </c>
      <c r="D65" s="1347">
        <v>74</v>
      </c>
      <c r="E65" s="1347">
        <v>66</v>
      </c>
      <c r="F65" s="1347">
        <v>148</v>
      </c>
      <c r="G65" s="1347">
        <v>156</v>
      </c>
      <c r="H65" s="1347">
        <v>200</v>
      </c>
      <c r="I65" s="1347">
        <v>216</v>
      </c>
      <c r="J65" s="1347">
        <v>209</v>
      </c>
      <c r="K65" s="1347">
        <v>258</v>
      </c>
      <c r="L65" s="1347">
        <v>291</v>
      </c>
      <c r="M65" s="1347">
        <v>304</v>
      </c>
      <c r="N65" s="1347">
        <v>277</v>
      </c>
      <c r="O65" s="1347">
        <v>278</v>
      </c>
      <c r="P65" s="1347">
        <v>321</v>
      </c>
      <c r="Q65" s="1347">
        <v>297</v>
      </c>
      <c r="R65" s="1347">
        <v>267</v>
      </c>
      <c r="S65" s="1347">
        <v>373</v>
      </c>
      <c r="T65" s="1347">
        <v>440</v>
      </c>
      <c r="U65" s="1347">
        <v>474</v>
      </c>
      <c r="V65" s="1347">
        <v>438</v>
      </c>
      <c r="W65" s="1355">
        <v>467</v>
      </c>
      <c r="X65" s="1676">
        <v>500</v>
      </c>
      <c r="Y65" s="143">
        <f t="shared" ref="Y65:AB65" si="90">X65</f>
        <v>500</v>
      </c>
      <c r="Z65" s="143">
        <f t="shared" si="90"/>
        <v>500</v>
      </c>
      <c r="AA65" s="143">
        <f t="shared" si="90"/>
        <v>500</v>
      </c>
      <c r="AB65" s="143">
        <f t="shared" si="90"/>
        <v>500</v>
      </c>
      <c r="AC65" s="186"/>
      <c r="AD65" s="468"/>
      <c r="AE65" s="468"/>
    </row>
    <row r="66" spans="1:31" x14ac:dyDescent="0.25">
      <c r="A66" s="4" t="s">
        <v>499</v>
      </c>
      <c r="B66" s="141">
        <f t="shared" ref="B66:AB66" si="91">B64+B65</f>
        <v>3581</v>
      </c>
      <c r="C66" s="141">
        <f t="shared" si="91"/>
        <v>8802</v>
      </c>
      <c r="D66" s="141">
        <f t="shared" si="91"/>
        <v>10915</v>
      </c>
      <c r="E66" s="141">
        <f t="shared" si="91"/>
        <v>9780</v>
      </c>
      <c r="F66" s="141">
        <f t="shared" si="91"/>
        <v>10429</v>
      </c>
      <c r="G66" s="141">
        <f t="shared" si="91"/>
        <v>10715</v>
      </c>
      <c r="H66" s="141">
        <f t="shared" si="91"/>
        <v>11228</v>
      </c>
      <c r="I66" s="141">
        <f t="shared" si="91"/>
        <v>11874</v>
      </c>
      <c r="J66" s="141">
        <f t="shared" si="91"/>
        <v>13824</v>
      </c>
      <c r="K66" s="141">
        <f t="shared" si="91"/>
        <v>14416</v>
      </c>
      <c r="L66" s="141">
        <f t="shared" si="91"/>
        <v>15335</v>
      </c>
      <c r="M66" s="141">
        <f t="shared" si="91"/>
        <v>18404</v>
      </c>
      <c r="N66" s="141">
        <f t="shared" si="91"/>
        <v>16759</v>
      </c>
      <c r="O66" s="141">
        <f t="shared" si="91"/>
        <v>17218</v>
      </c>
      <c r="P66" s="141">
        <f t="shared" si="91"/>
        <v>21346</v>
      </c>
      <c r="Q66" s="141">
        <f t="shared" si="91"/>
        <v>25395</v>
      </c>
      <c r="R66" s="141">
        <f t="shared" si="91"/>
        <v>16898</v>
      </c>
      <c r="S66" s="141">
        <f t="shared" si="91"/>
        <v>15506</v>
      </c>
      <c r="T66" s="141">
        <f t="shared" si="91"/>
        <v>19963</v>
      </c>
      <c r="U66" s="141">
        <f t="shared" ref="U66" si="92">U64+U65</f>
        <v>24125</v>
      </c>
      <c r="V66" s="141">
        <f t="shared" si="91"/>
        <v>28154</v>
      </c>
      <c r="W66" s="144">
        <f t="shared" ref="W66" si="93">W64+W65</f>
        <v>31656</v>
      </c>
      <c r="X66" s="1616">
        <f t="shared" si="91"/>
        <v>37190.105572645254</v>
      </c>
      <c r="Y66" s="149">
        <f t="shared" si="91"/>
        <v>41021.236480623185</v>
      </c>
      <c r="Z66" s="149">
        <f t="shared" si="91"/>
        <v>44858.539477611092</v>
      </c>
      <c r="AA66" s="149">
        <f t="shared" si="91"/>
        <v>47977.323753297635</v>
      </c>
      <c r="AB66" s="149">
        <f t="shared" si="91"/>
        <v>49355.523167259729</v>
      </c>
      <c r="AC66" s="186"/>
      <c r="AD66" s="468"/>
      <c r="AE66" s="468"/>
    </row>
    <row r="67" spans="1:31" x14ac:dyDescent="0.25">
      <c r="A67" s="4" t="s">
        <v>500</v>
      </c>
      <c r="B67" s="1345">
        <f t="shared" ref="B67:J67" si="94">B69-B68-B66</f>
        <v>-2731</v>
      </c>
      <c r="C67" s="1345">
        <f t="shared" si="94"/>
        <v>-8220</v>
      </c>
      <c r="D67" s="1345">
        <f t="shared" si="94"/>
        <v>-9902</v>
      </c>
      <c r="E67" s="1345">
        <f t="shared" si="94"/>
        <v>-8313</v>
      </c>
      <c r="F67" s="1345">
        <f t="shared" si="94"/>
        <v>-8897</v>
      </c>
      <c r="G67" s="1345">
        <f t="shared" si="94"/>
        <v>-8972</v>
      </c>
      <c r="H67" s="1345">
        <f t="shared" si="94"/>
        <v>-9244</v>
      </c>
      <c r="I67" s="1345">
        <f t="shared" si="94"/>
        <v>-9905</v>
      </c>
      <c r="J67" s="1345">
        <f t="shared" si="94"/>
        <v>-11128</v>
      </c>
      <c r="K67" s="1343">
        <f t="shared" ref="K67:AB67" si="95">K69-K68-K66-K72</f>
        <v>-11826</v>
      </c>
      <c r="L67" s="1343">
        <f t="shared" si="95"/>
        <v>-12166</v>
      </c>
      <c r="M67" s="1343">
        <f t="shared" si="95"/>
        <v>-13760</v>
      </c>
      <c r="N67" s="1343">
        <f t="shared" si="95"/>
        <v>-12459</v>
      </c>
      <c r="O67" s="1343">
        <f t="shared" si="95"/>
        <v>-12745</v>
      </c>
      <c r="P67" s="1343">
        <f t="shared" si="95"/>
        <v>-17337</v>
      </c>
      <c r="Q67" s="1343">
        <f t="shared" si="95"/>
        <v>-19123</v>
      </c>
      <c r="R67" s="1343">
        <f t="shared" si="95"/>
        <v>-13756</v>
      </c>
      <c r="S67" s="1343">
        <f t="shared" si="95"/>
        <v>-12155</v>
      </c>
      <c r="T67" s="1343">
        <f t="shared" si="95"/>
        <v>-15628</v>
      </c>
      <c r="U67" s="1343">
        <f t="shared" ref="U67:V67" si="96">U69-U68-U66-U72</f>
        <v>-18736</v>
      </c>
      <c r="V67" s="1343">
        <f t="shared" si="96"/>
        <v>-21503</v>
      </c>
      <c r="W67" s="1344">
        <f t="shared" ref="W67" si="97">W69-W68-W66-W72</f>
        <v>-24587</v>
      </c>
      <c r="X67" s="1615">
        <f t="shared" si="95"/>
        <v>-27806.666535247645</v>
      </c>
      <c r="Y67" s="146">
        <f t="shared" si="95"/>
        <v>-30462.230911481274</v>
      </c>
      <c r="Z67" s="146">
        <f t="shared" si="95"/>
        <v>-33288.150909575023</v>
      </c>
      <c r="AA67" s="146">
        <f t="shared" si="95"/>
        <v>-35614.063662927671</v>
      </c>
      <c r="AB67" s="146">
        <f t="shared" si="95"/>
        <v>-36523.360346384317</v>
      </c>
      <c r="AD67" s="468"/>
    </row>
    <row r="68" spans="1:31" x14ac:dyDescent="0.25">
      <c r="A68" s="4" t="s">
        <v>501</v>
      </c>
      <c r="B68" s="1345">
        <f>-Divisional!B92</f>
        <v>-538</v>
      </c>
      <c r="C68" s="1345">
        <f>-Divisional!C92</f>
        <v>-492</v>
      </c>
      <c r="D68" s="1345">
        <f>-Divisional!D92</f>
        <v>-616</v>
      </c>
      <c r="E68" s="1345">
        <f>-Divisional!E92</f>
        <v>-620</v>
      </c>
      <c r="F68" s="1345">
        <f>-Divisional!F92</f>
        <v>-480</v>
      </c>
      <c r="G68" s="1345">
        <f>-Divisional!G92</f>
        <v>-508</v>
      </c>
      <c r="H68" s="1345">
        <f>-Divisional!H92</f>
        <v>-458</v>
      </c>
      <c r="I68" s="1345">
        <f>-Divisional!I92</f>
        <v>-526</v>
      </c>
      <c r="J68" s="1345">
        <f>-Divisional!J92</f>
        <v>-599</v>
      </c>
      <c r="K68" s="1345">
        <f>-Divisional!K92</f>
        <v>-596</v>
      </c>
      <c r="L68" s="1343">
        <f>-Divisional!L92</f>
        <v>-820</v>
      </c>
      <c r="M68" s="1343">
        <f>-Divisional!M92</f>
        <v>-861</v>
      </c>
      <c r="N68" s="1343">
        <f>-Divisional!N92</f>
        <v>-763</v>
      </c>
      <c r="O68" s="1343">
        <f>-Divisional!O92</f>
        <v>-778</v>
      </c>
      <c r="P68" s="1343">
        <f>-Divisional!Q92</f>
        <v>-906</v>
      </c>
      <c r="Q68" s="1343">
        <f>-Divisional!S92</f>
        <v>-1012</v>
      </c>
      <c r="R68" s="1343">
        <f>-Divisional!T92</f>
        <v>-585</v>
      </c>
      <c r="S68" s="1343">
        <f>-Divisional!U92</f>
        <v>-613</v>
      </c>
      <c r="T68" s="1343">
        <f>-Divisional!V92</f>
        <v>-741</v>
      </c>
      <c r="U68" s="1343">
        <f>-Divisional!W92</f>
        <v>-897</v>
      </c>
      <c r="V68" s="1343">
        <f>-Divisional!X92</f>
        <v>-1023</v>
      </c>
      <c r="W68" s="1344">
        <f>-Divisional!Y92</f>
        <v>-1068</v>
      </c>
      <c r="X68" s="1615">
        <f>-Divisional!Z92</f>
        <v>-1325.6588270355451</v>
      </c>
      <c r="Y68" s="491">
        <f>-Divisional!AA92</f>
        <v>-1451.8704232348632</v>
      </c>
      <c r="Z68" s="491">
        <f>-Divisional!AB92</f>
        <v>-1590.1480637506124</v>
      </c>
      <c r="AA68" s="491">
        <f>-Divisional!AC92</f>
        <v>-1701.0901333493437</v>
      </c>
      <c r="AB68" s="491">
        <f>-Divisional!AD92</f>
        <v>-1748.6320355738653</v>
      </c>
      <c r="AD68" s="468"/>
      <c r="AE68" s="468"/>
    </row>
    <row r="69" spans="1:31" x14ac:dyDescent="0.25">
      <c r="A69" s="186" t="s">
        <v>502</v>
      </c>
      <c r="B69" s="141">
        <f t="shared" ref="B69:AB69" si="98">B73-B71</f>
        <v>312</v>
      </c>
      <c r="C69" s="141">
        <f t="shared" si="98"/>
        <v>90</v>
      </c>
      <c r="D69" s="141">
        <f t="shared" si="98"/>
        <v>397</v>
      </c>
      <c r="E69" s="141">
        <f t="shared" si="98"/>
        <v>847</v>
      </c>
      <c r="F69" s="141">
        <f t="shared" si="98"/>
        <v>1052</v>
      </c>
      <c r="G69" s="141">
        <f t="shared" si="98"/>
        <v>1235</v>
      </c>
      <c r="H69" s="141">
        <f t="shared" si="98"/>
        <v>1526</v>
      </c>
      <c r="I69" s="141">
        <f t="shared" si="98"/>
        <v>1443</v>
      </c>
      <c r="J69" s="141">
        <f t="shared" si="98"/>
        <v>2097</v>
      </c>
      <c r="K69" s="141">
        <f t="shared" si="98"/>
        <v>2046</v>
      </c>
      <c r="L69" s="141">
        <f t="shared" si="98"/>
        <v>2394</v>
      </c>
      <c r="M69" s="141">
        <f t="shared" si="98"/>
        <v>3828</v>
      </c>
      <c r="N69" s="141">
        <f t="shared" si="98"/>
        <v>3624</v>
      </c>
      <c r="O69" s="141">
        <f t="shared" si="98"/>
        <v>3849</v>
      </c>
      <c r="P69" s="141">
        <f t="shared" si="98"/>
        <v>3292</v>
      </c>
      <c r="Q69" s="141">
        <f t="shared" si="98"/>
        <v>5424</v>
      </c>
      <c r="R69" s="141">
        <f t="shared" si="98"/>
        <v>2605</v>
      </c>
      <c r="S69" s="141">
        <f t="shared" si="98"/>
        <v>2778</v>
      </c>
      <c r="T69" s="141">
        <f t="shared" si="98"/>
        <v>3667</v>
      </c>
      <c r="U69" s="141">
        <f t="shared" ref="U69:V69" si="99">U73-U71</f>
        <v>4591</v>
      </c>
      <c r="V69" s="141">
        <f t="shared" si="99"/>
        <v>5764</v>
      </c>
      <c r="W69" s="144">
        <f t="shared" ref="W69" si="100">W73-W71</f>
        <v>6202</v>
      </c>
      <c r="X69" s="1616">
        <f t="shared" si="98"/>
        <v>8257.7802103620652</v>
      </c>
      <c r="Y69" s="149">
        <f t="shared" si="98"/>
        <v>9307.1351459070465</v>
      </c>
      <c r="Z69" s="149">
        <f t="shared" si="98"/>
        <v>10180.240504285459</v>
      </c>
      <c r="AA69" s="149">
        <f t="shared" si="98"/>
        <v>10862.169957020622</v>
      </c>
      <c r="AB69" s="149">
        <f t="shared" si="98"/>
        <v>11283.530785301546</v>
      </c>
      <c r="AD69" s="468"/>
      <c r="AE69" s="468"/>
    </row>
    <row r="70" spans="1:31" x14ac:dyDescent="0.25">
      <c r="A70" s="197" t="s">
        <v>461</v>
      </c>
      <c r="B70" s="466">
        <f t="shared" ref="B70:G70" si="101">B69/B66</f>
        <v>8.7126500977380616E-2</v>
      </c>
      <c r="C70" s="466">
        <f t="shared" si="101"/>
        <v>1.0224948875255624E-2</v>
      </c>
      <c r="D70" s="466">
        <f t="shared" si="101"/>
        <v>3.6371965185524505E-2</v>
      </c>
      <c r="E70" s="466">
        <f t="shared" si="101"/>
        <v>8.6605316973415128E-2</v>
      </c>
      <c r="F70" s="466">
        <f t="shared" si="101"/>
        <v>0.10087256688081311</v>
      </c>
      <c r="G70" s="466">
        <f t="shared" si="101"/>
        <v>0.11525898273448437</v>
      </c>
      <c r="H70" s="466">
        <f t="shared" ref="H70:AB70" si="102">+H69/H$64</f>
        <v>0.13837504533913675</v>
      </c>
      <c r="I70" s="466">
        <f t="shared" si="102"/>
        <v>0.12377766340710242</v>
      </c>
      <c r="J70" s="466">
        <f t="shared" si="102"/>
        <v>0.15402130003672421</v>
      </c>
      <c r="K70" s="272">
        <f t="shared" si="102"/>
        <v>0.14451193671422519</v>
      </c>
      <c r="L70" s="272">
        <f t="shared" si="102"/>
        <v>0.15913320925285829</v>
      </c>
      <c r="M70" s="272">
        <f t="shared" si="102"/>
        <v>0.21149171270718231</v>
      </c>
      <c r="N70" s="272">
        <f t="shared" si="102"/>
        <v>0.21987622861303241</v>
      </c>
      <c r="O70" s="272">
        <f t="shared" si="102"/>
        <v>0.22721369539551359</v>
      </c>
      <c r="P70" s="272">
        <f t="shared" si="102"/>
        <v>0.15657550535077289</v>
      </c>
      <c r="Q70" s="272">
        <f t="shared" si="102"/>
        <v>0.21611283767630887</v>
      </c>
      <c r="R70" s="272">
        <f t="shared" si="102"/>
        <v>0.15663519932655884</v>
      </c>
      <c r="S70" s="272">
        <f t="shared" si="102"/>
        <v>0.18357232538161633</v>
      </c>
      <c r="T70" s="272">
        <f t="shared" si="102"/>
        <v>0.18782973928187266</v>
      </c>
      <c r="U70" s="272">
        <f t="shared" ref="U70:V70" si="103">+U69/U$64</f>
        <v>0.19411441376685976</v>
      </c>
      <c r="V70" s="272">
        <f t="shared" si="103"/>
        <v>0.20796651753499784</v>
      </c>
      <c r="W70" s="275">
        <f t="shared" ref="W70" si="104">+W69/W$64</f>
        <v>0.19885215941517842</v>
      </c>
      <c r="X70" s="1634">
        <f t="shared" si="102"/>
        <v>0.22506831423561646</v>
      </c>
      <c r="Y70" s="467">
        <f t="shared" si="102"/>
        <v>0.22968536881537702</v>
      </c>
      <c r="Z70" s="467">
        <f t="shared" si="102"/>
        <v>0.22949900118834371</v>
      </c>
      <c r="AA70" s="467">
        <f t="shared" si="102"/>
        <v>0.22878648370036164</v>
      </c>
      <c r="AB70" s="467">
        <f t="shared" si="102"/>
        <v>0.2309571171036634</v>
      </c>
      <c r="AC70" s="197"/>
      <c r="AD70" s="468"/>
      <c r="AE70" s="197"/>
    </row>
    <row r="71" spans="1:31" x14ac:dyDescent="0.25">
      <c r="A71" s="4" t="s">
        <v>462</v>
      </c>
      <c r="B71" s="1345">
        <f>-Divisional!B118</f>
        <v>-97</v>
      </c>
      <c r="C71" s="1345">
        <f>-Divisional!C118</f>
        <v>-457</v>
      </c>
      <c r="D71" s="1345">
        <f>-Divisional!D118</f>
        <v>-583</v>
      </c>
      <c r="E71" s="1345">
        <f>-Divisional!E118</f>
        <v>-718</v>
      </c>
      <c r="F71" s="1345">
        <f>-Divisional!F118</f>
        <v>-581</v>
      </c>
      <c r="G71" s="1345">
        <f>-Divisional!G118</f>
        <v>-606</v>
      </c>
      <c r="H71" s="1345">
        <f>-Divisional!H118</f>
        <v>-575</v>
      </c>
      <c r="I71" s="1345">
        <f>-Divisional!I118</f>
        <v>-579</v>
      </c>
      <c r="J71" s="1345">
        <f>-Divisional!J118</f>
        <v>-854</v>
      </c>
      <c r="K71" s="1345">
        <f>-Divisional!K118</f>
        <v>-759</v>
      </c>
      <c r="L71" s="1343">
        <f>-Divisional!L118</f>
        <v>-894</v>
      </c>
      <c r="M71" s="1343">
        <f>-Divisional!M118</f>
        <v>-955</v>
      </c>
      <c r="N71" s="1343">
        <f>-Divisional!N118</f>
        <v>-634</v>
      </c>
      <c r="O71" s="1343">
        <f>-Divisional!O118</f>
        <v>-1078</v>
      </c>
      <c r="P71" s="1343">
        <f>-Divisional!P118</f>
        <v>-1012</v>
      </c>
      <c r="Q71" s="1343">
        <f>-Divisional!S118</f>
        <v>-1600</v>
      </c>
      <c r="R71" s="1343">
        <f>-Divisional!T118</f>
        <v>-1212</v>
      </c>
      <c r="S71" s="1343">
        <f>-Divisional!U118</f>
        <v>-1509</v>
      </c>
      <c r="T71" s="1343">
        <f>-Divisional!V118</f>
        <v>-1174</v>
      </c>
      <c r="U71" s="1343">
        <f>-Divisional!W118</f>
        <v>-1282</v>
      </c>
      <c r="V71" s="1343">
        <f>-Divisional!X118</f>
        <v>-1578</v>
      </c>
      <c r="W71" s="1344">
        <f>-Divisional!Y118</f>
        <v>-1415</v>
      </c>
      <c r="X71" s="1615">
        <f>-Divisional!Z118</f>
        <v>-1806.9030312602167</v>
      </c>
      <c r="Y71" s="491">
        <f>-Divisional!AA118</f>
        <v>-1941.0228353924967</v>
      </c>
      <c r="Z71" s="491">
        <f>-Divisional!AB118</f>
        <v>-2087.6153693894985</v>
      </c>
      <c r="AA71" s="491">
        <f>-Divisional!AC118</f>
        <v>-2205.5890680040884</v>
      </c>
      <c r="AB71" s="491">
        <f>-Divisional!AD118</f>
        <v>-2256.5238087139073</v>
      </c>
      <c r="AD71" s="468"/>
      <c r="AE71" s="468"/>
    </row>
    <row r="72" spans="1:31" x14ac:dyDescent="0.25">
      <c r="A72" s="4" t="s">
        <v>465</v>
      </c>
      <c r="B72" s="1345"/>
      <c r="C72" s="1345"/>
      <c r="D72" s="1345"/>
      <c r="E72" s="1345"/>
      <c r="F72" s="1345"/>
      <c r="G72" s="1345"/>
      <c r="H72" s="1345"/>
      <c r="I72" s="1345"/>
      <c r="J72" s="1345"/>
      <c r="K72" s="1343">
        <v>52</v>
      </c>
      <c r="L72" s="1343">
        <v>45</v>
      </c>
      <c r="M72" s="1343">
        <v>45</v>
      </c>
      <c r="N72" s="1343">
        <v>87</v>
      </c>
      <c r="O72" s="1343">
        <v>154</v>
      </c>
      <c r="P72" s="1343">
        <v>189</v>
      </c>
      <c r="Q72" s="1343">
        <v>164</v>
      </c>
      <c r="R72" s="1343">
        <v>48</v>
      </c>
      <c r="S72" s="1343">
        <v>40</v>
      </c>
      <c r="T72" s="1343">
        <v>73</v>
      </c>
      <c r="U72" s="1343">
        <v>99</v>
      </c>
      <c r="V72" s="1343">
        <v>136</v>
      </c>
      <c r="W72" s="1344">
        <v>201</v>
      </c>
      <c r="X72" s="1664">
        <v>200</v>
      </c>
      <c r="Y72" s="465">
        <f>X72+Propulsion!BL300-Propulsion!BD300</f>
        <v>200</v>
      </c>
      <c r="Z72" s="465">
        <f>Y72+Propulsion!BT300-Propulsion!BL300</f>
        <v>200</v>
      </c>
      <c r="AA72" s="465">
        <f>Z72+Propulsion!CB300-Propulsion!BT300</f>
        <v>200</v>
      </c>
      <c r="AB72" s="465">
        <f>AA72+Propulsion!CJ300-Propulsion!CB300</f>
        <v>200</v>
      </c>
      <c r="AD72" s="468"/>
      <c r="AE72" s="468"/>
    </row>
    <row r="73" spans="1:31" x14ac:dyDescent="0.25">
      <c r="A73" s="186" t="s">
        <v>96</v>
      </c>
      <c r="B73" s="141">
        <f>Divisional!B51</f>
        <v>215</v>
      </c>
      <c r="C73" s="141">
        <f>Divisional!C51</f>
        <v>-367</v>
      </c>
      <c r="D73" s="141">
        <f>Divisional!D51</f>
        <v>-186</v>
      </c>
      <c r="E73" s="141">
        <f>Divisional!E51</f>
        <v>129</v>
      </c>
      <c r="F73" s="141">
        <f>Divisional!F51</f>
        <v>471</v>
      </c>
      <c r="G73" s="141">
        <f>Divisional!G51</f>
        <v>629</v>
      </c>
      <c r="H73" s="141">
        <f>Divisional!H51</f>
        <v>951</v>
      </c>
      <c r="I73" s="141">
        <f>Divisional!I51</f>
        <v>864</v>
      </c>
      <c r="J73" s="141">
        <f>Divisional!J51</f>
        <v>1243</v>
      </c>
      <c r="K73" s="141">
        <f>Divisional!K51</f>
        <v>1287</v>
      </c>
      <c r="L73" s="141">
        <f>Divisional!L51</f>
        <v>1500</v>
      </c>
      <c r="M73" s="141">
        <f>Divisional!M51</f>
        <v>2873</v>
      </c>
      <c r="N73" s="141">
        <f>Divisional!N51</f>
        <v>2990</v>
      </c>
      <c r="O73" s="141">
        <f>Divisional!O51</f>
        <v>2771</v>
      </c>
      <c r="P73" s="141">
        <f>Divisional!Q51</f>
        <v>2280</v>
      </c>
      <c r="Q73" s="141">
        <f>Divisional!S51</f>
        <v>3824</v>
      </c>
      <c r="R73" s="141">
        <f>Divisional!T51</f>
        <v>1393</v>
      </c>
      <c r="S73" s="141">
        <f>Divisional!U51</f>
        <v>1269</v>
      </c>
      <c r="T73" s="141">
        <f>Divisional!V51</f>
        <v>2493</v>
      </c>
      <c r="U73" s="141">
        <f>Divisional!W51</f>
        <v>3309</v>
      </c>
      <c r="V73" s="141">
        <f>Divisional!X51</f>
        <v>4186</v>
      </c>
      <c r="W73" s="144">
        <f>Divisional!Y51</f>
        <v>4787</v>
      </c>
      <c r="X73" s="1616">
        <f>Divisional!Z51</f>
        <v>6450.8771791018489</v>
      </c>
      <c r="Y73" s="149">
        <f>Divisional!AA51</f>
        <v>7366.1123105145489</v>
      </c>
      <c r="Z73" s="149">
        <f>Divisional!AB51</f>
        <v>8092.6251348959613</v>
      </c>
      <c r="AA73" s="149">
        <f>Divisional!AC51</f>
        <v>8656.5808890165335</v>
      </c>
      <c r="AB73" s="149">
        <f>Divisional!AD51</f>
        <v>9027.0069765876378</v>
      </c>
      <c r="AD73" s="468"/>
      <c r="AE73" s="468"/>
    </row>
    <row r="74" spans="1:31" x14ac:dyDescent="0.25">
      <c r="A74" s="197" t="s">
        <v>461</v>
      </c>
      <c r="B74" s="466">
        <f t="shared" ref="B74:AB74" si="105">B73/B66</f>
        <v>6.0039095224797542E-2</v>
      </c>
      <c r="C74" s="466">
        <f t="shared" si="105"/>
        <v>-4.1695069302431269E-2</v>
      </c>
      <c r="D74" s="466">
        <f t="shared" si="105"/>
        <v>-1.7040769583142466E-2</v>
      </c>
      <c r="E74" s="466">
        <f t="shared" si="105"/>
        <v>1.3190184049079755E-2</v>
      </c>
      <c r="F74" s="466">
        <f t="shared" si="105"/>
        <v>4.5162527567360243E-2</v>
      </c>
      <c r="G74" s="466">
        <f t="shared" si="105"/>
        <v>5.8702753149790017E-2</v>
      </c>
      <c r="H74" s="466">
        <f t="shared" si="105"/>
        <v>8.4698966868542933E-2</v>
      </c>
      <c r="I74" s="466">
        <f t="shared" si="105"/>
        <v>7.2764022233451242E-2</v>
      </c>
      <c r="J74" s="466">
        <f t="shared" si="105"/>
        <v>8.9916087962962965E-2</v>
      </c>
      <c r="K74" s="272">
        <f t="shared" si="105"/>
        <v>8.927580466148724E-2</v>
      </c>
      <c r="L74" s="272">
        <f t="shared" si="105"/>
        <v>9.7815454841865018E-2</v>
      </c>
      <c r="M74" s="272">
        <f t="shared" si="105"/>
        <v>0.1561073679634862</v>
      </c>
      <c r="N74" s="272">
        <f t="shared" si="105"/>
        <v>0.17841159973745449</v>
      </c>
      <c r="O74" s="272">
        <f t="shared" si="105"/>
        <v>0.16093622952723893</v>
      </c>
      <c r="P74" s="272">
        <f t="shared" si="105"/>
        <v>0.1068115806240045</v>
      </c>
      <c r="Q74" s="272">
        <f t="shared" si="105"/>
        <v>0.15058082299665287</v>
      </c>
      <c r="R74" s="272">
        <f t="shared" si="105"/>
        <v>8.2435791217895613E-2</v>
      </c>
      <c r="S74" s="272">
        <f t="shared" si="105"/>
        <v>8.1839288017541603E-2</v>
      </c>
      <c r="T74" s="272">
        <f t="shared" si="105"/>
        <v>0.12488102990532485</v>
      </c>
      <c r="U74" s="272">
        <f t="shared" ref="U74" si="106">U73/U66</f>
        <v>0.13716062176165802</v>
      </c>
      <c r="V74" s="272">
        <f t="shared" ref="V74:W74" si="107">V73/V66</f>
        <v>0.14868224763799104</v>
      </c>
      <c r="W74" s="275">
        <f t="shared" si="107"/>
        <v>0.15121935809957038</v>
      </c>
      <c r="X74" s="1634">
        <f t="shared" si="105"/>
        <v>0.17345681276706879</v>
      </c>
      <c r="Y74" s="467">
        <f t="shared" si="105"/>
        <v>0.17956826615877389</v>
      </c>
      <c r="Z74" s="467">
        <f t="shared" si="105"/>
        <v>0.18040322375932441</v>
      </c>
      <c r="AA74" s="467">
        <f t="shared" si="105"/>
        <v>0.18043067457303805</v>
      </c>
      <c r="AB74" s="467">
        <f t="shared" si="105"/>
        <v>0.18289760491437268</v>
      </c>
      <c r="AC74" s="197"/>
      <c r="AD74" s="468"/>
      <c r="AE74" s="197"/>
    </row>
    <row r="75" spans="1:31" x14ac:dyDescent="0.25">
      <c r="A75" s="4" t="s">
        <v>467</v>
      </c>
      <c r="B75" s="492">
        <v>0</v>
      </c>
      <c r="C75" s="492">
        <v>0</v>
      </c>
      <c r="D75" s="492">
        <v>0</v>
      </c>
      <c r="E75" s="492">
        <v>0</v>
      </c>
      <c r="F75" s="1345">
        <v>146</v>
      </c>
      <c r="G75" s="1345">
        <v>-35</v>
      </c>
      <c r="H75" s="1345">
        <v>-13</v>
      </c>
      <c r="I75" s="1345">
        <v>-29</v>
      </c>
      <c r="J75" s="1345">
        <v>-56</v>
      </c>
      <c r="K75" s="1343">
        <v>182</v>
      </c>
      <c r="L75" s="1343">
        <v>-107</v>
      </c>
      <c r="M75" s="1343">
        <v>-796</v>
      </c>
      <c r="N75" s="1343">
        <v>349</v>
      </c>
      <c r="O75" s="1343">
        <v>-90</v>
      </c>
      <c r="P75" s="1343">
        <v>-115</v>
      </c>
      <c r="Q75" s="1343">
        <v>13</v>
      </c>
      <c r="R75" s="1343">
        <v>-466</v>
      </c>
      <c r="S75" s="1343">
        <f t="shared" ref="S75:AB75" si="108">S23</f>
        <v>-405</v>
      </c>
      <c r="T75" s="1343">
        <f t="shared" si="108"/>
        <v>-450</v>
      </c>
      <c r="U75" s="1343">
        <f t="shared" ref="U75" si="109">U23</f>
        <v>-511</v>
      </c>
      <c r="V75" s="1343">
        <f t="shared" ref="V75:W75" si="110">V23</f>
        <v>6</v>
      </c>
      <c r="W75" s="1344">
        <f t="shared" si="110"/>
        <v>-479</v>
      </c>
      <c r="X75" s="1615">
        <f t="shared" si="108"/>
        <v>-173</v>
      </c>
      <c r="Y75" s="146">
        <f t="shared" si="108"/>
        <v>0</v>
      </c>
      <c r="Z75" s="146">
        <f t="shared" si="108"/>
        <v>0</v>
      </c>
      <c r="AA75" s="146">
        <f t="shared" si="108"/>
        <v>0</v>
      </c>
      <c r="AB75" s="146">
        <f t="shared" si="108"/>
        <v>0</v>
      </c>
      <c r="AC75" s="197"/>
      <c r="AD75" s="468"/>
      <c r="AE75" s="197"/>
    </row>
    <row r="76" spans="1:31" x14ac:dyDescent="0.25">
      <c r="A76" s="4" t="s">
        <v>503</v>
      </c>
      <c r="B76" s="492">
        <v>0</v>
      </c>
      <c r="C76" s="1345">
        <v>3</v>
      </c>
      <c r="D76" s="1345">
        <v>4</v>
      </c>
      <c r="E76" s="1345">
        <v>4</v>
      </c>
      <c r="F76" s="1345">
        <v>10</v>
      </c>
      <c r="G76" s="1345">
        <v>3</v>
      </c>
      <c r="H76" s="1345">
        <v>9</v>
      </c>
      <c r="I76" s="1345">
        <v>10</v>
      </c>
      <c r="J76" s="1345">
        <v>19</v>
      </c>
      <c r="K76" s="1343">
        <v>15</v>
      </c>
      <c r="L76" s="1343">
        <v>18</v>
      </c>
      <c r="M76" s="1343">
        <v>4</v>
      </c>
      <c r="N76" s="1343">
        <v>0</v>
      </c>
      <c r="O76" s="1343">
        <v>0</v>
      </c>
      <c r="P76" s="1343">
        <v>0</v>
      </c>
      <c r="Q76" s="1343">
        <f>P76</f>
        <v>0</v>
      </c>
      <c r="R76" s="1343">
        <v>0</v>
      </c>
      <c r="S76" s="1343">
        <v>0</v>
      </c>
      <c r="T76" s="1343">
        <v>0</v>
      </c>
      <c r="U76" s="1343">
        <v>0</v>
      </c>
      <c r="V76" s="1343">
        <v>0</v>
      </c>
      <c r="W76" s="1344">
        <v>0</v>
      </c>
      <c r="X76" s="1615">
        <f t="shared" ref="X76:AB76" si="111">W76</f>
        <v>0</v>
      </c>
      <c r="Y76" s="491">
        <f t="shared" si="111"/>
        <v>0</v>
      </c>
      <c r="Z76" s="491">
        <f t="shared" si="111"/>
        <v>0</v>
      </c>
      <c r="AA76" s="491">
        <f t="shared" si="111"/>
        <v>0</v>
      </c>
      <c r="AB76" s="491">
        <f t="shared" si="111"/>
        <v>0</v>
      </c>
      <c r="AD76" s="468"/>
    </row>
    <row r="77" spans="1:31" x14ac:dyDescent="0.25">
      <c r="A77" s="4" t="s">
        <v>469</v>
      </c>
      <c r="B77" s="1345">
        <v>4</v>
      </c>
      <c r="C77" s="1345">
        <v>-29</v>
      </c>
      <c r="D77" s="1345">
        <v>-22</v>
      </c>
      <c r="E77" s="1345">
        <v>-10</v>
      </c>
      <c r="F77" s="1345">
        <v>-19</v>
      </c>
      <c r="G77" s="1345">
        <v>-38</v>
      </c>
      <c r="H77" s="1345">
        <v>-36</v>
      </c>
      <c r="I77" s="1345">
        <v>-42</v>
      </c>
      <c r="J77" s="1345">
        <v>-54</v>
      </c>
      <c r="K77" s="1343">
        <v>-42</v>
      </c>
      <c r="L77" s="1343">
        <v>-42</v>
      </c>
      <c r="M77" s="1343">
        <v>-28</v>
      </c>
      <c r="N77" s="1343">
        <v>-51</v>
      </c>
      <c r="O77" s="1343">
        <v>-57</v>
      </c>
      <c r="P77" s="1343">
        <v>-67</v>
      </c>
      <c r="Q77" s="1343">
        <v>-33</v>
      </c>
      <c r="R77" s="1343">
        <v>-58</v>
      </c>
      <c r="S77" s="1343">
        <v>-85</v>
      </c>
      <c r="T77" s="1343">
        <v>-56</v>
      </c>
      <c r="U77" s="1343">
        <v>112</v>
      </c>
      <c r="V77" s="1343">
        <v>157</v>
      </c>
      <c r="W77" s="1344">
        <v>116</v>
      </c>
      <c r="X77" s="1615">
        <f>BS!X178</f>
        <v>121.05500000000001</v>
      </c>
      <c r="Y77" s="491">
        <f>BS!Y178</f>
        <v>157.16265506556462</v>
      </c>
      <c r="Z77" s="491">
        <f>BS!Z178</f>
        <v>236.02101103246977</v>
      </c>
      <c r="AA77" s="491">
        <f>BS!AA178</f>
        <v>308.85233241323033</v>
      </c>
      <c r="AB77" s="491">
        <f>BS!AB178</f>
        <v>425.24703511734015</v>
      </c>
      <c r="AD77" s="468"/>
    </row>
    <row r="78" spans="1:31" x14ac:dyDescent="0.25">
      <c r="A78" s="4" t="s">
        <v>504</v>
      </c>
      <c r="B78" s="1345">
        <v>1</v>
      </c>
      <c r="C78" s="1345">
        <v>-137</v>
      </c>
      <c r="D78" s="1345">
        <v>334</v>
      </c>
      <c r="E78" s="1345">
        <v>44</v>
      </c>
      <c r="F78" s="1345">
        <f>-635-76</f>
        <v>-711</v>
      </c>
      <c r="G78" s="1345">
        <f>479-145</f>
        <v>334</v>
      </c>
      <c r="H78" s="1345">
        <f>-531-136</f>
        <v>-667</v>
      </c>
      <c r="I78" s="1345">
        <v>-108</v>
      </c>
      <c r="J78" s="1345">
        <f>709-122</f>
        <v>587</v>
      </c>
      <c r="K78" s="1343">
        <f>551-70</f>
        <v>481</v>
      </c>
      <c r="L78" s="1343">
        <f>-1654-75</f>
        <v>-1729</v>
      </c>
      <c r="M78" s="1343">
        <f>-3248-111</f>
        <v>-3359</v>
      </c>
      <c r="N78" s="1343">
        <f>-943-58</f>
        <v>-1001</v>
      </c>
      <c r="O78" s="1343">
        <f>3143-22</f>
        <v>3121</v>
      </c>
      <c r="P78" s="1343">
        <f>-351-58</f>
        <v>-409</v>
      </c>
      <c r="Q78" s="1343">
        <f>-283-47</f>
        <v>-330</v>
      </c>
      <c r="R78" s="1343">
        <f>-257-42</f>
        <v>-299</v>
      </c>
      <c r="S78" s="1343">
        <f>-497-14</f>
        <v>-511</v>
      </c>
      <c r="T78" s="1343">
        <f>-5072-35</f>
        <v>-5107</v>
      </c>
      <c r="U78" s="1343">
        <f>1850-4</f>
        <v>1846</v>
      </c>
      <c r="V78" s="1343">
        <f>-5180-28</f>
        <v>-5208</v>
      </c>
      <c r="W78" s="1344">
        <f>5832+13</f>
        <v>5845</v>
      </c>
      <c r="X78" s="1615">
        <f>Quarterlies!DZ84+Quarterlies!DZ86</f>
        <v>192</v>
      </c>
      <c r="Y78" s="491">
        <f>Quarterlies!EH84+Quarterlies!EH86</f>
        <v>0</v>
      </c>
      <c r="Z78" s="491">
        <f>Quarterlies!EP84+Quarterlies!EP86</f>
        <v>0</v>
      </c>
      <c r="AA78" s="491">
        <f>Quarterlies!EX84+Quarterlies!EX86</f>
        <v>0</v>
      </c>
      <c r="AB78" s="491">
        <f>Quarterlies!FF84+Quarterlies!FF86</f>
        <v>0</v>
      </c>
      <c r="AD78" s="468"/>
    </row>
    <row r="79" spans="1:31" x14ac:dyDescent="0.25">
      <c r="A79" s="4" t="s">
        <v>505</v>
      </c>
      <c r="B79" s="1345">
        <f t="shared" ref="B79:AB79" si="112">B78+B77</f>
        <v>5</v>
      </c>
      <c r="C79" s="1345">
        <f t="shared" si="112"/>
        <v>-166</v>
      </c>
      <c r="D79" s="1345">
        <f t="shared" si="112"/>
        <v>312</v>
      </c>
      <c r="E79" s="1345">
        <f t="shared" si="112"/>
        <v>34</v>
      </c>
      <c r="F79" s="1345">
        <f t="shared" si="112"/>
        <v>-730</v>
      </c>
      <c r="G79" s="1345">
        <f t="shared" si="112"/>
        <v>296</v>
      </c>
      <c r="H79" s="1345">
        <f t="shared" si="112"/>
        <v>-703</v>
      </c>
      <c r="I79" s="1345">
        <f t="shared" si="112"/>
        <v>-150</v>
      </c>
      <c r="J79" s="1345">
        <f t="shared" si="112"/>
        <v>533</v>
      </c>
      <c r="K79" s="1343">
        <f t="shared" si="112"/>
        <v>439</v>
      </c>
      <c r="L79" s="1343">
        <f t="shared" si="112"/>
        <v>-1771</v>
      </c>
      <c r="M79" s="1343">
        <f t="shared" si="112"/>
        <v>-3387</v>
      </c>
      <c r="N79" s="1343">
        <f t="shared" si="112"/>
        <v>-1052</v>
      </c>
      <c r="O79" s="1343">
        <f t="shared" si="112"/>
        <v>3064</v>
      </c>
      <c r="P79" s="1343">
        <f t="shared" si="112"/>
        <v>-476</v>
      </c>
      <c r="Q79" s="1343">
        <f t="shared" si="112"/>
        <v>-363</v>
      </c>
      <c r="R79" s="1343">
        <f t="shared" si="112"/>
        <v>-357</v>
      </c>
      <c r="S79" s="1343">
        <f t="shared" si="112"/>
        <v>-596</v>
      </c>
      <c r="T79" s="1343">
        <f t="shared" si="112"/>
        <v>-5163</v>
      </c>
      <c r="U79" s="1343">
        <f t="shared" ref="U79:V79" si="113">U78+U77</f>
        <v>1958</v>
      </c>
      <c r="V79" s="1343">
        <f t="shared" si="113"/>
        <v>-5051</v>
      </c>
      <c r="W79" s="1344">
        <f t="shared" ref="W79" si="114">W78+W77</f>
        <v>5961</v>
      </c>
      <c r="X79" s="1615">
        <f t="shared" si="112"/>
        <v>313.05500000000001</v>
      </c>
      <c r="Y79" s="491">
        <f t="shared" si="112"/>
        <v>157.16265506556462</v>
      </c>
      <c r="Z79" s="491">
        <f t="shared" si="112"/>
        <v>236.02101103246977</v>
      </c>
      <c r="AA79" s="491">
        <f t="shared" si="112"/>
        <v>308.85233241323033</v>
      </c>
      <c r="AB79" s="491">
        <f t="shared" si="112"/>
        <v>425.24703511734015</v>
      </c>
      <c r="AD79" s="468"/>
    </row>
    <row r="80" spans="1:31" x14ac:dyDescent="0.25">
      <c r="A80" s="186" t="s">
        <v>474</v>
      </c>
      <c r="B80" s="147">
        <f>+B73+B79+B76</f>
        <v>220</v>
      </c>
      <c r="C80" s="147">
        <f>+C73+C79+C76</f>
        <v>-530</v>
      </c>
      <c r="D80" s="147">
        <f>+D73+D79+D76</f>
        <v>130</v>
      </c>
      <c r="E80" s="147">
        <f>+E73+E79+E76</f>
        <v>167</v>
      </c>
      <c r="F80" s="147">
        <f t="shared" ref="F80:AB80" si="115">F73+F75+F76+F79</f>
        <v>-103</v>
      </c>
      <c r="G80" s="147">
        <f t="shared" si="115"/>
        <v>893</v>
      </c>
      <c r="H80" s="147">
        <f t="shared" si="115"/>
        <v>244</v>
      </c>
      <c r="I80" s="147">
        <f t="shared" si="115"/>
        <v>695</v>
      </c>
      <c r="J80" s="147">
        <f t="shared" si="115"/>
        <v>1739</v>
      </c>
      <c r="K80" s="141">
        <f t="shared" si="115"/>
        <v>1923</v>
      </c>
      <c r="L80" s="141">
        <f t="shared" si="115"/>
        <v>-360</v>
      </c>
      <c r="M80" s="141">
        <f t="shared" si="115"/>
        <v>-1306</v>
      </c>
      <c r="N80" s="141">
        <f t="shared" si="115"/>
        <v>2287</v>
      </c>
      <c r="O80" s="141">
        <f t="shared" si="115"/>
        <v>5745</v>
      </c>
      <c r="P80" s="141">
        <f t="shared" si="115"/>
        <v>1689</v>
      </c>
      <c r="Q80" s="141">
        <f t="shared" si="115"/>
        <v>3474</v>
      </c>
      <c r="R80" s="141">
        <f t="shared" si="115"/>
        <v>570</v>
      </c>
      <c r="S80" s="141">
        <f t="shared" si="115"/>
        <v>268</v>
      </c>
      <c r="T80" s="141">
        <f t="shared" si="115"/>
        <v>-3120</v>
      </c>
      <c r="U80" s="141">
        <f t="shared" ref="U80:V80" si="116">U73+U75+U76+U79</f>
        <v>4756</v>
      </c>
      <c r="V80" s="141">
        <f t="shared" si="116"/>
        <v>-859</v>
      </c>
      <c r="W80" s="144">
        <f t="shared" ref="W80" si="117">W73+W75+W76+W79</f>
        <v>10269</v>
      </c>
      <c r="X80" s="1616">
        <f t="shared" si="115"/>
        <v>6590.9321791018492</v>
      </c>
      <c r="Y80" s="493">
        <f t="shared" si="115"/>
        <v>7523.2749655801135</v>
      </c>
      <c r="Z80" s="493">
        <f t="shared" si="115"/>
        <v>8328.646145928431</v>
      </c>
      <c r="AA80" s="493">
        <f t="shared" si="115"/>
        <v>8965.4332214297647</v>
      </c>
      <c r="AB80" s="493">
        <f t="shared" si="115"/>
        <v>9452.2540117049775</v>
      </c>
      <c r="AD80" s="468"/>
    </row>
    <row r="81" spans="1:31" x14ac:dyDescent="0.25">
      <c r="A81" s="197" t="s">
        <v>461</v>
      </c>
      <c r="B81" s="466">
        <f t="shared" ref="B81:AB81" si="118">B80/B66</f>
        <v>6.1435353253281207E-2</v>
      </c>
      <c r="C81" s="466">
        <f t="shared" si="118"/>
        <v>-6.0213587820949786E-2</v>
      </c>
      <c r="D81" s="466">
        <f t="shared" si="118"/>
        <v>1.1910215300045808E-2</v>
      </c>
      <c r="E81" s="466">
        <f t="shared" si="118"/>
        <v>1.7075664621676891E-2</v>
      </c>
      <c r="F81" s="466">
        <f t="shared" si="118"/>
        <v>-9.8763064531594592E-3</v>
      </c>
      <c r="G81" s="466">
        <f t="shared" si="118"/>
        <v>8.3341110592627152E-2</v>
      </c>
      <c r="H81" s="466">
        <f t="shared" si="118"/>
        <v>2.1731385821161381E-2</v>
      </c>
      <c r="I81" s="466">
        <f t="shared" si="118"/>
        <v>5.8531244736398855E-2</v>
      </c>
      <c r="J81" s="466">
        <f t="shared" si="118"/>
        <v>0.12579571759259259</v>
      </c>
      <c r="K81" s="272">
        <f t="shared" si="118"/>
        <v>0.13339345172031078</v>
      </c>
      <c r="L81" s="272">
        <f t="shared" si="118"/>
        <v>-2.3475709162047602E-2</v>
      </c>
      <c r="M81" s="272">
        <f t="shared" si="118"/>
        <v>-7.096283416648555E-2</v>
      </c>
      <c r="N81" s="272">
        <f t="shared" si="118"/>
        <v>0.13646398949818009</v>
      </c>
      <c r="O81" s="272">
        <f t="shared" si="118"/>
        <v>0.3336624462771518</v>
      </c>
      <c r="P81" s="272">
        <f t="shared" si="118"/>
        <v>7.9124894593834913E-2</v>
      </c>
      <c r="Q81" s="272">
        <f t="shared" si="118"/>
        <v>0.13679858239810985</v>
      </c>
      <c r="R81" s="272">
        <f t="shared" si="118"/>
        <v>3.3731802580187008E-2</v>
      </c>
      <c r="S81" s="272">
        <f t="shared" si="118"/>
        <v>1.7283632142396491E-2</v>
      </c>
      <c r="T81" s="272">
        <f t="shared" si="118"/>
        <v>-0.1562891348995642</v>
      </c>
      <c r="U81" s="272">
        <f t="shared" ref="U81:V81" si="119">U80/U66</f>
        <v>0.19713989637305698</v>
      </c>
      <c r="V81" s="272">
        <f t="shared" si="119"/>
        <v>-3.0510762236271933E-2</v>
      </c>
      <c r="W81" s="275">
        <f t="shared" ref="W81" si="120">W80/W66</f>
        <v>0.32439347990902201</v>
      </c>
      <c r="X81" s="1634">
        <f t="shared" si="118"/>
        <v>0.17722273377867828</v>
      </c>
      <c r="Y81" s="467">
        <f t="shared" si="118"/>
        <v>0.18339951720211584</v>
      </c>
      <c r="Z81" s="467">
        <f t="shared" si="118"/>
        <v>0.18566467484045621</v>
      </c>
      <c r="AA81" s="467">
        <f t="shared" si="118"/>
        <v>0.18686813936372476</v>
      </c>
      <c r="AB81" s="467">
        <f t="shared" si="118"/>
        <v>0.191513601824713</v>
      </c>
      <c r="AC81" s="197"/>
      <c r="AD81" s="468"/>
      <c r="AE81" s="197"/>
    </row>
    <row r="82" spans="1:31" x14ac:dyDescent="0.25">
      <c r="A82" s="4" t="s">
        <v>506</v>
      </c>
      <c r="B82" s="1345">
        <v>-66</v>
      </c>
      <c r="C82" s="1345">
        <v>226</v>
      </c>
      <c r="D82" s="1345">
        <v>-109</v>
      </c>
      <c r="E82" s="1345">
        <v>-25</v>
      </c>
      <c r="F82" s="1345">
        <v>142</v>
      </c>
      <c r="G82" s="1345">
        <v>-235</v>
      </c>
      <c r="H82" s="1345">
        <v>-14</v>
      </c>
      <c r="I82" s="1345">
        <v>-201</v>
      </c>
      <c r="J82" s="1345">
        <v>-433</v>
      </c>
      <c r="K82" s="1343">
        <v>-639</v>
      </c>
      <c r="L82" s="1343">
        <v>292</v>
      </c>
      <c r="M82" s="1343">
        <v>508</v>
      </c>
      <c r="N82" s="1343">
        <v>-398</v>
      </c>
      <c r="O82" s="1343">
        <v>-1716</v>
      </c>
      <c r="P82" s="1343">
        <v>-348</v>
      </c>
      <c r="Q82" s="1343">
        <v>-962</v>
      </c>
      <c r="R82" s="1343">
        <v>-184</v>
      </c>
      <c r="S82" s="1343">
        <v>-200</v>
      </c>
      <c r="T82" s="1343">
        <v>694</v>
      </c>
      <c r="U82" s="1343">
        <v>-1236</v>
      </c>
      <c r="V82" s="1343">
        <v>284</v>
      </c>
      <c r="W82" s="1344">
        <v>-2983</v>
      </c>
      <c r="X82" s="1615">
        <f t="shared" ref="X82:AB82" si="121">(X80-X72)*-X83</f>
        <v>-2045.0982973125917</v>
      </c>
      <c r="Y82" s="146">
        <f t="shared" si="121"/>
        <v>-1830.8187413950284</v>
      </c>
      <c r="Z82" s="146">
        <f t="shared" si="121"/>
        <v>-2032.1615364821077</v>
      </c>
      <c r="AA82" s="146">
        <f t="shared" si="121"/>
        <v>-2191.3583053574412</v>
      </c>
      <c r="AB82" s="146">
        <f t="shared" si="121"/>
        <v>-2313.0635029262444</v>
      </c>
      <c r="AD82" s="468"/>
    </row>
    <row r="83" spans="1:31" x14ac:dyDescent="0.25">
      <c r="A83" s="197" t="s">
        <v>476</v>
      </c>
      <c r="B83" s="18">
        <f t="shared" ref="B83:T83" si="122">-B82/B80</f>
        <v>0.3</v>
      </c>
      <c r="C83" s="18">
        <f t="shared" si="122"/>
        <v>0.42641509433962266</v>
      </c>
      <c r="D83" s="18">
        <f t="shared" si="122"/>
        <v>0.83846153846153848</v>
      </c>
      <c r="E83" s="18">
        <f t="shared" si="122"/>
        <v>0.1497005988023952</v>
      </c>
      <c r="F83" s="18">
        <f t="shared" si="122"/>
        <v>1.3786407766990292</v>
      </c>
      <c r="G83" s="18">
        <f t="shared" si="122"/>
        <v>0.26315789473684209</v>
      </c>
      <c r="H83" s="18">
        <f t="shared" si="122"/>
        <v>5.737704918032787E-2</v>
      </c>
      <c r="I83" s="18">
        <f t="shared" si="122"/>
        <v>0.28920863309352518</v>
      </c>
      <c r="J83" s="18">
        <f t="shared" si="122"/>
        <v>0.24899367452558943</v>
      </c>
      <c r="K83" s="19">
        <f t="shared" si="122"/>
        <v>0.33229329173166927</v>
      </c>
      <c r="L83" s="19">
        <f t="shared" si="122"/>
        <v>0.81111111111111112</v>
      </c>
      <c r="M83" s="19">
        <f t="shared" si="122"/>
        <v>0.3889739663093415</v>
      </c>
      <c r="N83" s="19">
        <f t="shared" si="122"/>
        <v>0.17402710975076519</v>
      </c>
      <c r="O83" s="19">
        <f t="shared" si="122"/>
        <v>0.29869451697127936</v>
      </c>
      <c r="P83" s="19">
        <f t="shared" si="122"/>
        <v>0.20603907637655416</v>
      </c>
      <c r="Q83" s="19">
        <f t="shared" si="122"/>
        <v>0.27691421991940124</v>
      </c>
      <c r="R83" s="19">
        <f t="shared" si="122"/>
        <v>0.32280701754385965</v>
      </c>
      <c r="S83" s="19">
        <f t="shared" si="122"/>
        <v>0.74626865671641796</v>
      </c>
      <c r="T83" s="19">
        <f t="shared" si="122"/>
        <v>0.22243589743589742</v>
      </c>
      <c r="U83" s="19">
        <f t="shared" ref="U83:V83" si="123">-U82/U80</f>
        <v>0.25988225399495374</v>
      </c>
      <c r="V83" s="19">
        <f t="shared" si="123"/>
        <v>0.33061699650756693</v>
      </c>
      <c r="W83" s="494">
        <f t="shared" ref="W83" si="124">-W82/W80</f>
        <v>0.29048592852273836</v>
      </c>
      <c r="X83" s="1635">
        <f t="shared" ref="X83:AB83" si="125">X34</f>
        <v>0.32</v>
      </c>
      <c r="Y83" s="495">
        <f t="shared" si="125"/>
        <v>0.25</v>
      </c>
      <c r="Z83" s="495">
        <f t="shared" si="125"/>
        <v>0.25</v>
      </c>
      <c r="AA83" s="495">
        <f t="shared" si="125"/>
        <v>0.25</v>
      </c>
      <c r="AB83" s="495">
        <f t="shared" si="125"/>
        <v>0.25</v>
      </c>
      <c r="AD83" s="468"/>
    </row>
    <row r="84" spans="1:31" x14ac:dyDescent="0.25">
      <c r="A84" s="197" t="s">
        <v>507</v>
      </c>
      <c r="B84" s="19">
        <v>0.35</v>
      </c>
      <c r="C84" s="19">
        <v>0.35</v>
      </c>
      <c r="D84" s="19">
        <v>0.35</v>
      </c>
      <c r="E84" s="19">
        <v>0.35</v>
      </c>
      <c r="F84" s="19">
        <v>0.35</v>
      </c>
      <c r="G84" s="19">
        <v>0.35</v>
      </c>
      <c r="H84" s="19">
        <v>0.35</v>
      </c>
      <c r="I84" s="19">
        <v>0.35</v>
      </c>
      <c r="J84" s="272">
        <v>0.36099999999999999</v>
      </c>
      <c r="K84" s="272">
        <v>0.38</v>
      </c>
      <c r="L84" s="272">
        <v>0.38</v>
      </c>
      <c r="M84" s="272">
        <v>0.38</v>
      </c>
      <c r="N84" s="272">
        <v>0.34429999999999999</v>
      </c>
      <c r="O84" s="272">
        <v>0.34429999999999999</v>
      </c>
      <c r="P84" s="272">
        <v>0.34429999999999999</v>
      </c>
      <c r="Q84" s="272">
        <v>0.34429999999999999</v>
      </c>
      <c r="R84" s="272">
        <v>0.32019999999999998</v>
      </c>
      <c r="S84" s="272">
        <v>0.28410000000000002</v>
      </c>
      <c r="T84" s="272">
        <v>0.25829999999999997</v>
      </c>
      <c r="U84" s="272">
        <v>0.25829999999999997</v>
      </c>
      <c r="V84" s="272">
        <v>0.25829999999999997</v>
      </c>
      <c r="W84" s="275">
        <v>0.25829999999999997</v>
      </c>
      <c r="X84" s="1635">
        <f t="shared" ref="X84:AB84" si="126">W84</f>
        <v>0.25829999999999997</v>
      </c>
      <c r="Y84" s="495">
        <f t="shared" si="126"/>
        <v>0.25829999999999997</v>
      </c>
      <c r="Z84" s="495">
        <f t="shared" si="126"/>
        <v>0.25829999999999997</v>
      </c>
      <c r="AA84" s="495">
        <f t="shared" si="126"/>
        <v>0.25829999999999997</v>
      </c>
      <c r="AB84" s="495">
        <f t="shared" si="126"/>
        <v>0.25829999999999997</v>
      </c>
      <c r="AD84" s="468"/>
    </row>
    <row r="85" spans="1:31" x14ac:dyDescent="0.25">
      <c r="A85" s="4" t="s">
        <v>508</v>
      </c>
      <c r="B85" s="32"/>
      <c r="C85" s="32"/>
      <c r="D85" s="32"/>
      <c r="E85" s="32"/>
      <c r="F85" s="32"/>
      <c r="G85" s="32"/>
      <c r="H85" s="32"/>
      <c r="I85" s="32"/>
      <c r="J85" s="24"/>
      <c r="K85" s="1343">
        <v>131</v>
      </c>
      <c r="L85" s="1343">
        <v>0</v>
      </c>
      <c r="M85" s="1343">
        <v>421</v>
      </c>
      <c r="N85" s="1343">
        <v>0</v>
      </c>
      <c r="O85" s="1343">
        <v>824</v>
      </c>
      <c r="P85" s="1343">
        <v>0</v>
      </c>
      <c r="Q85" s="1343">
        <v>0</v>
      </c>
      <c r="R85" s="1343">
        <v>0</v>
      </c>
      <c r="S85" s="1343">
        <v>0</v>
      </c>
      <c r="T85" s="1343">
        <v>0</v>
      </c>
      <c r="U85" s="1343">
        <v>0</v>
      </c>
      <c r="V85" s="1343">
        <v>0</v>
      </c>
      <c r="W85" s="1344">
        <v>0</v>
      </c>
      <c r="X85" s="1677">
        <v>0</v>
      </c>
      <c r="Y85" s="496">
        <v>0</v>
      </c>
      <c r="Z85" s="496">
        <v>0</v>
      </c>
      <c r="AA85" s="496">
        <v>0</v>
      </c>
      <c r="AB85" s="496">
        <v>0</v>
      </c>
      <c r="AD85" s="468"/>
    </row>
    <row r="86" spans="1:31" x14ac:dyDescent="0.25">
      <c r="A86" s="4" t="s">
        <v>509</v>
      </c>
      <c r="B86" s="1459">
        <v>0</v>
      </c>
      <c r="C86" s="1459">
        <v>0</v>
      </c>
      <c r="D86" s="1459">
        <v>0</v>
      </c>
      <c r="E86" s="1343">
        <v>-96</v>
      </c>
      <c r="F86" s="1460">
        <v>-233</v>
      </c>
      <c r="G86" s="1460">
        <v>-4</v>
      </c>
      <c r="H86" s="1459">
        <v>-5</v>
      </c>
      <c r="I86" s="1459">
        <v>3</v>
      </c>
      <c r="J86" s="1459">
        <v>0</v>
      </c>
      <c r="K86" s="1461">
        <f>J86</f>
        <v>0</v>
      </c>
      <c r="L86" s="1461">
        <f>K86</f>
        <v>0</v>
      </c>
      <c r="M86" s="1461">
        <f>L86</f>
        <v>0</v>
      </c>
      <c r="N86" s="1343">
        <v>74</v>
      </c>
      <c r="O86" s="1343">
        <v>-1</v>
      </c>
      <c r="P86" s="1343">
        <v>0</v>
      </c>
      <c r="Q86" s="1343">
        <f>P86</f>
        <v>0</v>
      </c>
      <c r="R86" s="1343">
        <f>Q86</f>
        <v>0</v>
      </c>
      <c r="S86" s="1343">
        <v>0</v>
      </c>
      <c r="T86" s="1343">
        <v>0</v>
      </c>
      <c r="U86" s="1343">
        <v>0</v>
      </c>
      <c r="V86" s="1343">
        <v>0</v>
      </c>
      <c r="W86" s="1344">
        <v>0</v>
      </c>
      <c r="X86" s="1678">
        <f t="shared" ref="X86:AB86" si="127">W86</f>
        <v>0</v>
      </c>
      <c r="Y86" s="497">
        <f t="shared" si="127"/>
        <v>0</v>
      </c>
      <c r="Z86" s="497">
        <f t="shared" si="127"/>
        <v>0</v>
      </c>
      <c r="AA86" s="497">
        <f t="shared" si="127"/>
        <v>0</v>
      </c>
      <c r="AB86" s="497">
        <f t="shared" si="127"/>
        <v>0</v>
      </c>
      <c r="AD86" s="468"/>
    </row>
    <row r="87" spans="1:31" x14ac:dyDescent="0.25">
      <c r="A87" s="4" t="s">
        <v>510</v>
      </c>
      <c r="B87" s="1343">
        <f t="shared" ref="B87:AB87" si="128">B80+B82+B85+B86</f>
        <v>154</v>
      </c>
      <c r="C87" s="1343">
        <f t="shared" si="128"/>
        <v>-304</v>
      </c>
      <c r="D87" s="1343">
        <f t="shared" si="128"/>
        <v>21</v>
      </c>
      <c r="E87" s="1343">
        <f t="shared" si="128"/>
        <v>46</v>
      </c>
      <c r="F87" s="1343">
        <f t="shared" si="128"/>
        <v>-194</v>
      </c>
      <c r="G87" s="1343">
        <f t="shared" si="128"/>
        <v>654</v>
      </c>
      <c r="H87" s="1343">
        <f t="shared" si="128"/>
        <v>225</v>
      </c>
      <c r="I87" s="1343">
        <f t="shared" si="128"/>
        <v>497</v>
      </c>
      <c r="J87" s="1343">
        <f t="shared" si="128"/>
        <v>1306</v>
      </c>
      <c r="K87" s="1343">
        <f t="shared" si="128"/>
        <v>1415</v>
      </c>
      <c r="L87" s="1343">
        <f t="shared" si="128"/>
        <v>-68</v>
      </c>
      <c r="M87" s="1343">
        <f t="shared" si="128"/>
        <v>-377</v>
      </c>
      <c r="N87" s="1343">
        <f t="shared" si="128"/>
        <v>1963</v>
      </c>
      <c r="O87" s="1343">
        <f t="shared" si="128"/>
        <v>4852</v>
      </c>
      <c r="P87" s="1343">
        <f t="shared" si="128"/>
        <v>1341</v>
      </c>
      <c r="Q87" s="1343">
        <f t="shared" si="128"/>
        <v>2512</v>
      </c>
      <c r="R87" s="1343">
        <f t="shared" si="128"/>
        <v>386</v>
      </c>
      <c r="S87" s="1343">
        <f t="shared" si="128"/>
        <v>68</v>
      </c>
      <c r="T87" s="1343">
        <f t="shared" si="128"/>
        <v>-2426</v>
      </c>
      <c r="U87" s="1343">
        <f t="shared" ref="U87" si="129">U80+U82+U85+U86</f>
        <v>3520</v>
      </c>
      <c r="V87" s="1343">
        <f>V80+V82+V85+V86</f>
        <v>-575</v>
      </c>
      <c r="W87" s="1344">
        <f>W80+W82+W85+W86</f>
        <v>7286</v>
      </c>
      <c r="X87" s="1615">
        <f t="shared" si="128"/>
        <v>4545.8338817892572</v>
      </c>
      <c r="Y87" s="146">
        <f t="shared" si="128"/>
        <v>5692.4562241850854</v>
      </c>
      <c r="Z87" s="146">
        <f t="shared" si="128"/>
        <v>6296.4846094463228</v>
      </c>
      <c r="AA87" s="146">
        <f t="shared" si="128"/>
        <v>6774.0749160723235</v>
      </c>
      <c r="AB87" s="146">
        <f t="shared" si="128"/>
        <v>7139.1905087787327</v>
      </c>
      <c r="AD87" s="468"/>
    </row>
    <row r="88" spans="1:31" x14ac:dyDescent="0.25">
      <c r="A88" s="4" t="s">
        <v>511</v>
      </c>
      <c r="B88" s="1459">
        <v>0</v>
      </c>
      <c r="C88" s="1343">
        <v>2</v>
      </c>
      <c r="D88" s="1343">
        <v>-12</v>
      </c>
      <c r="E88" s="1343">
        <v>-7</v>
      </c>
      <c r="F88" s="1343">
        <v>-11</v>
      </c>
      <c r="G88" s="1343">
        <v>-13</v>
      </c>
      <c r="H88" s="1343">
        <v>-18</v>
      </c>
      <c r="I88" s="1343">
        <v>-19</v>
      </c>
      <c r="J88" s="1343">
        <v>-24</v>
      </c>
      <c r="K88" s="1343">
        <v>-29</v>
      </c>
      <c r="L88" s="1343">
        <v>-58</v>
      </c>
      <c r="M88" s="1343">
        <v>-47</v>
      </c>
      <c r="N88" s="1343">
        <v>-55</v>
      </c>
      <c r="O88" s="1343">
        <v>-62</v>
      </c>
      <c r="P88" s="1343">
        <v>-58</v>
      </c>
      <c r="Q88" s="1343">
        <v>-65</v>
      </c>
      <c r="R88" s="1343">
        <v>-34</v>
      </c>
      <c r="S88" s="1343">
        <v>-25</v>
      </c>
      <c r="T88" s="1343">
        <v>-33</v>
      </c>
      <c r="U88" s="1343">
        <v>-76</v>
      </c>
      <c r="V88" s="1343">
        <v>-92</v>
      </c>
      <c r="W88" s="1344">
        <v>-109</v>
      </c>
      <c r="X88" s="1615">
        <f t="shared" ref="X88:AB88" si="130">W88</f>
        <v>-109</v>
      </c>
      <c r="Y88" s="491">
        <f t="shared" si="130"/>
        <v>-109</v>
      </c>
      <c r="Z88" s="491">
        <f t="shared" si="130"/>
        <v>-109</v>
      </c>
      <c r="AA88" s="491">
        <f t="shared" si="130"/>
        <v>-109</v>
      </c>
      <c r="AB88" s="491">
        <f t="shared" si="130"/>
        <v>-109</v>
      </c>
      <c r="AD88" s="468"/>
    </row>
    <row r="89" spans="1:31" x14ac:dyDescent="0.25">
      <c r="A89" s="186" t="s">
        <v>483</v>
      </c>
      <c r="B89" s="141">
        <f t="shared" ref="B89:AB89" si="131">B88+B87</f>
        <v>154</v>
      </c>
      <c r="C89" s="141">
        <f t="shared" si="131"/>
        <v>-302</v>
      </c>
      <c r="D89" s="141">
        <f t="shared" si="131"/>
        <v>9</v>
      </c>
      <c r="E89" s="141">
        <f t="shared" si="131"/>
        <v>39</v>
      </c>
      <c r="F89" s="141">
        <f t="shared" si="131"/>
        <v>-205</v>
      </c>
      <c r="G89" s="141">
        <f t="shared" si="131"/>
        <v>641</v>
      </c>
      <c r="H89" s="141">
        <f t="shared" si="131"/>
        <v>207</v>
      </c>
      <c r="I89" s="141">
        <f t="shared" si="131"/>
        <v>478</v>
      </c>
      <c r="J89" s="141">
        <f t="shared" si="131"/>
        <v>1282</v>
      </c>
      <c r="K89" s="141">
        <f t="shared" si="131"/>
        <v>1386</v>
      </c>
      <c r="L89" s="141">
        <f t="shared" si="131"/>
        <v>-126</v>
      </c>
      <c r="M89" s="141">
        <f t="shared" si="131"/>
        <v>-424</v>
      </c>
      <c r="N89" s="141">
        <f t="shared" si="131"/>
        <v>1908</v>
      </c>
      <c r="O89" s="141">
        <f t="shared" si="131"/>
        <v>4790</v>
      </c>
      <c r="P89" s="141">
        <f t="shared" si="131"/>
        <v>1283</v>
      </c>
      <c r="Q89" s="141">
        <f t="shared" si="131"/>
        <v>2447</v>
      </c>
      <c r="R89" s="141">
        <f t="shared" si="131"/>
        <v>352</v>
      </c>
      <c r="S89" s="141">
        <f t="shared" si="131"/>
        <v>43</v>
      </c>
      <c r="T89" s="141">
        <f t="shared" si="131"/>
        <v>-2459</v>
      </c>
      <c r="U89" s="141">
        <f t="shared" ref="U89:V89" si="132">U88+U87</f>
        <v>3444</v>
      </c>
      <c r="V89" s="141">
        <f t="shared" si="132"/>
        <v>-667</v>
      </c>
      <c r="W89" s="144">
        <f t="shared" ref="W89" si="133">W88+W87</f>
        <v>7177</v>
      </c>
      <c r="X89" s="1616">
        <f t="shared" si="131"/>
        <v>4436.8338817892572</v>
      </c>
      <c r="Y89" s="149">
        <f t="shared" si="131"/>
        <v>5583.4562241850854</v>
      </c>
      <c r="Z89" s="149">
        <f t="shared" si="131"/>
        <v>6187.4846094463228</v>
      </c>
      <c r="AA89" s="149">
        <f t="shared" si="131"/>
        <v>6665.0749160723235</v>
      </c>
      <c r="AB89" s="149">
        <f t="shared" si="131"/>
        <v>7030.1905087787327</v>
      </c>
      <c r="AD89" s="468"/>
    </row>
    <row r="90" spans="1:31" x14ac:dyDescent="0.25">
      <c r="A90" s="4" t="s">
        <v>16</v>
      </c>
      <c r="B90" s="1462">
        <f>+B89/B94</f>
        <v>0.88763380798667424</v>
      </c>
      <c r="C90" s="1462">
        <f>+C89/C94</f>
        <v>-0.86090993185379061</v>
      </c>
      <c r="D90" s="1462">
        <f t="shared" ref="D90:AB90" si="134">D89/D94</f>
        <v>2.1967616998795882E-2</v>
      </c>
      <c r="E90" s="1462">
        <f t="shared" si="134"/>
        <v>9.4942715813356157E-2</v>
      </c>
      <c r="F90" s="1462">
        <f t="shared" si="134"/>
        <v>-0.50573029178550777</v>
      </c>
      <c r="G90" s="1462">
        <f t="shared" si="134"/>
        <v>1.6054428248612553</v>
      </c>
      <c r="H90" s="1462">
        <f t="shared" si="134"/>
        <v>0.51807905696196643</v>
      </c>
      <c r="I90" s="1462">
        <f t="shared" si="134"/>
        <v>1.1810183372615783</v>
      </c>
      <c r="J90" s="1462">
        <f t="shared" si="134"/>
        <v>3.087067641307379</v>
      </c>
      <c r="K90" s="1462">
        <f t="shared" si="134"/>
        <v>3.3293879045729975</v>
      </c>
      <c r="L90" s="1462">
        <f t="shared" si="134"/>
        <v>-0.30258394586410109</v>
      </c>
      <c r="M90" s="1462">
        <f t="shared" si="134"/>
        <v>-1.0154009721089685</v>
      </c>
      <c r="N90" s="1462">
        <f t="shared" si="134"/>
        <v>4.582956726622486</v>
      </c>
      <c r="O90" s="1462">
        <f t="shared" si="134"/>
        <v>11.676062358295049</v>
      </c>
      <c r="P90" s="1462">
        <f t="shared" si="134"/>
        <v>2.9774073725201453</v>
      </c>
      <c r="Q90" s="1462">
        <f t="shared" si="134"/>
        <v>5.6943609760187774</v>
      </c>
      <c r="R90" s="1462">
        <f t="shared" si="134"/>
        <v>0.82622177803621411</v>
      </c>
      <c r="S90" s="1462">
        <f t="shared" si="134"/>
        <v>0.10078508652604765</v>
      </c>
      <c r="T90" s="1462">
        <f t="shared" si="134"/>
        <v>-5.7630922791046517</v>
      </c>
      <c r="U90" s="1462">
        <f t="shared" ref="U90:V90" si="135">U89/U94</f>
        <v>8.2432674979652472</v>
      </c>
      <c r="V90" s="1462">
        <f t="shared" si="135"/>
        <v>-1.6027892666369223</v>
      </c>
      <c r="W90" s="1463">
        <f t="shared" ref="W90" si="136">W89/W94</f>
        <v>17.174660187131863</v>
      </c>
      <c r="X90" s="1679">
        <f t="shared" si="134"/>
        <v>10.68863122320985</v>
      </c>
      <c r="Y90" s="499">
        <f t="shared" si="134"/>
        <v>13.56963951102963</v>
      </c>
      <c r="Z90" s="499">
        <f t="shared" si="134"/>
        <v>15.171531705582371</v>
      </c>
      <c r="AA90" s="499">
        <f t="shared" si="134"/>
        <v>16.415656633772866</v>
      </c>
      <c r="AB90" s="499">
        <f t="shared" si="134"/>
        <v>17.314913172818169</v>
      </c>
      <c r="AD90" s="468"/>
    </row>
    <row r="91" spans="1:31" x14ac:dyDescent="0.25">
      <c r="A91" s="186" t="s">
        <v>512</v>
      </c>
      <c r="B91" s="500">
        <f>+B89/B95</f>
        <v>0.88183950208409889</v>
      </c>
      <c r="C91" s="500">
        <f>+C89/C95</f>
        <v>-0.85841703714278417</v>
      </c>
      <c r="D91" s="500">
        <f t="shared" ref="D91:AB91" si="137">D89/D95</f>
        <v>2.1908504447638186E-2</v>
      </c>
      <c r="E91" s="500">
        <f t="shared" si="137"/>
        <v>9.4887764513755107E-2</v>
      </c>
      <c r="F91" s="500">
        <f t="shared" si="137"/>
        <v>-0.50573029178550777</v>
      </c>
      <c r="G91" s="500">
        <f t="shared" si="137"/>
        <v>1.5981795652676825</v>
      </c>
      <c r="H91" s="500">
        <f t="shared" si="137"/>
        <v>0.51298119736561998</v>
      </c>
      <c r="I91" s="500">
        <f t="shared" si="137"/>
        <v>1.1763558826793996</v>
      </c>
      <c r="J91" s="500">
        <f t="shared" si="137"/>
        <v>3.0823243760033256</v>
      </c>
      <c r="K91" s="500">
        <f t="shared" si="137"/>
        <v>3.3283286013393774</v>
      </c>
      <c r="L91" s="500">
        <f t="shared" si="137"/>
        <v>-0.30258394586410109</v>
      </c>
      <c r="M91" s="500">
        <f t="shared" si="137"/>
        <v>-1.0154009721089685</v>
      </c>
      <c r="N91" s="500">
        <f t="shared" si="137"/>
        <v>4.5040478217702384</v>
      </c>
      <c r="O91" s="500">
        <f t="shared" si="137"/>
        <v>11.472552452366106</v>
      </c>
      <c r="P91" s="500">
        <f t="shared" si="137"/>
        <v>2.940397044952765</v>
      </c>
      <c r="Q91" s="500">
        <f t="shared" si="137"/>
        <v>5.6255882541653088</v>
      </c>
      <c r="R91" s="500">
        <f t="shared" si="137"/>
        <v>0.7991636117105122</v>
      </c>
      <c r="S91" s="500">
        <f t="shared" si="137"/>
        <v>9.7707946761593834E-2</v>
      </c>
      <c r="T91" s="500">
        <f t="shared" si="137"/>
        <v>-5.5866057721033489</v>
      </c>
      <c r="U91" s="500">
        <f t="shared" ref="U91:V91" si="138">U89/U95</f>
        <v>7.9837994521875668</v>
      </c>
      <c r="V91" s="500">
        <f t="shared" si="138"/>
        <v>-1.5853685815452738</v>
      </c>
      <c r="W91" s="501">
        <f t="shared" ref="W91" si="139">W89/W95</f>
        <v>17.174660187131863</v>
      </c>
      <c r="X91" s="1680">
        <f t="shared" si="137"/>
        <v>10.68863122320985</v>
      </c>
      <c r="Y91" s="502">
        <f t="shared" si="137"/>
        <v>13.56963951102963</v>
      </c>
      <c r="Z91" s="502">
        <f t="shared" si="137"/>
        <v>15.171531705582371</v>
      </c>
      <c r="AA91" s="502">
        <f t="shared" si="137"/>
        <v>16.415656633772866</v>
      </c>
      <c r="AB91" s="502">
        <f t="shared" si="137"/>
        <v>17.314913172818169</v>
      </c>
      <c r="AD91" s="468"/>
    </row>
    <row r="92" spans="1:31" x14ac:dyDescent="0.25">
      <c r="A92" s="186"/>
      <c r="B92" s="500"/>
      <c r="C92" s="500"/>
      <c r="D92" s="500"/>
      <c r="E92" s="500"/>
      <c r="F92" s="500"/>
      <c r="G92" s="500"/>
      <c r="H92" s="500"/>
      <c r="I92" s="500"/>
      <c r="J92" s="500"/>
      <c r="K92" s="500"/>
      <c r="L92" s="500"/>
      <c r="M92" s="500"/>
      <c r="N92" s="500"/>
      <c r="O92" s="500"/>
      <c r="P92" s="500"/>
      <c r="Q92" s="500"/>
      <c r="R92" s="500"/>
      <c r="S92" s="500"/>
      <c r="T92" s="500"/>
      <c r="U92" s="500"/>
      <c r="V92" s="500"/>
      <c r="W92" s="501"/>
      <c r="X92" s="1681"/>
      <c r="Y92" s="500"/>
      <c r="Z92" s="500"/>
      <c r="AA92" s="500"/>
      <c r="AB92" s="500"/>
      <c r="AD92" s="468"/>
    </row>
    <row r="93" spans="1:31" x14ac:dyDescent="0.25">
      <c r="A93" s="4" t="s">
        <v>513</v>
      </c>
      <c r="B93" s="1343">
        <f t="shared" ref="B93:N93" si="140">B94</f>
        <v>173.494969</v>
      </c>
      <c r="C93" s="1343">
        <f t="shared" si="140"/>
        <v>350.79163199999999</v>
      </c>
      <c r="D93" s="1343">
        <f t="shared" si="140"/>
        <v>409.69396</v>
      </c>
      <c r="E93" s="1343">
        <f t="shared" si="140"/>
        <v>410.77400899999998</v>
      </c>
      <c r="F93" s="1343">
        <f t="shared" si="140"/>
        <v>405.35440199999999</v>
      </c>
      <c r="G93" s="1343">
        <f t="shared" si="140"/>
        <v>399.26678800000002</v>
      </c>
      <c r="H93" s="1343">
        <f t="shared" si="140"/>
        <v>399.55291999999997</v>
      </c>
      <c r="I93" s="1343">
        <f t="shared" si="140"/>
        <v>404.73545999999999</v>
      </c>
      <c r="J93" s="1343">
        <f t="shared" si="140"/>
        <v>415.28082599999999</v>
      </c>
      <c r="K93" s="1343">
        <f t="shared" si="140"/>
        <v>416.29273599999999</v>
      </c>
      <c r="L93" s="1343">
        <f t="shared" si="140"/>
        <v>416.41336799999999</v>
      </c>
      <c r="M93" s="1343">
        <f t="shared" si="140"/>
        <v>417.569031</v>
      </c>
      <c r="N93" s="1343">
        <f t="shared" si="140"/>
        <v>416.32511799999997</v>
      </c>
      <c r="O93" s="1343">
        <v>409.28696100000002</v>
      </c>
      <c r="P93" s="1343">
        <v>434.32822800000002</v>
      </c>
      <c r="Q93" s="1343">
        <v>424.68407300000001</v>
      </c>
      <c r="R93" s="1343">
        <v>426.91665499999999</v>
      </c>
      <c r="S93" s="1343">
        <v>426.78627499999999</v>
      </c>
      <c r="T93" s="1343">
        <v>424.55878100000001</v>
      </c>
      <c r="U93" s="1343">
        <v>413.52711599999998</v>
      </c>
      <c r="V93" s="1343">
        <v>416.77512000000002</v>
      </c>
      <c r="W93" s="1343">
        <v>416.91422</v>
      </c>
      <c r="X93" s="1615">
        <f t="shared" ref="X93:AB93" si="141">W93+(X107/X105)</f>
        <v>413.28261047065661</v>
      </c>
      <c r="Y93" s="146">
        <f t="shared" si="141"/>
        <v>409.65100094131321</v>
      </c>
      <c r="Z93" s="146">
        <f t="shared" si="141"/>
        <v>406.01939141196982</v>
      </c>
      <c r="AA93" s="146">
        <f t="shared" si="141"/>
        <v>406.01939141196982</v>
      </c>
      <c r="AB93" s="146">
        <f t="shared" si="141"/>
        <v>406.01939141196982</v>
      </c>
      <c r="AC93" s="508"/>
      <c r="AD93" s="468"/>
    </row>
    <row r="94" spans="1:31" x14ac:dyDescent="0.25">
      <c r="A94" s="174" t="s">
        <v>514</v>
      </c>
      <c r="B94" s="1591">
        <v>173.494969</v>
      </c>
      <c r="C94" s="1591">
        <v>350.79163199999999</v>
      </c>
      <c r="D94" s="1591">
        <v>409.69396</v>
      </c>
      <c r="E94" s="1591">
        <v>410.77400899999998</v>
      </c>
      <c r="F94" s="1591">
        <v>405.35440199999999</v>
      </c>
      <c r="G94" s="1591">
        <v>399.26678800000002</v>
      </c>
      <c r="H94" s="1591">
        <v>399.55291999999997</v>
      </c>
      <c r="I94" s="1591">
        <v>404.73545999999999</v>
      </c>
      <c r="J94" s="1591">
        <v>415.28082599999999</v>
      </c>
      <c r="K94" s="1591">
        <v>416.29273599999999</v>
      </c>
      <c r="L94" s="1591">
        <v>416.41336799999999</v>
      </c>
      <c r="M94" s="1591">
        <v>417.569031</v>
      </c>
      <c r="N94" s="1591">
        <v>416.32511799999997</v>
      </c>
      <c r="O94" s="1591">
        <v>410.24104299999999</v>
      </c>
      <c r="P94" s="1591">
        <v>430.91181</v>
      </c>
      <c r="Q94" s="1591">
        <v>429.72337199999998</v>
      </c>
      <c r="R94" s="1591">
        <v>426.035732</v>
      </c>
      <c r="S94" s="1591">
        <v>426.65042499999998</v>
      </c>
      <c r="T94" s="1591">
        <v>426.680657</v>
      </c>
      <c r="U94" s="1591">
        <v>417.79549200000002</v>
      </c>
      <c r="V94" s="1591">
        <v>416.14953000000003</v>
      </c>
      <c r="W94" s="1591">
        <v>417.88308599999999</v>
      </c>
      <c r="X94" s="1682">
        <f t="shared" ref="X94:AB94" si="142">AVERAGE(W93,X93)</f>
        <v>415.09841523532828</v>
      </c>
      <c r="Y94" s="1592">
        <f t="shared" si="142"/>
        <v>411.46680570598494</v>
      </c>
      <c r="Z94" s="1592">
        <f t="shared" si="142"/>
        <v>407.83519617664149</v>
      </c>
      <c r="AA94" s="1592">
        <f t="shared" si="142"/>
        <v>406.01939141196982</v>
      </c>
      <c r="AB94" s="1592">
        <f t="shared" si="142"/>
        <v>406.01939141196982</v>
      </c>
      <c r="AC94" s="146"/>
      <c r="AD94" s="468"/>
    </row>
    <row r="95" spans="1:31" x14ac:dyDescent="0.25">
      <c r="A95" s="4" t="s">
        <v>515</v>
      </c>
      <c r="B95" s="1343">
        <v>174.634953</v>
      </c>
      <c r="C95" s="1343">
        <v>351.81035200000002</v>
      </c>
      <c r="D95" s="1343">
        <v>410.79937799999999</v>
      </c>
      <c r="E95" s="1343">
        <v>411.01189599999998</v>
      </c>
      <c r="F95" s="1343">
        <v>405.35440199999999</v>
      </c>
      <c r="G95" s="1343">
        <v>401.08133900000001</v>
      </c>
      <c r="H95" s="1343">
        <v>403.52356200000003</v>
      </c>
      <c r="I95" s="1343">
        <v>406.33961799999997</v>
      </c>
      <c r="J95" s="1343">
        <v>415.91988500000002</v>
      </c>
      <c r="K95" s="1343">
        <v>416.425229</v>
      </c>
      <c r="L95" s="1343">
        <v>416.41336799999999</v>
      </c>
      <c r="M95" s="1343">
        <v>417.569031</v>
      </c>
      <c r="N95" s="1343">
        <v>423.61894799999999</v>
      </c>
      <c r="O95" s="1343">
        <v>417.51824800000003</v>
      </c>
      <c r="P95" s="1343">
        <v>436.33563099999998</v>
      </c>
      <c r="Q95" s="1343">
        <v>434.97673300000002</v>
      </c>
      <c r="R95" s="1343">
        <v>440.46049499999998</v>
      </c>
      <c r="S95" s="1343">
        <v>440.08702899999997</v>
      </c>
      <c r="T95" s="1343">
        <v>440.15992899999998</v>
      </c>
      <c r="U95" s="1343">
        <v>431.373561</v>
      </c>
      <c r="V95" s="1343">
        <v>420.722353</v>
      </c>
      <c r="W95" s="1343">
        <v>417.88308599999999</v>
      </c>
      <c r="X95" s="1615">
        <f t="shared" ref="X95:AB95" si="143">W95-W94+X94</f>
        <v>415.09841523532828</v>
      </c>
      <c r="Y95" s="146">
        <f t="shared" si="143"/>
        <v>411.46680570598494</v>
      </c>
      <c r="Z95" s="146">
        <f t="shared" si="143"/>
        <v>407.83519617664149</v>
      </c>
      <c r="AA95" s="146">
        <f t="shared" si="143"/>
        <v>406.01939141196982</v>
      </c>
      <c r="AB95" s="146">
        <f t="shared" si="143"/>
        <v>406.01939141196982</v>
      </c>
      <c r="AD95" s="468"/>
    </row>
    <row r="96" spans="1:31" x14ac:dyDescent="0.25">
      <c r="B96" s="1345"/>
      <c r="C96" s="31"/>
      <c r="D96" s="1464"/>
      <c r="E96" s="1464"/>
      <c r="F96" s="1464"/>
      <c r="G96" s="1464"/>
      <c r="H96" s="31"/>
      <c r="I96" s="31"/>
      <c r="J96" s="1464"/>
      <c r="K96" s="1465"/>
      <c r="L96" s="32"/>
      <c r="M96" s="1343"/>
      <c r="N96" s="1465"/>
      <c r="O96" s="1465"/>
      <c r="P96" s="1465"/>
      <c r="Q96" s="1465"/>
      <c r="R96" s="1465"/>
      <c r="S96" s="1465"/>
      <c r="T96" s="1465"/>
      <c r="U96" s="1465"/>
      <c r="V96" s="1465"/>
      <c r="W96" s="1465"/>
      <c r="X96" s="1683"/>
      <c r="Y96" s="505"/>
      <c r="Z96" s="505"/>
      <c r="AA96" s="505"/>
      <c r="AB96" s="505"/>
    </row>
    <row r="97" spans="1:37" s="444" customFormat="1" x14ac:dyDescent="0.25">
      <c r="A97" s="186" t="s">
        <v>516</v>
      </c>
      <c r="B97" s="506">
        <f t="shared" ref="B97:AB97" si="144">B63</f>
        <v>2004</v>
      </c>
      <c r="C97" s="506">
        <f t="shared" si="144"/>
        <v>2005</v>
      </c>
      <c r="D97" s="506">
        <f t="shared" si="144"/>
        <v>2006</v>
      </c>
      <c r="E97" s="506">
        <f t="shared" si="144"/>
        <v>2007</v>
      </c>
      <c r="F97" s="506">
        <f t="shared" si="144"/>
        <v>2008</v>
      </c>
      <c r="G97" s="506">
        <f t="shared" si="144"/>
        <v>2009</v>
      </c>
      <c r="H97" s="506">
        <f t="shared" si="144"/>
        <v>2010</v>
      </c>
      <c r="I97" s="506">
        <f t="shared" si="144"/>
        <v>2011</v>
      </c>
      <c r="J97" s="506">
        <f t="shared" si="144"/>
        <v>2012</v>
      </c>
      <c r="K97" s="506">
        <f t="shared" si="144"/>
        <v>2013</v>
      </c>
      <c r="L97" s="506">
        <f t="shared" si="144"/>
        <v>2014</v>
      </c>
      <c r="M97" s="506">
        <f t="shared" si="144"/>
        <v>2015</v>
      </c>
      <c r="N97" s="506">
        <f t="shared" si="144"/>
        <v>2016</v>
      </c>
      <c r="O97" s="506">
        <f t="shared" si="144"/>
        <v>2017</v>
      </c>
      <c r="P97" s="506">
        <f t="shared" si="144"/>
        <v>2018</v>
      </c>
      <c r="Q97" s="506">
        <f t="shared" si="144"/>
        <v>2019</v>
      </c>
      <c r="R97" s="506">
        <f t="shared" si="144"/>
        <v>2020</v>
      </c>
      <c r="S97" s="506">
        <f t="shared" si="144"/>
        <v>2021</v>
      </c>
      <c r="T97" s="506">
        <f t="shared" si="144"/>
        <v>2022</v>
      </c>
      <c r="U97" s="506">
        <f t="shared" si="144"/>
        <v>2023</v>
      </c>
      <c r="V97" s="506">
        <f t="shared" si="144"/>
        <v>2024</v>
      </c>
      <c r="W97" s="506">
        <f t="shared" ref="W97" si="145">W63</f>
        <v>2025</v>
      </c>
      <c r="X97" s="1684">
        <f t="shared" si="144"/>
        <v>2026</v>
      </c>
      <c r="Y97" s="507">
        <f t="shared" si="144"/>
        <v>2027</v>
      </c>
      <c r="Z97" s="507">
        <f t="shared" si="144"/>
        <v>2028</v>
      </c>
      <c r="AA97" s="507">
        <f t="shared" si="144"/>
        <v>2029</v>
      </c>
      <c r="AB97" s="507">
        <f t="shared" si="144"/>
        <v>2030</v>
      </c>
      <c r="AD97" s="489"/>
      <c r="AE97" s="489"/>
      <c r="AF97"/>
      <c r="AG97"/>
      <c r="AH97"/>
      <c r="AI97"/>
      <c r="AJ97"/>
      <c r="AK97"/>
    </row>
    <row r="98" spans="1:37" x14ac:dyDescent="0.25">
      <c r="A98" s="4" t="s">
        <v>445</v>
      </c>
      <c r="B98" s="1345">
        <f t="shared" ref="B98:K98" si="146">B99*B102</f>
        <v>38.419689659999996</v>
      </c>
      <c r="C98" s="1345">
        <f t="shared" si="146"/>
        <v>126.65172672</v>
      </c>
      <c r="D98" s="1345">
        <f t="shared" si="146"/>
        <v>90.375863159999994</v>
      </c>
      <c r="E98" s="1345">
        <f t="shared" si="146"/>
        <v>164.40475839999999</v>
      </c>
      <c r="F98" s="1345">
        <f t="shared" si="146"/>
        <v>101.3386005</v>
      </c>
      <c r="G98" s="1345">
        <f t="shared" si="146"/>
        <v>152.41090882</v>
      </c>
      <c r="H98" s="1345">
        <f t="shared" si="146"/>
        <v>201.76178100000001</v>
      </c>
      <c r="I98" s="1345">
        <f t="shared" si="146"/>
        <v>251.93056315999999</v>
      </c>
      <c r="J98" s="1345">
        <f t="shared" si="146"/>
        <v>399.28308959999998</v>
      </c>
      <c r="K98" s="1343">
        <f t="shared" si="146"/>
        <v>466.39625648000003</v>
      </c>
      <c r="L98" s="1343">
        <f t="shared" ref="L98:AB98" si="147">L99*(K101+L100)</f>
        <v>499.69604160000006</v>
      </c>
      <c r="M98" s="1343">
        <f t="shared" si="147"/>
        <v>517.78559843999994</v>
      </c>
      <c r="N98" s="1343">
        <f t="shared" si="147"/>
        <v>622.71985355999993</v>
      </c>
      <c r="O98" s="1343">
        <f t="shared" si="147"/>
        <v>346.54014584000004</v>
      </c>
      <c r="P98" s="1343">
        <f t="shared" si="147"/>
        <v>698.13700960000006</v>
      </c>
      <c r="Q98" s="1343">
        <f t="shared" si="147"/>
        <v>791.65765406000003</v>
      </c>
      <c r="R98" s="1343">
        <f t="shared" si="147"/>
        <v>0</v>
      </c>
      <c r="S98" s="1343">
        <f t="shared" si="147"/>
        <v>189.23742246999998</v>
      </c>
      <c r="T98" s="1343">
        <f t="shared" si="147"/>
        <v>220.07996449999999</v>
      </c>
      <c r="U98" s="1343">
        <f t="shared" si="147"/>
        <v>582.35430735</v>
      </c>
      <c r="V98" s="1343">
        <f t="shared" si="147"/>
        <v>925.58917660000009</v>
      </c>
      <c r="W98" s="1343">
        <f t="shared" si="147"/>
        <v>1211.8609494</v>
      </c>
      <c r="X98" s="1615">
        <f t="shared" si="147"/>
        <v>1390.5796910383497</v>
      </c>
      <c r="Y98" s="146">
        <f t="shared" si="147"/>
        <v>1711.0081799562354</v>
      </c>
      <c r="Z98" s="146">
        <f t="shared" si="147"/>
        <v>2277.3119364563263</v>
      </c>
      <c r="AA98" s="146">
        <f t="shared" si="147"/>
        <v>2525.4379500585869</v>
      </c>
      <c r="AB98" s="146">
        <f t="shared" si="147"/>
        <v>2725.1752864289297</v>
      </c>
    </row>
    <row r="99" spans="1:37" x14ac:dyDescent="0.25">
      <c r="A99" s="4" t="s">
        <v>517</v>
      </c>
      <c r="B99" s="1345">
        <f t="shared" ref="B99:AB99" si="148">B95</f>
        <v>174.634953</v>
      </c>
      <c r="C99" s="1345">
        <f t="shared" si="148"/>
        <v>351.81035200000002</v>
      </c>
      <c r="D99" s="1345">
        <f t="shared" si="148"/>
        <v>410.79937799999999</v>
      </c>
      <c r="E99" s="1345">
        <f t="shared" si="148"/>
        <v>411.01189599999998</v>
      </c>
      <c r="F99" s="1345">
        <f t="shared" si="148"/>
        <v>405.35440199999999</v>
      </c>
      <c r="G99" s="1345">
        <f t="shared" si="148"/>
        <v>401.08133900000001</v>
      </c>
      <c r="H99" s="1345">
        <f t="shared" si="148"/>
        <v>403.52356200000003</v>
      </c>
      <c r="I99" s="1345">
        <f t="shared" si="148"/>
        <v>406.33961799999997</v>
      </c>
      <c r="J99" s="1345">
        <f t="shared" si="148"/>
        <v>415.91988500000002</v>
      </c>
      <c r="K99" s="1343">
        <f t="shared" si="148"/>
        <v>416.425229</v>
      </c>
      <c r="L99" s="1343">
        <f t="shared" si="148"/>
        <v>416.41336799999999</v>
      </c>
      <c r="M99" s="1343">
        <f t="shared" si="148"/>
        <v>417.569031</v>
      </c>
      <c r="N99" s="1343">
        <f t="shared" si="148"/>
        <v>423.61894799999999</v>
      </c>
      <c r="O99" s="1343">
        <f t="shared" si="148"/>
        <v>417.51824800000003</v>
      </c>
      <c r="P99" s="1343">
        <f t="shared" si="148"/>
        <v>436.33563099999998</v>
      </c>
      <c r="Q99" s="1343">
        <f t="shared" si="148"/>
        <v>434.97673300000002</v>
      </c>
      <c r="R99" s="1343">
        <f t="shared" si="148"/>
        <v>440.46049499999998</v>
      </c>
      <c r="S99" s="1343">
        <f t="shared" si="148"/>
        <v>440.08702899999997</v>
      </c>
      <c r="T99" s="1343">
        <f t="shared" si="148"/>
        <v>440.15992899999998</v>
      </c>
      <c r="U99" s="1343">
        <f t="shared" ref="U99" si="149">U95</f>
        <v>431.373561</v>
      </c>
      <c r="V99" s="1343">
        <f t="shared" si="148"/>
        <v>420.722353</v>
      </c>
      <c r="W99" s="1343">
        <f t="shared" ref="W99" si="150">W95</f>
        <v>417.88308599999999</v>
      </c>
      <c r="X99" s="1615">
        <f t="shared" si="148"/>
        <v>415.09841523532828</v>
      </c>
      <c r="Y99" s="491">
        <f t="shared" si="148"/>
        <v>411.46680570598494</v>
      </c>
      <c r="Z99" s="491">
        <f t="shared" si="148"/>
        <v>407.83519617664149</v>
      </c>
      <c r="AA99" s="491">
        <f t="shared" si="148"/>
        <v>406.01939141196982</v>
      </c>
      <c r="AB99" s="491">
        <f t="shared" si="148"/>
        <v>406.01939141196982</v>
      </c>
    </row>
    <row r="100" spans="1:37" x14ac:dyDescent="0.25">
      <c r="A100" s="4" t="s">
        <v>518</v>
      </c>
      <c r="B100" s="1345"/>
      <c r="C100" s="1345"/>
      <c r="D100" s="1345"/>
      <c r="E100" s="1345"/>
      <c r="F100" s="1345"/>
      <c r="G100" s="1345"/>
      <c r="H100" s="1345"/>
      <c r="I100" s="1345"/>
      <c r="J100" s="1345"/>
      <c r="K100" s="1462">
        <v>0.48</v>
      </c>
      <c r="L100" s="1462">
        <v>0.56000000000000005</v>
      </c>
      <c r="M100" s="1462">
        <v>0.6</v>
      </c>
      <c r="N100" s="1462">
        <v>0.69</v>
      </c>
      <c r="O100" s="1462"/>
      <c r="P100" s="1462"/>
      <c r="Q100" s="1462"/>
      <c r="R100" s="1462"/>
      <c r="S100" s="1462"/>
      <c r="T100" s="1462"/>
      <c r="U100" s="1462"/>
      <c r="V100" s="1462"/>
      <c r="W100" s="1462"/>
      <c r="X100" s="1677">
        <v>0</v>
      </c>
      <c r="Y100" s="496">
        <v>0</v>
      </c>
      <c r="Z100" s="496">
        <v>0</v>
      </c>
      <c r="AA100" s="496">
        <v>0</v>
      </c>
      <c r="AB100" s="496">
        <v>0</v>
      </c>
    </row>
    <row r="101" spans="1:37" x14ac:dyDescent="0.25">
      <c r="A101" s="4" t="s">
        <v>519</v>
      </c>
      <c r="B101" s="1345"/>
      <c r="C101" s="1345"/>
      <c r="D101" s="1345"/>
      <c r="E101" s="1345"/>
      <c r="F101" s="1345"/>
      <c r="G101" s="1345"/>
      <c r="H101" s="1345"/>
      <c r="I101" s="1345"/>
      <c r="J101" s="1345"/>
      <c r="K101" s="1462">
        <f>K102-K100</f>
        <v>0.64000000000000012</v>
      </c>
      <c r="L101" s="1462">
        <f>L102-L100</f>
        <v>0.6399999999999999</v>
      </c>
      <c r="M101" s="1462">
        <f>M102-M100</f>
        <v>0.77999999999999992</v>
      </c>
      <c r="N101" s="1462">
        <f>N102-N100</f>
        <v>0.83000000000000007</v>
      </c>
      <c r="O101" s="1462">
        <f>O102</f>
        <v>1.6</v>
      </c>
      <c r="P101" s="1462">
        <v>1.82</v>
      </c>
      <c r="Q101" s="1462">
        <v>0</v>
      </c>
      <c r="R101" s="1462">
        <f>R102-R100</f>
        <v>0.43</v>
      </c>
      <c r="S101" s="1462">
        <v>0.5</v>
      </c>
      <c r="T101" s="1462">
        <v>1.35</v>
      </c>
      <c r="U101" s="1462">
        <v>2.2000000000000002</v>
      </c>
      <c r="V101" s="1462">
        <v>2.9</v>
      </c>
      <c r="W101" s="1462">
        <v>3.35</v>
      </c>
      <c r="X101" s="1685">
        <f t="shared" ref="X101:AB101" si="151">X102-X100</f>
        <v>4.158314003047046</v>
      </c>
      <c r="Y101" s="508">
        <f t="shared" si="151"/>
        <v>5.583902414027988</v>
      </c>
      <c r="Z101" s="508">
        <f t="shared" si="151"/>
        <v>6.219993437446778</v>
      </c>
      <c r="AA101" s="508">
        <f t="shared" si="151"/>
        <v>6.7119338240271764</v>
      </c>
      <c r="AB101" s="508">
        <f t="shared" si="151"/>
        <v>7.0649305185548519</v>
      </c>
    </row>
    <row r="102" spans="1:37" x14ac:dyDescent="0.25">
      <c r="A102" s="4" t="s">
        <v>520</v>
      </c>
      <c r="B102" s="1466">
        <v>0.22</v>
      </c>
      <c r="C102" s="1466">
        <v>0.36</v>
      </c>
      <c r="D102" s="1466">
        <v>0.22</v>
      </c>
      <c r="E102" s="1466">
        <v>0.4</v>
      </c>
      <c r="F102" s="1466">
        <v>0.25</v>
      </c>
      <c r="G102" s="1466">
        <v>0.38</v>
      </c>
      <c r="H102" s="1466">
        <v>0.5</v>
      </c>
      <c r="I102" s="1466">
        <v>0.62</v>
      </c>
      <c r="J102" s="1466">
        <v>0.96</v>
      </c>
      <c r="K102" s="1462">
        <v>1.1200000000000001</v>
      </c>
      <c r="L102" s="1462">
        <v>1.2</v>
      </c>
      <c r="M102" s="1462">
        <v>1.38</v>
      </c>
      <c r="N102" s="1462">
        <v>1.52</v>
      </c>
      <c r="O102" s="1462">
        <v>1.6</v>
      </c>
      <c r="P102" s="1462">
        <v>1.82</v>
      </c>
      <c r="Q102" s="1462">
        <v>0</v>
      </c>
      <c r="R102" s="1462">
        <v>0.43</v>
      </c>
      <c r="S102" s="1462">
        <v>0.5</v>
      </c>
      <c r="T102" s="1462">
        <v>1.35</v>
      </c>
      <c r="U102" s="1462">
        <v>2.2000000000000002</v>
      </c>
      <c r="V102" s="1462">
        <v>2.9</v>
      </c>
      <c r="W102" s="1462">
        <v>3.35</v>
      </c>
      <c r="X102" s="1679">
        <f t="shared" ref="X102:AB102" si="152">X106*X50</f>
        <v>4.158314003047046</v>
      </c>
      <c r="Y102" s="499">
        <f t="shared" si="152"/>
        <v>5.583902414027988</v>
      </c>
      <c r="Z102" s="499">
        <f t="shared" si="152"/>
        <v>6.219993437446778</v>
      </c>
      <c r="AA102" s="499">
        <f t="shared" si="152"/>
        <v>6.7119338240271764</v>
      </c>
      <c r="AB102" s="499">
        <f t="shared" si="152"/>
        <v>7.0649305185548519</v>
      </c>
    </row>
    <row r="103" spans="1:37" x14ac:dyDescent="0.25">
      <c r="A103" s="4" t="s">
        <v>488</v>
      </c>
      <c r="B103" s="509" t="s">
        <v>521</v>
      </c>
      <c r="C103" s="18">
        <f t="shared" ref="C103:Q103" si="153">C102/B102-1</f>
        <v>0.63636363636363624</v>
      </c>
      <c r="D103" s="18">
        <f t="shared" si="153"/>
        <v>-0.38888888888888884</v>
      </c>
      <c r="E103" s="18">
        <f t="shared" si="153"/>
        <v>0.81818181818181834</v>
      </c>
      <c r="F103" s="18">
        <f t="shared" si="153"/>
        <v>-0.375</v>
      </c>
      <c r="G103" s="18">
        <f t="shared" si="153"/>
        <v>0.52</v>
      </c>
      <c r="H103" s="18">
        <f t="shared" si="153"/>
        <v>0.31578947368421062</v>
      </c>
      <c r="I103" s="18">
        <f t="shared" si="153"/>
        <v>0.24</v>
      </c>
      <c r="J103" s="18">
        <f t="shared" si="153"/>
        <v>0.54838709677419351</v>
      </c>
      <c r="K103" s="19">
        <f t="shared" si="153"/>
        <v>0.16666666666666674</v>
      </c>
      <c r="L103" s="19">
        <f t="shared" si="153"/>
        <v>7.1428571428571397E-2</v>
      </c>
      <c r="M103" s="19">
        <f t="shared" si="153"/>
        <v>0.14999999999999991</v>
      </c>
      <c r="N103" s="19">
        <f t="shared" si="153"/>
        <v>0.10144927536231885</v>
      </c>
      <c r="O103" s="19">
        <f t="shared" si="153"/>
        <v>5.2631578947368363E-2</v>
      </c>
      <c r="P103" s="19">
        <f t="shared" si="153"/>
        <v>0.13749999999999996</v>
      </c>
      <c r="Q103" s="19">
        <f t="shared" si="153"/>
        <v>-1</v>
      </c>
      <c r="R103" s="510" t="str">
        <f>IFERROR(R102/Q102-1,"NA")</f>
        <v>NA</v>
      </c>
      <c r="S103" s="19">
        <f t="shared" ref="S103:AB103" si="154">S102/R102-1</f>
        <v>0.16279069767441867</v>
      </c>
      <c r="T103" s="19">
        <f t="shared" si="154"/>
        <v>1.7000000000000002</v>
      </c>
      <c r="U103" s="19">
        <f t="shared" si="154"/>
        <v>0.62962962962962976</v>
      </c>
      <c r="V103" s="19">
        <f t="shared" si="154"/>
        <v>0.31818181818181812</v>
      </c>
      <c r="W103" s="19">
        <f t="shared" si="154"/>
        <v>0.15517241379310343</v>
      </c>
      <c r="X103" s="1635">
        <f t="shared" si="154"/>
        <v>0.24128776210359582</v>
      </c>
      <c r="Y103" s="511">
        <f t="shared" si="154"/>
        <v>0.34282846604088291</v>
      </c>
      <c r="Z103" s="511">
        <f t="shared" si="154"/>
        <v>0.11391513967378608</v>
      </c>
      <c r="AA103" s="511">
        <f t="shared" si="154"/>
        <v>7.909017775143079E-2</v>
      </c>
      <c r="AB103" s="511">
        <f t="shared" si="154"/>
        <v>5.2592397926217505E-2</v>
      </c>
    </row>
    <row r="104" spans="1:37" x14ac:dyDescent="0.25">
      <c r="A104" s="4" t="s">
        <v>522</v>
      </c>
      <c r="B104" s="466">
        <f t="shared" ref="B104:AB104" si="155">B102/B105</f>
        <v>1.4030612244897959E-2</v>
      </c>
      <c r="C104" s="466">
        <f t="shared" si="155"/>
        <v>1.782178217821782E-2</v>
      </c>
      <c r="D104" s="466">
        <f t="shared" si="155"/>
        <v>1.2514220705346987E-2</v>
      </c>
      <c r="E104" s="466">
        <f t="shared" si="155"/>
        <v>2.851033499643621E-2</v>
      </c>
      <c r="F104" s="466">
        <f t="shared" si="155"/>
        <v>2.5960539979231565E-2</v>
      </c>
      <c r="G104" s="466">
        <f t="shared" si="155"/>
        <v>2.7757487216946677E-2</v>
      </c>
      <c r="H104" s="466">
        <f t="shared" si="155"/>
        <v>2.4875621890547261E-2</v>
      </c>
      <c r="I104" s="466">
        <f t="shared" si="155"/>
        <v>2.501008471157725E-2</v>
      </c>
      <c r="J104" s="466">
        <f t="shared" si="155"/>
        <v>3.4582132564841495E-2</v>
      </c>
      <c r="K104" s="272">
        <f t="shared" si="155"/>
        <v>2.735042735042735E-2</v>
      </c>
      <c r="L104" s="272">
        <f t="shared" si="155"/>
        <v>1.846153846153846E-2</v>
      </c>
      <c r="M104" s="272">
        <f t="shared" si="155"/>
        <v>2.1302871256560666E-2</v>
      </c>
      <c r="N104" s="272">
        <f t="shared" si="155"/>
        <v>2.4836601307189541E-2</v>
      </c>
      <c r="O104" s="272">
        <f t="shared" si="155"/>
        <v>1.7977528089887642E-2</v>
      </c>
      <c r="P104" s="272">
        <f t="shared" si="155"/>
        <v>1.5166666666666667E-2</v>
      </c>
      <c r="Q104" s="272">
        <f t="shared" si="155"/>
        <v>0</v>
      </c>
      <c r="R104" s="272">
        <f t="shared" si="155"/>
        <v>3.7021093413689191E-3</v>
      </c>
      <c r="S104" s="272">
        <f t="shared" si="155"/>
        <v>4.3782837127845885E-3</v>
      </c>
      <c r="T104" s="272">
        <f t="shared" si="155"/>
        <v>1.2857142857142859E-2</v>
      </c>
      <c r="U104" s="272">
        <f t="shared" si="155"/>
        <v>1.3796563401479995E-2</v>
      </c>
      <c r="V104" s="272">
        <f t="shared" ref="V104:W104" si="156">V102/V105</f>
        <v>1.3672795851013672E-2</v>
      </c>
      <c r="W104" s="272">
        <f t="shared" si="156"/>
        <v>1.2504096491313199E-2</v>
      </c>
      <c r="X104" s="1634">
        <f t="shared" si="155"/>
        <v>1.2081098207574218E-2</v>
      </c>
      <c r="Y104" s="467">
        <f t="shared" si="155"/>
        <v>1.622284257416615E-2</v>
      </c>
      <c r="Z104" s="467">
        <f t="shared" si="155"/>
        <v>1.8070869951908129E-2</v>
      </c>
      <c r="AA104" s="467">
        <f t="shared" si="155"/>
        <v>1.9500098268527534E-2</v>
      </c>
      <c r="AB104" s="467">
        <f t="shared" si="155"/>
        <v>2.0525655196266274E-2</v>
      </c>
    </row>
    <row r="105" spans="1:37" x14ac:dyDescent="0.25">
      <c r="A105" s="4" t="s">
        <v>523</v>
      </c>
      <c r="B105" s="1467">
        <v>15.68</v>
      </c>
      <c r="C105" s="1468">
        <v>20.2</v>
      </c>
      <c r="D105" s="1468">
        <v>17.579999999999998</v>
      </c>
      <c r="E105" s="1468">
        <v>14.03</v>
      </c>
      <c r="F105" s="1468">
        <v>9.6300000000000008</v>
      </c>
      <c r="G105" s="1468">
        <v>13.69</v>
      </c>
      <c r="H105" s="1468">
        <v>20.100000000000001</v>
      </c>
      <c r="I105" s="1468">
        <v>24.79</v>
      </c>
      <c r="J105" s="1469">
        <v>27.76</v>
      </c>
      <c r="K105" s="1470">
        <v>40.950000000000003</v>
      </c>
      <c r="L105" s="1470">
        <v>65</v>
      </c>
      <c r="M105" s="1470">
        <f>'Valuation Summary'!M4</f>
        <v>64.78</v>
      </c>
      <c r="N105" s="1470">
        <f>'Valuation Summary'!N4</f>
        <v>61.2</v>
      </c>
      <c r="O105" s="1470">
        <f>'Valuation Summary'!O4</f>
        <v>89</v>
      </c>
      <c r="P105" s="1470">
        <f>'Valuation Summary'!P4</f>
        <v>120</v>
      </c>
      <c r="Q105" s="1470">
        <f>'Valuation Summary'!Q4</f>
        <v>128.80000000000001</v>
      </c>
      <c r="R105" s="1470">
        <f>'Valuation Summary'!R4</f>
        <v>116.15</v>
      </c>
      <c r="S105" s="1470">
        <f>'Valuation Summary'!S4</f>
        <v>114.2</v>
      </c>
      <c r="T105" s="1470">
        <f>'Valuation Summary'!T4</f>
        <v>105</v>
      </c>
      <c r="U105" s="1470">
        <f>'Valuation Summary'!U4</f>
        <v>159.46</v>
      </c>
      <c r="V105" s="1470">
        <f>'Valuation Summary'!V4</f>
        <v>212.1</v>
      </c>
      <c r="W105" s="1470">
        <f>'Valuation Summary'!W4</f>
        <v>267.91219999999998</v>
      </c>
      <c r="X105" s="1686">
        <f>'Valuation Summary'!X4</f>
        <v>344.2</v>
      </c>
      <c r="Y105" s="512">
        <f>'Valuation Summary'!Y4</f>
        <v>344.2</v>
      </c>
      <c r="Z105" s="512">
        <f>'Valuation Summary'!Z4</f>
        <v>344.2</v>
      </c>
      <c r="AA105" s="512">
        <f>'Valuation Summary'!AA4</f>
        <v>344.2</v>
      </c>
      <c r="AB105" s="512">
        <f>'Valuation Summary'!AB4</f>
        <v>344.2</v>
      </c>
    </row>
    <row r="106" spans="1:37" x14ac:dyDescent="0.25">
      <c r="A106" s="4" t="s">
        <v>524</v>
      </c>
      <c r="B106" s="466"/>
      <c r="C106" s="466"/>
      <c r="D106" s="466"/>
      <c r="E106" s="466">
        <f t="shared" ref="E106:T106" si="157">E102/E46</f>
        <v>0.4047034571428571</v>
      </c>
      <c r="F106" s="466">
        <f t="shared" si="157"/>
        <v>0.34120740909090908</v>
      </c>
      <c r="G106" s="466">
        <f t="shared" si="157"/>
        <v>0.3841047580759494</v>
      </c>
      <c r="H106" s="466">
        <f t="shared" si="157"/>
        <v>0.39326074803149602</v>
      </c>
      <c r="I106" s="466">
        <f t="shared" si="157"/>
        <v>0.38965215093167699</v>
      </c>
      <c r="J106" s="466">
        <f t="shared" si="157"/>
        <v>0.40722123897854956</v>
      </c>
      <c r="K106" s="466">
        <f t="shared" si="157"/>
        <v>0.39081966833193632</v>
      </c>
      <c r="L106" s="466">
        <f t="shared" si="157"/>
        <v>0.40039746923076924</v>
      </c>
      <c r="M106" s="466">
        <f t="shared" si="157"/>
        <v>0.38882946206477725</v>
      </c>
      <c r="N106" s="466">
        <f t="shared" si="157"/>
        <v>0.35078391317073171</v>
      </c>
      <c r="O106" s="466">
        <f t="shared" si="157"/>
        <v>0.25024234418604652</v>
      </c>
      <c r="P106" s="466">
        <f t="shared" si="157"/>
        <v>0.3958907088339223</v>
      </c>
      <c r="Q106" s="466">
        <f t="shared" si="157"/>
        <v>0</v>
      </c>
      <c r="R106" s="466">
        <f t="shared" si="157"/>
        <v>0.21705611938388625</v>
      </c>
      <c r="S106" s="466">
        <f t="shared" si="157"/>
        <v>0.28069106907894736</v>
      </c>
      <c r="T106" s="466">
        <f t="shared" si="157"/>
        <v>0.48898037941426148</v>
      </c>
      <c r="U106" s="466">
        <f>U102/U46</f>
        <v>0.45322982366863912</v>
      </c>
      <c r="V106" s="272">
        <f>V102/V46</f>
        <v>0.39336168089960888</v>
      </c>
      <c r="W106" s="272">
        <f>W102/W46</f>
        <v>0.44105492693761816</v>
      </c>
      <c r="X106" s="1641">
        <v>0.4</v>
      </c>
      <c r="Y106" s="513">
        <v>0.4</v>
      </c>
      <c r="Z106" s="513">
        <v>0.4</v>
      </c>
      <c r="AA106" s="513">
        <v>0.4</v>
      </c>
      <c r="AB106" s="513">
        <v>0.4</v>
      </c>
    </row>
    <row r="107" spans="1:37" x14ac:dyDescent="0.25">
      <c r="A107" s="4" t="s">
        <v>525</v>
      </c>
      <c r="B107" s="1345">
        <f>CF!B48+CF!B49</f>
        <v>0</v>
      </c>
      <c r="C107" s="1345">
        <f>CF!C48+CF!C49</f>
        <v>7</v>
      </c>
      <c r="D107" s="1345">
        <f>CF!D48+CF!D49</f>
        <v>8</v>
      </c>
      <c r="E107" s="1345">
        <f>CF!E48+CF!E49</f>
        <v>19</v>
      </c>
      <c r="F107" s="1345">
        <f>CF!F48+CF!F49</f>
        <v>-151</v>
      </c>
      <c r="G107" s="1345">
        <f>CF!G48+CF!G49</f>
        <v>6</v>
      </c>
      <c r="H107" s="1345">
        <f>CF!H48+CF!H49</f>
        <v>6</v>
      </c>
      <c r="I107" s="1345">
        <f>CF!I48+CF!I49</f>
        <v>181</v>
      </c>
      <c r="J107" s="1345">
        <f>CF!J48+CF!J49</f>
        <v>118</v>
      </c>
      <c r="K107" s="1343">
        <f>CF!K48+CF!K49</f>
        <v>2</v>
      </c>
      <c r="L107" s="1343">
        <f>CF!L48+CF!L49</f>
        <v>-1</v>
      </c>
      <c r="M107" s="1343">
        <f>CF!M48+CF!M49</f>
        <v>-5</v>
      </c>
      <c r="N107" s="1343">
        <f>CF!N48+CF!N49</f>
        <v>-47</v>
      </c>
      <c r="O107" s="1343">
        <f>CF!O48+CF!O49</f>
        <v>-453</v>
      </c>
      <c r="P107" s="1343">
        <f>CF!P48+CF!P49</f>
        <v>-540</v>
      </c>
      <c r="Q107" s="1343">
        <f>CF!Q48+CF!Q49</f>
        <v>-1306</v>
      </c>
      <c r="R107" s="1343">
        <f>CF!R48+CF!R49</f>
        <v>96</v>
      </c>
      <c r="S107" s="1343">
        <f>CF!S48+CF!S49</f>
        <v>-72</v>
      </c>
      <c r="T107" s="1343">
        <f>CF!T48+CF!T49</f>
        <v>-270</v>
      </c>
      <c r="U107" s="1343">
        <f>CF!U48+CF!U49</f>
        <v>-1533</v>
      </c>
      <c r="V107" s="1343">
        <f>CF!V48+CF!V49</f>
        <v>-1320</v>
      </c>
      <c r="W107" s="1343">
        <f>CF!W48+CF!W49</f>
        <v>-1352</v>
      </c>
      <c r="X107" s="1615">
        <f>CF!X48+CF!X49</f>
        <v>-1250</v>
      </c>
      <c r="Y107" s="491">
        <f>CF!Y48+CF!Y49</f>
        <v>-1250</v>
      </c>
      <c r="Z107" s="491">
        <f>CF!Z48+CF!Z49</f>
        <v>-1250</v>
      </c>
      <c r="AA107" s="491">
        <f>CF!AA48+CF!AA49</f>
        <v>0</v>
      </c>
      <c r="AB107" s="491">
        <f>CF!AB48+CF!AB49</f>
        <v>0</v>
      </c>
    </row>
    <row r="108" spans="1:37" x14ac:dyDescent="0.25">
      <c r="B108" s="1345"/>
      <c r="C108" s="1345"/>
      <c r="D108" s="1345"/>
      <c r="E108" s="1345"/>
      <c r="F108" s="1345"/>
      <c r="G108" s="1345"/>
      <c r="H108" s="1345"/>
      <c r="I108" s="1345"/>
      <c r="J108" s="1345"/>
      <c r="K108" s="1343"/>
      <c r="L108" s="1343"/>
      <c r="M108" s="1343"/>
      <c r="N108" s="1343"/>
      <c r="O108" s="1343"/>
      <c r="P108" s="1343"/>
      <c r="Q108" s="1343"/>
      <c r="R108" s="1343"/>
      <c r="S108" s="1343"/>
      <c r="T108" s="1343"/>
      <c r="U108" s="1343"/>
      <c r="V108" s="1343"/>
      <c r="W108" s="1344"/>
      <c r="X108" s="148"/>
      <c r="Y108" s="102"/>
      <c r="Z108" s="102"/>
      <c r="AA108" s="102"/>
      <c r="AB108" s="102"/>
    </row>
    <row r="109" spans="1:37" x14ac:dyDescent="0.25">
      <c r="A109" s="219" t="s">
        <v>526</v>
      </c>
      <c r="B109" s="514"/>
      <c r="C109" s="514"/>
      <c r="D109" s="514"/>
      <c r="E109" s="514"/>
      <c r="F109" s="514"/>
      <c r="G109" s="514"/>
      <c r="H109" s="514"/>
      <c r="I109" s="514"/>
      <c r="J109" s="514"/>
      <c r="K109" s="514"/>
      <c r="L109" s="514"/>
      <c r="M109" s="514"/>
      <c r="N109" s="514"/>
      <c r="O109" s="514"/>
      <c r="P109" s="514"/>
      <c r="Q109" s="514"/>
      <c r="R109" s="514"/>
      <c r="S109" s="514"/>
      <c r="T109" s="514"/>
      <c r="U109" s="514"/>
      <c r="V109" s="514"/>
      <c r="W109" s="515"/>
      <c r="X109" s="1633"/>
      <c r="Y109" s="516"/>
      <c r="Z109" s="516"/>
      <c r="AA109" s="516"/>
      <c r="AB109" s="516"/>
    </row>
    <row r="110" spans="1:37" x14ac:dyDescent="0.25">
      <c r="A110" s="4" t="s">
        <v>527</v>
      </c>
      <c r="B110" s="1345">
        <f>-CF!B10</f>
        <v>104</v>
      </c>
      <c r="C110" s="1345">
        <f>-CF!C10</f>
        <v>119</v>
      </c>
      <c r="D110" s="1345">
        <f>-CF!D10</f>
        <v>202</v>
      </c>
      <c r="E110" s="1345">
        <f>-CF!E10</f>
        <v>212</v>
      </c>
      <c r="F110" s="1345">
        <f>-CF!F10</f>
        <v>257</v>
      </c>
      <c r="G110" s="1345">
        <f>-CF!G10</f>
        <v>73</v>
      </c>
      <c r="H110" s="1345">
        <f>-CF!H10</f>
        <v>103</v>
      </c>
      <c r="I110" s="1345">
        <f>-CF!I10</f>
        <v>241</v>
      </c>
      <c r="J110" s="1345">
        <f>-CF!J10</f>
        <v>238</v>
      </c>
      <c r="K110" s="1345">
        <f>-CF!K10</f>
        <v>171</v>
      </c>
      <c r="L110" s="1345">
        <f>-CF!L10</f>
        <v>279</v>
      </c>
      <c r="M110" s="1345">
        <f>-CF!M10</f>
        <v>406</v>
      </c>
      <c r="N110" s="1345">
        <f>-CF!N10</f>
        <v>292</v>
      </c>
      <c r="O110" s="1345">
        <f>-CF!O10</f>
        <v>582</v>
      </c>
      <c r="P110" s="1345">
        <f>-CF!P10</f>
        <v>531</v>
      </c>
      <c r="Q110" s="1345">
        <f>-CF!Q10</f>
        <v>887</v>
      </c>
      <c r="R110" s="1345">
        <f>-CF!R10</f>
        <v>143</v>
      </c>
      <c r="S110" s="1345">
        <f>-CF!S10</f>
        <v>302</v>
      </c>
      <c r="T110" s="1345">
        <f>-CF!T10</f>
        <v>233</v>
      </c>
      <c r="U110" s="1345">
        <f>-CF!U10</f>
        <v>850</v>
      </c>
      <c r="V110" s="1343">
        <v>935</v>
      </c>
      <c r="W110" s="1343">
        <v>1962</v>
      </c>
      <c r="X110" s="1615">
        <f t="shared" ref="X110:AB110" si="158">X114*X115</f>
        <v>2086.058297312592</v>
      </c>
      <c r="Y110" s="491">
        <f t="shared" si="158"/>
        <v>1955.8187413950284</v>
      </c>
      <c r="Z110" s="491">
        <f t="shared" si="158"/>
        <v>2157.1615364821077</v>
      </c>
      <c r="AA110" s="491">
        <f t="shared" si="158"/>
        <v>2316.3583053574412</v>
      </c>
      <c r="AB110" s="491">
        <f t="shared" si="158"/>
        <v>2438.0635029262444</v>
      </c>
    </row>
    <row r="111" spans="1:37" outlineLevel="1" x14ac:dyDescent="0.25">
      <c r="A111" s="4" t="s">
        <v>528</v>
      </c>
      <c r="B111" s="18">
        <f t="shared" ref="B111:AB111" si="159">B110/B113</f>
        <v>1.5757575757575757</v>
      </c>
      <c r="C111" s="18">
        <f t="shared" si="159"/>
        <v>-0.52654867256637172</v>
      </c>
      <c r="D111" s="18">
        <f t="shared" si="159"/>
        <v>1.8532110091743119</v>
      </c>
      <c r="E111" s="18">
        <f t="shared" si="159"/>
        <v>8.48</v>
      </c>
      <c r="F111" s="18">
        <f t="shared" si="159"/>
        <v>-1.8098591549295775</v>
      </c>
      <c r="G111" s="18">
        <f t="shared" si="159"/>
        <v>0.31063829787234043</v>
      </c>
      <c r="H111" s="18">
        <f t="shared" si="159"/>
        <v>7.3571428571428568</v>
      </c>
      <c r="I111" s="18">
        <f t="shared" si="159"/>
        <v>1.1990049751243781</v>
      </c>
      <c r="J111" s="18">
        <f t="shared" si="159"/>
        <v>0.54965357967667439</v>
      </c>
      <c r="K111" s="19">
        <f t="shared" si="159"/>
        <v>0.26760563380281688</v>
      </c>
      <c r="L111" s="19">
        <f t="shared" si="159"/>
        <v>-0.95547945205479456</v>
      </c>
      <c r="M111" s="19">
        <f t="shared" si="159"/>
        <v>-0.79921259842519687</v>
      </c>
      <c r="N111" s="19">
        <f t="shared" si="159"/>
        <v>0.73366834170854267</v>
      </c>
      <c r="O111" s="19">
        <f t="shared" si="159"/>
        <v>0.33916083916083917</v>
      </c>
      <c r="P111" s="19">
        <f t="shared" si="159"/>
        <v>1.5258620689655173</v>
      </c>
      <c r="Q111" s="19">
        <f t="shared" si="159"/>
        <v>0.92203742203742201</v>
      </c>
      <c r="R111" s="19">
        <f t="shared" si="159"/>
        <v>0.77717391304347827</v>
      </c>
      <c r="S111" s="19">
        <f t="shared" si="159"/>
        <v>1.51</v>
      </c>
      <c r="T111" s="19">
        <f t="shared" si="159"/>
        <v>-0.33573487031700289</v>
      </c>
      <c r="U111" s="19">
        <f t="shared" ref="U111" si="160">U110/U113</f>
        <v>0.68770226537216828</v>
      </c>
      <c r="V111" s="19">
        <f t="shared" ref="V111:W111" si="161">V110/V113</f>
        <v>-3.2922535211267605</v>
      </c>
      <c r="W111" s="19">
        <f t="shared" si="161"/>
        <v>0.65772712034864234</v>
      </c>
      <c r="X111" s="1635">
        <f t="shared" si="159"/>
        <v>1.0200283771463821</v>
      </c>
      <c r="Y111" s="495">
        <f t="shared" si="159"/>
        <v>1.0682754645087114</v>
      </c>
      <c r="Z111" s="495">
        <f t="shared" si="159"/>
        <v>1.0615108581458483</v>
      </c>
      <c r="AA111" s="495">
        <f t="shared" si="159"/>
        <v>1.0570422462152353</v>
      </c>
      <c r="AB111" s="495">
        <f t="shared" si="159"/>
        <v>1.0540408855363734</v>
      </c>
      <c r="AC111" s="281"/>
    </row>
    <row r="112" spans="1:37" outlineLevel="1" x14ac:dyDescent="0.25">
      <c r="A112" s="4" t="s">
        <v>529</v>
      </c>
      <c r="B112" s="1345"/>
      <c r="C112" s="1345"/>
      <c r="D112" s="1345"/>
      <c r="E112" s="1345"/>
      <c r="F112" s="1345"/>
      <c r="G112" s="1345"/>
      <c r="H112" s="1345"/>
      <c r="I112" s="1345">
        <f t="shared" ref="I112:AB112" si="162">I113-I110</f>
        <v>-40</v>
      </c>
      <c r="J112" s="1345">
        <f t="shared" si="162"/>
        <v>195</v>
      </c>
      <c r="K112" s="1343">
        <f t="shared" si="162"/>
        <v>468</v>
      </c>
      <c r="L112" s="1343">
        <f t="shared" si="162"/>
        <v>-571</v>
      </c>
      <c r="M112" s="1343">
        <f t="shared" si="162"/>
        <v>-914</v>
      </c>
      <c r="N112" s="1343">
        <f t="shared" si="162"/>
        <v>106</v>
      </c>
      <c r="O112" s="1343">
        <f t="shared" si="162"/>
        <v>1134</v>
      </c>
      <c r="P112" s="1343">
        <f t="shared" si="162"/>
        <v>-183</v>
      </c>
      <c r="Q112" s="1343">
        <f t="shared" si="162"/>
        <v>75</v>
      </c>
      <c r="R112" s="1343">
        <f t="shared" si="162"/>
        <v>41</v>
      </c>
      <c r="S112" s="1343">
        <f t="shared" si="162"/>
        <v>-102</v>
      </c>
      <c r="T112" s="1343">
        <f t="shared" si="162"/>
        <v>-927</v>
      </c>
      <c r="U112" s="1343">
        <f t="shared" ref="U112" si="163">U113-U110</f>
        <v>386</v>
      </c>
      <c r="V112" s="1343">
        <f t="shared" ref="V112:W112" si="164">V113-V110</f>
        <v>-1219</v>
      </c>
      <c r="W112" s="1343">
        <f t="shared" si="164"/>
        <v>1021</v>
      </c>
      <c r="X112" s="1615">
        <f t="shared" si="162"/>
        <v>-40.960000000000264</v>
      </c>
      <c r="Y112" s="146">
        <f t="shared" si="162"/>
        <v>-125</v>
      </c>
      <c r="Z112" s="146">
        <f t="shared" si="162"/>
        <v>-125</v>
      </c>
      <c r="AA112" s="146">
        <f t="shared" si="162"/>
        <v>-125</v>
      </c>
      <c r="AB112" s="146">
        <f t="shared" si="162"/>
        <v>-125</v>
      </c>
    </row>
    <row r="113" spans="1:28" outlineLevel="1" x14ac:dyDescent="0.25">
      <c r="A113" s="4" t="s">
        <v>530</v>
      </c>
      <c r="B113" s="1345">
        <f t="shared" ref="B113:AB113" si="165">-B82</f>
        <v>66</v>
      </c>
      <c r="C113" s="1345">
        <f t="shared" si="165"/>
        <v>-226</v>
      </c>
      <c r="D113" s="1345">
        <f t="shared" si="165"/>
        <v>109</v>
      </c>
      <c r="E113" s="1345">
        <f t="shared" si="165"/>
        <v>25</v>
      </c>
      <c r="F113" s="1345">
        <f t="shared" si="165"/>
        <v>-142</v>
      </c>
      <c r="G113" s="1345">
        <f t="shared" si="165"/>
        <v>235</v>
      </c>
      <c r="H113" s="1345">
        <f t="shared" si="165"/>
        <v>14</v>
      </c>
      <c r="I113" s="1345">
        <f t="shared" si="165"/>
        <v>201</v>
      </c>
      <c r="J113" s="1345">
        <f t="shared" si="165"/>
        <v>433</v>
      </c>
      <c r="K113" s="1343">
        <f t="shared" si="165"/>
        <v>639</v>
      </c>
      <c r="L113" s="1343">
        <f t="shared" si="165"/>
        <v>-292</v>
      </c>
      <c r="M113" s="1343">
        <f t="shared" si="165"/>
        <v>-508</v>
      </c>
      <c r="N113" s="1343">
        <f t="shared" si="165"/>
        <v>398</v>
      </c>
      <c r="O113" s="1343">
        <f t="shared" si="165"/>
        <v>1716</v>
      </c>
      <c r="P113" s="1343">
        <f t="shared" si="165"/>
        <v>348</v>
      </c>
      <c r="Q113" s="1343">
        <f t="shared" si="165"/>
        <v>962</v>
      </c>
      <c r="R113" s="1343">
        <f t="shared" si="165"/>
        <v>184</v>
      </c>
      <c r="S113" s="1343">
        <f t="shared" si="165"/>
        <v>200</v>
      </c>
      <c r="T113" s="1343">
        <f t="shared" si="165"/>
        <v>-694</v>
      </c>
      <c r="U113" s="1343">
        <f t="shared" ref="U113" si="166">-U82</f>
        <v>1236</v>
      </c>
      <c r="V113" s="1343">
        <f>-V82</f>
        <v>-284</v>
      </c>
      <c r="W113" s="1343">
        <f>-W82</f>
        <v>2983</v>
      </c>
      <c r="X113" s="1615">
        <f t="shared" si="165"/>
        <v>2045.0982973125917</v>
      </c>
      <c r="Y113" s="491">
        <f t="shared" si="165"/>
        <v>1830.8187413950284</v>
      </c>
      <c r="Z113" s="491">
        <f t="shared" si="165"/>
        <v>2032.1615364821077</v>
      </c>
      <c r="AA113" s="491">
        <f t="shared" si="165"/>
        <v>2191.3583053574412</v>
      </c>
      <c r="AB113" s="491">
        <f t="shared" si="165"/>
        <v>2313.0635029262444</v>
      </c>
    </row>
    <row r="114" spans="1:28" outlineLevel="1" x14ac:dyDescent="0.25">
      <c r="A114" s="4" t="s">
        <v>531</v>
      </c>
      <c r="B114" s="517"/>
      <c r="C114" s="517"/>
      <c r="D114" s="1345">
        <f t="shared" ref="D114:AB114" si="167">-D33</f>
        <v>0</v>
      </c>
      <c r="E114" s="1345">
        <f t="shared" si="167"/>
        <v>219</v>
      </c>
      <c r="F114" s="1345">
        <f t="shared" si="167"/>
        <v>123</v>
      </c>
      <c r="G114" s="1345">
        <f t="shared" si="167"/>
        <v>108</v>
      </c>
      <c r="H114" s="1345">
        <f t="shared" si="167"/>
        <v>173</v>
      </c>
      <c r="I114" s="1345">
        <f t="shared" si="167"/>
        <v>289</v>
      </c>
      <c r="J114" s="1345">
        <f t="shared" si="167"/>
        <v>254</v>
      </c>
      <c r="K114" s="1345">
        <f t="shared" si="167"/>
        <v>529</v>
      </c>
      <c r="L114" s="1345">
        <f t="shared" si="167"/>
        <v>522</v>
      </c>
      <c r="M114" s="1345">
        <f t="shared" si="167"/>
        <v>403</v>
      </c>
      <c r="N114" s="1345">
        <f t="shared" si="167"/>
        <v>498</v>
      </c>
      <c r="O114" s="1345">
        <f t="shared" si="167"/>
        <v>542</v>
      </c>
      <c r="P114" s="1345">
        <f t="shared" si="167"/>
        <v>638</v>
      </c>
      <c r="Q114" s="1345">
        <f t="shared" si="167"/>
        <v>1012</v>
      </c>
      <c r="R114" s="1345">
        <f t="shared" si="167"/>
        <v>334</v>
      </c>
      <c r="S114" s="1345">
        <f t="shared" si="167"/>
        <v>412</v>
      </c>
      <c r="T114" s="1345">
        <f t="shared" si="167"/>
        <v>557</v>
      </c>
      <c r="U114" s="1345">
        <f t="shared" ref="U114" si="168">-U33</f>
        <v>724</v>
      </c>
      <c r="V114" s="1343">
        <f t="shared" ref="V114:W114" si="169">-V33</f>
        <v>987</v>
      </c>
      <c r="W114" s="1343">
        <f t="shared" si="169"/>
        <v>1571</v>
      </c>
      <c r="X114" s="1615">
        <f t="shared" si="167"/>
        <v>2086.058297312592</v>
      </c>
      <c r="Y114" s="491">
        <f t="shared" si="167"/>
        <v>1955.8187413950284</v>
      </c>
      <c r="Z114" s="491">
        <f t="shared" si="167"/>
        <v>2157.1615364821077</v>
      </c>
      <c r="AA114" s="491">
        <f t="shared" si="167"/>
        <v>2316.3583053574412</v>
      </c>
      <c r="AB114" s="491">
        <f t="shared" si="167"/>
        <v>2438.0635029262444</v>
      </c>
    </row>
    <row r="115" spans="1:28" outlineLevel="1" x14ac:dyDescent="0.25">
      <c r="A115" s="4" t="s">
        <v>532</v>
      </c>
      <c r="B115" s="517"/>
      <c r="C115" s="517"/>
      <c r="D115" s="18"/>
      <c r="E115" s="18">
        <f t="shared" ref="E115:T115" si="170">E110/E114</f>
        <v>0.96803652968036524</v>
      </c>
      <c r="F115" s="18">
        <f t="shared" si="170"/>
        <v>2.089430894308943</v>
      </c>
      <c r="G115" s="18">
        <f t="shared" si="170"/>
        <v>0.67592592592592593</v>
      </c>
      <c r="H115" s="18">
        <f t="shared" si="170"/>
        <v>0.59537572254335258</v>
      </c>
      <c r="I115" s="18">
        <f t="shared" si="170"/>
        <v>0.83391003460207613</v>
      </c>
      <c r="J115" s="18">
        <f t="shared" si="170"/>
        <v>0.93700787401574803</v>
      </c>
      <c r="K115" s="19">
        <f t="shared" si="170"/>
        <v>0.32325141776937616</v>
      </c>
      <c r="L115" s="19">
        <f t="shared" si="170"/>
        <v>0.53448275862068961</v>
      </c>
      <c r="M115" s="19">
        <f t="shared" si="170"/>
        <v>1.0074441687344913</v>
      </c>
      <c r="N115" s="19">
        <f t="shared" si="170"/>
        <v>0.58634538152610438</v>
      </c>
      <c r="O115" s="19">
        <f t="shared" si="170"/>
        <v>1.0738007380073802</v>
      </c>
      <c r="P115" s="19">
        <f t="shared" si="170"/>
        <v>0.83228840125391845</v>
      </c>
      <c r="Q115" s="19">
        <f t="shared" si="170"/>
        <v>0.87648221343873522</v>
      </c>
      <c r="R115" s="19">
        <f t="shared" si="170"/>
        <v>0.42814371257485029</v>
      </c>
      <c r="S115" s="19">
        <f t="shared" si="170"/>
        <v>0.73300970873786409</v>
      </c>
      <c r="T115" s="19">
        <f t="shared" si="170"/>
        <v>0.41831238779174146</v>
      </c>
      <c r="U115" s="19">
        <f t="shared" ref="U115" si="171">U110/U114</f>
        <v>1.1740331491712708</v>
      </c>
      <c r="V115" s="19">
        <f t="shared" ref="V115:W115" si="172">V110/V114</f>
        <v>0.94731509625126642</v>
      </c>
      <c r="W115" s="19">
        <f t="shared" si="172"/>
        <v>1.2488860598345004</v>
      </c>
      <c r="X115" s="1656">
        <v>1</v>
      </c>
      <c r="Y115" s="495">
        <f t="shared" ref="Y115:AB115" si="173">X115</f>
        <v>1</v>
      </c>
      <c r="Z115" s="495">
        <f t="shared" si="173"/>
        <v>1</v>
      </c>
      <c r="AA115" s="495">
        <f t="shared" si="173"/>
        <v>1</v>
      </c>
      <c r="AB115" s="495">
        <f t="shared" si="173"/>
        <v>1</v>
      </c>
    </row>
    <row r="116" spans="1:28" x14ac:dyDescent="0.25">
      <c r="B116" s="1345"/>
      <c r="C116" s="1345"/>
      <c r="D116" s="1345"/>
      <c r="E116" s="1345"/>
      <c r="F116" s="1345"/>
      <c r="G116" s="1345"/>
      <c r="H116" s="1345"/>
      <c r="X116" s="38"/>
    </row>
    <row r="117" spans="1:28" outlineLevel="1" x14ac:dyDescent="0.25">
      <c r="A117" s="4" t="s">
        <v>533</v>
      </c>
      <c r="B117" s="1345"/>
      <c r="C117" s="1345">
        <v>0</v>
      </c>
      <c r="D117" s="1345">
        <v>0</v>
      </c>
      <c r="E117" s="1345">
        <v>0</v>
      </c>
      <c r="F117" s="1345">
        <v>0</v>
      </c>
      <c r="G117" s="1345">
        <v>0</v>
      </c>
      <c r="H117" s="1345">
        <v>0</v>
      </c>
      <c r="I117" s="1345">
        <v>0</v>
      </c>
      <c r="J117" s="1345">
        <v>0</v>
      </c>
      <c r="K117" s="1343">
        <v>0</v>
      </c>
      <c r="L117" s="1343">
        <v>0</v>
      </c>
      <c r="M117" s="1343">
        <v>0</v>
      </c>
      <c r="N117" s="1343">
        <v>0</v>
      </c>
      <c r="O117" s="1343">
        <v>0</v>
      </c>
      <c r="P117" s="1343">
        <v>0</v>
      </c>
      <c r="Q117" s="1343">
        <v>0</v>
      </c>
      <c r="R117" s="1343">
        <v>0</v>
      </c>
      <c r="S117" s="1343">
        <v>0</v>
      </c>
      <c r="T117" s="1343">
        <v>0</v>
      </c>
      <c r="U117" s="1343">
        <v>0</v>
      </c>
      <c r="V117" s="1343">
        <v>0</v>
      </c>
      <c r="W117" s="1343">
        <v>0</v>
      </c>
      <c r="X117" s="1608">
        <v>0</v>
      </c>
      <c r="Y117" s="498">
        <v>0</v>
      </c>
      <c r="Z117" s="498">
        <v>0</v>
      </c>
      <c r="AA117" s="498">
        <v>0</v>
      </c>
      <c r="AB117" s="498">
        <v>0</v>
      </c>
    </row>
    <row r="118" spans="1:28" outlineLevel="1" x14ac:dyDescent="0.25">
      <c r="B118" s="1345"/>
      <c r="C118" s="1345"/>
      <c r="D118" s="1345"/>
      <c r="E118" s="1345"/>
      <c r="F118" s="1345"/>
      <c r="G118" s="1345"/>
      <c r="H118" s="1345"/>
      <c r="X118" s="38"/>
    </row>
    <row r="119" spans="1:28" outlineLevel="1" x14ac:dyDescent="0.25">
      <c r="B119" s="1345"/>
      <c r="C119" s="1345"/>
      <c r="D119" s="1345"/>
      <c r="E119" s="1345"/>
      <c r="F119" s="1345"/>
      <c r="G119" s="1345"/>
      <c r="H119" s="1345"/>
      <c r="X119" s="38"/>
    </row>
    <row r="120" spans="1:28" outlineLevel="1" x14ac:dyDescent="0.25">
      <c r="A120" s="186" t="s">
        <v>534</v>
      </c>
      <c r="B120" s="1345"/>
      <c r="C120" s="1345"/>
      <c r="D120" s="1345"/>
      <c r="E120" s="1345"/>
      <c r="F120" s="1345"/>
      <c r="G120" s="1345"/>
      <c r="H120" s="1345"/>
      <c r="X120" s="38"/>
    </row>
    <row r="121" spans="1:28" outlineLevel="1" x14ac:dyDescent="0.25">
      <c r="A121" s="4" t="s">
        <v>535</v>
      </c>
      <c r="B121" s="1345">
        <v>638</v>
      </c>
      <c r="C121" s="1345">
        <v>-64</v>
      </c>
      <c r="D121" s="1345">
        <v>0</v>
      </c>
      <c r="E121" s="1345"/>
      <c r="F121" s="1345"/>
      <c r="G121" s="1345"/>
      <c r="H121" s="1345"/>
      <c r="X121" s="38"/>
    </row>
    <row r="122" spans="1:28" outlineLevel="1" x14ac:dyDescent="0.25">
      <c r="A122" s="4" t="s">
        <v>536</v>
      </c>
      <c r="B122" s="1345"/>
      <c r="C122" s="1345"/>
      <c r="D122" s="4">
        <f>BS!D14-BS!C14-CF!D64</f>
        <v>0</v>
      </c>
      <c r="E122" s="4">
        <f>BS!E14-BS!D14-CF!E64</f>
        <v>-37</v>
      </c>
      <c r="F122" s="4">
        <f>BS!F14-BS!E14-CF!F64</f>
        <v>-11</v>
      </c>
      <c r="G122" s="4">
        <f>BS!G14-BS!F14-CF!G64</f>
        <v>11</v>
      </c>
      <c r="H122" s="4">
        <f>BS!H14-BS!G14-CF!H64</f>
        <v>0</v>
      </c>
      <c r="I122" s="4">
        <f>BS!I14-BS!H14-CF!I64</f>
        <v>0</v>
      </c>
      <c r="J122" s="4">
        <f>BS!J14-BS!I14-CF!J64</f>
        <v>0</v>
      </c>
      <c r="K122" s="4">
        <f>BS!K14-BS!J14-CF!K64</f>
        <v>-110</v>
      </c>
      <c r="L122" s="4">
        <f>BS!L14-BS!K14-CF!L64</f>
        <v>0</v>
      </c>
      <c r="M122" s="4">
        <f>BS!M14-BS!L14-CF!M64</f>
        <v>0</v>
      </c>
      <c r="N122" s="4">
        <f>BS!N14-BS!M14-CF!N64</f>
        <v>-180</v>
      </c>
      <c r="O122" s="4">
        <f>BS!O14-BS!N14-CF!O64</f>
        <v>180</v>
      </c>
      <c r="P122" s="4">
        <f>BS!P14-BS!O14-CF!P64</f>
        <v>0</v>
      </c>
      <c r="Q122" s="4">
        <f>BS!Q14-BS!P14-CF!Q64</f>
        <v>0</v>
      </c>
      <c r="R122" s="4">
        <f>BS!R14-BS!Q14-CF!R64</f>
        <v>0</v>
      </c>
      <c r="S122" s="4">
        <f>BS!S14-BS!R14-CF!S64</f>
        <v>0</v>
      </c>
      <c r="T122" s="4">
        <f>BS!T14-BS!S14-CF!T64</f>
        <v>0</v>
      </c>
      <c r="U122" s="4">
        <f>BS!U14-BS!T14-CF!U64</f>
        <v>0</v>
      </c>
      <c r="V122" s="4">
        <f>BS!V14-BS!U14-CF!V64</f>
        <v>0</v>
      </c>
      <c r="W122" s="4">
        <f>BS!W14-BS!V14-CF!W64</f>
        <v>0</v>
      </c>
      <c r="X122" s="38"/>
    </row>
    <row r="123" spans="1:28" outlineLevel="1" x14ac:dyDescent="0.25">
      <c r="A123" s="4" t="s">
        <v>537</v>
      </c>
      <c r="B123" s="1345"/>
      <c r="C123" s="1345"/>
      <c r="D123" s="1345"/>
      <c r="E123" s="1345"/>
      <c r="F123" s="1345"/>
      <c r="G123" s="1345"/>
      <c r="H123" s="1345"/>
      <c r="W123" s="180"/>
      <c r="X123" s="38"/>
    </row>
    <row r="124" spans="1:28" x14ac:dyDescent="0.25">
      <c r="A124" s="4" t="s">
        <v>538</v>
      </c>
      <c r="B124" s="1345">
        <f t="shared" ref="B124:L124" si="174">B98</f>
        <v>38.419689659999996</v>
      </c>
      <c r="C124" s="1345">
        <f t="shared" si="174"/>
        <v>126.65172672</v>
      </c>
      <c r="D124" s="1345">
        <f t="shared" si="174"/>
        <v>90.375863159999994</v>
      </c>
      <c r="E124" s="1345">
        <f t="shared" si="174"/>
        <v>164.40475839999999</v>
      </c>
      <c r="F124" s="1345">
        <f t="shared" si="174"/>
        <v>101.3386005</v>
      </c>
      <c r="G124" s="1345">
        <f t="shared" si="174"/>
        <v>152.41090882</v>
      </c>
      <c r="H124" s="1345">
        <f t="shared" si="174"/>
        <v>201.76178100000001</v>
      </c>
      <c r="I124" s="1345">
        <f t="shared" si="174"/>
        <v>251.93056315999999</v>
      </c>
      <c r="J124" s="1345">
        <f t="shared" si="174"/>
        <v>399.28308959999998</v>
      </c>
      <c r="K124" s="1345">
        <f t="shared" si="174"/>
        <v>466.39625648000003</v>
      </c>
      <c r="L124" s="1345">
        <f t="shared" si="174"/>
        <v>499.69604160000006</v>
      </c>
      <c r="M124" s="1343">
        <f t="shared" ref="M124:AB124" si="175">M102*M99</f>
        <v>576.24526277999996</v>
      </c>
      <c r="N124" s="1343">
        <f t="shared" si="175"/>
        <v>643.90080095999997</v>
      </c>
      <c r="O124" s="1343">
        <f t="shared" si="175"/>
        <v>668.02919680000014</v>
      </c>
      <c r="P124" s="1343">
        <f t="shared" si="175"/>
        <v>794.13084842000001</v>
      </c>
      <c r="Q124" s="1343">
        <f t="shared" si="175"/>
        <v>0</v>
      </c>
      <c r="R124" s="1343">
        <f t="shared" si="175"/>
        <v>189.39801284999999</v>
      </c>
      <c r="S124" s="1343">
        <f t="shared" si="175"/>
        <v>220.04351449999999</v>
      </c>
      <c r="T124" s="1343">
        <f t="shared" si="175"/>
        <v>594.21590415000003</v>
      </c>
      <c r="U124" s="1343">
        <f t="shared" ref="U124:V124" si="176">U102*U99</f>
        <v>949.02183420000006</v>
      </c>
      <c r="V124" s="1343">
        <f t="shared" si="176"/>
        <v>1220.0948237</v>
      </c>
      <c r="W124" s="1344">
        <f t="shared" ref="W124" si="177">W102*W99</f>
        <v>1399.9083381</v>
      </c>
      <c r="X124" s="1615">
        <f t="shared" si="175"/>
        <v>1726.1095527157029</v>
      </c>
      <c r="Y124" s="146">
        <f t="shared" si="175"/>
        <v>2297.5904896740344</v>
      </c>
      <c r="Z124" s="146">
        <f t="shared" si="175"/>
        <v>2536.7322437785292</v>
      </c>
      <c r="AA124" s="146">
        <f t="shared" si="175"/>
        <v>2725.1752864289297</v>
      </c>
      <c r="AB124" s="146">
        <f t="shared" si="175"/>
        <v>2868.4987895114932</v>
      </c>
    </row>
    <row r="125" spans="1:28" x14ac:dyDescent="0.25">
      <c r="A125" s="4" t="s">
        <v>539</v>
      </c>
      <c r="B125" s="1345"/>
      <c r="C125" s="1345"/>
      <c r="D125" s="1345"/>
      <c r="E125" s="1345"/>
      <c r="F125" s="1345"/>
      <c r="G125" s="1345"/>
      <c r="H125" s="1345"/>
      <c r="I125" s="1345"/>
      <c r="J125" s="1345"/>
      <c r="K125" s="1345"/>
      <c r="L125" s="1345">
        <f>'Valuation Summary'!L8-CF!L69-(BS!L49*2)</f>
        <v>-3808</v>
      </c>
      <c r="M125" s="1343">
        <f>'Valuation Summary'!M8-CF!M69-(BS!M49*2)</f>
        <v>-4023</v>
      </c>
      <c r="N125" s="1343">
        <f>'Valuation Summary'!N8-CF!N69-(BS!N49*2)</f>
        <v>-3868</v>
      </c>
      <c r="O125" s="1343">
        <f>'Valuation Summary'!O8-CF!O69-(BS!O49*2)</f>
        <v>-4025</v>
      </c>
      <c r="P125" s="1343">
        <f>'Valuation Summary'!P8-CF!P69-(BS!P49*2)</f>
        <v>-3475</v>
      </c>
      <c r="Q125" s="1343">
        <f>'Valuation Summary'!Q8-CF!Q69-(BS!Q49*2)</f>
        <v>-3870</v>
      </c>
      <c r="R125" s="1343">
        <f>'Valuation Summary'!R8-CF!R69-(BS!R49*2)</f>
        <v>-3701</v>
      </c>
      <c r="S125" s="1343">
        <f>'Valuation Summary'!S8-CF!S69-(BS!S49*2)</f>
        <v>-3737</v>
      </c>
      <c r="T125" s="1343">
        <f>'Valuation Summary'!T8-CF!T69-(BS!T49*2)</f>
        <v>-3459</v>
      </c>
      <c r="U125" s="1343">
        <f>'Valuation Summary'!U8-CF!U69-(BS!U49*2)</f>
        <v>-3630</v>
      </c>
      <c r="V125" s="1343">
        <f>'Valuation Summary'!V8-CF!V69-(BS!V49*2)</f>
        <v>-4106</v>
      </c>
      <c r="W125" s="1344">
        <f>'Valuation Summary'!W8-CF!W69-(BS!W49*2)</f>
        <v>-4143</v>
      </c>
      <c r="X125" s="1615">
        <f>'Valuation Summary'!X8-CF!X69-(BS!X49*2)</f>
        <v>-4237</v>
      </c>
      <c r="Y125" s="146">
        <f>'Valuation Summary'!Y8-CF!Y69-(BS!Y49*2)</f>
        <v>-4331</v>
      </c>
      <c r="Z125" s="146">
        <f>'Valuation Summary'!Z8-CF!Z69-(BS!Z49*2)</f>
        <v>-4425</v>
      </c>
      <c r="AA125" s="146">
        <f>'Valuation Summary'!AA8-CF!AA69-(BS!AA49*2)</f>
        <v>-4519</v>
      </c>
      <c r="AB125" s="146">
        <f>'Valuation Summary'!AB8-CF!AB69-(BS!AB49*2)</f>
        <v>-4613</v>
      </c>
    </row>
    <row r="126" spans="1:28" x14ac:dyDescent="0.25">
      <c r="B126" s="1345"/>
      <c r="C126" s="1345"/>
      <c r="D126" s="1345"/>
      <c r="E126" s="1345"/>
      <c r="F126" s="1345"/>
      <c r="G126" s="1345"/>
      <c r="H126" s="1345"/>
      <c r="W126" s="180"/>
      <c r="X126" s="38"/>
    </row>
    <row r="127" spans="1:28" x14ac:dyDescent="0.25">
      <c r="A127" s="186" t="s">
        <v>540</v>
      </c>
      <c r="W127" s="180"/>
      <c r="X127" s="38"/>
    </row>
    <row r="128" spans="1:28" x14ac:dyDescent="0.25">
      <c r="A128" s="4" t="s">
        <v>541</v>
      </c>
      <c r="M128" s="21">
        <f>Propulsion!O121</f>
        <v>0.189</v>
      </c>
      <c r="N128" s="24">
        <f>Propulsion!P121</f>
        <v>6.9000000000000006E-2</v>
      </c>
      <c r="O128" s="24">
        <f>Propulsion!Q121</f>
        <v>0.112</v>
      </c>
      <c r="P128" s="24">
        <f>Propulsion!S121</f>
        <v>0.122</v>
      </c>
      <c r="Q128" s="24">
        <f>Propulsion!U121</f>
        <v>9.9000000000000005E-2</v>
      </c>
      <c r="R128" s="24">
        <f>Propulsion!V121</f>
        <v>-0.432</v>
      </c>
      <c r="S128" s="24">
        <f>Propulsion!W121</f>
        <v>7.0999999999999994E-2</v>
      </c>
      <c r="T128" s="24">
        <f>Propulsion!X121</f>
        <v>0.29299999999999998</v>
      </c>
      <c r="U128" s="24">
        <f>Propulsion!AF121</f>
        <v>0.32900000000000001</v>
      </c>
      <c r="V128" s="24">
        <f>Propulsion!AN121</f>
        <v>0.249</v>
      </c>
      <c r="W128" s="1431">
        <f>Propulsion!AO121</f>
        <v>0.22107083340856137</v>
      </c>
      <c r="X128" s="1606">
        <f>Propulsion!BD121</f>
        <v>0.2712140992167098</v>
      </c>
      <c r="Y128" s="155">
        <f>Propulsion!BL121</f>
        <v>0.13584724005134863</v>
      </c>
      <c r="Z128" s="155">
        <f>Propulsion!BT121</f>
        <v>0.11098239764925211</v>
      </c>
      <c r="AA128" s="155">
        <f>Propulsion!CB121</f>
        <v>8.6120965896085311E-2</v>
      </c>
      <c r="AB128" s="155">
        <f>Propulsion!CJ121</f>
        <v>6.1263075541132528E-2</v>
      </c>
    </row>
    <row r="129" spans="1:28" x14ac:dyDescent="0.25">
      <c r="A129" s="4" t="s">
        <v>542</v>
      </c>
      <c r="L129" s="4">
        <f>'Civil OE'!B207</f>
        <v>0</v>
      </c>
      <c r="M129" s="4">
        <f>'Civil OE'!C207</f>
        <v>0</v>
      </c>
      <c r="N129" s="4">
        <f>'Civil OE'!D207</f>
        <v>77</v>
      </c>
      <c r="O129" s="4">
        <f>'Civil OE'!E207</f>
        <v>461</v>
      </c>
      <c r="P129" s="4">
        <f>'Civil OE'!F207</f>
        <v>1119</v>
      </c>
      <c r="Q129" s="4">
        <f>'Civil OE'!G207</f>
        <v>1736</v>
      </c>
      <c r="R129" s="4">
        <f>'Civil OE'!H207</f>
        <v>815</v>
      </c>
      <c r="S129" s="4">
        <f>'Civil OE'!I207</f>
        <v>845</v>
      </c>
      <c r="T129" s="4">
        <f>'Civil OE'!J207</f>
        <v>1136</v>
      </c>
      <c r="U129" s="4">
        <f>'Civil OE'!R207</f>
        <v>1570</v>
      </c>
      <c r="V129" s="4">
        <f>'Civil OE'!Z207</f>
        <v>1407</v>
      </c>
      <c r="W129" s="180">
        <f>'Civil OE'!AH207</f>
        <v>1802</v>
      </c>
      <c r="X129" s="1667">
        <f>'Civil OE'!AP207</f>
        <v>2146</v>
      </c>
      <c r="Y129" s="11">
        <f>'Civil OE'!AX207</f>
        <v>2362</v>
      </c>
      <c r="Z129" s="11">
        <f>'Civil OE'!BF207</f>
        <v>2561</v>
      </c>
      <c r="AA129" s="11">
        <f>'Civil OE'!BN207</f>
        <v>2581</v>
      </c>
      <c r="AB129" s="11">
        <f>'Civil OE'!BV207</f>
        <v>2581</v>
      </c>
    </row>
    <row r="130" spans="1:28" x14ac:dyDescent="0.25">
      <c r="A130" s="4" t="s">
        <v>543</v>
      </c>
      <c r="L130" s="21">
        <f>Divisional!L54</f>
        <v>0.2002943701704894</v>
      </c>
      <c r="M130" s="21">
        <f>Divisional!M54</f>
        <v>0.19669492434810601</v>
      </c>
      <c r="N130" s="24">
        <f>Divisional!N54</f>
        <v>0.19018208923437332</v>
      </c>
      <c r="O130" s="24">
        <f>Divisional!O54</f>
        <v>0.17749717688122368</v>
      </c>
      <c r="P130" s="24">
        <f>Divisional!Q54</f>
        <v>0.18455797933409873</v>
      </c>
      <c r="Q130" s="24">
        <f>Divisional!S54</f>
        <v>0.20630967206309672</v>
      </c>
      <c r="R130" s="24">
        <f>Divisional!T54</f>
        <v>0.15555265561790421</v>
      </c>
      <c r="S130" s="24">
        <f>Divisional!U54</f>
        <v>0.1804005914773491</v>
      </c>
      <c r="T130" s="24">
        <f>Divisional!V54</f>
        <v>0.17988638754470859</v>
      </c>
      <c r="U130" s="24">
        <f>Divisional!W54</f>
        <v>0.20124621084540248</v>
      </c>
      <c r="V130" s="24">
        <f>Divisional!X54</f>
        <v>0.20648989159097569</v>
      </c>
      <c r="W130" s="1431">
        <f>Divisional!Y54</f>
        <v>0.2297676793464386</v>
      </c>
      <c r="X130" s="1606">
        <f>Divisional!Z54</f>
        <v>0.24334267868847131</v>
      </c>
      <c r="Y130" s="22">
        <f>Divisional!AA54</f>
        <v>0.24606160185204398</v>
      </c>
      <c r="Z130" s="22">
        <f>Divisional!AB54</f>
        <v>0.23979723393706426</v>
      </c>
      <c r="AA130" s="22">
        <f>Divisional!AC54</f>
        <v>0.23768183346860294</v>
      </c>
      <c r="AB130" s="22">
        <f>Divisional!AD54</f>
        <v>0.2434740708884395</v>
      </c>
    </row>
    <row r="131" spans="1:28" x14ac:dyDescent="0.25">
      <c r="A131" s="4" t="s">
        <v>544</v>
      </c>
      <c r="L131" s="21">
        <f>Divisional!L62</f>
        <v>0.13604689026375774</v>
      </c>
      <c r="M131" s="21">
        <f>Divisional!M62</f>
        <v>0.13965774664063396</v>
      </c>
      <c r="N131" s="24">
        <f>Divisional!N62</f>
        <v>0.15233508649641975</v>
      </c>
      <c r="O131" s="24">
        <f>Divisional!O62</f>
        <v>0.14950668845711518</v>
      </c>
      <c r="P131" s="24">
        <f>Divisional!Q62</f>
        <v>0.14361045130641331</v>
      </c>
      <c r="Q131" s="24">
        <f>Divisional!S62</f>
        <v>0.15503246753246752</v>
      </c>
      <c r="R131" s="24">
        <f>Divisional!T62</f>
        <v>0.10219420535822524</v>
      </c>
      <c r="S131" s="24">
        <f>Divisional!U62</f>
        <v>0.11830635118306351</v>
      </c>
      <c r="T131" s="24">
        <f>Divisional!V62</f>
        <v>0.12650380877331233</v>
      </c>
      <c r="U131" s="24">
        <f>Divisional!W62</f>
        <v>0.13647139962929436</v>
      </c>
      <c r="V131" s="24">
        <f>Divisional!X62</f>
        <v>0.15078522531756783</v>
      </c>
      <c r="W131" s="1431">
        <f>Divisional!Y62</f>
        <v>0.16588464362092631</v>
      </c>
      <c r="X131" s="1606">
        <f>Divisional!Z62</f>
        <v>0.18237675397410577</v>
      </c>
      <c r="Y131" s="22">
        <f>Divisional!AA62</f>
        <v>0.18918752181169005</v>
      </c>
      <c r="Z131" s="22">
        <f>Divisional!AB62</f>
        <v>0.1891997625199526</v>
      </c>
      <c r="AA131" s="22">
        <f>Divisional!AC62</f>
        <v>0.18864965800424746</v>
      </c>
      <c r="AB131" s="22">
        <f>Divisional!AD62</f>
        <v>0.19090998052883573</v>
      </c>
    </row>
    <row r="132" spans="1:28" x14ac:dyDescent="0.25">
      <c r="A132" s="4" t="s">
        <v>545</v>
      </c>
      <c r="L132" s="31">
        <f>'Valuation Summary'!L76</f>
        <v>0.59294871794871795</v>
      </c>
      <c r="M132" s="31">
        <f>'Valuation Summary'!M76</f>
        <v>0.65721997300944668</v>
      </c>
      <c r="N132" s="32">
        <f>'Valuation Summary'!N76</f>
        <v>0.60476718403547669</v>
      </c>
      <c r="O132" s="32">
        <f>'Valuation Summary'!O76</f>
        <v>0.54822722073961117</v>
      </c>
      <c r="P132" s="32">
        <f>'Valuation Summary'!P76</f>
        <v>0.89904088844018171</v>
      </c>
      <c r="Q132" s="32">
        <f>'Valuation Summary'!Q76</f>
        <v>0.74409005628517821</v>
      </c>
      <c r="R132" s="32">
        <f>'Valuation Summary'!R76</f>
        <v>1.2713270142180095</v>
      </c>
      <c r="S132" s="32">
        <f>'Valuation Summary'!S76</f>
        <v>2.2105263157894739</v>
      </c>
      <c r="T132" s="32">
        <f>'Valuation Summary'!T76</f>
        <v>2.263157894736842</v>
      </c>
      <c r="U132" s="32">
        <f>'Valuation Summary'!U76</f>
        <v>1.4521696252465484</v>
      </c>
      <c r="V132" s="32">
        <f>'Valuation Summary'!V76</f>
        <v>1.0394393741851369</v>
      </c>
      <c r="W132" s="1384">
        <f>'Valuation Summary'!W76</f>
        <v>1.2353497164461247</v>
      </c>
      <c r="X132" s="1687">
        <f>'Valuation Summary'!X76</f>
        <v>1.1816472525824715</v>
      </c>
      <c r="Y132" s="519">
        <f>'Valuation Summary'!Y76</f>
        <v>0.98392121153348788</v>
      </c>
      <c r="Z132" s="519">
        <f>'Valuation Summary'!Z76</f>
        <v>0.94878324882815912</v>
      </c>
      <c r="AA132" s="519">
        <f>'Valuation Summary'!AA76</f>
        <v>0.94926170888678718</v>
      </c>
      <c r="AB132" s="519">
        <f>'Valuation Summary'!AB76</f>
        <v>0.91868012821967993</v>
      </c>
    </row>
  </sheetData>
  <pageMargins left="0.75" right="0.75" top="1" bottom="1" header="0.5" footer="0.5"/>
  <pageSetup paperSize="9" scale="88" fitToHeight="0"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5BC73-F52B-4884-A4FD-0FD84AFC906C}">
  <sheetPr codeName="Sheet9">
    <tabColor theme="4"/>
  </sheetPr>
  <dimension ref="A2:AL75"/>
  <sheetViews>
    <sheetView showGridLines="0" workbookViewId="0">
      <pane xSplit="1" ySplit="5" topLeftCell="R6" activePane="bottomRight" state="frozen"/>
      <selection pane="topRight" activeCell="B1" sqref="B1"/>
      <selection pane="bottomLeft" activeCell="A5" sqref="A5"/>
      <selection pane="bottomRight" activeCell="L6" sqref="L6"/>
    </sheetView>
  </sheetViews>
  <sheetFormatPr defaultColWidth="8.85546875" defaultRowHeight="15" outlineLevelRow="1" outlineLevelCol="1" x14ac:dyDescent="0.25"/>
  <cols>
    <col min="1" max="1" width="40.42578125" style="4" customWidth="1"/>
    <col min="2" max="2" width="6.5703125" style="4" hidden="1" customWidth="1" outlineLevel="1"/>
    <col min="3" max="4" width="8.28515625" style="4" hidden="1" customWidth="1" outlineLevel="1"/>
    <col min="5" max="5" width="7.140625" style="4" hidden="1" customWidth="1" outlineLevel="1"/>
    <col min="6" max="11" width="8.28515625" style="4" hidden="1" customWidth="1" outlineLevel="1"/>
    <col min="12" max="12" width="9" style="4" bestFit="1" customWidth="1" collapsed="1"/>
    <col min="13" max="31" width="8.85546875" style="4"/>
    <col min="32" max="32" width="54.7109375" hidden="1" customWidth="1" outlineLevel="1"/>
    <col min="33" max="35" width="7.140625" hidden="1" customWidth="1" outlineLevel="1"/>
    <col min="36" max="37" width="7.28515625" hidden="1" customWidth="1" outlineLevel="1"/>
    <col min="38" max="38" width="8.85546875" style="4" collapsed="1"/>
    <col min="39" max="16384" width="8.85546875" style="4"/>
  </cols>
  <sheetData>
    <row r="2" spans="1:37" customFormat="1" ht="11.25" customHeight="1" x14ac:dyDescent="0.25"/>
    <row r="3" spans="1:37" s="444" customFormat="1" x14ac:dyDescent="0.25">
      <c r="A3" s="42" t="s">
        <v>453</v>
      </c>
      <c r="B3" s="440" t="str">
        <f>BS!B58</f>
        <v>OK</v>
      </c>
      <c r="C3" s="440" t="str">
        <f>BS!C58</f>
        <v>OK</v>
      </c>
      <c r="D3" s="440" t="str">
        <f>BS!D58</f>
        <v>OK</v>
      </c>
      <c r="E3" s="440" t="str">
        <f>BS!E58</f>
        <v>OK</v>
      </c>
      <c r="F3" s="440" t="str">
        <f>BS!F58</f>
        <v>OK</v>
      </c>
      <c r="G3" s="440" t="str">
        <f>BS!G58</f>
        <v>OK</v>
      </c>
      <c r="H3" s="440" t="str">
        <f>BS!H58</f>
        <v>OK</v>
      </c>
      <c r="I3" s="440" t="str">
        <f>BS!I58</f>
        <v>OK</v>
      </c>
      <c r="J3" s="440" t="str">
        <f>BS!J58</f>
        <v>OK</v>
      </c>
      <c r="K3" s="441" t="str">
        <f>BS!K58</f>
        <v>OK</v>
      </c>
      <c r="L3" s="441" t="str">
        <f>BS!L58</f>
        <v>OK</v>
      </c>
      <c r="M3" s="441" t="str">
        <f>BS!M58</f>
        <v>OK</v>
      </c>
      <c r="N3" s="441" t="str">
        <f>BS!N58</f>
        <v>OK</v>
      </c>
      <c r="O3" s="441" t="str">
        <f>BS!O58</f>
        <v>OK</v>
      </c>
      <c r="P3" s="441" t="str">
        <f>BS!P58</f>
        <v>OK</v>
      </c>
      <c r="Q3" s="441" t="str">
        <f>BS!Q58</f>
        <v>OK</v>
      </c>
      <c r="R3" s="441" t="str">
        <f>BS!R58</f>
        <v>OK</v>
      </c>
      <c r="S3" s="441" t="str">
        <f>BS!S58</f>
        <v>OK</v>
      </c>
      <c r="T3" s="441" t="str">
        <f>BS!T58</f>
        <v>OK</v>
      </c>
      <c r="U3" s="441" t="str">
        <f>BS!U58</f>
        <v>OK</v>
      </c>
      <c r="V3" s="441" t="str">
        <f>BS!V58</f>
        <v>OK</v>
      </c>
      <c r="W3" s="442" t="str">
        <f>BS!W58</f>
        <v>OK</v>
      </c>
      <c r="X3" s="1625" t="str">
        <f>BS!X58</f>
        <v>OK</v>
      </c>
      <c r="Y3" s="443" t="str">
        <f>BS!Y58</f>
        <v>OK</v>
      </c>
      <c r="Z3" s="443">
        <f>BS!Z58</f>
        <v>1.4551915228366852E-11</v>
      </c>
      <c r="AA3" s="443" t="str">
        <f>BS!AA58</f>
        <v>OK</v>
      </c>
      <c r="AB3" s="443" t="str">
        <f>BS!AB58</f>
        <v>OK</v>
      </c>
      <c r="AF3"/>
      <c r="AG3"/>
      <c r="AH3"/>
      <c r="AI3"/>
      <c r="AJ3"/>
      <c r="AK3"/>
    </row>
    <row r="4" spans="1:37" s="444" customFormat="1" x14ac:dyDescent="0.25">
      <c r="A4" s="162"/>
      <c r="B4" s="440"/>
      <c r="C4" s="440">
        <f t="shared" ref="C4:AB4" si="0">IF(ISERROR(C3-B3),0,+(C3-B3))</f>
        <v>0</v>
      </c>
      <c r="D4" s="445">
        <f t="shared" si="0"/>
        <v>0</v>
      </c>
      <c r="E4" s="445">
        <f t="shared" si="0"/>
        <v>0</v>
      </c>
      <c r="F4" s="445">
        <f t="shared" si="0"/>
        <v>0</v>
      </c>
      <c r="G4" s="445">
        <f t="shared" si="0"/>
        <v>0</v>
      </c>
      <c r="H4" s="445">
        <f t="shared" si="0"/>
        <v>0</v>
      </c>
      <c r="I4" s="445">
        <f t="shared" si="0"/>
        <v>0</v>
      </c>
      <c r="J4" s="445">
        <f t="shared" si="0"/>
        <v>0</v>
      </c>
      <c r="K4" s="445">
        <f t="shared" si="0"/>
        <v>0</v>
      </c>
      <c r="L4" s="445">
        <f t="shared" si="0"/>
        <v>0</v>
      </c>
      <c r="M4" s="445">
        <f t="shared" si="0"/>
        <v>0</v>
      </c>
      <c r="N4" s="445">
        <f t="shared" si="0"/>
        <v>0</v>
      </c>
      <c r="O4" s="445">
        <f t="shared" si="0"/>
        <v>0</v>
      </c>
      <c r="P4" s="445">
        <f t="shared" si="0"/>
        <v>0</v>
      </c>
      <c r="Q4" s="445">
        <f t="shared" si="0"/>
        <v>0</v>
      </c>
      <c r="R4" s="445">
        <f t="shared" si="0"/>
        <v>0</v>
      </c>
      <c r="S4" s="445">
        <f t="shared" si="0"/>
        <v>0</v>
      </c>
      <c r="T4" s="445">
        <f t="shared" si="0"/>
        <v>0</v>
      </c>
      <c r="U4" s="445">
        <f t="shared" si="0"/>
        <v>0</v>
      </c>
      <c r="V4" s="445">
        <f t="shared" si="0"/>
        <v>0</v>
      </c>
      <c r="W4" s="446">
        <f t="shared" si="0"/>
        <v>0</v>
      </c>
      <c r="X4" s="1626">
        <f t="shared" si="0"/>
        <v>0</v>
      </c>
      <c r="Y4" s="447">
        <f t="shared" si="0"/>
        <v>0</v>
      </c>
      <c r="Z4" s="447">
        <f t="shared" si="0"/>
        <v>0</v>
      </c>
      <c r="AA4" s="447">
        <f t="shared" si="0"/>
        <v>0</v>
      </c>
      <c r="AB4" s="447">
        <f t="shared" si="0"/>
        <v>0</v>
      </c>
      <c r="AF4"/>
      <c r="AG4"/>
      <c r="AH4"/>
      <c r="AI4"/>
      <c r="AJ4"/>
      <c r="AK4"/>
    </row>
    <row r="5" spans="1:37" x14ac:dyDescent="0.25">
      <c r="A5" s="448" t="s">
        <v>454</v>
      </c>
      <c r="B5" s="449">
        <v>2004</v>
      </c>
      <c r="C5" s="449">
        <f>B5+1</f>
        <v>2005</v>
      </c>
      <c r="D5" s="449">
        <f t="shared" ref="D5:AB5" si="1">C5+1</f>
        <v>2006</v>
      </c>
      <c r="E5" s="449">
        <f t="shared" si="1"/>
        <v>2007</v>
      </c>
      <c r="F5" s="449">
        <f t="shared" si="1"/>
        <v>2008</v>
      </c>
      <c r="G5" s="449">
        <f t="shared" si="1"/>
        <v>2009</v>
      </c>
      <c r="H5" s="449">
        <f t="shared" si="1"/>
        <v>2010</v>
      </c>
      <c r="I5" s="449">
        <f t="shared" si="1"/>
        <v>2011</v>
      </c>
      <c r="J5" s="449">
        <f t="shared" si="1"/>
        <v>2012</v>
      </c>
      <c r="K5" s="449">
        <f t="shared" si="1"/>
        <v>2013</v>
      </c>
      <c r="L5" s="449">
        <f>K5+1</f>
        <v>2014</v>
      </c>
      <c r="M5" s="449">
        <f t="shared" si="1"/>
        <v>2015</v>
      </c>
      <c r="N5" s="449">
        <f t="shared" si="1"/>
        <v>2016</v>
      </c>
      <c r="O5" s="449">
        <f t="shared" si="1"/>
        <v>2017</v>
      </c>
      <c r="P5" s="449">
        <f t="shared" si="1"/>
        <v>2018</v>
      </c>
      <c r="Q5" s="449">
        <f t="shared" si="1"/>
        <v>2019</v>
      </c>
      <c r="R5" s="449">
        <f t="shared" si="1"/>
        <v>2020</v>
      </c>
      <c r="S5" s="449">
        <f t="shared" si="1"/>
        <v>2021</v>
      </c>
      <c r="T5" s="449">
        <f t="shared" si="1"/>
        <v>2022</v>
      </c>
      <c r="U5" s="449">
        <f t="shared" si="1"/>
        <v>2023</v>
      </c>
      <c r="V5" s="449">
        <f t="shared" si="1"/>
        <v>2024</v>
      </c>
      <c r="W5" s="450">
        <f t="shared" si="1"/>
        <v>2025</v>
      </c>
      <c r="X5" s="1627">
        <f t="shared" si="1"/>
        <v>2026</v>
      </c>
      <c r="Y5" s="7">
        <f t="shared" si="1"/>
        <v>2027</v>
      </c>
      <c r="Z5" s="7">
        <f t="shared" si="1"/>
        <v>2028</v>
      </c>
      <c r="AA5" s="7">
        <f t="shared" si="1"/>
        <v>2029</v>
      </c>
      <c r="AB5" s="7">
        <f t="shared" si="1"/>
        <v>2030</v>
      </c>
    </row>
    <row r="6" spans="1:37" x14ac:dyDescent="0.25">
      <c r="A6" s="186" t="s">
        <v>546</v>
      </c>
      <c r="B6" s="186"/>
      <c r="C6" s="186"/>
      <c r="D6" s="514"/>
      <c r="E6" s="514"/>
      <c r="F6" s="514"/>
      <c r="G6" s="514"/>
      <c r="H6" s="514"/>
      <c r="I6" s="514"/>
      <c r="J6" s="514"/>
      <c r="K6" s="514"/>
      <c r="L6" s="514"/>
      <c r="M6" s="514"/>
      <c r="N6" s="514"/>
      <c r="O6" s="514"/>
      <c r="P6" s="514"/>
      <c r="Q6" s="514"/>
      <c r="R6" s="514"/>
      <c r="S6" s="514"/>
      <c r="T6" s="514"/>
      <c r="U6" s="514"/>
      <c r="V6" s="514"/>
      <c r="W6" s="556"/>
      <c r="X6" s="1633"/>
      <c r="Y6" s="516"/>
      <c r="Z6" s="516"/>
      <c r="AA6" s="516"/>
      <c r="AB6" s="516"/>
    </row>
    <row r="7" spans="1:37" ht="11.25" customHeight="1" x14ac:dyDescent="0.25">
      <c r="A7" s="4" t="s">
        <v>547</v>
      </c>
      <c r="B7" s="1345">
        <v>154</v>
      </c>
      <c r="C7" s="1345">
        <v>-302</v>
      </c>
      <c r="D7" s="1345">
        <v>9</v>
      </c>
      <c r="E7" s="1345">
        <f>IS!E89</f>
        <v>39</v>
      </c>
      <c r="F7" s="1345">
        <f>IS!F89</f>
        <v>-205</v>
      </c>
      <c r="G7" s="1345">
        <f>IS!G89</f>
        <v>641</v>
      </c>
      <c r="H7" s="1345">
        <f>IS!H89</f>
        <v>207</v>
      </c>
      <c r="I7" s="1345">
        <f>IS!I89</f>
        <v>478</v>
      </c>
      <c r="J7" s="1345">
        <f>IS!J89</f>
        <v>1282</v>
      </c>
      <c r="K7" s="1343">
        <f>IS!K89</f>
        <v>1386</v>
      </c>
      <c r="L7" s="1343">
        <f>IS!L89</f>
        <v>-126</v>
      </c>
      <c r="M7" s="1343">
        <f>IS!M89</f>
        <v>-424</v>
      </c>
      <c r="N7" s="1343">
        <f>IS!N89</f>
        <v>1908</v>
      </c>
      <c r="O7" s="1343">
        <f>IS!O89</f>
        <v>4790</v>
      </c>
      <c r="P7" s="1343">
        <f>IS!P89</f>
        <v>1283</v>
      </c>
      <c r="Q7" s="1343">
        <f>IS!Q89</f>
        <v>2447</v>
      </c>
      <c r="R7" s="1343">
        <f>IS!R89</f>
        <v>352</v>
      </c>
      <c r="S7" s="1343">
        <f>IS!S89</f>
        <v>43</v>
      </c>
      <c r="T7" s="1343">
        <f>IS!T89</f>
        <v>-2459</v>
      </c>
      <c r="U7" s="1343">
        <f>IS!U89</f>
        <v>3444</v>
      </c>
      <c r="V7" s="1343">
        <f>IS!V89</f>
        <v>-667</v>
      </c>
      <c r="W7" s="1343">
        <f>IS!W89</f>
        <v>7177</v>
      </c>
      <c r="X7" s="1615">
        <f>IS!X89</f>
        <v>4436.8338817892572</v>
      </c>
      <c r="Y7" s="491">
        <f>IS!Y89</f>
        <v>5583.4562241850854</v>
      </c>
      <c r="Z7" s="491">
        <f>IS!Z89</f>
        <v>6187.4846094463228</v>
      </c>
      <c r="AA7" s="491">
        <f>IS!AA89</f>
        <v>6665.0749160723235</v>
      </c>
      <c r="AB7" s="491">
        <f>IS!AB89</f>
        <v>7030.1905087787327</v>
      </c>
      <c r="AC7" s="102"/>
    </row>
    <row r="8" spans="1:37" ht="11.25" customHeight="1" outlineLevel="1" x14ac:dyDescent="0.25">
      <c r="A8" s="4" t="s">
        <v>548</v>
      </c>
      <c r="B8" s="1345">
        <v>66</v>
      </c>
      <c r="C8" s="1345">
        <v>-223</v>
      </c>
      <c r="D8" s="1345">
        <v>109</v>
      </c>
      <c r="E8" s="1345">
        <v>30</v>
      </c>
      <c r="F8" s="1345">
        <v>-169</v>
      </c>
      <c r="G8" s="1345">
        <v>240</v>
      </c>
      <c r="H8" s="1345">
        <v>14</v>
      </c>
      <c r="I8" s="1345">
        <v>202</v>
      </c>
      <c r="J8" s="1345"/>
      <c r="K8" s="1345"/>
      <c r="L8" s="1345"/>
      <c r="M8" s="1343"/>
      <c r="N8" s="1343"/>
      <c r="O8" s="1343"/>
      <c r="P8" s="1343"/>
      <c r="Q8" s="1343"/>
      <c r="R8" s="1343"/>
      <c r="S8" s="1343"/>
      <c r="T8" s="1343"/>
      <c r="U8" s="1343"/>
      <c r="V8" s="1343"/>
      <c r="W8" s="1343"/>
      <c r="X8" s="1615">
        <f>-IS!X82</f>
        <v>2045.0982973125917</v>
      </c>
      <c r="Y8" s="146">
        <f>-IS!Y82</f>
        <v>1830.8187413950284</v>
      </c>
      <c r="Z8" s="146">
        <f>-IS!Z82</f>
        <v>2032.1615364821077</v>
      </c>
      <c r="AA8" s="146">
        <f>-IS!AA82</f>
        <v>2191.3583053574412</v>
      </c>
      <c r="AB8" s="146">
        <f>-IS!AB82</f>
        <v>2313.0635029262444</v>
      </c>
      <c r="AC8" s="102"/>
    </row>
    <row r="9" spans="1:37" ht="11.25" customHeight="1" outlineLevel="1" x14ac:dyDescent="0.25">
      <c r="A9" s="186" t="s">
        <v>549</v>
      </c>
      <c r="B9" s="147">
        <f t="shared" ref="B9:I9" si="2">B7+B8</f>
        <v>220</v>
      </c>
      <c r="C9" s="147">
        <f t="shared" si="2"/>
        <v>-525</v>
      </c>
      <c r="D9" s="147">
        <f t="shared" si="2"/>
        <v>118</v>
      </c>
      <c r="E9" s="147">
        <f t="shared" si="2"/>
        <v>69</v>
      </c>
      <c r="F9" s="147">
        <f t="shared" si="2"/>
        <v>-374</v>
      </c>
      <c r="G9" s="147">
        <f t="shared" si="2"/>
        <v>881</v>
      </c>
      <c r="H9" s="147">
        <f t="shared" si="2"/>
        <v>221</v>
      </c>
      <c r="I9" s="147">
        <f t="shared" si="2"/>
        <v>680</v>
      </c>
      <c r="J9" s="147"/>
      <c r="K9" s="141"/>
      <c r="L9" s="141"/>
      <c r="M9" s="141"/>
      <c r="N9" s="141"/>
      <c r="O9" s="141"/>
      <c r="P9" s="141"/>
      <c r="Q9" s="141"/>
      <c r="R9" s="141"/>
      <c r="S9" s="141">
        <f t="shared" ref="S9:AB9" si="3">S7+S8</f>
        <v>43</v>
      </c>
      <c r="T9" s="141">
        <f t="shared" si="3"/>
        <v>-2459</v>
      </c>
      <c r="U9" s="141">
        <f t="shared" ref="U9:V9" si="4">U7+U8</f>
        <v>3444</v>
      </c>
      <c r="V9" s="141">
        <f t="shared" si="4"/>
        <v>-667</v>
      </c>
      <c r="W9" s="141">
        <f t="shared" ref="W9" si="5">W7+W8</f>
        <v>7177</v>
      </c>
      <c r="X9" s="1616">
        <f t="shared" si="3"/>
        <v>6481.9321791018492</v>
      </c>
      <c r="Y9" s="493">
        <f t="shared" si="3"/>
        <v>7414.2749655801135</v>
      </c>
      <c r="Z9" s="493">
        <f t="shared" si="3"/>
        <v>8219.646145928431</v>
      </c>
      <c r="AA9" s="493">
        <f t="shared" si="3"/>
        <v>8856.4332214297647</v>
      </c>
      <c r="AB9" s="493">
        <f t="shared" si="3"/>
        <v>9343.2540117049775</v>
      </c>
      <c r="AC9" s="147"/>
      <c r="AD9" s="520"/>
      <c r="AE9" s="520"/>
    </row>
    <row r="10" spans="1:37" ht="11.25" customHeight="1" x14ac:dyDescent="0.25">
      <c r="A10" s="4" t="s">
        <v>550</v>
      </c>
      <c r="B10" s="1345">
        <v>-104</v>
      </c>
      <c r="C10" s="1345">
        <v>-119</v>
      </c>
      <c r="D10" s="1345">
        <v>-202</v>
      </c>
      <c r="E10" s="1345">
        <v>-212</v>
      </c>
      <c r="F10" s="1345">
        <v>-257</v>
      </c>
      <c r="G10" s="1345">
        <v>-73</v>
      </c>
      <c r="H10" s="1345">
        <v>-103</v>
      </c>
      <c r="I10" s="1345">
        <v>-241</v>
      </c>
      <c r="J10" s="1345">
        <v>-238</v>
      </c>
      <c r="K10" s="1345">
        <v>-171</v>
      </c>
      <c r="L10" s="1343">
        <v>-279</v>
      </c>
      <c r="M10" s="1343">
        <v>-406</v>
      </c>
      <c r="N10" s="1343">
        <v>-292</v>
      </c>
      <c r="O10" s="1343">
        <v>-582</v>
      </c>
      <c r="P10" s="1343">
        <v>-531</v>
      </c>
      <c r="Q10" s="1343">
        <v>-887</v>
      </c>
      <c r="R10" s="1343">
        <v>-143</v>
      </c>
      <c r="S10" s="1343">
        <v>-302</v>
      </c>
      <c r="T10" s="1343">
        <v>-233</v>
      </c>
      <c r="U10" s="1343">
        <v>-850</v>
      </c>
      <c r="V10" s="1343">
        <v>-935</v>
      </c>
      <c r="W10" s="1343">
        <f>-IS!W110</f>
        <v>-1962</v>
      </c>
      <c r="X10" s="1615">
        <f>-IS!X110</f>
        <v>-2086.058297312592</v>
      </c>
      <c r="Y10" s="491">
        <f>-IS!Y110</f>
        <v>-1955.8187413950284</v>
      </c>
      <c r="Z10" s="491">
        <f>-IS!Z110</f>
        <v>-2157.1615364821077</v>
      </c>
      <c r="AA10" s="491">
        <f>-IS!AA110</f>
        <v>-2316.3583053574412</v>
      </c>
      <c r="AB10" s="491">
        <f>-IS!AB110</f>
        <v>-2438.0635029262444</v>
      </c>
      <c r="AC10" s="102"/>
    </row>
    <row r="11" spans="1:37" ht="11.25" customHeight="1" x14ac:dyDescent="0.25">
      <c r="A11" s="521" t="s">
        <v>551</v>
      </c>
      <c r="B11" s="1345"/>
      <c r="C11" s="1345"/>
      <c r="D11" s="1345"/>
      <c r="E11" s="1345"/>
      <c r="F11" s="1345"/>
      <c r="G11" s="1345"/>
      <c r="H11" s="1345"/>
      <c r="I11" s="509"/>
      <c r="J11" s="509"/>
      <c r="K11" s="522"/>
      <c r="L11" s="522"/>
      <c r="M11" s="522"/>
      <c r="N11" s="522"/>
      <c r="O11" s="522"/>
      <c r="P11" s="522"/>
      <c r="Q11" s="522"/>
      <c r="R11" s="522"/>
      <c r="S11" s="522"/>
      <c r="T11" s="522"/>
      <c r="U11" s="522"/>
      <c r="V11" s="1688"/>
      <c r="W11" s="1688"/>
      <c r="X11" s="1632" t="str">
        <f>IF((X10-IS!X82)=IS!X112,"OK","Error")</f>
        <v>OK</v>
      </c>
      <c r="Y11" s="523" t="str">
        <f>IF((Y10-IS!Y82)=IS!Y112,"OK","Error")</f>
        <v>OK</v>
      </c>
      <c r="Z11" s="523" t="str">
        <f>IF((Z10-IS!Z82)=IS!Z112,"OK","Error")</f>
        <v>OK</v>
      </c>
      <c r="AA11" s="523" t="str">
        <f>IF((AA10-IS!AA82)=IS!AA112,"OK","Error")</f>
        <v>OK</v>
      </c>
      <c r="AB11" s="523" t="str">
        <f>IF((AB10-IS!AB82)=IS!AB112,"OK","Error")</f>
        <v>OK</v>
      </c>
    </row>
    <row r="12" spans="1:37" ht="11.25" customHeight="1" x14ac:dyDescent="0.25">
      <c r="A12" s="4" t="s">
        <v>552</v>
      </c>
      <c r="B12" s="1345">
        <v>0</v>
      </c>
      <c r="C12" s="1345">
        <v>-3</v>
      </c>
      <c r="D12" s="1345">
        <v>4</v>
      </c>
      <c r="E12" s="1345">
        <v>4</v>
      </c>
      <c r="F12" s="1345">
        <v>-4</v>
      </c>
      <c r="G12" s="1345">
        <v>-2</v>
      </c>
      <c r="H12" s="1345">
        <v>-9</v>
      </c>
      <c r="I12" s="1345">
        <v>-10</v>
      </c>
      <c r="J12" s="1345">
        <v>-19</v>
      </c>
      <c r="K12" s="1343">
        <v>-26</v>
      </c>
      <c r="L12" s="1343">
        <v>-36</v>
      </c>
      <c r="M12" s="1343">
        <v>-8</v>
      </c>
      <c r="N12" s="1343">
        <v>-63</v>
      </c>
      <c r="O12" s="1343">
        <v>-110</v>
      </c>
      <c r="P12" s="1343">
        <v>-124</v>
      </c>
      <c r="Q12" s="1343">
        <v>-87</v>
      </c>
      <c r="R12" s="1343">
        <v>22</v>
      </c>
      <c r="S12" s="1343">
        <v>702</v>
      </c>
      <c r="T12" s="1343">
        <v>11</v>
      </c>
      <c r="U12" s="1343">
        <v>-83</v>
      </c>
      <c r="V12" s="1343">
        <v>-120</v>
      </c>
      <c r="W12" s="1343">
        <v>-180</v>
      </c>
      <c r="X12" s="1615">
        <f>-(BS!X192+BS!X193+BS!X194)</f>
        <v>-140</v>
      </c>
      <c r="Y12" s="146">
        <f>-(BS!Y192+BS!Y193+BS!Y194)</f>
        <v>-140</v>
      </c>
      <c r="Z12" s="146">
        <f>-(BS!Z192+BS!Z193+BS!Z194)</f>
        <v>-140</v>
      </c>
      <c r="AA12" s="146">
        <f>-(BS!AA192+BS!AA193+BS!AA194)</f>
        <v>-140</v>
      </c>
      <c r="AB12" s="146">
        <f>-(BS!AB192+BS!AB193+BS!AB194)</f>
        <v>-140</v>
      </c>
      <c r="AC12" s="102"/>
    </row>
    <row r="13" spans="1:37" ht="11.25" customHeight="1" x14ac:dyDescent="0.25">
      <c r="A13" s="186" t="s">
        <v>553</v>
      </c>
      <c r="B13" s="1345"/>
      <c r="C13" s="1345"/>
      <c r="D13" s="1345"/>
      <c r="E13" s="1345"/>
      <c r="F13" s="1345"/>
      <c r="G13" s="1345"/>
      <c r="H13" s="1345"/>
      <c r="I13" s="1345"/>
      <c r="J13" s="1345"/>
      <c r="K13" s="1343"/>
      <c r="L13" s="1343"/>
      <c r="M13" s="1343"/>
      <c r="N13" s="1343"/>
      <c r="O13" s="1343"/>
      <c r="P13" s="1343"/>
      <c r="Q13" s="1343"/>
      <c r="R13" s="1343"/>
      <c r="S13" s="1343"/>
      <c r="T13" s="1343"/>
      <c r="U13" s="1343"/>
      <c r="V13" s="1343"/>
      <c r="W13" s="1343"/>
      <c r="X13" s="148"/>
      <c r="Y13" s="102"/>
      <c r="Z13" s="102"/>
      <c r="AA13" s="102"/>
      <c r="AB13" s="102"/>
      <c r="AC13" s="102"/>
    </row>
    <row r="14" spans="1:37" ht="11.25" customHeight="1" x14ac:dyDescent="0.25">
      <c r="A14" s="4" t="s">
        <v>462</v>
      </c>
      <c r="B14" s="1345">
        <v>97</v>
      </c>
      <c r="C14" s="1345">
        <v>455</v>
      </c>
      <c r="D14" s="1345">
        <v>575</v>
      </c>
      <c r="E14" s="1345">
        <v>513</v>
      </c>
      <c r="F14" s="1345">
        <v>540</v>
      </c>
      <c r="G14" s="1345">
        <v>573</v>
      </c>
      <c r="H14" s="1345">
        <v>606</v>
      </c>
      <c r="I14" s="1345">
        <v>662</v>
      </c>
      <c r="J14" s="1345">
        <v>721</v>
      </c>
      <c r="K14" s="1343">
        <v>730</v>
      </c>
      <c r="L14" s="1343">
        <v>818</v>
      </c>
      <c r="M14" s="1343">
        <v>922</v>
      </c>
      <c r="N14" s="1343">
        <v>726</v>
      </c>
      <c r="O14" s="1343">
        <v>802</v>
      </c>
      <c r="P14" s="1343">
        <v>1209</v>
      </c>
      <c r="Q14" s="1343">
        <v>1463</v>
      </c>
      <c r="R14" s="1343">
        <v>1447</v>
      </c>
      <c r="S14" s="1343">
        <v>1380</v>
      </c>
      <c r="T14" s="1343">
        <v>1373</v>
      </c>
      <c r="U14" s="1343">
        <v>1336</v>
      </c>
      <c r="V14" s="1343">
        <v>1406</v>
      </c>
      <c r="W14" s="1343">
        <v>1478</v>
      </c>
      <c r="X14" s="1615">
        <f>-IS!X71</f>
        <v>1806.9030312602167</v>
      </c>
      <c r="Y14" s="491">
        <f>-IS!Y71</f>
        <v>1941.0228353924967</v>
      </c>
      <c r="Z14" s="491">
        <f>-IS!Z71</f>
        <v>2087.6153693894985</v>
      </c>
      <c r="AA14" s="491">
        <f>-IS!AA71</f>
        <v>2205.5890680040884</v>
      </c>
      <c r="AB14" s="491">
        <f>-IS!AB71</f>
        <v>2256.5238087139073</v>
      </c>
      <c r="AC14" s="102"/>
    </row>
    <row r="15" spans="1:37" ht="11.25" customHeight="1" x14ac:dyDescent="0.25">
      <c r="A15" s="521" t="s">
        <v>554</v>
      </c>
      <c r="B15" s="1345"/>
      <c r="C15" s="1345"/>
      <c r="D15" s="1345"/>
      <c r="E15" s="1345"/>
      <c r="F15" s="1345"/>
      <c r="G15" s="1345"/>
      <c r="H15" s="1345"/>
      <c r="I15" s="509"/>
      <c r="J15" s="509"/>
      <c r="K15" s="522"/>
      <c r="L15" s="522"/>
      <c r="M15" s="522"/>
      <c r="N15" s="522"/>
      <c r="O15" s="522"/>
      <c r="P15" s="522"/>
      <c r="Q15" s="522"/>
      <c r="R15" s="522"/>
      <c r="S15" s="522"/>
      <c r="T15" s="522"/>
      <c r="U15" s="522"/>
      <c r="V15" s="1688"/>
      <c r="W15" s="1688"/>
      <c r="X15" s="1632" t="str">
        <f>IF(X14=-SUM(BS!X91,BS!X71),"OK","Error")</f>
        <v>OK</v>
      </c>
      <c r="Y15" s="523" t="str">
        <f>IF(Y14=-SUM(BS!Y91,BS!Y71),"OK","Error")</f>
        <v>OK</v>
      </c>
      <c r="Z15" s="523" t="str">
        <f>IF(Z14=-SUM(BS!Z91,BS!Z71),"OK","Error")</f>
        <v>OK</v>
      </c>
      <c r="AA15" s="523" t="str">
        <f>IF(AA14=-SUM(BS!AA91,BS!AA71),"OK","Error")</f>
        <v>OK</v>
      </c>
      <c r="AB15" s="523" t="str">
        <f>IF(AB14=-SUM(BS!AB91,BS!AB71),"OK","Error")</f>
        <v>OK</v>
      </c>
    </row>
    <row r="16" spans="1:37" ht="11.25" customHeight="1" x14ac:dyDescent="0.25">
      <c r="A16" s="4" t="s">
        <v>555</v>
      </c>
      <c r="B16" s="1345">
        <v>-1</v>
      </c>
      <c r="C16" s="1345">
        <v>43</v>
      </c>
      <c r="D16" s="1345">
        <v>129</v>
      </c>
      <c r="E16" s="1345">
        <v>210</v>
      </c>
      <c r="F16" s="1345">
        <v>-10</v>
      </c>
      <c r="G16" s="1345">
        <v>177</v>
      </c>
      <c r="H16" s="1345">
        <v>-3</v>
      </c>
      <c r="I16" s="1345">
        <v>62</v>
      </c>
      <c r="J16" s="1345">
        <v>54</v>
      </c>
      <c r="K16" s="1343">
        <v>107</v>
      </c>
      <c r="L16" s="1343">
        <v>137</v>
      </c>
      <c r="M16" s="1343">
        <v>1004</v>
      </c>
      <c r="N16" s="1343">
        <v>243</v>
      </c>
      <c r="O16" s="1343">
        <v>73</v>
      </c>
      <c r="P16" s="1343">
        <v>-19</v>
      </c>
      <c r="Q16" s="1343">
        <v>-42</v>
      </c>
      <c r="R16" s="1343">
        <v>377</v>
      </c>
      <c r="S16" s="1343">
        <v>91</v>
      </c>
      <c r="T16" s="1343">
        <v>411</v>
      </c>
      <c r="U16" s="1343">
        <v>148</v>
      </c>
      <c r="V16" s="1343">
        <v>0</v>
      </c>
      <c r="W16" s="1343">
        <v>489</v>
      </c>
      <c r="X16" s="1608">
        <v>111</v>
      </c>
      <c r="Y16" s="498">
        <v>0</v>
      </c>
      <c r="Z16" s="498">
        <v>0</v>
      </c>
      <c r="AA16" s="498">
        <v>0</v>
      </c>
      <c r="AB16" s="498">
        <v>0</v>
      </c>
      <c r="AC16" s="102"/>
    </row>
    <row r="17" spans="1:31" ht="11.25" customHeight="1" x14ac:dyDescent="0.25">
      <c r="A17" s="4" t="s">
        <v>390</v>
      </c>
      <c r="B17" s="1345">
        <v>-9</v>
      </c>
      <c r="C17" s="1345">
        <v>159</v>
      </c>
      <c r="D17" s="1345">
        <v>247</v>
      </c>
      <c r="E17" s="1345">
        <v>178</v>
      </c>
      <c r="F17" s="1345">
        <v>160</v>
      </c>
      <c r="G17" s="1345">
        <v>25</v>
      </c>
      <c r="H17" s="1345">
        <v>46</v>
      </c>
      <c r="I17" s="1345">
        <v>-29</v>
      </c>
      <c r="J17" s="1345">
        <v>187</v>
      </c>
      <c r="K17" s="1343">
        <v>79</v>
      </c>
      <c r="L17" s="1343">
        <v>205</v>
      </c>
      <c r="M17" s="1343">
        <v>131</v>
      </c>
      <c r="N17" s="1343">
        <v>-42</v>
      </c>
      <c r="O17" s="1343">
        <v>205</v>
      </c>
      <c r="P17" s="1343">
        <v>45</v>
      </c>
      <c r="Q17" s="1343">
        <v>168</v>
      </c>
      <c r="R17" s="1343">
        <v>-259</v>
      </c>
      <c r="S17" s="1343">
        <v>171</v>
      </c>
      <c r="T17" s="1343">
        <v>-169</v>
      </c>
      <c r="U17" s="1343">
        <v>-51</v>
      </c>
      <c r="V17" s="1343">
        <v>285</v>
      </c>
      <c r="W17" s="1343">
        <v>-149</v>
      </c>
      <c r="X17" s="1615">
        <f>(BS!X41-BS!W41)+(BS!X30-BS!W30)</f>
        <v>0</v>
      </c>
      <c r="Y17" s="491">
        <f>(BS!Y41-BS!X41)+(BS!Y30-BS!X30)</f>
        <v>0</v>
      </c>
      <c r="Z17" s="491">
        <f>(BS!Z41-BS!Y41)+(BS!Z30-BS!Y30)</f>
        <v>0</v>
      </c>
      <c r="AA17" s="491">
        <f>(BS!AA41-BS!Z41)+(BS!AA30-BS!Z30)</f>
        <v>0</v>
      </c>
      <c r="AB17" s="491">
        <f>(BS!AB41-BS!AA41)+(BS!AB30-BS!AA30)</f>
        <v>0</v>
      </c>
      <c r="AC17" s="102"/>
    </row>
    <row r="18" spans="1:31" ht="11.25" customHeight="1" x14ac:dyDescent="0.25">
      <c r="A18" s="4" t="s">
        <v>556</v>
      </c>
      <c r="B18" s="1345">
        <v>-1</v>
      </c>
      <c r="C18" s="1345">
        <v>508</v>
      </c>
      <c r="D18" s="1345">
        <v>135</v>
      </c>
      <c r="E18" s="1345">
        <v>368</v>
      </c>
      <c r="F18" s="1345">
        <v>657</v>
      </c>
      <c r="G18" s="1345">
        <v>-546</v>
      </c>
      <c r="H18" s="1345">
        <v>308</v>
      </c>
      <c r="I18" s="1345">
        <v>2</v>
      </c>
      <c r="J18" s="1345">
        <v>-779</v>
      </c>
      <c r="K18" s="1345">
        <v>-432</v>
      </c>
      <c r="L18" s="1345">
        <v>1934</v>
      </c>
      <c r="M18" s="1345">
        <v>2475</v>
      </c>
      <c r="N18" s="1345">
        <v>81</v>
      </c>
      <c r="O18" s="1345">
        <v>-3608</v>
      </c>
      <c r="P18" s="1345">
        <v>316</v>
      </c>
      <c r="Q18" s="1345">
        <v>-152</v>
      </c>
      <c r="R18" s="1345">
        <v>209</v>
      </c>
      <c r="S18" s="1345">
        <v>538</v>
      </c>
      <c r="T18" s="1345">
        <v>4207</v>
      </c>
      <c r="U18" s="1345">
        <v>-2161</v>
      </c>
      <c r="V18" s="1343">
        <v>4684</v>
      </c>
      <c r="W18" s="1343">
        <v>-5598</v>
      </c>
      <c r="X18" s="1608">
        <v>-9</v>
      </c>
      <c r="Y18" s="498">
        <v>0</v>
      </c>
      <c r="Z18" s="498">
        <v>0</v>
      </c>
      <c r="AA18" s="498">
        <v>0</v>
      </c>
      <c r="AB18" s="498">
        <v>0</v>
      </c>
      <c r="AC18" s="102"/>
    </row>
    <row r="19" spans="1:31" ht="11.25" customHeight="1" x14ac:dyDescent="0.25">
      <c r="A19" s="4" t="s">
        <v>557</v>
      </c>
      <c r="B19" s="1345">
        <v>0</v>
      </c>
      <c r="C19" s="1345">
        <v>2</v>
      </c>
      <c r="D19" s="1345">
        <v>-2</v>
      </c>
      <c r="E19" s="1345">
        <v>0</v>
      </c>
      <c r="F19" s="1345">
        <v>0</v>
      </c>
      <c r="G19" s="1345">
        <v>9</v>
      </c>
      <c r="H19" s="1345">
        <v>12</v>
      </c>
      <c r="I19" s="1345">
        <v>14</v>
      </c>
      <c r="J19" s="1345">
        <v>0</v>
      </c>
      <c r="K19" s="1343">
        <v>0</v>
      </c>
      <c r="L19" s="1343">
        <v>0</v>
      </c>
      <c r="M19" s="1343">
        <v>0</v>
      </c>
      <c r="N19" s="1343">
        <v>0</v>
      </c>
      <c r="O19" s="1345">
        <v>0</v>
      </c>
      <c r="P19" s="1345">
        <v>0</v>
      </c>
      <c r="Q19" s="1343">
        <v>0</v>
      </c>
      <c r="R19" s="1343">
        <v>0</v>
      </c>
      <c r="S19" s="1343">
        <v>0</v>
      </c>
      <c r="T19" s="1343">
        <v>0</v>
      </c>
      <c r="U19" s="1343">
        <v>0</v>
      </c>
      <c r="V19" s="1343">
        <v>0</v>
      </c>
      <c r="W19" s="1343">
        <v>0</v>
      </c>
      <c r="X19" s="1608">
        <v>0</v>
      </c>
      <c r="Y19" s="498">
        <v>0</v>
      </c>
      <c r="Z19" s="498">
        <v>0</v>
      </c>
      <c r="AA19" s="498">
        <v>0</v>
      </c>
      <c r="AB19" s="498">
        <v>0</v>
      </c>
      <c r="AC19" s="102"/>
    </row>
    <row r="20" spans="1:31" ht="11.25" customHeight="1" x14ac:dyDescent="0.25">
      <c r="A20" s="4" t="s">
        <v>558</v>
      </c>
      <c r="B20" s="1345">
        <v>0</v>
      </c>
      <c r="C20" s="1345">
        <v>-19</v>
      </c>
      <c r="D20" s="1345">
        <v>-39</v>
      </c>
      <c r="E20" s="1345">
        <v>7</v>
      </c>
      <c r="F20" s="1345">
        <v>3</v>
      </c>
      <c r="G20" s="1345">
        <v>-3</v>
      </c>
      <c r="H20" s="1345">
        <v>-2</v>
      </c>
      <c r="I20" s="1345">
        <v>13</v>
      </c>
      <c r="J20" s="1345">
        <v>0</v>
      </c>
      <c r="K20" s="1343">
        <v>0</v>
      </c>
      <c r="L20" s="1343">
        <v>0</v>
      </c>
      <c r="M20" s="1343">
        <v>0</v>
      </c>
      <c r="N20" s="1343">
        <v>0</v>
      </c>
      <c r="O20" s="1345">
        <v>0</v>
      </c>
      <c r="P20" s="1345">
        <v>0</v>
      </c>
      <c r="Q20" s="1343">
        <v>0</v>
      </c>
      <c r="R20" s="1343">
        <v>0</v>
      </c>
      <c r="S20" s="1343">
        <v>0</v>
      </c>
      <c r="T20" s="1343">
        <v>0</v>
      </c>
      <c r="U20" s="1343">
        <v>0</v>
      </c>
      <c r="V20" s="1343">
        <v>0</v>
      </c>
      <c r="W20" s="1343">
        <v>0</v>
      </c>
      <c r="X20" s="1608">
        <v>0</v>
      </c>
      <c r="Y20" s="498">
        <v>0</v>
      </c>
      <c r="Z20" s="498">
        <v>0</v>
      </c>
      <c r="AA20" s="498">
        <v>0</v>
      </c>
      <c r="AB20" s="498">
        <v>0</v>
      </c>
      <c r="AC20" s="524"/>
    </row>
    <row r="21" spans="1:31" ht="11.25" customHeight="1" x14ac:dyDescent="0.25">
      <c r="A21" s="4" t="s">
        <v>559</v>
      </c>
      <c r="B21" s="1345">
        <v>0</v>
      </c>
      <c r="C21" s="1345">
        <v>0</v>
      </c>
      <c r="D21" s="1345">
        <v>0</v>
      </c>
      <c r="E21" s="1345">
        <v>-3</v>
      </c>
      <c r="F21" s="1345">
        <v>-127</v>
      </c>
      <c r="G21" s="1345">
        <v>6</v>
      </c>
      <c r="H21" s="1345">
        <v>31</v>
      </c>
      <c r="I21" s="1345">
        <v>16</v>
      </c>
      <c r="J21" s="1345">
        <v>10</v>
      </c>
      <c r="K21" s="1343">
        <v>-385</v>
      </c>
      <c r="L21" s="1343">
        <v>-12</v>
      </c>
      <c r="M21" s="1343">
        <v>-452</v>
      </c>
      <c r="N21" s="1343">
        <v>-364</v>
      </c>
      <c r="O21" s="1345">
        <v>-20</v>
      </c>
      <c r="P21" s="1345">
        <v>12</v>
      </c>
      <c r="Q21" s="1345">
        <v>-41</v>
      </c>
      <c r="R21" s="1345">
        <v>20</v>
      </c>
      <c r="S21" s="1345">
        <v>-57</v>
      </c>
      <c r="T21" s="1345">
        <v>289</v>
      </c>
      <c r="U21" s="1345">
        <v>344</v>
      </c>
      <c r="V21" s="1343">
        <v>-47</v>
      </c>
      <c r="W21" s="1343">
        <v>50</v>
      </c>
      <c r="X21" s="1608">
        <v>6</v>
      </c>
      <c r="Y21" s="498">
        <v>0</v>
      </c>
      <c r="Z21" s="498">
        <v>0</v>
      </c>
      <c r="AA21" s="498">
        <v>0</v>
      </c>
      <c r="AB21" s="498">
        <v>0</v>
      </c>
      <c r="AC21" s="524"/>
    </row>
    <row r="22" spans="1:31" ht="11.25" customHeight="1" x14ac:dyDescent="0.25">
      <c r="A22" s="4" t="s">
        <v>560</v>
      </c>
      <c r="B22" s="1345">
        <v>0</v>
      </c>
      <c r="C22" s="1345">
        <v>0</v>
      </c>
      <c r="D22" s="1345">
        <v>7</v>
      </c>
      <c r="E22" s="1345">
        <v>4</v>
      </c>
      <c r="F22" s="1345">
        <v>6</v>
      </c>
      <c r="G22" s="1345">
        <v>7</v>
      </c>
      <c r="H22" s="1345">
        <v>6</v>
      </c>
      <c r="I22" s="1345">
        <v>-3</v>
      </c>
      <c r="J22" s="1345">
        <v>0</v>
      </c>
      <c r="K22" s="1343">
        <v>0</v>
      </c>
      <c r="L22" s="1343">
        <v>0</v>
      </c>
      <c r="M22" s="1343">
        <v>0</v>
      </c>
      <c r="N22" s="1343">
        <v>0</v>
      </c>
      <c r="O22" s="1345">
        <v>0</v>
      </c>
      <c r="P22" s="1345">
        <v>0</v>
      </c>
      <c r="Q22" s="1345">
        <v>0</v>
      </c>
      <c r="R22" s="1343">
        <v>0</v>
      </c>
      <c r="S22" s="1343">
        <v>0</v>
      </c>
      <c r="T22" s="1343">
        <v>0</v>
      </c>
      <c r="U22" s="1343">
        <v>0</v>
      </c>
      <c r="V22" s="1343">
        <v>0</v>
      </c>
      <c r="W22" s="1343">
        <v>0</v>
      </c>
      <c r="X22" s="1608">
        <v>0</v>
      </c>
      <c r="Y22" s="498">
        <v>0</v>
      </c>
      <c r="Z22" s="498">
        <v>0</v>
      </c>
      <c r="AA22" s="498">
        <v>0</v>
      </c>
      <c r="AB22" s="498">
        <v>0</v>
      </c>
      <c r="AC22" s="524"/>
    </row>
    <row r="23" spans="1:31" ht="11.25" customHeight="1" x14ac:dyDescent="0.25">
      <c r="A23" s="4" t="s">
        <v>561</v>
      </c>
      <c r="B23" s="1345">
        <v>3</v>
      </c>
      <c r="C23" s="1345">
        <v>466</v>
      </c>
      <c r="D23" s="1345">
        <v>19</v>
      </c>
      <c r="E23" s="1345">
        <v>22</v>
      </c>
      <c r="F23" s="1345">
        <v>23</v>
      </c>
      <c r="G23" s="1345">
        <v>-24</v>
      </c>
      <c r="H23" s="1345">
        <v>6</v>
      </c>
      <c r="I23" s="1345">
        <v>4</v>
      </c>
      <c r="J23" s="1345">
        <f>222-J10</f>
        <v>460</v>
      </c>
      <c r="K23" s="1343">
        <f>458-K10</f>
        <v>629</v>
      </c>
      <c r="L23" s="1343">
        <f>-510-L10</f>
        <v>-231</v>
      </c>
      <c r="M23" s="1343">
        <f>-882-M10</f>
        <v>-476</v>
      </c>
      <c r="N23" s="1343">
        <f>217-N10</f>
        <v>509</v>
      </c>
      <c r="O23" s="1345">
        <f>1206-O10</f>
        <v>1788</v>
      </c>
      <c r="P23" s="1345">
        <f>318-P10</f>
        <v>849</v>
      </c>
      <c r="Q23" s="1345">
        <f>221-Q10</f>
        <v>1108</v>
      </c>
      <c r="R23" s="1345">
        <f>-328-R10</f>
        <v>-185</v>
      </c>
      <c r="S23" s="1345">
        <f>-707-S10</f>
        <v>-405</v>
      </c>
      <c r="T23" s="1345">
        <f>-880-T10</f>
        <v>-647</v>
      </c>
      <c r="U23" s="1345">
        <f>459-U10</f>
        <v>1309</v>
      </c>
      <c r="V23" s="1343">
        <f>-907-V10</f>
        <v>28</v>
      </c>
      <c r="W23" s="1343">
        <f>1274-W10</f>
        <v>3236</v>
      </c>
      <c r="X23" s="1615">
        <f>-IS!X79+BS!X184</f>
        <v>-192</v>
      </c>
      <c r="Y23" s="491">
        <f>-IS!Y79+BS!Y184</f>
        <v>0</v>
      </c>
      <c r="Z23" s="491">
        <f>-IS!Z79+BS!Z184</f>
        <v>0</v>
      </c>
      <c r="AA23" s="491">
        <f>-IS!AA79+BS!AA184</f>
        <v>0</v>
      </c>
      <c r="AB23" s="491">
        <f>-IS!AB79+BS!AB184</f>
        <v>0</v>
      </c>
      <c r="AC23" s="524"/>
    </row>
    <row r="24" spans="1:31" ht="11.25" customHeight="1" x14ac:dyDescent="0.25">
      <c r="A24" s="4" t="s">
        <v>562</v>
      </c>
      <c r="B24" s="1345">
        <v>0</v>
      </c>
      <c r="C24" s="1345">
        <v>0</v>
      </c>
      <c r="D24" s="1345">
        <v>0</v>
      </c>
      <c r="E24" s="1345">
        <v>-35</v>
      </c>
      <c r="F24" s="1345">
        <v>308</v>
      </c>
      <c r="G24" s="1345">
        <v>-1</v>
      </c>
      <c r="H24" s="1345">
        <v>5</v>
      </c>
      <c r="I24" s="1345">
        <v>-4</v>
      </c>
      <c r="J24" s="1345"/>
      <c r="K24" s="1343">
        <v>0</v>
      </c>
      <c r="L24" s="1345">
        <v>0</v>
      </c>
      <c r="M24" s="1345">
        <v>0</v>
      </c>
      <c r="N24" s="1343">
        <v>-110</v>
      </c>
      <c r="O24" s="1345">
        <v>-990</v>
      </c>
      <c r="P24" s="1345">
        <v>0</v>
      </c>
      <c r="Q24" s="1343">
        <v>0</v>
      </c>
      <c r="R24" s="1343">
        <v>0</v>
      </c>
      <c r="S24" s="1343">
        <v>0</v>
      </c>
      <c r="T24" s="1343">
        <v>0</v>
      </c>
      <c r="U24" s="1343">
        <v>0</v>
      </c>
      <c r="V24" s="1343">
        <v>0</v>
      </c>
      <c r="W24" s="1343"/>
      <c r="X24" s="1608">
        <v>0</v>
      </c>
      <c r="Y24" s="498">
        <v>0</v>
      </c>
      <c r="Z24" s="498">
        <v>0</v>
      </c>
      <c r="AA24" s="498">
        <v>0</v>
      </c>
      <c r="AB24" s="498">
        <v>0</v>
      </c>
      <c r="AC24" s="524"/>
    </row>
    <row r="25" spans="1:31" ht="11.25" customHeight="1" x14ac:dyDescent="0.25">
      <c r="A25" s="4" t="s">
        <v>563</v>
      </c>
      <c r="B25" s="1345"/>
      <c r="C25" s="1345">
        <v>0</v>
      </c>
      <c r="D25" s="1345">
        <v>0</v>
      </c>
      <c r="E25" s="1345">
        <v>-1</v>
      </c>
      <c r="F25" s="1345">
        <v>0</v>
      </c>
      <c r="G25" s="1345">
        <v>0</v>
      </c>
      <c r="H25" s="1345">
        <v>0</v>
      </c>
      <c r="I25" s="1345">
        <v>0</v>
      </c>
      <c r="J25" s="1345">
        <v>0</v>
      </c>
      <c r="K25" s="1343">
        <v>0</v>
      </c>
      <c r="L25" s="1345">
        <v>0</v>
      </c>
      <c r="M25" s="1345">
        <v>0</v>
      </c>
      <c r="N25" s="1343">
        <v>0</v>
      </c>
      <c r="O25" s="1345">
        <v>0</v>
      </c>
      <c r="P25" s="1345">
        <v>0</v>
      </c>
      <c r="Q25" s="1343">
        <v>0</v>
      </c>
      <c r="R25" s="1343">
        <v>0</v>
      </c>
      <c r="S25" s="1343">
        <v>0</v>
      </c>
      <c r="T25" s="1343">
        <v>0</v>
      </c>
      <c r="U25" s="1343">
        <v>0</v>
      </c>
      <c r="V25" s="1343">
        <v>0</v>
      </c>
      <c r="W25" s="1343"/>
      <c r="X25" s="1608">
        <v>0</v>
      </c>
      <c r="Y25" s="498">
        <v>0</v>
      </c>
      <c r="Z25" s="498">
        <v>0</v>
      </c>
      <c r="AA25" s="498">
        <v>0</v>
      </c>
      <c r="AB25" s="498">
        <v>0</v>
      </c>
      <c r="AC25" s="524"/>
    </row>
    <row r="26" spans="1:31" ht="11.25" customHeight="1" x14ac:dyDescent="0.25">
      <c r="A26" s="4" t="s">
        <v>564</v>
      </c>
      <c r="B26" s="1345">
        <v>0</v>
      </c>
      <c r="C26" s="1345">
        <v>-2</v>
      </c>
      <c r="D26" s="1345">
        <v>12</v>
      </c>
      <c r="E26" s="1345">
        <v>7</v>
      </c>
      <c r="F26" s="1345">
        <v>11</v>
      </c>
      <c r="G26" s="1345">
        <v>13</v>
      </c>
      <c r="H26" s="1345">
        <v>18</v>
      </c>
      <c r="I26" s="1345">
        <v>19</v>
      </c>
      <c r="J26" s="1345">
        <v>24</v>
      </c>
      <c r="K26" s="1345">
        <v>29</v>
      </c>
      <c r="L26" s="1343">
        <v>58</v>
      </c>
      <c r="M26" s="1343">
        <v>47</v>
      </c>
      <c r="N26" s="1343">
        <v>55</v>
      </c>
      <c r="O26" s="1343">
        <v>62</v>
      </c>
      <c r="P26" s="1343">
        <v>58</v>
      </c>
      <c r="Q26" s="1343">
        <v>65</v>
      </c>
      <c r="R26" s="1343">
        <v>34</v>
      </c>
      <c r="S26" s="1343">
        <v>25</v>
      </c>
      <c r="T26" s="1343">
        <v>33</v>
      </c>
      <c r="U26" s="1343">
        <v>76</v>
      </c>
      <c r="V26" s="1343">
        <v>92</v>
      </c>
      <c r="W26" s="1343">
        <v>109</v>
      </c>
      <c r="X26" s="1615">
        <f>-IS!X88</f>
        <v>109</v>
      </c>
      <c r="Y26" s="491">
        <f>-IS!Y88</f>
        <v>109</v>
      </c>
      <c r="Z26" s="491">
        <f>-IS!Z88</f>
        <v>109</v>
      </c>
      <c r="AA26" s="491">
        <f>-IS!AA88</f>
        <v>109</v>
      </c>
      <c r="AB26" s="491">
        <f>-IS!AB88</f>
        <v>109</v>
      </c>
      <c r="AC26" s="524"/>
    </row>
    <row r="27" spans="1:31" ht="11.25" customHeight="1" x14ac:dyDescent="0.25">
      <c r="A27" s="186" t="s">
        <v>565</v>
      </c>
      <c r="B27" s="147">
        <f t="shared" ref="B27:T27" si="6">SUM(B14:B26)</f>
        <v>89</v>
      </c>
      <c r="C27" s="147">
        <f t="shared" si="6"/>
        <v>1612</v>
      </c>
      <c r="D27" s="147">
        <f t="shared" si="6"/>
        <v>1083</v>
      </c>
      <c r="E27" s="147">
        <f t="shared" si="6"/>
        <v>1270</v>
      </c>
      <c r="F27" s="147">
        <f t="shared" si="6"/>
        <v>1571</v>
      </c>
      <c r="G27" s="147">
        <f t="shared" si="6"/>
        <v>236</v>
      </c>
      <c r="H27" s="147">
        <f t="shared" si="6"/>
        <v>1033</v>
      </c>
      <c r="I27" s="147">
        <f t="shared" si="6"/>
        <v>756</v>
      </c>
      <c r="J27" s="147">
        <f t="shared" si="6"/>
        <v>677</v>
      </c>
      <c r="K27" s="141">
        <f t="shared" si="6"/>
        <v>757</v>
      </c>
      <c r="L27" s="141">
        <f t="shared" si="6"/>
        <v>2909</v>
      </c>
      <c r="M27" s="141">
        <f t="shared" si="6"/>
        <v>3651</v>
      </c>
      <c r="N27" s="525">
        <f t="shared" si="6"/>
        <v>1098</v>
      </c>
      <c r="O27" s="525">
        <f t="shared" si="6"/>
        <v>-1688</v>
      </c>
      <c r="P27" s="525">
        <f t="shared" si="6"/>
        <v>2470</v>
      </c>
      <c r="Q27" s="525">
        <f t="shared" si="6"/>
        <v>2569</v>
      </c>
      <c r="R27" s="525">
        <f t="shared" si="6"/>
        <v>1643</v>
      </c>
      <c r="S27" s="525">
        <f t="shared" si="6"/>
        <v>1743</v>
      </c>
      <c r="T27" s="525">
        <f t="shared" si="6"/>
        <v>5497</v>
      </c>
      <c r="U27" s="525">
        <f t="shared" ref="U27:V27" si="7">SUM(U14:U26)</f>
        <v>1001</v>
      </c>
      <c r="V27" s="525">
        <f t="shared" si="7"/>
        <v>6448</v>
      </c>
      <c r="W27" s="525">
        <f t="shared" ref="W27" si="8">SUM(W14:W26)</f>
        <v>-385</v>
      </c>
      <c r="X27" s="1616">
        <f t="shared" ref="X27:AB27" si="9">X14+SUM(X16:X26)</f>
        <v>1831.9030312602167</v>
      </c>
      <c r="Y27" s="493">
        <f t="shared" si="9"/>
        <v>2050.0228353924967</v>
      </c>
      <c r="Z27" s="493">
        <f t="shared" si="9"/>
        <v>2196.6153693894985</v>
      </c>
      <c r="AA27" s="493">
        <f t="shared" si="9"/>
        <v>2314.5890680040884</v>
      </c>
      <c r="AB27" s="493">
        <f t="shared" si="9"/>
        <v>2365.5238087139073</v>
      </c>
      <c r="AC27" s="102"/>
    </row>
    <row r="28" spans="1:31" ht="11.25" customHeight="1" x14ac:dyDescent="0.25">
      <c r="A28" s="186" t="s">
        <v>566</v>
      </c>
      <c r="B28" s="138">
        <f t="shared" ref="B28:I28" si="10">SUM(B9:B12,B27)</f>
        <v>205</v>
      </c>
      <c r="C28" s="138">
        <f t="shared" si="10"/>
        <v>965</v>
      </c>
      <c r="D28" s="138">
        <f t="shared" si="10"/>
        <v>1003</v>
      </c>
      <c r="E28" s="138">
        <f t="shared" si="10"/>
        <v>1131</v>
      </c>
      <c r="F28" s="138">
        <f t="shared" si="10"/>
        <v>936</v>
      </c>
      <c r="G28" s="138">
        <f t="shared" si="10"/>
        <v>1042</v>
      </c>
      <c r="H28" s="138">
        <f t="shared" si="10"/>
        <v>1142</v>
      </c>
      <c r="I28" s="138">
        <f t="shared" si="10"/>
        <v>1185</v>
      </c>
      <c r="J28" s="138">
        <f t="shared" ref="J28:T28" si="11">SUM(J7,J10:J12,J27)</f>
        <v>1702</v>
      </c>
      <c r="K28" s="138">
        <f t="shared" si="11"/>
        <v>1946</v>
      </c>
      <c r="L28" s="138">
        <f t="shared" si="11"/>
        <v>2468</v>
      </c>
      <c r="M28" s="138">
        <f t="shared" si="11"/>
        <v>2813</v>
      </c>
      <c r="N28" s="138">
        <f t="shared" si="11"/>
        <v>2651</v>
      </c>
      <c r="O28" s="138">
        <f t="shared" si="11"/>
        <v>2410</v>
      </c>
      <c r="P28" s="138">
        <f t="shared" si="11"/>
        <v>3098</v>
      </c>
      <c r="Q28" s="138">
        <f t="shared" si="11"/>
        <v>4042</v>
      </c>
      <c r="R28" s="138">
        <f t="shared" si="11"/>
        <v>1874</v>
      </c>
      <c r="S28" s="138">
        <f t="shared" si="11"/>
        <v>2186</v>
      </c>
      <c r="T28" s="138">
        <f t="shared" si="11"/>
        <v>2816</v>
      </c>
      <c r="U28" s="138">
        <f t="shared" ref="U28:V28" si="12">SUM(U7,U10:U12,U27)</f>
        <v>3512</v>
      </c>
      <c r="V28" s="138">
        <f t="shared" si="12"/>
        <v>4726</v>
      </c>
      <c r="W28" s="138">
        <f t="shared" ref="W28" si="13">SUM(W7,W10:W12,W27)</f>
        <v>4650</v>
      </c>
      <c r="X28" s="1609">
        <f t="shared" ref="X28:AB28" si="14">X9+X10+X12+X27</f>
        <v>6087.7769130494744</v>
      </c>
      <c r="Y28" s="112">
        <f t="shared" si="14"/>
        <v>7368.4790595775821</v>
      </c>
      <c r="Z28" s="112">
        <f t="shared" si="14"/>
        <v>8119.0999788358213</v>
      </c>
      <c r="AA28" s="112">
        <f t="shared" si="14"/>
        <v>8714.663984076411</v>
      </c>
      <c r="AB28" s="112">
        <f t="shared" si="14"/>
        <v>9130.7143174926405</v>
      </c>
      <c r="AC28" s="147"/>
      <c r="AD28" s="520"/>
      <c r="AE28" s="520"/>
    </row>
    <row r="29" spans="1:31" ht="11.25" customHeight="1" x14ac:dyDescent="0.25">
      <c r="A29" s="4" t="s">
        <v>567</v>
      </c>
      <c r="B29" s="1345">
        <v>-126</v>
      </c>
      <c r="C29" s="1345">
        <v>-221</v>
      </c>
      <c r="D29" s="1345">
        <v>-461</v>
      </c>
      <c r="E29" s="1345">
        <v>-421</v>
      </c>
      <c r="F29" s="1345">
        <v>-337</v>
      </c>
      <c r="G29" s="1345">
        <v>387</v>
      </c>
      <c r="H29" s="1345">
        <v>55</v>
      </c>
      <c r="I29" s="1345">
        <v>-134</v>
      </c>
      <c r="J29" s="1345">
        <v>-388</v>
      </c>
      <c r="K29" s="1345">
        <v>54</v>
      </c>
      <c r="L29" s="1343">
        <v>-185</v>
      </c>
      <c r="M29" s="1343">
        <v>-287</v>
      </c>
      <c r="N29" s="1343">
        <v>-347</v>
      </c>
      <c r="O29" s="1343">
        <v>-308</v>
      </c>
      <c r="P29" s="1343">
        <v>-393</v>
      </c>
      <c r="Q29" s="1343">
        <v>-590</v>
      </c>
      <c r="R29" s="1343">
        <v>1016</v>
      </c>
      <c r="S29" s="1343">
        <v>296</v>
      </c>
      <c r="T29" s="1343">
        <v>-1545</v>
      </c>
      <c r="U29" s="1343">
        <v>-1494</v>
      </c>
      <c r="V29" s="1343">
        <v>-1452</v>
      </c>
      <c r="W29" s="1343">
        <v>-810</v>
      </c>
      <c r="X29" s="1615">
        <f>-(BS!X10-BS!W10)</f>
        <v>-819.83167179357588</v>
      </c>
      <c r="Y29" s="491">
        <f>-(BS!Y10-BS!X10)</f>
        <v>-38.508360377800273</v>
      </c>
      <c r="Z29" s="491">
        <f>-(BS!Z10-BS!Y10)</f>
        <v>53.705162768603259</v>
      </c>
      <c r="AA29" s="491">
        <f>-(BS!AA10-BS!Z10)</f>
        <v>-779.69606892163574</v>
      </c>
      <c r="AB29" s="491">
        <f>-(BS!AB10-BS!AA10)</f>
        <v>-344.54985349052367</v>
      </c>
      <c r="AC29" s="102"/>
    </row>
    <row r="30" spans="1:31" ht="11.25" customHeight="1" x14ac:dyDescent="0.25">
      <c r="A30" s="4" t="s">
        <v>568</v>
      </c>
      <c r="B30" s="1345">
        <v>125</v>
      </c>
      <c r="C30" s="1345">
        <v>254</v>
      </c>
      <c r="D30" s="1345">
        <v>254</v>
      </c>
      <c r="E30" s="1345">
        <v>318</v>
      </c>
      <c r="F30" s="1345">
        <v>117</v>
      </c>
      <c r="G30" s="1345">
        <v>-45</v>
      </c>
      <c r="H30" s="1345">
        <v>185</v>
      </c>
      <c r="I30" s="1345">
        <v>216</v>
      </c>
      <c r="J30" s="1345">
        <v>228</v>
      </c>
      <c r="K30" s="1345">
        <v>193</v>
      </c>
      <c r="L30" s="1343">
        <v>-58</v>
      </c>
      <c r="M30" s="1343">
        <v>157</v>
      </c>
      <c r="N30" s="1343">
        <v>219</v>
      </c>
      <c r="O30" s="1343">
        <v>561</v>
      </c>
      <c r="P30" s="1343">
        <v>-280</v>
      </c>
      <c r="Q30" s="1343">
        <v>-563</v>
      </c>
      <c r="R30" s="1343">
        <v>41</v>
      </c>
      <c r="S30" s="1343">
        <v>-53</v>
      </c>
      <c r="T30" s="1343">
        <v>-81</v>
      </c>
      <c r="U30" s="1343">
        <v>478</v>
      </c>
      <c r="V30" s="1343">
        <v>549</v>
      </c>
      <c r="W30" s="1343">
        <v>-71</v>
      </c>
      <c r="X30" s="1615">
        <f>-(BS!X11-BS!W11)+(BS!X33-BS!W33)</f>
        <v>1904.1669798271359</v>
      </c>
      <c r="Y30" s="491">
        <f>-(BS!Y11-BS!X11)+(BS!Y33-BS!X33)</f>
        <v>546.75234203460423</v>
      </c>
      <c r="Z30" s="491">
        <f>-(BS!Z11-BS!Y11)+(BS!Z33-BS!Y33)</f>
        <v>280.91107440658379</v>
      </c>
      <c r="AA30" s="491">
        <f>-(BS!AA11-BS!Z11)+(BS!AA33-BS!Z33)</f>
        <v>1216.3258675177567</v>
      </c>
      <c r="AB30" s="491">
        <f>-(BS!AB11-BS!AA11)+(BS!AB33-BS!AA33)</f>
        <v>537.49777144521067</v>
      </c>
      <c r="AC30" s="102"/>
    </row>
    <row r="31" spans="1:31" ht="11.25" customHeight="1" x14ac:dyDescent="0.25">
      <c r="A31" s="4" t="s">
        <v>569</v>
      </c>
      <c r="B31" s="1345">
        <v>4</v>
      </c>
      <c r="C31" s="1345">
        <v>-46</v>
      </c>
      <c r="D31" s="1345">
        <v>58</v>
      </c>
      <c r="E31" s="1345">
        <v>-10</v>
      </c>
      <c r="F31" s="1345">
        <v>18</v>
      </c>
      <c r="G31" s="1345">
        <v>-5</v>
      </c>
      <c r="H31" s="1345">
        <v>77</v>
      </c>
      <c r="I31" s="1345">
        <v>-20</v>
      </c>
      <c r="J31" s="1345">
        <v>75</v>
      </c>
      <c r="K31" s="1345">
        <v>-73</v>
      </c>
      <c r="L31" s="1343">
        <v>132</v>
      </c>
      <c r="M31" s="1343">
        <v>70</v>
      </c>
      <c r="N31" s="1343">
        <v>-40</v>
      </c>
      <c r="O31" s="1343">
        <v>63</v>
      </c>
      <c r="P31" s="1343">
        <f>2+746-102</f>
        <v>646</v>
      </c>
      <c r="Q31" s="1343">
        <f>11+218+27</f>
        <v>256</v>
      </c>
      <c r="R31" s="1343">
        <f>-17-982-66</f>
        <v>-1065</v>
      </c>
      <c r="S31" s="1343">
        <f>131-81-43</f>
        <v>7</v>
      </c>
      <c r="T31" s="1343">
        <f>2451-118+22</f>
        <v>2355</v>
      </c>
      <c r="U31" s="1343">
        <f>2073-103-196</f>
        <v>1774</v>
      </c>
      <c r="V31" s="1343">
        <f>-89+1004-5</f>
        <v>910</v>
      </c>
      <c r="W31" s="1343">
        <f>-106+2101-43</f>
        <v>1952</v>
      </c>
      <c r="X31" s="1615">
        <f>'Civil AM'!BU188+100</f>
        <v>10.022242158826202</v>
      </c>
      <c r="Y31" s="491">
        <f>'Civil AM'!CC188+100</f>
        <v>-0.17744444680801053</v>
      </c>
      <c r="Z31" s="491">
        <f>'Civil AM'!CK188+100</f>
        <v>-62.107834179178553</v>
      </c>
      <c r="AA31" s="491">
        <f>'Civil AM'!CS188+100</f>
        <v>-144.16526525980692</v>
      </c>
      <c r="AB31" s="491">
        <f>'Civil AM'!DA188+200</f>
        <v>-121.98898213661619</v>
      </c>
      <c r="AC31" s="524"/>
    </row>
    <row r="32" spans="1:31" ht="11.25" customHeight="1" x14ac:dyDescent="0.25">
      <c r="A32" s="4" t="s">
        <v>397</v>
      </c>
      <c r="B32" s="1345">
        <v>0</v>
      </c>
      <c r="C32" s="1345">
        <v>0</v>
      </c>
      <c r="D32" s="1345">
        <v>0</v>
      </c>
      <c r="E32" s="1345">
        <v>-5</v>
      </c>
      <c r="F32" s="1345">
        <v>-14</v>
      </c>
      <c r="G32" s="1345">
        <v>24</v>
      </c>
      <c r="H32" s="1345">
        <v>0</v>
      </c>
      <c r="I32" s="1345">
        <v>0</v>
      </c>
      <c r="J32" s="1345"/>
      <c r="K32" s="1345"/>
      <c r="L32" s="1343"/>
      <c r="M32" s="1343"/>
      <c r="N32" s="1343"/>
      <c r="O32" s="1343"/>
      <c r="P32" s="1343"/>
      <c r="Q32" s="1343"/>
      <c r="R32" s="1343"/>
      <c r="S32" s="1343"/>
      <c r="T32" s="1343"/>
      <c r="U32" s="1343"/>
      <c r="V32" s="1343"/>
      <c r="W32" s="1343"/>
      <c r="X32" s="1689"/>
      <c r="Y32" s="524"/>
      <c r="Z32" s="524"/>
      <c r="AA32" s="524"/>
      <c r="AB32" s="524"/>
      <c r="AC32" s="102"/>
    </row>
    <row r="33" spans="1:31" ht="11.25" customHeight="1" x14ac:dyDescent="0.25">
      <c r="A33" s="186" t="s">
        <v>570</v>
      </c>
      <c r="B33" s="147">
        <f t="shared" ref="B33:AB33" si="15">SUM(B29:B32)</f>
        <v>3</v>
      </c>
      <c r="C33" s="147">
        <f t="shared" si="15"/>
        <v>-13</v>
      </c>
      <c r="D33" s="147">
        <f t="shared" si="15"/>
        <v>-149</v>
      </c>
      <c r="E33" s="147">
        <f t="shared" si="15"/>
        <v>-118</v>
      </c>
      <c r="F33" s="147">
        <f t="shared" si="15"/>
        <v>-216</v>
      </c>
      <c r="G33" s="147">
        <f t="shared" si="15"/>
        <v>361</v>
      </c>
      <c r="H33" s="147">
        <f t="shared" si="15"/>
        <v>317</v>
      </c>
      <c r="I33" s="147">
        <f t="shared" si="15"/>
        <v>62</v>
      </c>
      <c r="J33" s="147">
        <f t="shared" si="15"/>
        <v>-85</v>
      </c>
      <c r="K33" s="141">
        <f t="shared" si="15"/>
        <v>174</v>
      </c>
      <c r="L33" s="141">
        <f t="shared" si="15"/>
        <v>-111</v>
      </c>
      <c r="M33" s="141">
        <f t="shared" si="15"/>
        <v>-60</v>
      </c>
      <c r="N33" s="141">
        <f t="shared" si="15"/>
        <v>-168</v>
      </c>
      <c r="O33" s="141">
        <f t="shared" si="15"/>
        <v>316</v>
      </c>
      <c r="P33" s="141">
        <f t="shared" si="15"/>
        <v>-27</v>
      </c>
      <c r="Q33" s="141">
        <f t="shared" si="15"/>
        <v>-897</v>
      </c>
      <c r="R33" s="141">
        <f t="shared" si="15"/>
        <v>-8</v>
      </c>
      <c r="S33" s="141">
        <f t="shared" si="15"/>
        <v>250</v>
      </c>
      <c r="T33" s="141">
        <f t="shared" si="15"/>
        <v>729</v>
      </c>
      <c r="U33" s="141">
        <f t="shared" ref="U33:V33" si="16">SUM(U29:U32)</f>
        <v>758</v>
      </c>
      <c r="V33" s="141">
        <f t="shared" si="16"/>
        <v>7</v>
      </c>
      <c r="W33" s="141">
        <f t="shared" ref="W33" si="17">SUM(W29:W32)</f>
        <v>1071</v>
      </c>
      <c r="X33" s="1616">
        <f t="shared" si="15"/>
        <v>1094.3575501923863</v>
      </c>
      <c r="Y33" s="493">
        <f t="shared" si="15"/>
        <v>508.06653720999594</v>
      </c>
      <c r="Z33" s="493">
        <f t="shared" si="15"/>
        <v>272.5084029960085</v>
      </c>
      <c r="AA33" s="493">
        <f t="shared" si="15"/>
        <v>292.46453333631405</v>
      </c>
      <c r="AB33" s="493">
        <f t="shared" si="15"/>
        <v>70.958935818070813</v>
      </c>
      <c r="AC33" s="493">
        <f>V33+W33+X33+Y33+Z33</f>
        <v>2952.9324903983907</v>
      </c>
      <c r="AD33" s="520"/>
      <c r="AE33" s="520"/>
    </row>
    <row r="34" spans="1:31" ht="11.25" customHeight="1" x14ac:dyDescent="0.25">
      <c r="A34" s="526" t="s">
        <v>571</v>
      </c>
      <c r="B34" s="1343"/>
      <c r="C34" s="197"/>
      <c r="D34" s="527"/>
      <c r="E34" s="527"/>
      <c r="F34" s="527"/>
      <c r="G34" s="527"/>
      <c r="H34" s="527"/>
      <c r="I34" s="527"/>
      <c r="J34" s="527"/>
      <c r="K34" s="527"/>
      <c r="L34" s="527"/>
      <c r="M34" s="527"/>
      <c r="N34" s="527"/>
      <c r="O34" s="527"/>
      <c r="P34" s="527"/>
      <c r="Q34" s="527"/>
      <c r="R34" s="527"/>
      <c r="S34" s="527"/>
      <c r="T34" s="527"/>
      <c r="U34" s="527"/>
      <c r="V34" s="527"/>
      <c r="W34" s="528"/>
      <c r="X34" s="1690" t="str">
        <f>+IF(ROUND(X33,6)=-ROUND(BS!X132,6),"OK","Error")</f>
        <v>Error</v>
      </c>
      <c r="Y34" s="529" t="str">
        <f>+IF(ROUND(Y33,6)=-ROUND(BS!Y132,6),"OK","Error")</f>
        <v>OK</v>
      </c>
      <c r="Z34" s="529" t="str">
        <f>+IF(ROUND(Z33,6)=-ROUND(BS!Z132,6),"OK","Error")</f>
        <v>OK</v>
      </c>
      <c r="AA34" s="529" t="str">
        <f>+IF(ROUND(AA33,6)=-ROUND(BS!AA132,6),"OK","Error")</f>
        <v>OK</v>
      </c>
      <c r="AB34" s="529" t="str">
        <f>+IF(ROUND(AB33,6)=-ROUND(BS!AB132,6),"OK","Error")</f>
        <v>OK</v>
      </c>
    </row>
    <row r="35" spans="1:31" ht="11.25" customHeight="1" x14ac:dyDescent="0.25">
      <c r="A35" s="186" t="s">
        <v>546</v>
      </c>
      <c r="B35" s="138">
        <f t="shared" ref="B35:AB35" si="18">B28+B33</f>
        <v>208</v>
      </c>
      <c r="C35" s="138">
        <f t="shared" si="18"/>
        <v>952</v>
      </c>
      <c r="D35" s="138">
        <f t="shared" si="18"/>
        <v>854</v>
      </c>
      <c r="E35" s="138">
        <f t="shared" si="18"/>
        <v>1013</v>
      </c>
      <c r="F35" s="138">
        <f t="shared" si="18"/>
        <v>720</v>
      </c>
      <c r="G35" s="138">
        <f t="shared" si="18"/>
        <v>1403</v>
      </c>
      <c r="H35" s="138">
        <f t="shared" si="18"/>
        <v>1459</v>
      </c>
      <c r="I35" s="138">
        <f t="shared" si="18"/>
        <v>1247</v>
      </c>
      <c r="J35" s="138">
        <f t="shared" si="18"/>
        <v>1617</v>
      </c>
      <c r="K35" s="138">
        <f t="shared" si="18"/>
        <v>2120</v>
      </c>
      <c r="L35" s="138">
        <f t="shared" si="18"/>
        <v>2357</v>
      </c>
      <c r="M35" s="138">
        <f t="shared" si="18"/>
        <v>2753</v>
      </c>
      <c r="N35" s="138">
        <f t="shared" si="18"/>
        <v>2483</v>
      </c>
      <c r="O35" s="138">
        <f t="shared" si="18"/>
        <v>2726</v>
      </c>
      <c r="P35" s="138">
        <f t="shared" si="18"/>
        <v>3071</v>
      </c>
      <c r="Q35" s="138">
        <f t="shared" si="18"/>
        <v>3145</v>
      </c>
      <c r="R35" s="138">
        <f t="shared" si="18"/>
        <v>1866</v>
      </c>
      <c r="S35" s="138">
        <f t="shared" si="18"/>
        <v>2436</v>
      </c>
      <c r="T35" s="138">
        <f t="shared" si="18"/>
        <v>3545</v>
      </c>
      <c r="U35" s="138">
        <f t="shared" si="18"/>
        <v>4270</v>
      </c>
      <c r="V35" s="138">
        <f t="shared" si="18"/>
        <v>4733</v>
      </c>
      <c r="W35" s="154">
        <f t="shared" ref="W35" si="19">W28+W33</f>
        <v>5721</v>
      </c>
      <c r="X35" s="1609">
        <f t="shared" si="18"/>
        <v>7182.1344632418604</v>
      </c>
      <c r="Y35" s="112">
        <f t="shared" si="18"/>
        <v>7876.5455967875778</v>
      </c>
      <c r="Z35" s="112">
        <f t="shared" si="18"/>
        <v>8391.6083818318293</v>
      </c>
      <c r="AA35" s="112">
        <f t="shared" si="18"/>
        <v>9007.1285174127242</v>
      </c>
      <c r="AB35" s="112">
        <f t="shared" si="18"/>
        <v>9201.6732533107115</v>
      </c>
      <c r="AC35" s="147"/>
      <c r="AD35" s="520"/>
      <c r="AE35" s="520"/>
    </row>
    <row r="36" spans="1:31" ht="11.25" customHeight="1" x14ac:dyDescent="0.25">
      <c r="A36" s="186"/>
      <c r="B36" s="147"/>
      <c r="C36" s="147"/>
      <c r="D36" s="147"/>
      <c r="E36" s="147"/>
      <c r="F36" s="147"/>
      <c r="G36" s="147"/>
      <c r="H36" s="147"/>
      <c r="I36" s="147"/>
      <c r="J36" s="147"/>
      <c r="K36" s="141"/>
      <c r="L36" s="141"/>
      <c r="M36" s="141"/>
      <c r="N36" s="141"/>
      <c r="O36" s="141"/>
      <c r="P36" s="141"/>
      <c r="Q36" s="141"/>
      <c r="R36" s="141"/>
      <c r="S36" s="141"/>
      <c r="T36" s="141"/>
      <c r="U36" s="141"/>
      <c r="V36" s="141"/>
      <c r="W36" s="144"/>
      <c r="X36" s="1629"/>
      <c r="Y36" s="147"/>
      <c r="Z36" s="147"/>
      <c r="AA36" s="147"/>
      <c r="AB36" s="147"/>
      <c r="AC36" s="147"/>
      <c r="AD36" s="520"/>
      <c r="AE36" s="520"/>
    </row>
    <row r="37" spans="1:31" ht="11.25" customHeight="1" x14ac:dyDescent="0.25">
      <c r="A37" s="186" t="s">
        <v>572</v>
      </c>
      <c r="B37" s="186"/>
      <c r="C37" s="186"/>
      <c r="D37" s="514"/>
      <c r="E37" s="514"/>
      <c r="F37" s="514"/>
      <c r="G37" s="514"/>
      <c r="H37" s="514"/>
      <c r="I37" s="514"/>
      <c r="J37" s="514"/>
      <c r="K37" s="514"/>
      <c r="L37" s="514"/>
      <c r="M37" s="514"/>
      <c r="N37" s="514"/>
      <c r="O37" s="514"/>
      <c r="P37" s="514"/>
      <c r="Q37" s="514"/>
      <c r="R37" s="514"/>
      <c r="S37" s="514"/>
      <c r="T37" s="514"/>
      <c r="U37" s="514"/>
      <c r="V37" s="514"/>
      <c r="W37" s="515"/>
      <c r="X37" s="1633"/>
      <c r="Y37" s="516"/>
      <c r="Z37" s="516"/>
      <c r="AA37" s="516"/>
      <c r="AB37" s="516"/>
      <c r="AE37" s="520"/>
    </row>
    <row r="38" spans="1:31" ht="11.25" customHeight="1" x14ac:dyDescent="0.25">
      <c r="A38" s="4" t="s">
        <v>1003</v>
      </c>
      <c r="B38" s="186"/>
      <c r="C38" s="186"/>
      <c r="D38" s="514"/>
      <c r="E38" s="514"/>
      <c r="F38" s="514"/>
      <c r="G38" s="514"/>
      <c r="H38" s="514"/>
      <c r="I38" s="514"/>
      <c r="J38" s="514"/>
      <c r="K38" s="514"/>
      <c r="L38" s="514"/>
      <c r="M38" s="514"/>
      <c r="N38" s="514"/>
      <c r="O38" s="514"/>
      <c r="P38" s="514"/>
      <c r="Q38" s="514"/>
      <c r="R38" s="514"/>
      <c r="S38" s="514"/>
      <c r="T38" s="514"/>
      <c r="U38" s="514">
        <f t="shared" ref="U38:AB38" si="20">U39+U40</f>
        <v>-1325</v>
      </c>
      <c r="V38" s="514">
        <f t="shared" si="20"/>
        <v>-1544</v>
      </c>
      <c r="W38" s="514">
        <f t="shared" ref="W38" si="21">W39+W40</f>
        <v>-1800</v>
      </c>
      <c r="X38" s="1691">
        <f t="shared" si="20"/>
        <v>-2083.0029366846884</v>
      </c>
      <c r="Y38" s="1539">
        <f t="shared" si="20"/>
        <v>-2224.9255512678387</v>
      </c>
      <c r="Z38" s="1539">
        <f t="shared" si="20"/>
        <v>-2374.585732683483</v>
      </c>
      <c r="AA38" s="1539">
        <f t="shared" si="20"/>
        <v>-2539.8671438838101</v>
      </c>
      <c r="AB38" s="1539">
        <f t="shared" si="20"/>
        <v>-2613.5911639446736</v>
      </c>
      <c r="AE38" s="520"/>
    </row>
    <row r="39" spans="1:31" ht="11.25" customHeight="1" x14ac:dyDescent="0.25">
      <c r="A39" s="1340" t="s">
        <v>573</v>
      </c>
      <c r="B39" s="1345">
        <v>-43</v>
      </c>
      <c r="C39" s="1345">
        <v>-343</v>
      </c>
      <c r="D39" s="1345">
        <v>-343</v>
      </c>
      <c r="E39" s="1345">
        <v>-252</v>
      </c>
      <c r="F39" s="1345">
        <v>-230</v>
      </c>
      <c r="G39" s="1345">
        <v>-292</v>
      </c>
      <c r="H39" s="1345">
        <v>-254</v>
      </c>
      <c r="I39" s="1345">
        <v>-363</v>
      </c>
      <c r="J39" s="1345">
        <f>-512-122</f>
        <v>-634</v>
      </c>
      <c r="K39" s="1343">
        <f>-720-212</f>
        <v>-932</v>
      </c>
      <c r="L39" s="1343">
        <f>-676-267</f>
        <v>-943</v>
      </c>
      <c r="M39" s="1343">
        <f>-521-500</f>
        <v>-1021</v>
      </c>
      <c r="N39" s="1343">
        <f>-364-324</f>
        <v>-688</v>
      </c>
      <c r="O39" s="1343">
        <f>-286-262</f>
        <v>-548</v>
      </c>
      <c r="P39" s="1343">
        <f>-327-183</f>
        <v>-510</v>
      </c>
      <c r="Q39" s="1343">
        <f>-333-134</f>
        <v>-467</v>
      </c>
      <c r="R39" s="1343">
        <f>-287-57</f>
        <v>-344</v>
      </c>
      <c r="S39" s="1343">
        <f>-316-53</f>
        <v>-369</v>
      </c>
      <c r="T39" s="1343">
        <f>-283-98</f>
        <v>-381</v>
      </c>
      <c r="U39" s="1343">
        <f>-323-179</f>
        <v>-502</v>
      </c>
      <c r="V39" s="1343">
        <f>-328-172</f>
        <v>-500</v>
      </c>
      <c r="W39" s="1343">
        <f>-348-214</f>
        <v>-562</v>
      </c>
      <c r="X39" s="1615">
        <f>-BS!X80-BS!X83</f>
        <v>-613.94441175117845</v>
      </c>
      <c r="Y39" s="491">
        <f>-BS!Y80-BS!Y83</f>
        <v>-670.54804978264906</v>
      </c>
      <c r="Z39" s="491">
        <f>-BS!Z80-BS!Z83</f>
        <v>-732.55003869518782</v>
      </c>
      <c r="AA39" s="491">
        <f>-BS!AA80-BS!AA83</f>
        <v>-785.81388996456656</v>
      </c>
      <c r="AB39" s="491">
        <f>-BS!AB80-BS!AB83</f>
        <v>-812.29920261054895</v>
      </c>
      <c r="AC39" s="102"/>
      <c r="AD39" s="102"/>
      <c r="AE39" s="520"/>
    </row>
    <row r="40" spans="1:31" ht="11.25" customHeight="1" x14ac:dyDescent="0.25">
      <c r="A40" s="1340" t="s">
        <v>574</v>
      </c>
      <c r="B40" s="1345">
        <v>-107</v>
      </c>
      <c r="C40" s="1345">
        <v>-258</v>
      </c>
      <c r="D40" s="1345">
        <v>-346</v>
      </c>
      <c r="E40" s="1345">
        <v>-387</v>
      </c>
      <c r="F40" s="1345">
        <v>-441</v>
      </c>
      <c r="G40" s="1345">
        <v>-293</v>
      </c>
      <c r="H40" s="1345">
        <v>-271</v>
      </c>
      <c r="I40" s="1345">
        <v>-352</v>
      </c>
      <c r="J40" s="1345">
        <v>-419</v>
      </c>
      <c r="K40" s="1343">
        <v>-489</v>
      </c>
      <c r="L40" s="1343">
        <v>-674</v>
      </c>
      <c r="M40" s="1343">
        <v>-758</v>
      </c>
      <c r="N40" s="1343">
        <v>-704</v>
      </c>
      <c r="O40" s="1343">
        <v>-740</v>
      </c>
      <c r="P40" s="1343">
        <v>-780</v>
      </c>
      <c r="Q40" s="1343">
        <v>-695</v>
      </c>
      <c r="R40" s="1343">
        <v>-449</v>
      </c>
      <c r="S40" s="1343">
        <v>-387</v>
      </c>
      <c r="T40" s="1343">
        <v>-498</v>
      </c>
      <c r="U40" s="1343">
        <v>-823</v>
      </c>
      <c r="V40" s="1343">
        <v>-1044</v>
      </c>
      <c r="W40" s="1343">
        <v>-1238</v>
      </c>
      <c r="X40" s="1615">
        <f>-BS!X63</f>
        <v>-1469.0585249335102</v>
      </c>
      <c r="Y40" s="491">
        <f>-BS!Y63</f>
        <v>-1554.3775014851897</v>
      </c>
      <c r="Z40" s="491">
        <f>-BS!Z63</f>
        <v>-1642.0356939882952</v>
      </c>
      <c r="AA40" s="491">
        <f>-BS!AA63</f>
        <v>-1754.0532539192434</v>
      </c>
      <c r="AB40" s="491">
        <f>-BS!AB63</f>
        <v>-1801.2919613341246</v>
      </c>
      <c r="AC40" s="102"/>
      <c r="AE40" s="520"/>
    </row>
    <row r="41" spans="1:31" ht="11.25" customHeight="1" x14ac:dyDescent="0.25">
      <c r="A41" s="4" t="s">
        <v>575</v>
      </c>
      <c r="B41" s="1345">
        <v>-10</v>
      </c>
      <c r="C41" s="1345">
        <v>-47</v>
      </c>
      <c r="D41" s="1345">
        <v>-39</v>
      </c>
      <c r="E41" s="1345">
        <v>-68</v>
      </c>
      <c r="F41" s="1345">
        <v>-221</v>
      </c>
      <c r="G41" s="1345">
        <v>-560</v>
      </c>
      <c r="H41" s="1345">
        <v>-122</v>
      </c>
      <c r="I41" s="1345">
        <v>-1176</v>
      </c>
      <c r="J41" s="1345">
        <v>-193</v>
      </c>
      <c r="K41" s="1343">
        <f>-733+353</f>
        <v>-380</v>
      </c>
      <c r="L41" s="1343">
        <f>-272+5</f>
        <v>-267</v>
      </c>
      <c r="M41" s="1343">
        <f>624-51</f>
        <v>573</v>
      </c>
      <c r="N41" s="1343">
        <f>-810+2</f>
        <v>-808</v>
      </c>
      <c r="O41" s="1343">
        <f>3060-54</f>
        <v>3006</v>
      </c>
      <c r="P41" s="1343">
        <f>-4172+18</f>
        <v>-4154</v>
      </c>
      <c r="Q41" s="1343">
        <f>-29+47</f>
        <v>18</v>
      </c>
      <c r="R41" s="1343">
        <f>-21+1</f>
        <v>-20</v>
      </c>
      <c r="S41" s="1343">
        <f>-33+263</f>
        <v>230</v>
      </c>
      <c r="T41" s="1343">
        <f>-490+248</f>
        <v>-242</v>
      </c>
      <c r="U41" s="1343">
        <f>-328+151</f>
        <v>-177</v>
      </c>
      <c r="V41" s="1343">
        <f>-344+113</f>
        <v>-231</v>
      </c>
      <c r="W41" s="1343">
        <f>-1553+66</f>
        <v>-1487</v>
      </c>
      <c r="X41" s="1608">
        <v>33</v>
      </c>
      <c r="Y41" s="498">
        <v>0</v>
      </c>
      <c r="Z41" s="498">
        <v>0</v>
      </c>
      <c r="AA41" s="498">
        <v>0</v>
      </c>
      <c r="AB41" s="498">
        <v>0</v>
      </c>
      <c r="AC41" s="102"/>
      <c r="AE41" s="520"/>
    </row>
    <row r="42" spans="1:31" ht="11.25" customHeight="1" x14ac:dyDescent="0.25">
      <c r="A42" s="4" t="s">
        <v>576</v>
      </c>
      <c r="B42" s="1345">
        <v>-57</v>
      </c>
      <c r="C42" s="1345">
        <v>62</v>
      </c>
      <c r="D42" s="1345">
        <v>13</v>
      </c>
      <c r="E42" s="1345">
        <v>-26</v>
      </c>
      <c r="F42" s="1345">
        <v>109</v>
      </c>
      <c r="G42" s="1345">
        <v>-9</v>
      </c>
      <c r="H42" s="1345">
        <v>-52</v>
      </c>
      <c r="I42" s="1345">
        <v>-6</v>
      </c>
      <c r="J42" s="1345">
        <v>-86</v>
      </c>
      <c r="K42" s="1343">
        <v>-35</v>
      </c>
      <c r="L42" s="1343">
        <v>-70</v>
      </c>
      <c r="M42" s="1343">
        <v>-62</v>
      </c>
      <c r="N42" s="1343">
        <v>5</v>
      </c>
      <c r="O42" s="1343">
        <v>-1974</v>
      </c>
      <c r="P42" s="1343">
        <v>1950</v>
      </c>
      <c r="Q42" s="1343">
        <v>39</v>
      </c>
      <c r="R42" s="1343">
        <v>14</v>
      </c>
      <c r="S42" s="1343">
        <v>-212</v>
      </c>
      <c r="T42" s="1343">
        <v>-167</v>
      </c>
      <c r="U42" s="1343">
        <v>-202</v>
      </c>
      <c r="V42" s="1343">
        <v>-73</v>
      </c>
      <c r="W42" s="1343">
        <v>-97</v>
      </c>
      <c r="X42" s="1608">
        <v>79</v>
      </c>
      <c r="Y42" s="498">
        <v>0</v>
      </c>
      <c r="Z42" s="498">
        <v>0</v>
      </c>
      <c r="AA42" s="498">
        <v>0</v>
      </c>
      <c r="AB42" s="498">
        <v>0</v>
      </c>
      <c r="AC42" s="102"/>
    </row>
    <row r="43" spans="1:31" ht="11.25" customHeight="1" x14ac:dyDescent="0.25">
      <c r="A43" s="4" t="s">
        <v>577</v>
      </c>
      <c r="B43" s="1345">
        <v>0</v>
      </c>
      <c r="C43" s="1345">
        <v>1</v>
      </c>
      <c r="D43" s="1345">
        <v>9</v>
      </c>
      <c r="E43" s="1345">
        <v>0</v>
      </c>
      <c r="F43" s="1345">
        <v>0</v>
      </c>
      <c r="G43" s="1345">
        <v>0</v>
      </c>
      <c r="H43" s="1345"/>
      <c r="I43" s="1345"/>
      <c r="J43" s="1345"/>
      <c r="K43" s="1343"/>
      <c r="L43" s="1343"/>
      <c r="M43" s="1343"/>
      <c r="N43" s="1343"/>
      <c r="O43" s="1343"/>
      <c r="P43" s="1343"/>
      <c r="Q43" s="1343"/>
      <c r="R43" s="1343"/>
      <c r="S43" s="1343"/>
      <c r="T43" s="1343"/>
      <c r="U43" s="1343"/>
      <c r="V43" s="1343"/>
      <c r="W43" s="1343"/>
      <c r="X43" s="1608">
        <v>10</v>
      </c>
      <c r="Y43" s="498">
        <v>0</v>
      </c>
      <c r="Z43" s="498">
        <v>0</v>
      </c>
      <c r="AA43" s="498">
        <v>0</v>
      </c>
      <c r="AB43" s="498">
        <v>0</v>
      </c>
      <c r="AC43" s="102"/>
    </row>
    <row r="44" spans="1:31" ht="11.25" customHeight="1" x14ac:dyDescent="0.25">
      <c r="A44" s="4" t="s">
        <v>578</v>
      </c>
      <c r="B44" s="1345">
        <v>0</v>
      </c>
      <c r="C44" s="1345">
        <v>0</v>
      </c>
      <c r="D44" s="1345">
        <v>0</v>
      </c>
      <c r="E44" s="1345">
        <v>-1</v>
      </c>
      <c r="F44" s="1345">
        <v>-5</v>
      </c>
      <c r="G44" s="1345">
        <v>0</v>
      </c>
      <c r="H44" s="1345"/>
      <c r="I44" s="1345"/>
      <c r="J44" s="1345"/>
      <c r="K44" s="1343"/>
      <c r="L44" s="1343"/>
      <c r="M44" s="1343"/>
      <c r="N44" s="1343"/>
      <c r="O44" s="1343"/>
      <c r="P44" s="1343"/>
      <c r="Q44" s="1343"/>
      <c r="R44" s="1343"/>
      <c r="S44" s="1343"/>
      <c r="T44" s="1343"/>
      <c r="U44" s="1343"/>
      <c r="V44" s="1343"/>
      <c r="W44" s="1343"/>
      <c r="X44" s="1689"/>
      <c r="Y44" s="524"/>
      <c r="Z44" s="524"/>
      <c r="AA44" s="524"/>
      <c r="AB44" s="524"/>
      <c r="AC44" s="102"/>
    </row>
    <row r="45" spans="1:31" ht="11.25" customHeight="1" x14ac:dyDescent="0.25">
      <c r="A45" s="186" t="s">
        <v>572</v>
      </c>
      <c r="B45" s="138">
        <f t="shared" ref="B45:AB45" si="22">SUM(B39:B44)</f>
        <v>-217</v>
      </c>
      <c r="C45" s="138">
        <f t="shared" si="22"/>
        <v>-585</v>
      </c>
      <c r="D45" s="138">
        <f t="shared" si="22"/>
        <v>-706</v>
      </c>
      <c r="E45" s="138">
        <f t="shared" si="22"/>
        <v>-734</v>
      </c>
      <c r="F45" s="138">
        <f t="shared" si="22"/>
        <v>-788</v>
      </c>
      <c r="G45" s="138">
        <f t="shared" si="22"/>
        <v>-1154</v>
      </c>
      <c r="H45" s="138">
        <f t="shared" si="22"/>
        <v>-699</v>
      </c>
      <c r="I45" s="138">
        <f t="shared" si="22"/>
        <v>-1897</v>
      </c>
      <c r="J45" s="138">
        <f t="shared" si="22"/>
        <v>-1332</v>
      </c>
      <c r="K45" s="138">
        <f t="shared" si="22"/>
        <v>-1836</v>
      </c>
      <c r="L45" s="138">
        <f t="shared" si="22"/>
        <v>-1954</v>
      </c>
      <c r="M45" s="138">
        <f t="shared" si="22"/>
        <v>-1268</v>
      </c>
      <c r="N45" s="138">
        <f t="shared" si="22"/>
        <v>-2195</v>
      </c>
      <c r="O45" s="138">
        <f t="shared" si="22"/>
        <v>-256</v>
      </c>
      <c r="P45" s="138">
        <f t="shared" si="22"/>
        <v>-3494</v>
      </c>
      <c r="Q45" s="138">
        <f t="shared" si="22"/>
        <v>-1105</v>
      </c>
      <c r="R45" s="138">
        <f t="shared" si="22"/>
        <v>-799</v>
      </c>
      <c r="S45" s="138">
        <f t="shared" si="22"/>
        <v>-738</v>
      </c>
      <c r="T45" s="138">
        <f t="shared" si="22"/>
        <v>-1288</v>
      </c>
      <c r="U45" s="138">
        <f t="shared" ref="U45:V45" si="23">SUM(U39:U44)</f>
        <v>-1704</v>
      </c>
      <c r="V45" s="138">
        <f t="shared" si="23"/>
        <v>-1848</v>
      </c>
      <c r="W45" s="138">
        <f t="shared" ref="W45" si="24">SUM(W39:W44)</f>
        <v>-3384</v>
      </c>
      <c r="X45" s="1609">
        <f t="shared" si="22"/>
        <v>-1961.0029366846884</v>
      </c>
      <c r="Y45" s="112">
        <f t="shared" si="22"/>
        <v>-2224.9255512678387</v>
      </c>
      <c r="Z45" s="112">
        <f t="shared" si="22"/>
        <v>-2374.585732683483</v>
      </c>
      <c r="AA45" s="112">
        <f t="shared" si="22"/>
        <v>-2539.8671438838101</v>
      </c>
      <c r="AB45" s="112">
        <f t="shared" si="22"/>
        <v>-2613.5911639446736</v>
      </c>
      <c r="AC45" s="147"/>
      <c r="AD45" s="520"/>
      <c r="AE45" s="520"/>
    </row>
    <row r="46" spans="1:31" ht="11.25" customHeight="1" x14ac:dyDescent="0.25">
      <c r="A46" s="186"/>
      <c r="B46" s="141"/>
      <c r="C46" s="141"/>
      <c r="D46" s="141"/>
      <c r="E46" s="141"/>
      <c r="F46" s="141"/>
      <c r="G46" s="141"/>
      <c r="H46" s="141"/>
      <c r="I46" s="141"/>
      <c r="J46" s="141"/>
      <c r="K46" s="141"/>
      <c r="L46" s="141"/>
      <c r="M46" s="141"/>
      <c r="N46" s="141"/>
      <c r="O46" s="141"/>
      <c r="P46" s="141"/>
      <c r="Q46" s="141"/>
      <c r="R46" s="141"/>
      <c r="S46" s="141"/>
      <c r="T46" s="141"/>
      <c r="U46" s="141"/>
      <c r="V46" s="141"/>
      <c r="W46" s="141"/>
      <c r="X46" s="1629"/>
      <c r="Y46" s="141"/>
      <c r="Z46" s="141"/>
      <c r="AA46" s="141"/>
      <c r="AB46" s="141"/>
      <c r="AC46" s="147"/>
      <c r="AD46" s="520"/>
      <c r="AE46" s="520"/>
    </row>
    <row r="47" spans="1:31" ht="11.25" customHeight="1" x14ac:dyDescent="0.25">
      <c r="A47" s="186" t="s">
        <v>579</v>
      </c>
      <c r="B47" s="186"/>
      <c r="C47" s="186"/>
      <c r="D47" s="514"/>
      <c r="E47" s="514"/>
      <c r="F47" s="514"/>
      <c r="G47" s="514"/>
      <c r="H47" s="514"/>
      <c r="I47" s="514"/>
      <c r="J47" s="514"/>
      <c r="K47" s="514"/>
      <c r="L47" s="514"/>
      <c r="M47" s="514"/>
      <c r="N47" s="514"/>
      <c r="O47" s="514"/>
      <c r="P47" s="514"/>
      <c r="Q47" s="514"/>
      <c r="R47" s="514"/>
      <c r="S47" s="514"/>
      <c r="T47" s="514"/>
      <c r="U47" s="514"/>
      <c r="V47" s="514"/>
      <c r="W47" s="514"/>
      <c r="X47" s="1633"/>
      <c r="Y47" s="516"/>
      <c r="Z47" s="516"/>
      <c r="AA47" s="516"/>
      <c r="AB47" s="516"/>
    </row>
    <row r="48" spans="1:31" ht="11.25" customHeight="1" x14ac:dyDescent="0.25">
      <c r="A48" s="4" t="s">
        <v>418</v>
      </c>
      <c r="B48" s="1345">
        <v>0</v>
      </c>
      <c r="C48" s="1345">
        <v>7</v>
      </c>
      <c r="D48" s="1345">
        <v>8</v>
      </c>
      <c r="E48" s="1345">
        <v>19</v>
      </c>
      <c r="F48" s="1345">
        <v>0</v>
      </c>
      <c r="G48" s="1345">
        <v>1</v>
      </c>
      <c r="H48" s="1345">
        <v>6</v>
      </c>
      <c r="I48" s="1345">
        <v>1</v>
      </c>
      <c r="J48" s="1345">
        <v>0</v>
      </c>
      <c r="K48" s="1343">
        <v>0</v>
      </c>
      <c r="L48" s="1343">
        <v>0</v>
      </c>
      <c r="M48" s="1343">
        <v>-5</v>
      </c>
      <c r="N48" s="1343">
        <v>-9</v>
      </c>
      <c r="O48" s="1343">
        <v>-4</v>
      </c>
      <c r="P48" s="1343">
        <v>-1</v>
      </c>
      <c r="Q48" s="1343">
        <f>2-9</f>
        <v>-7</v>
      </c>
      <c r="R48" s="1343">
        <v>0</v>
      </c>
      <c r="S48" s="1343">
        <v>1</v>
      </c>
      <c r="T48" s="1343">
        <v>0</v>
      </c>
      <c r="U48" s="1343">
        <v>2</v>
      </c>
      <c r="V48" s="1343">
        <f>BS!V50-BS!U50</f>
        <v>0</v>
      </c>
      <c r="W48" s="1343">
        <v>6</v>
      </c>
      <c r="X48" s="1615">
        <f>BS!X50-BS!W50</f>
        <v>0</v>
      </c>
      <c r="Y48" s="491">
        <f>BS!Y50-BS!X50</f>
        <v>0</v>
      </c>
      <c r="Z48" s="491">
        <f>BS!Z50-BS!Y50</f>
        <v>0</v>
      </c>
      <c r="AA48" s="491">
        <f>BS!AA50-BS!Z50</f>
        <v>0</v>
      </c>
      <c r="AB48" s="491">
        <f>BS!AB50-BS!AA50</f>
        <v>0</v>
      </c>
      <c r="AC48" s="102"/>
    </row>
    <row r="49" spans="1:31" ht="11.25" customHeight="1" x14ac:dyDescent="0.25">
      <c r="A49" s="4" t="s">
        <v>580</v>
      </c>
      <c r="B49" s="1345">
        <v>0</v>
      </c>
      <c r="C49" s="1345">
        <v>0</v>
      </c>
      <c r="D49" s="1345">
        <v>0</v>
      </c>
      <c r="E49" s="1345">
        <v>0</v>
      </c>
      <c r="F49" s="1345">
        <v>-151</v>
      </c>
      <c r="G49" s="1345">
        <v>5</v>
      </c>
      <c r="H49" s="1345">
        <v>0</v>
      </c>
      <c r="I49" s="1345">
        <v>180</v>
      </c>
      <c r="J49" s="1345">
        <v>118</v>
      </c>
      <c r="K49" s="1343">
        <v>2</v>
      </c>
      <c r="L49" s="1343">
        <v>-1</v>
      </c>
      <c r="M49" s="1343">
        <v>0</v>
      </c>
      <c r="N49" s="1343">
        <v>-38</v>
      </c>
      <c r="O49" s="1343">
        <v>-449</v>
      </c>
      <c r="P49" s="1343">
        <v>-539</v>
      </c>
      <c r="Q49" s="1343">
        <v>-1299</v>
      </c>
      <c r="R49" s="1343">
        <v>96</v>
      </c>
      <c r="S49" s="1343">
        <v>-73</v>
      </c>
      <c r="T49" s="1343">
        <v>-270</v>
      </c>
      <c r="U49" s="1343">
        <v>-1535</v>
      </c>
      <c r="V49" s="1343">
        <v>-1320</v>
      </c>
      <c r="W49" s="1343">
        <v>-1358</v>
      </c>
      <c r="X49" s="1608">
        <v>-1250</v>
      </c>
      <c r="Y49" s="498">
        <v>-1250</v>
      </c>
      <c r="Z49" s="498">
        <v>-1250</v>
      </c>
      <c r="AA49" s="498">
        <v>0</v>
      </c>
      <c r="AB49" s="498">
        <v>0</v>
      </c>
      <c r="AC49" s="102"/>
    </row>
    <row r="50" spans="1:31" ht="11.25" customHeight="1" x14ac:dyDescent="0.25">
      <c r="A50" s="4" t="s">
        <v>581</v>
      </c>
      <c r="B50" s="1345">
        <v>-157</v>
      </c>
      <c r="C50" s="1345">
        <v>-1415</v>
      </c>
      <c r="D50" s="1345">
        <v>-129</v>
      </c>
      <c r="E50" s="1345">
        <v>-86</v>
      </c>
      <c r="F50" s="1345">
        <v>-93</v>
      </c>
      <c r="G50" s="1345">
        <v>-218</v>
      </c>
      <c r="H50" s="1345">
        <v>-138</v>
      </c>
      <c r="I50" s="1345">
        <v>-254</v>
      </c>
      <c r="J50" s="1345">
        <v>-119</v>
      </c>
      <c r="K50" s="1343">
        <v>-98</v>
      </c>
      <c r="L50" s="1343">
        <v>-850</v>
      </c>
      <c r="M50" s="1343">
        <v>-78</v>
      </c>
      <c r="N50" s="1343">
        <v>-73</v>
      </c>
      <c r="O50" s="1343">
        <v>-66</v>
      </c>
      <c r="P50" s="1343">
        <v>-1895</v>
      </c>
      <c r="Q50" s="1343">
        <v>-875</v>
      </c>
      <c r="R50" s="1343">
        <v>-778</v>
      </c>
      <c r="S50" s="1343">
        <v>-1367</v>
      </c>
      <c r="T50" s="1343">
        <v>-654</v>
      </c>
      <c r="U50" s="1343">
        <v>-311</v>
      </c>
      <c r="V50" s="1343">
        <v>-863</v>
      </c>
      <c r="W50" s="1343">
        <v>-211</v>
      </c>
      <c r="X50" s="1608">
        <v>-503</v>
      </c>
      <c r="Y50" s="498">
        <v>0</v>
      </c>
      <c r="Z50" s="498">
        <v>0</v>
      </c>
      <c r="AA50" s="498">
        <v>0</v>
      </c>
      <c r="AB50" s="498">
        <v>0</v>
      </c>
      <c r="AC50" s="102"/>
    </row>
    <row r="51" spans="1:31" ht="11.25" customHeight="1" x14ac:dyDescent="0.25">
      <c r="A51" s="4" t="s">
        <v>582</v>
      </c>
      <c r="B51" s="1345">
        <v>-8</v>
      </c>
      <c r="C51" s="1345">
        <v>-17</v>
      </c>
      <c r="D51" s="1345">
        <v>-46</v>
      </c>
      <c r="E51" s="1345">
        <v>-57</v>
      </c>
      <c r="F51" s="1345">
        <v>-31</v>
      </c>
      <c r="G51" s="1345">
        <v>-36</v>
      </c>
      <c r="H51" s="1345">
        <v>-35</v>
      </c>
      <c r="I51" s="1345">
        <v>-28</v>
      </c>
      <c r="J51" s="1345">
        <v>-9</v>
      </c>
      <c r="K51" s="1343">
        <v>-27</v>
      </c>
      <c r="L51" s="1343">
        <v>3</v>
      </c>
      <c r="M51" s="1343">
        <v>-14</v>
      </c>
      <c r="N51" s="1343">
        <v>-24</v>
      </c>
      <c r="O51" s="1343">
        <v>-25</v>
      </c>
      <c r="P51" s="1343">
        <v>-10</v>
      </c>
      <c r="Q51" s="1343">
        <v>-27</v>
      </c>
      <c r="R51" s="1343">
        <v>-10</v>
      </c>
      <c r="S51" s="1343">
        <v>-12</v>
      </c>
      <c r="T51" s="1343">
        <v>-17</v>
      </c>
      <c r="U51" s="1343">
        <v>-5</v>
      </c>
      <c r="V51" s="1343">
        <v>-21</v>
      </c>
      <c r="W51" s="1343">
        <v>-19</v>
      </c>
      <c r="X51" s="1608">
        <v>-13</v>
      </c>
      <c r="Y51" s="498">
        <v>0</v>
      </c>
      <c r="Z51" s="498">
        <v>0</v>
      </c>
      <c r="AA51" s="498">
        <v>0</v>
      </c>
      <c r="AB51" s="498">
        <v>0</v>
      </c>
      <c r="AC51" s="102"/>
    </row>
    <row r="52" spans="1:31" ht="11.25" customHeight="1" x14ac:dyDescent="0.25">
      <c r="A52" s="4" t="s">
        <v>583</v>
      </c>
      <c r="B52" s="1345">
        <v>6</v>
      </c>
      <c r="C52" s="1345">
        <v>1331</v>
      </c>
      <c r="D52" s="1345">
        <v>67</v>
      </c>
      <c r="E52" s="1345">
        <v>24</v>
      </c>
      <c r="F52" s="1345">
        <v>136</v>
      </c>
      <c r="G52" s="1345">
        <v>794</v>
      </c>
      <c r="H52" s="1345">
        <v>324</v>
      </c>
      <c r="I52" s="1345">
        <v>32</v>
      </c>
      <c r="J52" s="1345">
        <v>917</v>
      </c>
      <c r="K52" s="1343">
        <v>9</v>
      </c>
      <c r="L52" s="1343">
        <v>209</v>
      </c>
      <c r="M52" s="1343">
        <v>9</v>
      </c>
      <c r="N52" s="1343">
        <v>682</v>
      </c>
      <c r="O52" s="1343">
        <v>1058</v>
      </c>
      <c r="P52" s="1343">
        <v>1480</v>
      </c>
      <c r="Q52" s="1343">
        <v>24</v>
      </c>
      <c r="R52" s="1343">
        <v>1595</v>
      </c>
      <c r="S52" s="1343">
        <v>2146</v>
      </c>
      <c r="T52" s="1343">
        <v>510</v>
      </c>
      <c r="U52" s="1343">
        <v>17</v>
      </c>
      <c r="V52" s="1343">
        <v>56</v>
      </c>
      <c r="W52" s="1343">
        <v>17</v>
      </c>
      <c r="X52" s="1608">
        <v>0</v>
      </c>
      <c r="Y52" s="498">
        <v>0</v>
      </c>
      <c r="Z52" s="498">
        <v>0</v>
      </c>
      <c r="AA52" s="498">
        <v>0</v>
      </c>
      <c r="AB52" s="498">
        <v>0</v>
      </c>
      <c r="AC52" s="102"/>
    </row>
    <row r="53" spans="1:31" ht="11.25" customHeight="1" x14ac:dyDescent="0.25">
      <c r="A53" s="4" t="s">
        <v>584</v>
      </c>
      <c r="B53" s="1345">
        <v>5</v>
      </c>
      <c r="C53" s="1345">
        <v>47</v>
      </c>
      <c r="D53" s="1345">
        <v>71</v>
      </c>
      <c r="E53" s="1345">
        <v>41</v>
      </c>
      <c r="F53" s="1345">
        <v>112</v>
      </c>
      <c r="G53" s="1345">
        <v>69</v>
      </c>
      <c r="H53" s="1345">
        <v>17</v>
      </c>
      <c r="I53" s="1345">
        <v>13</v>
      </c>
      <c r="J53" s="1345">
        <v>0</v>
      </c>
      <c r="K53" s="1343">
        <v>0</v>
      </c>
      <c r="L53" s="1343">
        <v>0</v>
      </c>
      <c r="M53" s="1343">
        <v>0</v>
      </c>
      <c r="N53" s="1343">
        <v>0</v>
      </c>
      <c r="O53" s="1343">
        <v>0</v>
      </c>
      <c r="P53" s="1343">
        <v>0</v>
      </c>
      <c r="Q53" s="1343">
        <v>0</v>
      </c>
      <c r="R53" s="1343">
        <v>0</v>
      </c>
      <c r="S53" s="1343">
        <v>0</v>
      </c>
      <c r="T53" s="1343">
        <v>0</v>
      </c>
      <c r="U53" s="1343">
        <v>0</v>
      </c>
      <c r="V53" s="1343">
        <v>0</v>
      </c>
      <c r="W53" s="1343">
        <v>0</v>
      </c>
      <c r="X53" s="1608">
        <v>0</v>
      </c>
      <c r="Y53" s="498">
        <v>0</v>
      </c>
      <c r="Z53" s="498">
        <v>0</v>
      </c>
      <c r="AA53" s="498">
        <v>0</v>
      </c>
      <c r="AB53" s="498">
        <v>0</v>
      </c>
      <c r="AC53" s="102"/>
    </row>
    <row r="54" spans="1:31" ht="11.25" customHeight="1" x14ac:dyDescent="0.25">
      <c r="A54" s="4" t="s">
        <v>585</v>
      </c>
      <c r="B54" s="1345">
        <v>0</v>
      </c>
      <c r="C54" s="1345">
        <v>322</v>
      </c>
      <c r="D54" s="1345">
        <v>-151</v>
      </c>
      <c r="E54" s="1345">
        <v>-97</v>
      </c>
      <c r="F54" s="1345">
        <v>465</v>
      </c>
      <c r="G54" s="1345">
        <v>381</v>
      </c>
      <c r="H54" s="1345">
        <v>-802</v>
      </c>
      <c r="I54" s="1345">
        <v>390</v>
      </c>
      <c r="J54" s="1345">
        <v>-122</v>
      </c>
      <c r="K54" s="1343">
        <v>-210</v>
      </c>
      <c r="L54" s="1343">
        <v>809</v>
      </c>
      <c r="M54" s="1343">
        <v>-650</v>
      </c>
      <c r="N54" s="1343">
        <v>10</v>
      </c>
      <c r="O54" s="1343">
        <v>449</v>
      </c>
      <c r="P54" s="1343">
        <v>-472</v>
      </c>
      <c r="Q54" s="1343">
        <v>1261</v>
      </c>
      <c r="R54" s="1343">
        <v>-831</v>
      </c>
      <c r="S54" s="1343">
        <v>-775</v>
      </c>
      <c r="T54" s="1343">
        <v>-159</v>
      </c>
      <c r="U54" s="1343">
        <v>-161</v>
      </c>
      <c r="V54" s="1343">
        <v>45</v>
      </c>
      <c r="W54" s="1343">
        <v>830</v>
      </c>
      <c r="X54" s="1615">
        <f>BS!X32-BS!W32</f>
        <v>0</v>
      </c>
      <c r="Y54" s="491">
        <f>BS!Y32-BS!X32</f>
        <v>0</v>
      </c>
      <c r="Z54" s="491">
        <f>BS!Z32-BS!Y32</f>
        <v>0</v>
      </c>
      <c r="AA54" s="491">
        <f>BS!AA32-BS!Z32</f>
        <v>0</v>
      </c>
      <c r="AB54" s="491">
        <f>BS!AB32-BS!AA32</f>
        <v>0</v>
      </c>
      <c r="AC54" s="102"/>
    </row>
    <row r="55" spans="1:31" ht="11.25" customHeight="1" x14ac:dyDescent="0.25">
      <c r="A55" s="4" t="s">
        <v>586</v>
      </c>
      <c r="B55" s="1345"/>
      <c r="C55" s="1345"/>
      <c r="D55" s="1345">
        <v>0</v>
      </c>
      <c r="E55" s="1345">
        <v>-64</v>
      </c>
      <c r="F55" s="1345">
        <v>133</v>
      </c>
      <c r="G55" s="1345">
        <v>-30</v>
      </c>
      <c r="H55" s="1345">
        <v>28</v>
      </c>
      <c r="I55" s="1345">
        <v>11</v>
      </c>
      <c r="J55" s="1345"/>
      <c r="K55" s="1343">
        <v>0</v>
      </c>
      <c r="L55" s="1343">
        <v>0</v>
      </c>
      <c r="M55" s="1343">
        <v>0</v>
      </c>
      <c r="N55" s="1343"/>
      <c r="O55" s="1343">
        <v>0</v>
      </c>
      <c r="P55" s="1343">
        <v>0</v>
      </c>
      <c r="Q55" s="1343">
        <v>0</v>
      </c>
      <c r="R55" s="1343">
        <v>0</v>
      </c>
      <c r="S55" s="1343">
        <v>0</v>
      </c>
      <c r="T55" s="1343">
        <v>0</v>
      </c>
      <c r="U55" s="1343">
        <v>0</v>
      </c>
      <c r="V55" s="1343">
        <v>0</v>
      </c>
      <c r="W55" s="1343">
        <v>0</v>
      </c>
      <c r="X55" s="1608">
        <v>0</v>
      </c>
      <c r="Y55" s="498">
        <v>0</v>
      </c>
      <c r="Z55" s="498">
        <v>0</v>
      </c>
      <c r="AA55" s="498">
        <v>0</v>
      </c>
      <c r="AB55" s="498">
        <v>0</v>
      </c>
      <c r="AC55" s="102"/>
    </row>
    <row r="56" spans="1:31" ht="11.25" customHeight="1" x14ac:dyDescent="0.25">
      <c r="A56" s="4" t="s">
        <v>587</v>
      </c>
      <c r="B56" s="1345">
        <v>-32</v>
      </c>
      <c r="C56" s="1345">
        <v>-90</v>
      </c>
      <c r="D56" s="1345">
        <v>-148</v>
      </c>
      <c r="E56" s="1345">
        <v>-90</v>
      </c>
      <c r="F56" s="1345">
        <v>-197</v>
      </c>
      <c r="G56" s="1345">
        <v>-68</v>
      </c>
      <c r="H56" s="1345">
        <v>-152</v>
      </c>
      <c r="I56" s="1345">
        <v>-304</v>
      </c>
      <c r="J56" s="1345">
        <v>-283</v>
      </c>
      <c r="K56" s="1343">
        <v>-471</v>
      </c>
      <c r="L56" s="1343">
        <v>-500</v>
      </c>
      <c r="M56" s="1343">
        <v>-517</v>
      </c>
      <c r="N56" s="1343">
        <v>-612</v>
      </c>
      <c r="O56" s="1343">
        <v>-340</v>
      </c>
      <c r="P56" s="1343">
        <v>-695</v>
      </c>
      <c r="Q56" s="1343">
        <v>-785</v>
      </c>
      <c r="R56" s="1343">
        <v>0</v>
      </c>
      <c r="S56" s="1343">
        <v>-183</v>
      </c>
      <c r="T56" s="1343">
        <v>-213</v>
      </c>
      <c r="U56" s="1343">
        <v>-564</v>
      </c>
      <c r="V56" s="1343">
        <v>-911</v>
      </c>
      <c r="W56" s="1343">
        <v>-1216</v>
      </c>
      <c r="X56" s="1615">
        <f>-IS!X98</f>
        <v>-1390.5796910383497</v>
      </c>
      <c r="Y56" s="491">
        <f>-IS!Y98</f>
        <v>-1711.0081799562354</v>
      </c>
      <c r="Z56" s="491">
        <f>-IS!Z98</f>
        <v>-2277.3119364563263</v>
      </c>
      <c r="AA56" s="491">
        <f>-IS!AA98</f>
        <v>-2525.4379500585869</v>
      </c>
      <c r="AB56" s="491">
        <f>-IS!AB98</f>
        <v>-2725.1752864289297</v>
      </c>
      <c r="AC56" s="102"/>
    </row>
    <row r="57" spans="1:31" ht="11.25" customHeight="1" x14ac:dyDescent="0.25">
      <c r="A57" s="4" t="s">
        <v>588</v>
      </c>
      <c r="B57" s="1345">
        <v>0</v>
      </c>
      <c r="C57" s="1345">
        <v>-1</v>
      </c>
      <c r="D57" s="1345">
        <v>-7</v>
      </c>
      <c r="E57" s="1345">
        <v>-6</v>
      </c>
      <c r="F57" s="1345">
        <v>-5</v>
      </c>
      <c r="G57" s="1345">
        <v>-5</v>
      </c>
      <c r="H57" s="1345">
        <v>-9</v>
      </c>
      <c r="I57" s="1345">
        <v>-13</v>
      </c>
      <c r="J57" s="1345">
        <v>-17</v>
      </c>
      <c r="K57" s="1343">
        <v>-10</v>
      </c>
      <c r="L57" s="1343">
        <v>-11</v>
      </c>
      <c r="M57" s="1343">
        <v>-23</v>
      </c>
      <c r="N57" s="1343">
        <v>-30</v>
      </c>
      <c r="O57" s="1343">
        <v>-32</v>
      </c>
      <c r="P57" s="1343">
        <v>-26</v>
      </c>
      <c r="Q57" s="1343">
        <v>-32</v>
      </c>
      <c r="R57" s="1343">
        <v>-4</v>
      </c>
      <c r="S57" s="1343">
        <v>-5</v>
      </c>
      <c r="T57" s="1343">
        <v>-12</v>
      </c>
      <c r="U57" s="1343">
        <v>-19</v>
      </c>
      <c r="V57" s="1343">
        <v>-59</v>
      </c>
      <c r="W57" s="1343">
        <v>-54</v>
      </c>
      <c r="X57" s="1608">
        <v>-62</v>
      </c>
      <c r="Y57" s="491">
        <f t="shared" ref="Y57:AB57" si="25">X57</f>
        <v>-62</v>
      </c>
      <c r="Z57" s="491">
        <f t="shared" si="25"/>
        <v>-62</v>
      </c>
      <c r="AA57" s="491">
        <f t="shared" si="25"/>
        <v>-62</v>
      </c>
      <c r="AB57" s="491">
        <f t="shared" si="25"/>
        <v>-62</v>
      </c>
      <c r="AC57" s="102"/>
    </row>
    <row r="58" spans="1:31" ht="11.25" customHeight="1" x14ac:dyDescent="0.25">
      <c r="A58" s="186" t="s">
        <v>579</v>
      </c>
      <c r="B58" s="470">
        <f t="shared" ref="B58:AB58" si="26">SUM(B48:B57)</f>
        <v>-186</v>
      </c>
      <c r="C58" s="470">
        <f t="shared" si="26"/>
        <v>184</v>
      </c>
      <c r="D58" s="470">
        <f t="shared" si="26"/>
        <v>-335</v>
      </c>
      <c r="E58" s="470">
        <f t="shared" si="26"/>
        <v>-316</v>
      </c>
      <c r="F58" s="470">
        <f t="shared" si="26"/>
        <v>369</v>
      </c>
      <c r="G58" s="470">
        <f t="shared" si="26"/>
        <v>893</v>
      </c>
      <c r="H58" s="470">
        <f t="shared" si="26"/>
        <v>-761</v>
      </c>
      <c r="I58" s="470">
        <f t="shared" si="26"/>
        <v>28</v>
      </c>
      <c r="J58" s="470">
        <f t="shared" si="26"/>
        <v>485</v>
      </c>
      <c r="K58" s="470">
        <f t="shared" si="26"/>
        <v>-805</v>
      </c>
      <c r="L58" s="470">
        <f t="shared" si="26"/>
        <v>-341</v>
      </c>
      <c r="M58" s="470">
        <f t="shared" si="26"/>
        <v>-1278</v>
      </c>
      <c r="N58" s="470">
        <f t="shared" si="26"/>
        <v>-94</v>
      </c>
      <c r="O58" s="470">
        <f t="shared" si="26"/>
        <v>591</v>
      </c>
      <c r="P58" s="470">
        <f t="shared" si="26"/>
        <v>-2158</v>
      </c>
      <c r="Q58" s="470">
        <f t="shared" si="26"/>
        <v>-1740</v>
      </c>
      <c r="R58" s="470">
        <f t="shared" si="26"/>
        <v>68</v>
      </c>
      <c r="S58" s="470">
        <f t="shared" si="26"/>
        <v>-268</v>
      </c>
      <c r="T58" s="470">
        <f t="shared" si="26"/>
        <v>-815</v>
      </c>
      <c r="U58" s="470">
        <f t="shared" ref="U58:V58" si="27">SUM(U48:U57)</f>
        <v>-2576</v>
      </c>
      <c r="V58" s="470">
        <f t="shared" si="27"/>
        <v>-3073</v>
      </c>
      <c r="W58" s="470">
        <f t="shared" ref="W58" si="28">SUM(W48:W57)</f>
        <v>-2005</v>
      </c>
      <c r="X58" s="1665">
        <f t="shared" si="26"/>
        <v>-3218.5796910383497</v>
      </c>
      <c r="Y58" s="472">
        <f t="shared" si="26"/>
        <v>-3023.0081799562354</v>
      </c>
      <c r="Z58" s="472">
        <f t="shared" si="26"/>
        <v>-3589.3119364563263</v>
      </c>
      <c r="AA58" s="472">
        <f t="shared" si="26"/>
        <v>-2587.4379500585869</v>
      </c>
      <c r="AB58" s="472">
        <f t="shared" si="26"/>
        <v>-2787.1752864289297</v>
      </c>
      <c r="AC58" s="147"/>
      <c r="AD58" s="520"/>
      <c r="AE58" s="520"/>
    </row>
    <row r="59" spans="1:31" ht="11.25" customHeight="1" x14ac:dyDescent="0.25">
      <c r="D59" s="1345"/>
      <c r="E59" s="1345"/>
      <c r="F59" s="1345"/>
      <c r="G59" s="1345"/>
      <c r="H59" s="1345"/>
      <c r="I59" s="1345"/>
      <c r="J59" s="1345"/>
      <c r="K59" s="1343"/>
      <c r="L59" s="1343"/>
      <c r="M59" s="1343"/>
      <c r="N59" s="1343"/>
      <c r="O59" s="1343"/>
      <c r="P59" s="1343"/>
      <c r="Q59" s="1343"/>
      <c r="R59" s="1343"/>
      <c r="S59" s="1343"/>
      <c r="T59" s="1343"/>
      <c r="U59" s="1343"/>
      <c r="V59" s="1343"/>
      <c r="W59" s="1343"/>
      <c r="X59" s="1644"/>
      <c r="Y59" s="1531"/>
      <c r="Z59" s="1531"/>
      <c r="AA59" s="1531"/>
      <c r="AB59" s="1531"/>
      <c r="AC59" s="102"/>
    </row>
    <row r="60" spans="1:31" ht="11.25" customHeight="1" x14ac:dyDescent="0.25">
      <c r="A60" s="4" t="s">
        <v>589</v>
      </c>
      <c r="B60" s="1345">
        <v>0</v>
      </c>
      <c r="C60" s="1345">
        <v>0</v>
      </c>
      <c r="D60" s="1345">
        <v>0</v>
      </c>
      <c r="E60" s="1345">
        <v>95</v>
      </c>
      <c r="F60" s="1345">
        <v>-94</v>
      </c>
      <c r="G60" s="1345">
        <v>5</v>
      </c>
      <c r="H60" s="1345">
        <v>-29</v>
      </c>
      <c r="I60" s="1345">
        <v>-10</v>
      </c>
      <c r="J60" s="1345">
        <v>0</v>
      </c>
      <c r="K60" s="1343">
        <v>0</v>
      </c>
      <c r="L60" s="1343">
        <v>0</v>
      </c>
      <c r="M60" s="1343">
        <v>0</v>
      </c>
      <c r="N60" s="1343">
        <v>171</v>
      </c>
      <c r="O60" s="1343">
        <v>14</v>
      </c>
      <c r="P60" s="1343">
        <v>0</v>
      </c>
      <c r="Q60" s="1343">
        <v>0</v>
      </c>
      <c r="R60" s="1343">
        <v>0</v>
      </c>
      <c r="S60" s="1343">
        <v>0</v>
      </c>
      <c r="T60" s="1343">
        <v>0</v>
      </c>
      <c r="U60" s="1343">
        <v>0</v>
      </c>
      <c r="V60" s="1343">
        <v>0</v>
      </c>
      <c r="W60" s="1343">
        <v>0</v>
      </c>
      <c r="X60" s="1608">
        <v>0</v>
      </c>
      <c r="Y60" s="498">
        <v>0</v>
      </c>
      <c r="Z60" s="498">
        <v>0</v>
      </c>
      <c r="AA60" s="498">
        <v>0</v>
      </c>
      <c r="AB60" s="498">
        <v>0</v>
      </c>
      <c r="AC60" s="102"/>
    </row>
    <row r="61" spans="1:31" ht="11.25" customHeight="1" x14ac:dyDescent="0.25">
      <c r="A61" s="4" t="s">
        <v>590</v>
      </c>
      <c r="B61" s="1345">
        <v>0</v>
      </c>
      <c r="C61" s="1345">
        <v>0</v>
      </c>
      <c r="D61" s="1345">
        <v>0</v>
      </c>
      <c r="E61" s="1345">
        <v>-33</v>
      </c>
      <c r="F61" s="1345">
        <v>-7</v>
      </c>
      <c r="G61" s="1345">
        <v>0</v>
      </c>
      <c r="H61" s="1345">
        <v>0</v>
      </c>
      <c r="I61" s="1345">
        <v>-2</v>
      </c>
      <c r="J61" s="1345">
        <v>0</v>
      </c>
      <c r="K61" s="1343">
        <v>0</v>
      </c>
      <c r="L61" s="1343">
        <v>0</v>
      </c>
      <c r="M61" s="1343">
        <v>0</v>
      </c>
      <c r="N61" s="1343">
        <v>-111</v>
      </c>
      <c r="O61" s="1343">
        <v>-52</v>
      </c>
      <c r="P61" s="1343">
        <v>0</v>
      </c>
      <c r="Q61" s="1343">
        <v>0</v>
      </c>
      <c r="R61" s="1343">
        <v>0</v>
      </c>
      <c r="S61" s="1343">
        <v>0</v>
      </c>
      <c r="T61" s="1343">
        <v>0</v>
      </c>
      <c r="U61" s="1343">
        <v>0</v>
      </c>
      <c r="V61" s="1343">
        <v>0</v>
      </c>
      <c r="W61" s="1343">
        <v>0</v>
      </c>
      <c r="X61" s="1608">
        <v>0</v>
      </c>
      <c r="Y61" s="498">
        <v>0</v>
      </c>
      <c r="Z61" s="498">
        <v>0</v>
      </c>
      <c r="AA61" s="498">
        <v>0</v>
      </c>
      <c r="AB61" s="498">
        <v>0</v>
      </c>
      <c r="AC61" s="102"/>
    </row>
    <row r="62" spans="1:31" ht="11.25" customHeight="1" x14ac:dyDescent="0.25">
      <c r="A62" s="4" t="s">
        <v>591</v>
      </c>
      <c r="B62" s="1345">
        <v>0</v>
      </c>
      <c r="C62" s="1345">
        <v>0</v>
      </c>
      <c r="D62" s="1345">
        <v>0</v>
      </c>
      <c r="E62" s="1345">
        <v>1</v>
      </c>
      <c r="F62" s="1345">
        <v>2</v>
      </c>
      <c r="G62" s="1345">
        <v>-1</v>
      </c>
      <c r="H62" s="1345">
        <v>0</v>
      </c>
      <c r="I62" s="1345">
        <v>0</v>
      </c>
      <c r="J62" s="1345">
        <v>0</v>
      </c>
      <c r="K62" s="1343">
        <v>0</v>
      </c>
      <c r="L62" s="1343">
        <v>0</v>
      </c>
      <c r="M62" s="1343">
        <v>0</v>
      </c>
      <c r="N62" s="1343">
        <v>-8</v>
      </c>
      <c r="O62" s="1343">
        <v>-198</v>
      </c>
      <c r="P62" s="1343">
        <v>0</v>
      </c>
      <c r="Q62" s="1343">
        <v>0</v>
      </c>
      <c r="R62" s="1343">
        <v>0</v>
      </c>
      <c r="S62" s="1343">
        <v>0</v>
      </c>
      <c r="T62" s="1343">
        <v>0</v>
      </c>
      <c r="U62" s="1343">
        <v>0</v>
      </c>
      <c r="V62" s="1343">
        <v>0</v>
      </c>
      <c r="W62" s="1343">
        <v>0</v>
      </c>
      <c r="X62" s="1608">
        <v>0</v>
      </c>
      <c r="Y62" s="498">
        <v>0</v>
      </c>
      <c r="Z62" s="498">
        <v>0</v>
      </c>
      <c r="AA62" s="498">
        <v>0</v>
      </c>
      <c r="AB62" s="498">
        <v>0</v>
      </c>
      <c r="AC62" s="102"/>
    </row>
    <row r="63" spans="1:31" ht="11.25" customHeight="1" x14ac:dyDescent="0.25">
      <c r="A63" s="4" t="s">
        <v>592</v>
      </c>
      <c r="B63" s="1345">
        <v>0</v>
      </c>
      <c r="C63" s="1345">
        <v>6</v>
      </c>
      <c r="D63" s="1345">
        <v>-6</v>
      </c>
      <c r="E63" s="1345">
        <v>-2</v>
      </c>
      <c r="F63" s="1345">
        <v>-2</v>
      </c>
      <c r="G63" s="1345">
        <v>4</v>
      </c>
      <c r="H63" s="1345">
        <v>12</v>
      </c>
      <c r="I63" s="1345">
        <v>3</v>
      </c>
      <c r="J63" s="1345">
        <v>-8</v>
      </c>
      <c r="K63" s="1343">
        <v>-15</v>
      </c>
      <c r="L63" s="1343">
        <v>24</v>
      </c>
      <c r="M63" s="1343">
        <v>5</v>
      </c>
      <c r="N63" s="1343">
        <v>15</v>
      </c>
      <c r="O63" s="1343">
        <v>-17</v>
      </c>
      <c r="P63" s="1343">
        <v>-3</v>
      </c>
      <c r="Q63" s="1343">
        <v>2</v>
      </c>
      <c r="R63" s="1343">
        <v>-20</v>
      </c>
      <c r="S63" s="1343">
        <v>70</v>
      </c>
      <c r="T63" s="1343">
        <v>-2</v>
      </c>
      <c r="U63" s="1343">
        <v>-1</v>
      </c>
      <c r="V63" s="1343">
        <v>26</v>
      </c>
      <c r="W63" s="1343">
        <v>-57</v>
      </c>
      <c r="X63" s="1608">
        <v>19</v>
      </c>
      <c r="Y63" s="498">
        <v>0</v>
      </c>
      <c r="Z63" s="498">
        <v>0</v>
      </c>
      <c r="AA63" s="498">
        <v>0</v>
      </c>
      <c r="AB63" s="498">
        <v>0</v>
      </c>
      <c r="AC63" s="102"/>
    </row>
    <row r="64" spans="1:31" ht="11.25" customHeight="1" x14ac:dyDescent="0.25">
      <c r="A64" s="186" t="s">
        <v>593</v>
      </c>
      <c r="B64" s="138">
        <f t="shared" ref="B64:AB64" si="29">B35+B45+B58+B60+B61+B62+B63</f>
        <v>-195</v>
      </c>
      <c r="C64" s="138">
        <f t="shared" si="29"/>
        <v>557</v>
      </c>
      <c r="D64" s="138">
        <f t="shared" si="29"/>
        <v>-193</v>
      </c>
      <c r="E64" s="138">
        <f t="shared" si="29"/>
        <v>24</v>
      </c>
      <c r="F64" s="138">
        <f t="shared" si="29"/>
        <v>200</v>
      </c>
      <c r="G64" s="138">
        <f t="shared" si="29"/>
        <v>1150</v>
      </c>
      <c r="H64" s="138">
        <f t="shared" si="29"/>
        <v>-18</v>
      </c>
      <c r="I64" s="138">
        <f t="shared" si="29"/>
        <v>-631</v>
      </c>
      <c r="J64" s="138">
        <f t="shared" si="29"/>
        <v>762</v>
      </c>
      <c r="K64" s="138">
        <f t="shared" si="29"/>
        <v>-536</v>
      </c>
      <c r="L64" s="138">
        <f t="shared" si="29"/>
        <v>86</v>
      </c>
      <c r="M64" s="138">
        <f t="shared" si="29"/>
        <v>212</v>
      </c>
      <c r="N64" s="138">
        <f t="shared" si="29"/>
        <v>261</v>
      </c>
      <c r="O64" s="138">
        <f t="shared" si="29"/>
        <v>2808</v>
      </c>
      <c r="P64" s="138">
        <f t="shared" si="29"/>
        <v>-2584</v>
      </c>
      <c r="Q64" s="138">
        <f t="shared" si="29"/>
        <v>302</v>
      </c>
      <c r="R64" s="138">
        <f t="shared" si="29"/>
        <v>1115</v>
      </c>
      <c r="S64" s="138">
        <f t="shared" si="29"/>
        <v>1500</v>
      </c>
      <c r="T64" s="138">
        <f t="shared" si="29"/>
        <v>1440</v>
      </c>
      <c r="U64" s="138">
        <f t="shared" ref="U64:V64" si="30">U35+U45+U58+U60+U61+U62+U63</f>
        <v>-11</v>
      </c>
      <c r="V64" s="138">
        <f t="shared" si="30"/>
        <v>-162</v>
      </c>
      <c r="W64" s="138">
        <f t="shared" ref="W64" si="31">W35+W45+W58+W60+W61+W62+W63</f>
        <v>275</v>
      </c>
      <c r="X64" s="1609">
        <f t="shared" si="29"/>
        <v>2021.5518355188224</v>
      </c>
      <c r="Y64" s="112">
        <f t="shared" si="29"/>
        <v>2628.6118655635041</v>
      </c>
      <c r="Z64" s="112">
        <f t="shared" si="29"/>
        <v>2427.71071269202</v>
      </c>
      <c r="AA64" s="112">
        <f t="shared" si="29"/>
        <v>3879.8234234703273</v>
      </c>
      <c r="AB64" s="112">
        <f t="shared" si="29"/>
        <v>3800.9068029371088</v>
      </c>
      <c r="AC64" s="147"/>
      <c r="AD64" s="520"/>
      <c r="AE64" s="520"/>
    </row>
    <row r="65" spans="1:31" ht="11.25" customHeight="1" x14ac:dyDescent="0.25">
      <c r="A65" s="186"/>
      <c r="B65" s="147"/>
      <c r="C65" s="147"/>
      <c r="D65" s="147"/>
      <c r="E65" s="147"/>
      <c r="F65" s="147"/>
      <c r="G65" s="147"/>
      <c r="H65" s="147"/>
      <c r="I65" s="147"/>
      <c r="J65" s="147"/>
      <c r="K65" s="141"/>
      <c r="L65" s="141"/>
      <c r="M65" s="141"/>
      <c r="N65" s="141"/>
      <c r="O65" s="141"/>
      <c r="P65" s="141"/>
      <c r="Q65" s="141"/>
      <c r="R65" s="141"/>
      <c r="S65" s="141"/>
      <c r="T65" s="141"/>
      <c r="U65" s="141"/>
      <c r="V65" s="141"/>
      <c r="W65" s="141"/>
      <c r="X65" s="1629"/>
      <c r="Y65" s="147"/>
      <c r="Z65" s="147"/>
      <c r="AA65" s="147"/>
      <c r="AB65" s="147"/>
      <c r="AC65" s="147"/>
      <c r="AD65" s="520"/>
      <c r="AE65" s="520"/>
    </row>
    <row r="66" spans="1:31" ht="11.25" customHeight="1" x14ac:dyDescent="0.25">
      <c r="A66" s="4" t="s">
        <v>594</v>
      </c>
      <c r="B66" s="36">
        <v>574</v>
      </c>
      <c r="C66" s="1343">
        <f t="shared" ref="C66:J66" si="32">B67</f>
        <v>379</v>
      </c>
      <c r="D66" s="1343">
        <f t="shared" si="32"/>
        <v>936</v>
      </c>
      <c r="E66" s="1343">
        <f t="shared" si="32"/>
        <v>743</v>
      </c>
      <c r="F66" s="1343">
        <f t="shared" si="32"/>
        <v>767</v>
      </c>
      <c r="G66" s="1343">
        <f t="shared" si="32"/>
        <v>967</v>
      </c>
      <c r="H66" s="1343">
        <f t="shared" si="32"/>
        <v>2117</v>
      </c>
      <c r="I66" s="1343">
        <f t="shared" si="32"/>
        <v>2099</v>
      </c>
      <c r="J66" s="1343">
        <f t="shared" si="32"/>
        <v>1468</v>
      </c>
      <c r="K66" s="1343">
        <v>2083</v>
      </c>
      <c r="L66" s="1343">
        <f t="shared" ref="L66:AB66" si="33">K67</f>
        <v>1547</v>
      </c>
      <c r="M66" s="1343">
        <f t="shared" si="33"/>
        <v>1633</v>
      </c>
      <c r="N66" s="1343">
        <f t="shared" si="33"/>
        <v>1845</v>
      </c>
      <c r="O66" s="1343">
        <f t="shared" si="33"/>
        <v>1926</v>
      </c>
      <c r="P66" s="1343">
        <f t="shared" si="33"/>
        <v>4914</v>
      </c>
      <c r="Q66" s="1343">
        <f t="shared" si="33"/>
        <v>2330</v>
      </c>
      <c r="R66" s="1343">
        <f t="shared" si="33"/>
        <v>2632</v>
      </c>
      <c r="S66" s="1343">
        <f t="shared" si="33"/>
        <v>3747</v>
      </c>
      <c r="T66" s="1343">
        <f t="shared" si="33"/>
        <v>5247</v>
      </c>
      <c r="U66" s="1343">
        <f t="shared" si="33"/>
        <v>6687</v>
      </c>
      <c r="V66" s="1343">
        <f t="shared" si="33"/>
        <v>6676</v>
      </c>
      <c r="W66" s="1343">
        <f t="shared" si="33"/>
        <v>6514</v>
      </c>
      <c r="X66" s="1615">
        <f t="shared" si="33"/>
        <v>6789</v>
      </c>
      <c r="Y66" s="146">
        <f t="shared" si="33"/>
        <v>8810.5518355188215</v>
      </c>
      <c r="Z66" s="146">
        <f t="shared" si="33"/>
        <v>11439.163701082325</v>
      </c>
      <c r="AA66" s="146">
        <f t="shared" si="33"/>
        <v>13866.874413774345</v>
      </c>
      <c r="AB66" s="146">
        <f t="shared" si="33"/>
        <v>17746.697837244672</v>
      </c>
    </row>
    <row r="67" spans="1:31" ht="11.25" customHeight="1" x14ac:dyDescent="0.25">
      <c r="A67" s="186" t="s">
        <v>595</v>
      </c>
      <c r="B67" s="458">
        <f t="shared" ref="B67:M67" si="34">B66+B64</f>
        <v>379</v>
      </c>
      <c r="C67" s="141">
        <f t="shared" si="34"/>
        <v>936</v>
      </c>
      <c r="D67" s="141">
        <f t="shared" si="34"/>
        <v>743</v>
      </c>
      <c r="E67" s="141">
        <f t="shared" si="34"/>
        <v>767</v>
      </c>
      <c r="F67" s="141">
        <f t="shared" si="34"/>
        <v>967</v>
      </c>
      <c r="G67" s="141">
        <f t="shared" si="34"/>
        <v>2117</v>
      </c>
      <c r="H67" s="141">
        <f t="shared" si="34"/>
        <v>2099</v>
      </c>
      <c r="I67" s="141">
        <f t="shared" si="34"/>
        <v>1468</v>
      </c>
      <c r="J67" s="141">
        <f t="shared" si="34"/>
        <v>2230</v>
      </c>
      <c r="K67" s="141">
        <f t="shared" si="34"/>
        <v>1547</v>
      </c>
      <c r="L67" s="141">
        <f t="shared" si="34"/>
        <v>1633</v>
      </c>
      <c r="M67" s="141">
        <f t="shared" si="34"/>
        <v>1845</v>
      </c>
      <c r="N67" s="141">
        <v>1926</v>
      </c>
      <c r="O67" s="141">
        <v>4914</v>
      </c>
      <c r="P67" s="141">
        <f t="shared" ref="P67:AB67" si="35">P66+P64</f>
        <v>2330</v>
      </c>
      <c r="Q67" s="141">
        <f t="shared" si="35"/>
        <v>2632</v>
      </c>
      <c r="R67" s="141">
        <f t="shared" si="35"/>
        <v>3747</v>
      </c>
      <c r="S67" s="141">
        <f t="shared" si="35"/>
        <v>5247</v>
      </c>
      <c r="T67" s="141">
        <f t="shared" si="35"/>
        <v>6687</v>
      </c>
      <c r="U67" s="141">
        <f t="shared" ref="U67:V67" si="36">U66+U64</f>
        <v>6676</v>
      </c>
      <c r="V67" s="141">
        <f t="shared" si="36"/>
        <v>6514</v>
      </c>
      <c r="W67" s="141">
        <f t="shared" ref="W67" si="37">W66+W64</f>
        <v>6789</v>
      </c>
      <c r="X67" s="1616">
        <f t="shared" si="35"/>
        <v>8810.5518355188215</v>
      </c>
      <c r="Y67" s="149">
        <f t="shared" si="35"/>
        <v>11439.163701082325</v>
      </c>
      <c r="Z67" s="149">
        <f t="shared" si="35"/>
        <v>13866.874413774345</v>
      </c>
      <c r="AA67" s="149">
        <f t="shared" si="35"/>
        <v>17746.697837244672</v>
      </c>
      <c r="AB67" s="149">
        <f t="shared" si="35"/>
        <v>21547.60464018178</v>
      </c>
    </row>
    <row r="68" spans="1:31" ht="11.25" customHeight="1" x14ac:dyDescent="0.25">
      <c r="A68" s="4" t="s">
        <v>596</v>
      </c>
      <c r="B68" s="1343">
        <f>-BS!B148</f>
        <v>-32</v>
      </c>
      <c r="C68" s="1343">
        <f>-BS!C148</f>
        <v>-1409</v>
      </c>
      <c r="D68" s="1343">
        <f>-BS!D148</f>
        <v>-1162</v>
      </c>
      <c r="E68" s="1343">
        <f>-BS!E148</f>
        <v>-899</v>
      </c>
      <c r="F68" s="1343">
        <f>-BS!F148</f>
        <v>-1554</v>
      </c>
      <c r="G68" s="1343">
        <f>-BS!G148</f>
        <v>-2575</v>
      </c>
      <c r="H68" s="1343">
        <f>-BS!H148</f>
        <v>-2051</v>
      </c>
      <c r="I68" s="1343">
        <f>-BS!I148</f>
        <v>-2445</v>
      </c>
      <c r="J68" s="1343">
        <f>-BS!J148</f>
        <v>-3175</v>
      </c>
      <c r="K68" s="1343">
        <f>-BS!K148</f>
        <v>-2736</v>
      </c>
      <c r="L68" s="1343">
        <f>-BS!L148</f>
        <v>-3165</v>
      </c>
      <c r="M68" s="1343">
        <f>-BS!M148</f>
        <v>-2628</v>
      </c>
      <c r="N68" s="1343">
        <f>-BS!N148</f>
        <v>-3337</v>
      </c>
      <c r="O68" s="1343">
        <f>-BS!O148</f>
        <v>-4636</v>
      </c>
      <c r="P68" s="1343">
        <f>-BS!P148</f>
        <v>-5605</v>
      </c>
      <c r="Q68" s="1343">
        <f>-BS!Q148</f>
        <v>-6779</v>
      </c>
      <c r="R68" s="1343">
        <f>-BS!R148</f>
        <v>-6591</v>
      </c>
      <c r="S68" s="1343">
        <f>-BS!S148</f>
        <v>-6814</v>
      </c>
      <c r="T68" s="1343">
        <f>-BS!T148</f>
        <v>-6655</v>
      </c>
      <c r="U68" s="1343">
        <f>-BS!U148</f>
        <v>-6299</v>
      </c>
      <c r="V68" s="1343">
        <f>-BS!V148</f>
        <v>-4776</v>
      </c>
      <c r="W68" s="1343">
        <f>-BS!W148</f>
        <v>-5048</v>
      </c>
      <c r="X68" s="1615">
        <f>-BS!X148</f>
        <v>-4545</v>
      </c>
      <c r="Y68" s="146">
        <f>-BS!Y148</f>
        <v>-4545</v>
      </c>
      <c r="Z68" s="146">
        <f>-BS!Z148</f>
        <v>-4545</v>
      </c>
      <c r="AA68" s="146">
        <f>-BS!AA148</f>
        <v>-4545</v>
      </c>
      <c r="AB68" s="146">
        <f>-BS!AB148</f>
        <v>-4545</v>
      </c>
    </row>
    <row r="69" spans="1:31" ht="11.25" customHeight="1" x14ac:dyDescent="0.25">
      <c r="A69" s="4" t="s">
        <v>597</v>
      </c>
      <c r="B69" s="458"/>
      <c r="C69" s="141"/>
      <c r="D69" s="141"/>
      <c r="E69" s="141"/>
      <c r="F69" s="141"/>
      <c r="G69" s="141"/>
      <c r="H69" s="141"/>
      <c r="I69" s="141"/>
      <c r="J69" s="1343">
        <v>50</v>
      </c>
      <c r="K69" s="1343">
        <v>-31</v>
      </c>
      <c r="L69" s="1343">
        <v>29</v>
      </c>
      <c r="M69" s="1343">
        <v>35</v>
      </c>
      <c r="N69" s="1343">
        <v>28</v>
      </c>
      <c r="O69" s="1343">
        <v>16</v>
      </c>
      <c r="P69" s="1343">
        <v>6</v>
      </c>
      <c r="Q69" s="1343">
        <v>33</v>
      </c>
      <c r="R69" s="1343">
        <v>52</v>
      </c>
      <c r="S69" s="1343">
        <v>23</v>
      </c>
      <c r="T69" s="1343">
        <v>-18</v>
      </c>
      <c r="U69" s="1343">
        <v>-3</v>
      </c>
      <c r="V69" s="1343">
        <v>0</v>
      </c>
      <c r="W69" s="1343"/>
      <c r="X69" s="1615">
        <f t="shared" ref="X69:AB69" si="38">W69</f>
        <v>0</v>
      </c>
      <c r="Y69" s="146">
        <f t="shared" si="38"/>
        <v>0</v>
      </c>
      <c r="Z69" s="146">
        <f t="shared" si="38"/>
        <v>0</v>
      </c>
      <c r="AA69" s="146">
        <f t="shared" si="38"/>
        <v>0</v>
      </c>
      <c r="AB69" s="146">
        <f t="shared" si="38"/>
        <v>0</v>
      </c>
    </row>
    <row r="70" spans="1:31" ht="11.25" customHeight="1" x14ac:dyDescent="0.25">
      <c r="A70" s="419" t="s">
        <v>598</v>
      </c>
      <c r="B70" s="530"/>
      <c r="C70" s="531"/>
      <c r="D70" s="531"/>
      <c r="E70" s="531"/>
      <c r="F70" s="531"/>
      <c r="G70" s="531"/>
      <c r="H70" s="531"/>
      <c r="I70" s="531"/>
      <c r="J70" s="531">
        <v>-1057</v>
      </c>
      <c r="K70" s="531">
        <f t="shared" ref="K70:AB70" si="39">K67+K68+K69</f>
        <v>-1220</v>
      </c>
      <c r="L70" s="531">
        <f t="shared" si="39"/>
        <v>-1503</v>
      </c>
      <c r="M70" s="531">
        <f t="shared" si="39"/>
        <v>-748</v>
      </c>
      <c r="N70" s="531">
        <f t="shared" si="39"/>
        <v>-1383</v>
      </c>
      <c r="O70" s="531">
        <f t="shared" si="39"/>
        <v>294</v>
      </c>
      <c r="P70" s="531">
        <f t="shared" si="39"/>
        <v>-3269</v>
      </c>
      <c r="Q70" s="531">
        <f t="shared" si="39"/>
        <v>-4114</v>
      </c>
      <c r="R70" s="531">
        <f t="shared" si="39"/>
        <v>-2792</v>
      </c>
      <c r="S70" s="531">
        <f t="shared" si="39"/>
        <v>-1544</v>
      </c>
      <c r="T70" s="531">
        <f t="shared" si="39"/>
        <v>14</v>
      </c>
      <c r="U70" s="531">
        <f t="shared" ref="U70" si="40">U67+U68+U69</f>
        <v>374</v>
      </c>
      <c r="V70" s="531">
        <f t="shared" si="39"/>
        <v>1738</v>
      </c>
      <c r="W70" s="531">
        <f t="shared" ref="W70" si="41">W67+W68+W69</f>
        <v>1741</v>
      </c>
      <c r="X70" s="1628">
        <f t="shared" si="39"/>
        <v>4265.5518355188215</v>
      </c>
      <c r="Y70" s="533">
        <f t="shared" si="39"/>
        <v>6894.1637010823251</v>
      </c>
      <c r="Z70" s="533">
        <f t="shared" si="39"/>
        <v>9321.8744137743452</v>
      </c>
      <c r="AA70" s="533">
        <f t="shared" si="39"/>
        <v>13201.697837244672</v>
      </c>
      <c r="AB70" s="533">
        <f t="shared" si="39"/>
        <v>17002.60464018178</v>
      </c>
    </row>
    <row r="71" spans="1:31" ht="11.25" customHeight="1" x14ac:dyDescent="0.25">
      <c r="B71" s="36"/>
      <c r="C71" s="1343"/>
      <c r="D71" s="1343"/>
      <c r="E71" s="1343"/>
      <c r="F71" s="1343"/>
      <c r="G71" s="1343"/>
      <c r="H71" s="1343"/>
      <c r="I71" s="1343"/>
      <c r="J71" s="1343"/>
      <c r="K71" s="1343"/>
      <c r="L71" s="1343"/>
      <c r="M71" s="1343"/>
      <c r="N71" s="1343"/>
      <c r="O71" s="1343"/>
      <c r="P71" s="1343"/>
      <c r="Q71" s="1343"/>
      <c r="R71" s="1343"/>
      <c r="S71" s="1343"/>
      <c r="T71" s="1343"/>
      <c r="U71" s="1343"/>
      <c r="V71" s="1343"/>
      <c r="W71" s="1343"/>
      <c r="X71" s="1683"/>
      <c r="Y71" s="49"/>
      <c r="Z71" s="49"/>
      <c r="AA71" s="49"/>
      <c r="AB71" s="49"/>
    </row>
    <row r="72" spans="1:31" ht="11.25" customHeight="1" x14ac:dyDescent="0.25">
      <c r="A72" s="186" t="s">
        <v>599</v>
      </c>
      <c r="B72" s="147">
        <f t="shared" ref="B72:AB72" si="42">B28+B33+B39+B40</f>
        <v>58</v>
      </c>
      <c r="C72" s="147">
        <f t="shared" si="42"/>
        <v>351</v>
      </c>
      <c r="D72" s="147">
        <f t="shared" si="42"/>
        <v>165</v>
      </c>
      <c r="E72" s="147">
        <f t="shared" si="42"/>
        <v>374</v>
      </c>
      <c r="F72" s="147">
        <f t="shared" si="42"/>
        <v>49</v>
      </c>
      <c r="G72" s="147">
        <f t="shared" si="42"/>
        <v>818</v>
      </c>
      <c r="H72" s="147">
        <f t="shared" si="42"/>
        <v>934</v>
      </c>
      <c r="I72" s="147">
        <f t="shared" si="42"/>
        <v>532</v>
      </c>
      <c r="J72" s="147">
        <f t="shared" si="42"/>
        <v>564</v>
      </c>
      <c r="K72" s="141">
        <f t="shared" si="42"/>
        <v>699</v>
      </c>
      <c r="L72" s="141">
        <f t="shared" si="42"/>
        <v>740</v>
      </c>
      <c r="M72" s="141">
        <f t="shared" si="42"/>
        <v>974</v>
      </c>
      <c r="N72" s="141">
        <f t="shared" si="42"/>
        <v>1091</v>
      </c>
      <c r="O72" s="141">
        <f t="shared" si="42"/>
        <v>1438</v>
      </c>
      <c r="P72" s="141">
        <f t="shared" si="42"/>
        <v>1781</v>
      </c>
      <c r="Q72" s="141">
        <f t="shared" si="42"/>
        <v>1983</v>
      </c>
      <c r="R72" s="141">
        <f t="shared" si="42"/>
        <v>1073</v>
      </c>
      <c r="S72" s="141">
        <f t="shared" si="42"/>
        <v>1680</v>
      </c>
      <c r="T72" s="141">
        <f t="shared" si="42"/>
        <v>2666</v>
      </c>
      <c r="U72" s="141">
        <f t="shared" ref="U72" si="43">U28+U33+U39+U40</f>
        <v>2945</v>
      </c>
      <c r="V72" s="141">
        <f>V28+V33+V39+V40</f>
        <v>3189</v>
      </c>
      <c r="W72" s="141">
        <f>W28+W33+W39+W40</f>
        <v>3921</v>
      </c>
      <c r="X72" s="1616">
        <f t="shared" si="42"/>
        <v>5099.131526557172</v>
      </c>
      <c r="Y72" s="493">
        <f t="shared" si="42"/>
        <v>5651.6200455197386</v>
      </c>
      <c r="Z72" s="493">
        <f t="shared" si="42"/>
        <v>6017.0226491483463</v>
      </c>
      <c r="AA72" s="493">
        <f t="shared" si="42"/>
        <v>6467.2613735289133</v>
      </c>
      <c r="AB72" s="493">
        <f t="shared" si="42"/>
        <v>6588.0820893660375</v>
      </c>
      <c r="AC72" s="493">
        <f>V72+W72+X72+Y72+Z72</f>
        <v>23877.774221225256</v>
      </c>
      <c r="AD72" s="520"/>
      <c r="AE72" s="520"/>
    </row>
    <row r="73" spans="1:31" ht="11.25" customHeight="1" x14ac:dyDescent="0.25">
      <c r="A73" s="4" t="s">
        <v>600</v>
      </c>
      <c r="B73" s="32"/>
      <c r="C73" s="32"/>
      <c r="D73" s="32"/>
      <c r="E73" s="1471">
        <f>E72/IS!E20</f>
        <v>0.47522236340533675</v>
      </c>
      <c r="F73" s="1471">
        <f>F72/IS!F20</f>
        <v>7.3573573573573567E-2</v>
      </c>
      <c r="G73" s="1471">
        <f>G72/IS!G20</f>
        <v>1.1220850480109739</v>
      </c>
      <c r="H73" s="1471">
        <f>H72/IS!H20</f>
        <v>1.0637813211845102</v>
      </c>
      <c r="I73" s="1471">
        <f>I72/IS!I20</f>
        <v>0.44743481917577799</v>
      </c>
      <c r="J73" s="1471">
        <f>J72/IS!J20</f>
        <v>0.39058171745152354</v>
      </c>
      <c r="K73" s="1471">
        <f>K72/IS!K20</f>
        <v>0.39269662921348314</v>
      </c>
      <c r="L73" s="1471">
        <f>L72/IS!L20</f>
        <v>0.35423647678314985</v>
      </c>
      <c r="M73" s="1471">
        <f>M72/IS!M20</f>
        <v>0.40049342105263158</v>
      </c>
      <c r="N73" s="1471">
        <f>N72/IS!N20</f>
        <v>0.45382695507487519</v>
      </c>
      <c r="O73" s="1471">
        <f>O72/IS!O20</f>
        <v>0.58218623481781373</v>
      </c>
      <c r="P73" s="1471">
        <f>P72/IS!P20</f>
        <v>0.5891498511412504</v>
      </c>
      <c r="Q73" s="1471">
        <f>Q72/IS!Q20</f>
        <v>0.51910994764397911</v>
      </c>
      <c r="R73" s="1471">
        <f>R72/IS!R20</f>
        <v>0.63641755634638197</v>
      </c>
      <c r="S73" s="1471">
        <f>S72/IS!S20</f>
        <v>0.93074792243767313</v>
      </c>
      <c r="T73" s="1471">
        <f>T72/IS!T20</f>
        <v>1.1071428571428572</v>
      </c>
      <c r="U73" s="1471">
        <f>U72/IS!U20</f>
        <v>0.93019583070120027</v>
      </c>
      <c r="V73" s="1471">
        <f>V72/IS!V20</f>
        <v>0.77421704297159499</v>
      </c>
      <c r="W73" s="1471">
        <f>W72/IS!W20</f>
        <v>0.75447373484702718</v>
      </c>
      <c r="X73" s="1692">
        <f>X72/IS!X20</f>
        <v>0.75532873599628592</v>
      </c>
      <c r="Y73" s="1472">
        <f>Y72/IS!Y20</f>
        <v>0.7372211385121753</v>
      </c>
      <c r="Z73" s="1472">
        <f>Z72/IS!Z20</f>
        <v>0.7169416663363144</v>
      </c>
      <c r="AA73" s="1472">
        <f>AA72/IS!AA20</f>
        <v>0.72206810318206627</v>
      </c>
      <c r="AB73" s="1472">
        <f>AB72/IS!AB20</f>
        <v>0.70634471550232947</v>
      </c>
      <c r="AC73" s="519">
        <f>AVERAGE(V73:Z73)</f>
        <v>0.74763646373267956</v>
      </c>
      <c r="AD73" s="520"/>
      <c r="AE73" s="520"/>
    </row>
    <row r="74" spans="1:31" ht="11.25" customHeight="1" x14ac:dyDescent="0.25">
      <c r="A74" s="4" t="s">
        <v>601</v>
      </c>
      <c r="B74" s="1346">
        <f t="shared" ref="B74:Q74" si="44">B72/-B56</f>
        <v>1.8125</v>
      </c>
      <c r="C74" s="1346">
        <f t="shared" si="44"/>
        <v>3.9</v>
      </c>
      <c r="D74" s="1346">
        <f t="shared" si="44"/>
        <v>1.1148648648648649</v>
      </c>
      <c r="E74" s="1346">
        <f t="shared" si="44"/>
        <v>4.1555555555555559</v>
      </c>
      <c r="F74" s="1346">
        <f t="shared" si="44"/>
        <v>0.24873096446700507</v>
      </c>
      <c r="G74" s="1346">
        <f t="shared" si="44"/>
        <v>12.029411764705882</v>
      </c>
      <c r="H74" s="1346">
        <f t="shared" si="44"/>
        <v>6.1447368421052628</v>
      </c>
      <c r="I74" s="1346">
        <f t="shared" si="44"/>
        <v>1.75</v>
      </c>
      <c r="J74" s="1346">
        <f t="shared" si="44"/>
        <v>1.9929328621908127</v>
      </c>
      <c r="K74" s="1346">
        <f t="shared" si="44"/>
        <v>1.484076433121019</v>
      </c>
      <c r="L74" s="1346">
        <f t="shared" si="44"/>
        <v>1.48</v>
      </c>
      <c r="M74" s="1346">
        <f t="shared" si="44"/>
        <v>1.88394584139265</v>
      </c>
      <c r="N74" s="1346">
        <f t="shared" si="44"/>
        <v>1.7826797385620916</v>
      </c>
      <c r="O74" s="1346">
        <f t="shared" si="44"/>
        <v>4.2294117647058824</v>
      </c>
      <c r="P74" s="1346">
        <f t="shared" si="44"/>
        <v>2.5625899280575539</v>
      </c>
      <c r="Q74" s="1346">
        <f t="shared" si="44"/>
        <v>2.5261146496815288</v>
      </c>
      <c r="R74" s="1346"/>
      <c r="S74" s="1346">
        <f t="shared" ref="S74:AB74" si="45">S72/-S56</f>
        <v>9.1803278688524586</v>
      </c>
      <c r="T74" s="1346">
        <f t="shared" si="45"/>
        <v>12.51643192488263</v>
      </c>
      <c r="U74" s="1346">
        <f t="shared" ref="U74" si="46">U72/-U56</f>
        <v>5.2216312056737593</v>
      </c>
      <c r="V74" s="1346">
        <f t="shared" si="45"/>
        <v>3.5005488474204172</v>
      </c>
      <c r="W74" s="1346">
        <f t="shared" ref="W74" si="47">W72/-W56</f>
        <v>3.2245065789473686</v>
      </c>
      <c r="X74" s="1693">
        <f t="shared" si="45"/>
        <v>3.666910684384896</v>
      </c>
      <c r="Y74" s="536">
        <f t="shared" si="45"/>
        <v>3.3030935279715012</v>
      </c>
      <c r="Z74" s="536">
        <f t="shared" si="45"/>
        <v>2.6421600628464188</v>
      </c>
      <c r="AA74" s="536">
        <f t="shared" si="45"/>
        <v>2.5608474654381754</v>
      </c>
      <c r="AB74" s="536">
        <f t="shared" si="45"/>
        <v>2.4174892977247939</v>
      </c>
    </row>
    <row r="75" spans="1:31" x14ac:dyDescent="0.25">
      <c r="W75" s="15"/>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7A29C-7AF3-429A-82FF-221F8C753F84}">
  <sheetPr codeName="Sheet13">
    <tabColor theme="4"/>
  </sheetPr>
  <dimension ref="A2:AL197"/>
  <sheetViews>
    <sheetView showGridLines="0" workbookViewId="0">
      <pane xSplit="1" ySplit="5" topLeftCell="R6" activePane="bottomRight" state="frozen"/>
      <selection pane="topRight" activeCell="B1" sqref="B1"/>
      <selection pane="bottomLeft" activeCell="A5" sqref="A5"/>
      <selection pane="bottomRight" activeCell="X176" sqref="X176"/>
    </sheetView>
  </sheetViews>
  <sheetFormatPr defaultColWidth="8.85546875" defaultRowHeight="15" outlineLevelCol="1" x14ac:dyDescent="0.25"/>
  <cols>
    <col min="1" max="1" width="40.42578125" style="4" customWidth="1"/>
    <col min="2" max="11" width="7.28515625" style="4" hidden="1" customWidth="1" outlineLevel="1"/>
    <col min="12" max="12" width="8.85546875" style="4" collapsed="1"/>
    <col min="13" max="31" width="8.85546875" style="4"/>
    <col min="32" max="32" width="43.7109375" hidden="1" customWidth="1" outlineLevel="1"/>
    <col min="33" max="37" width="7.28515625" hidden="1" customWidth="1" outlineLevel="1"/>
    <col min="38" max="38" width="8.85546875" style="4" collapsed="1"/>
    <col min="39" max="16384" width="8.85546875" style="4"/>
  </cols>
  <sheetData>
    <row r="2" spans="1:37" customFormat="1" ht="11.25" customHeight="1" x14ac:dyDescent="0.25"/>
    <row r="3" spans="1:37" s="444" customFormat="1" x14ac:dyDescent="0.25">
      <c r="A3" s="42" t="s">
        <v>453</v>
      </c>
      <c r="B3" s="440" t="str">
        <f>B58</f>
        <v>OK</v>
      </c>
      <c r="C3" s="440" t="str">
        <f t="shared" ref="C3:AB3" si="0">C58</f>
        <v>OK</v>
      </c>
      <c r="D3" s="440" t="str">
        <f t="shared" si="0"/>
        <v>OK</v>
      </c>
      <c r="E3" s="440" t="str">
        <f t="shared" si="0"/>
        <v>OK</v>
      </c>
      <c r="F3" s="440" t="str">
        <f t="shared" si="0"/>
        <v>OK</v>
      </c>
      <c r="G3" s="440" t="str">
        <f t="shared" si="0"/>
        <v>OK</v>
      </c>
      <c r="H3" s="440" t="str">
        <f t="shared" si="0"/>
        <v>OK</v>
      </c>
      <c r="I3" s="440" t="str">
        <f t="shared" si="0"/>
        <v>OK</v>
      </c>
      <c r="J3" s="440" t="str">
        <f t="shared" si="0"/>
        <v>OK</v>
      </c>
      <c r="K3" s="441" t="str">
        <f t="shared" si="0"/>
        <v>OK</v>
      </c>
      <c r="L3" s="441" t="str">
        <f t="shared" si="0"/>
        <v>OK</v>
      </c>
      <c r="M3" s="441" t="str">
        <f t="shared" si="0"/>
        <v>OK</v>
      </c>
      <c r="N3" s="441" t="str">
        <f t="shared" si="0"/>
        <v>OK</v>
      </c>
      <c r="O3" s="441" t="str">
        <f t="shared" si="0"/>
        <v>OK</v>
      </c>
      <c r="P3" s="441" t="str">
        <f t="shared" si="0"/>
        <v>OK</v>
      </c>
      <c r="Q3" s="441" t="str">
        <f t="shared" si="0"/>
        <v>OK</v>
      </c>
      <c r="R3" s="441" t="str">
        <f t="shared" si="0"/>
        <v>OK</v>
      </c>
      <c r="S3" s="441" t="str">
        <f t="shared" si="0"/>
        <v>OK</v>
      </c>
      <c r="T3" s="441" t="str">
        <f t="shared" si="0"/>
        <v>OK</v>
      </c>
      <c r="U3" s="441" t="str">
        <f t="shared" si="0"/>
        <v>OK</v>
      </c>
      <c r="V3" s="441" t="str">
        <f t="shared" si="0"/>
        <v>OK</v>
      </c>
      <c r="W3" s="442" t="str">
        <f t="shared" si="0"/>
        <v>OK</v>
      </c>
      <c r="X3" s="1625" t="str">
        <f t="shared" si="0"/>
        <v>OK</v>
      </c>
      <c r="Y3" s="443" t="str">
        <f t="shared" si="0"/>
        <v>OK</v>
      </c>
      <c r="Z3" s="443">
        <f t="shared" si="0"/>
        <v>1.4551915228366852E-11</v>
      </c>
      <c r="AA3" s="443" t="str">
        <f t="shared" si="0"/>
        <v>OK</v>
      </c>
      <c r="AB3" s="443" t="str">
        <f t="shared" si="0"/>
        <v>OK</v>
      </c>
      <c r="AF3"/>
      <c r="AG3"/>
      <c r="AH3"/>
      <c r="AI3"/>
      <c r="AJ3"/>
      <c r="AK3"/>
    </row>
    <row r="4" spans="1:37" s="444" customFormat="1" x14ac:dyDescent="0.25">
      <c r="A4" s="162"/>
      <c r="B4" s="440"/>
      <c r="C4" s="440">
        <f t="shared" ref="C4:AB4" si="1">IF(ISERROR(C3-B3),0,+(C3-B3))</f>
        <v>0</v>
      </c>
      <c r="D4" s="445">
        <f t="shared" si="1"/>
        <v>0</v>
      </c>
      <c r="E4" s="445">
        <f t="shared" si="1"/>
        <v>0</v>
      </c>
      <c r="F4" s="445">
        <f t="shared" si="1"/>
        <v>0</v>
      </c>
      <c r="G4" s="445">
        <f t="shared" si="1"/>
        <v>0</v>
      </c>
      <c r="H4" s="445">
        <f t="shared" si="1"/>
        <v>0</v>
      </c>
      <c r="I4" s="445">
        <f t="shared" si="1"/>
        <v>0</v>
      </c>
      <c r="J4" s="445">
        <f t="shared" si="1"/>
        <v>0</v>
      </c>
      <c r="K4" s="445">
        <f t="shared" si="1"/>
        <v>0</v>
      </c>
      <c r="L4" s="445">
        <f t="shared" si="1"/>
        <v>0</v>
      </c>
      <c r="M4" s="445">
        <f t="shared" si="1"/>
        <v>0</v>
      </c>
      <c r="N4" s="445">
        <f t="shared" si="1"/>
        <v>0</v>
      </c>
      <c r="O4" s="445">
        <f t="shared" si="1"/>
        <v>0</v>
      </c>
      <c r="P4" s="445">
        <f t="shared" si="1"/>
        <v>0</v>
      </c>
      <c r="Q4" s="445">
        <f t="shared" si="1"/>
        <v>0</v>
      </c>
      <c r="R4" s="445">
        <f t="shared" si="1"/>
        <v>0</v>
      </c>
      <c r="S4" s="445">
        <f t="shared" si="1"/>
        <v>0</v>
      </c>
      <c r="T4" s="445">
        <f t="shared" si="1"/>
        <v>0</v>
      </c>
      <c r="U4" s="445">
        <f t="shared" si="1"/>
        <v>0</v>
      </c>
      <c r="V4" s="445">
        <f t="shared" si="1"/>
        <v>0</v>
      </c>
      <c r="W4" s="446">
        <f t="shared" si="1"/>
        <v>0</v>
      </c>
      <c r="X4" s="1626">
        <f t="shared" si="1"/>
        <v>0</v>
      </c>
      <c r="Y4" s="447">
        <f t="shared" si="1"/>
        <v>0</v>
      </c>
      <c r="Z4" s="447">
        <f t="shared" si="1"/>
        <v>0</v>
      </c>
      <c r="AA4" s="447">
        <f t="shared" si="1"/>
        <v>0</v>
      </c>
      <c r="AB4" s="447">
        <f t="shared" si="1"/>
        <v>0</v>
      </c>
      <c r="AF4"/>
      <c r="AG4"/>
      <c r="AH4"/>
      <c r="AI4"/>
      <c r="AJ4"/>
      <c r="AK4"/>
    </row>
    <row r="5" spans="1:37" x14ac:dyDescent="0.25">
      <c r="A5" s="448" t="s">
        <v>454</v>
      </c>
      <c r="B5" s="449">
        <v>2004</v>
      </c>
      <c r="C5" s="449">
        <f>B5+1</f>
        <v>2005</v>
      </c>
      <c r="D5" s="449">
        <f t="shared" ref="D5:AB5" si="2">C5+1</f>
        <v>2006</v>
      </c>
      <c r="E5" s="449">
        <f t="shared" si="2"/>
        <v>2007</v>
      </c>
      <c r="F5" s="449">
        <f t="shared" si="2"/>
        <v>2008</v>
      </c>
      <c r="G5" s="449">
        <f t="shared" si="2"/>
        <v>2009</v>
      </c>
      <c r="H5" s="449">
        <f t="shared" si="2"/>
        <v>2010</v>
      </c>
      <c r="I5" s="449">
        <f t="shared" si="2"/>
        <v>2011</v>
      </c>
      <c r="J5" s="449">
        <f t="shared" si="2"/>
        <v>2012</v>
      </c>
      <c r="K5" s="449">
        <f t="shared" si="2"/>
        <v>2013</v>
      </c>
      <c r="L5" s="449">
        <f>K5+1</f>
        <v>2014</v>
      </c>
      <c r="M5" s="449">
        <f t="shared" si="2"/>
        <v>2015</v>
      </c>
      <c r="N5" s="449">
        <f t="shared" si="2"/>
        <v>2016</v>
      </c>
      <c r="O5" s="449">
        <f t="shared" si="2"/>
        <v>2017</v>
      </c>
      <c r="P5" s="449">
        <f t="shared" si="2"/>
        <v>2018</v>
      </c>
      <c r="Q5" s="449">
        <f t="shared" si="2"/>
        <v>2019</v>
      </c>
      <c r="R5" s="449">
        <f t="shared" si="2"/>
        <v>2020</v>
      </c>
      <c r="S5" s="449">
        <f t="shared" si="2"/>
        <v>2021</v>
      </c>
      <c r="T5" s="449">
        <f t="shared" si="2"/>
        <v>2022</v>
      </c>
      <c r="U5" s="449">
        <f t="shared" si="2"/>
        <v>2023</v>
      </c>
      <c r="V5" s="449">
        <f t="shared" si="2"/>
        <v>2024</v>
      </c>
      <c r="W5" s="449">
        <f t="shared" si="2"/>
        <v>2025</v>
      </c>
      <c r="X5" s="1627">
        <f t="shared" si="2"/>
        <v>2026</v>
      </c>
      <c r="Y5" s="7">
        <f t="shared" si="2"/>
        <v>2027</v>
      </c>
      <c r="Z5" s="7">
        <f t="shared" si="2"/>
        <v>2028</v>
      </c>
      <c r="AA5" s="7">
        <f t="shared" si="2"/>
        <v>2029</v>
      </c>
      <c r="AB5" s="7">
        <f t="shared" si="2"/>
        <v>2030</v>
      </c>
    </row>
    <row r="6" spans="1:37" x14ac:dyDescent="0.25">
      <c r="A6" s="186" t="s">
        <v>602</v>
      </c>
      <c r="B6" s="50"/>
      <c r="C6" s="50"/>
      <c r="D6" s="50"/>
      <c r="E6" s="50"/>
      <c r="F6" s="50"/>
      <c r="G6" s="50"/>
      <c r="H6" s="50"/>
      <c r="I6" s="50"/>
      <c r="J6" s="50"/>
      <c r="K6" s="53"/>
      <c r="L6" s="53"/>
      <c r="M6" s="53"/>
      <c r="N6" s="53"/>
      <c r="O6" s="53"/>
      <c r="P6" s="53"/>
      <c r="Q6" s="53"/>
      <c r="R6" s="53"/>
      <c r="S6" s="53"/>
      <c r="T6" s="53"/>
      <c r="U6" s="53"/>
      <c r="V6" s="53"/>
      <c r="W6" s="53"/>
      <c r="X6" s="56"/>
      <c r="Y6" s="50"/>
      <c r="Z6" s="50"/>
      <c r="AA6" s="50"/>
      <c r="AB6" s="50"/>
    </row>
    <row r="7" spans="1:37" x14ac:dyDescent="0.25">
      <c r="A7" s="4" t="s">
        <v>603</v>
      </c>
      <c r="B7" s="115">
        <v>0</v>
      </c>
      <c r="C7" s="102">
        <v>77</v>
      </c>
      <c r="D7" s="102">
        <v>108</v>
      </c>
      <c r="E7" s="102">
        <v>107</v>
      </c>
      <c r="F7" s="102">
        <v>108</v>
      </c>
      <c r="G7" s="102">
        <v>75</v>
      </c>
      <c r="H7" s="102">
        <v>110</v>
      </c>
      <c r="I7" s="102">
        <v>101</v>
      </c>
      <c r="J7" s="102">
        <v>176</v>
      </c>
      <c r="K7" s="49">
        <v>195</v>
      </c>
      <c r="L7" s="49">
        <v>221</v>
      </c>
      <c r="M7" s="49">
        <v>247</v>
      </c>
      <c r="N7" s="49">
        <v>147</v>
      </c>
      <c r="O7" s="49">
        <v>2113</v>
      </c>
      <c r="P7" s="49">
        <v>185</v>
      </c>
      <c r="Q7" s="49">
        <v>143</v>
      </c>
      <c r="R7" s="49">
        <v>126</v>
      </c>
      <c r="S7" s="49">
        <v>104</v>
      </c>
      <c r="T7" s="49">
        <v>242</v>
      </c>
      <c r="U7" s="49">
        <v>470</v>
      </c>
      <c r="V7" s="49">
        <v>243</v>
      </c>
      <c r="W7" s="49">
        <v>249</v>
      </c>
      <c r="X7" s="1615">
        <f t="shared" ref="X7:AB9" si="3">W7</f>
        <v>249</v>
      </c>
      <c r="Y7" s="491">
        <f t="shared" si="3"/>
        <v>249</v>
      </c>
      <c r="Z7" s="491">
        <f t="shared" si="3"/>
        <v>249</v>
      </c>
      <c r="AA7" s="491">
        <f t="shared" si="3"/>
        <v>249</v>
      </c>
      <c r="AB7" s="491">
        <f t="shared" si="3"/>
        <v>249</v>
      </c>
      <c r="AC7" s="36"/>
    </row>
    <row r="8" spans="1:37" x14ac:dyDescent="0.25">
      <c r="A8" s="4" t="s">
        <v>604</v>
      </c>
      <c r="B8" s="102">
        <v>5</v>
      </c>
      <c r="C8" s="115">
        <v>0</v>
      </c>
      <c r="D8" s="115">
        <v>0</v>
      </c>
      <c r="E8" s="102">
        <v>779</v>
      </c>
      <c r="F8" s="102">
        <v>61</v>
      </c>
      <c r="G8" s="102">
        <v>0</v>
      </c>
      <c r="H8" s="102">
        <v>0</v>
      </c>
      <c r="I8" s="102">
        <f>H8</f>
        <v>0</v>
      </c>
      <c r="J8" s="102">
        <v>0</v>
      </c>
      <c r="K8" s="49">
        <v>0</v>
      </c>
      <c r="L8" s="49">
        <f>K8</f>
        <v>0</v>
      </c>
      <c r="M8" s="49">
        <f>L8</f>
        <v>0</v>
      </c>
      <c r="N8" s="49">
        <v>3234</v>
      </c>
      <c r="O8" s="49">
        <v>0</v>
      </c>
      <c r="P8" s="49">
        <v>0</v>
      </c>
      <c r="Q8" s="49">
        <v>0</v>
      </c>
      <c r="R8" s="49">
        <f>Q8</f>
        <v>0</v>
      </c>
      <c r="S8" s="49">
        <v>0</v>
      </c>
      <c r="T8" s="49">
        <v>212</v>
      </c>
      <c r="U8" s="49">
        <v>0</v>
      </c>
      <c r="V8" s="49">
        <v>0</v>
      </c>
      <c r="W8" s="49">
        <v>333</v>
      </c>
      <c r="X8" s="1615">
        <f t="shared" si="3"/>
        <v>333</v>
      </c>
      <c r="Y8" s="491">
        <f t="shared" si="3"/>
        <v>333</v>
      </c>
      <c r="Z8" s="491">
        <f t="shared" si="3"/>
        <v>333</v>
      </c>
      <c r="AA8" s="491">
        <f t="shared" si="3"/>
        <v>333</v>
      </c>
      <c r="AB8" s="491">
        <f t="shared" si="3"/>
        <v>333</v>
      </c>
      <c r="AC8" s="36"/>
    </row>
    <row r="9" spans="1:37" x14ac:dyDescent="0.25">
      <c r="A9" s="4" t="s">
        <v>605</v>
      </c>
      <c r="B9" s="115">
        <v>0</v>
      </c>
      <c r="C9" s="102">
        <v>452</v>
      </c>
      <c r="D9" s="102">
        <v>397</v>
      </c>
      <c r="E9" s="102">
        <v>126</v>
      </c>
      <c r="F9" s="102">
        <v>138</v>
      </c>
      <c r="G9" s="102">
        <v>63</v>
      </c>
      <c r="H9" s="102">
        <v>128</v>
      </c>
      <c r="I9" s="102">
        <v>279</v>
      </c>
      <c r="J9" s="102">
        <f>585+62</f>
        <v>647</v>
      </c>
      <c r="K9" s="49">
        <v>864</v>
      </c>
      <c r="L9" s="49">
        <v>377</v>
      </c>
      <c r="M9" s="49">
        <v>373</v>
      </c>
      <c r="N9" s="49">
        <v>592</v>
      </c>
      <c r="O9" s="49">
        <v>566</v>
      </c>
      <c r="P9" s="49">
        <v>740</v>
      </c>
      <c r="Q9" s="49">
        <v>674</v>
      </c>
      <c r="R9" s="49">
        <v>694</v>
      </c>
      <c r="S9" s="49">
        <v>705</v>
      </c>
      <c r="T9" s="49">
        <v>540</v>
      </c>
      <c r="U9" s="49">
        <v>1577</v>
      </c>
      <c r="V9" s="49">
        <v>952</v>
      </c>
      <c r="W9" s="49">
        <v>1965</v>
      </c>
      <c r="X9" s="1615">
        <f t="shared" si="3"/>
        <v>1965</v>
      </c>
      <c r="Y9" s="491">
        <f t="shared" si="3"/>
        <v>1965</v>
      </c>
      <c r="Z9" s="491">
        <f t="shared" si="3"/>
        <v>1965</v>
      </c>
      <c r="AA9" s="491">
        <f t="shared" si="3"/>
        <v>1965</v>
      </c>
      <c r="AB9" s="491">
        <f t="shared" si="3"/>
        <v>1965</v>
      </c>
      <c r="AC9" s="36"/>
    </row>
    <row r="10" spans="1:37" x14ac:dyDescent="0.25">
      <c r="A10" s="4" t="s">
        <v>606</v>
      </c>
      <c r="B10" s="102">
        <v>651</v>
      </c>
      <c r="C10" s="102">
        <v>2870</v>
      </c>
      <c r="D10" s="102">
        <v>3240</v>
      </c>
      <c r="E10" s="102">
        <v>3420</v>
      </c>
      <c r="F10" s="102">
        <v>3673</v>
      </c>
      <c r="G10" s="102">
        <v>3382</v>
      </c>
      <c r="H10" s="102">
        <v>3508</v>
      </c>
      <c r="I10" s="102">
        <v>3799</v>
      </c>
      <c r="J10" s="102">
        <v>4131</v>
      </c>
      <c r="K10" s="49">
        <v>3998</v>
      </c>
      <c r="L10" s="49">
        <v>4265</v>
      </c>
      <c r="M10" s="49">
        <v>4518</v>
      </c>
      <c r="N10" s="49">
        <v>4247</v>
      </c>
      <c r="O10" s="49">
        <v>4496</v>
      </c>
      <c r="P10" s="49">
        <v>5558</v>
      </c>
      <c r="Q10" s="49">
        <v>6312</v>
      </c>
      <c r="R10" s="49">
        <v>5190</v>
      </c>
      <c r="S10" s="49">
        <v>5063</v>
      </c>
      <c r="T10" s="49">
        <v>6408</v>
      </c>
      <c r="U10" s="49">
        <v>7903</v>
      </c>
      <c r="V10" s="49">
        <v>9491</v>
      </c>
      <c r="W10" s="49">
        <v>10285</v>
      </c>
      <c r="X10" s="1615">
        <f t="shared" ref="X10:AB11" si="4">X120</f>
        <v>11104.831671793576</v>
      </c>
      <c r="Y10" s="491">
        <f t="shared" si="4"/>
        <v>11143.340032171376</v>
      </c>
      <c r="Z10" s="491">
        <f t="shared" si="4"/>
        <v>11089.634869402773</v>
      </c>
      <c r="AA10" s="491">
        <f t="shared" si="4"/>
        <v>11869.330938324409</v>
      </c>
      <c r="AB10" s="491">
        <f t="shared" si="4"/>
        <v>12213.880791814932</v>
      </c>
      <c r="AC10" s="36"/>
    </row>
    <row r="11" spans="1:37" x14ac:dyDescent="0.25">
      <c r="A11" s="4" t="s">
        <v>607</v>
      </c>
      <c r="B11" s="102">
        <v>1350</v>
      </c>
      <c r="C11" s="102">
        <v>4034</v>
      </c>
      <c r="D11" s="102">
        <v>4218</v>
      </c>
      <c r="E11" s="102">
        <v>3926</v>
      </c>
      <c r="F11" s="102">
        <v>3881</v>
      </c>
      <c r="G11" s="102">
        <f>4158-G13</f>
        <v>3994</v>
      </c>
      <c r="H11" s="102">
        <f>4219-H13</f>
        <v>4027</v>
      </c>
      <c r="I11" s="102">
        <v>5005</v>
      </c>
      <c r="J11" s="102">
        <v>5025</v>
      </c>
      <c r="K11" s="49">
        <v>4967</v>
      </c>
      <c r="L11" s="49">
        <v>5827</v>
      </c>
      <c r="M11" s="49">
        <v>6515</v>
      </c>
      <c r="N11" s="49">
        <v>6252</v>
      </c>
      <c r="O11" s="49">
        <v>6371</v>
      </c>
      <c r="P11" s="49">
        <f>6580+470+1544</f>
        <v>8594</v>
      </c>
      <c r="Q11" s="49">
        <f>471+7639+1743</f>
        <v>9853</v>
      </c>
      <c r="R11" s="49">
        <f>486+5769+1695</f>
        <v>7950</v>
      </c>
      <c r="S11" s="49">
        <f>552+6504+1853</f>
        <v>8909</v>
      </c>
      <c r="T11" s="49">
        <f>664+7904+1982</f>
        <v>10550</v>
      </c>
      <c r="U11" s="49">
        <f>753+9417+2157</f>
        <v>12327</v>
      </c>
      <c r="V11" s="49">
        <f>884+10572+2503</f>
        <v>13959</v>
      </c>
      <c r="W11" s="49">
        <f>984+14196+2931</f>
        <v>18111</v>
      </c>
      <c r="X11" s="1615">
        <f t="shared" si="4"/>
        <v>18508.052786322627</v>
      </c>
      <c r="Y11" s="491">
        <f t="shared" si="4"/>
        <v>18234.556416280433</v>
      </c>
      <c r="Z11" s="491">
        <f t="shared" si="4"/>
        <v>17743.415791044437</v>
      </c>
      <c r="AA11" s="491">
        <f t="shared" si="4"/>
        <v>18990.929501319053</v>
      </c>
      <c r="AB11" s="491">
        <f t="shared" si="4"/>
        <v>19542.209266903894</v>
      </c>
      <c r="AC11" s="36"/>
    </row>
    <row r="12" spans="1:37" x14ac:dyDescent="0.25">
      <c r="A12" s="4" t="s">
        <v>608</v>
      </c>
      <c r="B12" s="102">
        <v>24</v>
      </c>
      <c r="C12" s="102">
        <v>102</v>
      </c>
      <c r="D12" s="102">
        <v>68</v>
      </c>
      <c r="E12" s="102">
        <v>27</v>
      </c>
      <c r="F12" s="102">
        <v>127</v>
      </c>
      <c r="G12" s="102">
        <v>145</v>
      </c>
      <c r="H12" s="102">
        <v>146</v>
      </c>
      <c r="I12" s="102">
        <v>215</v>
      </c>
      <c r="J12" s="102">
        <v>421</v>
      </c>
      <c r="K12" s="49">
        <v>380</v>
      </c>
      <c r="L12" s="49">
        <v>452</v>
      </c>
      <c r="M12" s="49">
        <v>623</v>
      </c>
      <c r="N12" s="49">
        <v>513</v>
      </c>
      <c r="O12" s="49">
        <v>596</v>
      </c>
      <c r="P12" s="49">
        <v>752</v>
      </c>
      <c r="Q12" s="49">
        <v>458</v>
      </c>
      <c r="R12" s="49">
        <v>481</v>
      </c>
      <c r="S12" s="49">
        <v>555</v>
      </c>
      <c r="T12" s="49">
        <v>358</v>
      </c>
      <c r="U12" s="49">
        <v>422</v>
      </c>
      <c r="V12" s="49">
        <v>364</v>
      </c>
      <c r="W12" s="49">
        <v>623</v>
      </c>
      <c r="X12" s="1615">
        <f t="shared" ref="X12:AB13" si="5">W12</f>
        <v>623</v>
      </c>
      <c r="Y12" s="491">
        <f t="shared" si="5"/>
        <v>623</v>
      </c>
      <c r="Z12" s="491">
        <f t="shared" si="5"/>
        <v>623</v>
      </c>
      <c r="AA12" s="491">
        <f t="shared" si="5"/>
        <v>623</v>
      </c>
      <c r="AB12" s="491">
        <f t="shared" si="5"/>
        <v>623</v>
      </c>
      <c r="AC12" s="36"/>
    </row>
    <row r="13" spans="1:37" x14ac:dyDescent="0.25">
      <c r="A13" s="4" t="s">
        <v>609</v>
      </c>
      <c r="B13" s="102">
        <v>37</v>
      </c>
      <c r="C13" s="102">
        <v>150</v>
      </c>
      <c r="D13" s="102">
        <v>151</v>
      </c>
      <c r="E13" s="102">
        <v>183</v>
      </c>
      <c r="F13" s="102">
        <v>203</v>
      </c>
      <c r="G13" s="102">
        <f>156+8</f>
        <v>164</v>
      </c>
      <c r="H13" s="102">
        <f>179+13</f>
        <v>192</v>
      </c>
      <c r="I13" s="102">
        <v>0</v>
      </c>
      <c r="J13" s="102">
        <v>0</v>
      </c>
      <c r="K13" s="49">
        <f>J13</f>
        <v>0</v>
      </c>
      <c r="L13" s="49">
        <f>K13</f>
        <v>0</v>
      </c>
      <c r="M13" s="49">
        <f>L13</f>
        <v>0</v>
      </c>
      <c r="N13" s="49">
        <f>M13</f>
        <v>0</v>
      </c>
      <c r="O13" s="49">
        <v>0</v>
      </c>
      <c r="P13" s="49"/>
      <c r="Q13" s="49">
        <f>P13</f>
        <v>0</v>
      </c>
      <c r="R13" s="49">
        <f>Q13</f>
        <v>0</v>
      </c>
      <c r="S13" s="49">
        <v>0</v>
      </c>
      <c r="T13" s="49">
        <v>0</v>
      </c>
      <c r="U13" s="49">
        <v>0</v>
      </c>
      <c r="V13" s="49">
        <v>0</v>
      </c>
      <c r="W13" s="49">
        <v>0</v>
      </c>
      <c r="X13" s="1615">
        <f t="shared" si="5"/>
        <v>0</v>
      </c>
      <c r="Y13" s="491">
        <f t="shared" si="5"/>
        <v>0</v>
      </c>
      <c r="Z13" s="491">
        <f t="shared" si="5"/>
        <v>0</v>
      </c>
      <c r="AA13" s="491">
        <f t="shared" si="5"/>
        <v>0</v>
      </c>
      <c r="AB13" s="491">
        <f t="shared" si="5"/>
        <v>0</v>
      </c>
      <c r="AC13" s="36"/>
    </row>
    <row r="14" spans="1:37" x14ac:dyDescent="0.25">
      <c r="A14" s="4" t="s">
        <v>610</v>
      </c>
      <c r="B14" s="102">
        <v>443</v>
      </c>
      <c r="C14" s="102">
        <v>936</v>
      </c>
      <c r="D14" s="102">
        <v>743</v>
      </c>
      <c r="E14" s="102">
        <v>730</v>
      </c>
      <c r="F14" s="102">
        <v>919</v>
      </c>
      <c r="G14" s="102">
        <v>2080</v>
      </c>
      <c r="H14" s="102">
        <v>2062</v>
      </c>
      <c r="I14" s="102">
        <v>1431</v>
      </c>
      <c r="J14" s="102">
        <v>2193</v>
      </c>
      <c r="K14" s="49">
        <v>1547</v>
      </c>
      <c r="L14" s="49">
        <v>1633</v>
      </c>
      <c r="M14" s="49">
        <v>1845</v>
      </c>
      <c r="N14" s="49">
        <v>1926</v>
      </c>
      <c r="O14" s="49">
        <v>4914</v>
      </c>
      <c r="P14" s="49">
        <v>2330</v>
      </c>
      <c r="Q14" s="49">
        <v>2632</v>
      </c>
      <c r="R14" s="49">
        <v>3747</v>
      </c>
      <c r="S14" s="49">
        <v>5247</v>
      </c>
      <c r="T14" s="49">
        <v>6687</v>
      </c>
      <c r="U14" s="49">
        <v>6676</v>
      </c>
      <c r="V14" s="49">
        <v>6514</v>
      </c>
      <c r="W14" s="49">
        <v>6789</v>
      </c>
      <c r="X14" s="1615">
        <f>W14+CF!X64</f>
        <v>8810.5518355188215</v>
      </c>
      <c r="Y14" s="491">
        <f>X14+CF!Y64</f>
        <v>11439.163701082325</v>
      </c>
      <c r="Z14" s="491">
        <f>Y14+CF!Z64</f>
        <v>13866.874413774345</v>
      </c>
      <c r="AA14" s="491">
        <f>Z14+CF!AA64</f>
        <v>17746.697837244672</v>
      </c>
      <c r="AB14" s="491">
        <f>AA14+CF!AB64</f>
        <v>21547.60464018178</v>
      </c>
      <c r="AC14" s="36"/>
    </row>
    <row r="15" spans="1:37" x14ac:dyDescent="0.25">
      <c r="A15" s="419" t="s">
        <v>611</v>
      </c>
      <c r="B15" s="531">
        <f>+SUM(B7:B14)</f>
        <v>2510</v>
      </c>
      <c r="C15" s="531">
        <f>+SUM(C7:C14)</f>
        <v>8621</v>
      </c>
      <c r="D15" s="531">
        <f t="shared" ref="D15:AB15" si="6">SUM(D7:D14)</f>
        <v>8925</v>
      </c>
      <c r="E15" s="531">
        <f t="shared" si="6"/>
        <v>9298</v>
      </c>
      <c r="F15" s="531">
        <f t="shared" si="6"/>
        <v>9110</v>
      </c>
      <c r="G15" s="531">
        <f t="shared" si="6"/>
        <v>9903</v>
      </c>
      <c r="H15" s="531">
        <f t="shared" si="6"/>
        <v>10173</v>
      </c>
      <c r="I15" s="531">
        <f t="shared" si="6"/>
        <v>10830</v>
      </c>
      <c r="J15" s="531">
        <f t="shared" si="6"/>
        <v>12593</v>
      </c>
      <c r="K15" s="531">
        <f t="shared" si="6"/>
        <v>11951</v>
      </c>
      <c r="L15" s="531">
        <f t="shared" si="6"/>
        <v>12775</v>
      </c>
      <c r="M15" s="531">
        <f t="shared" si="6"/>
        <v>14121</v>
      </c>
      <c r="N15" s="531">
        <f t="shared" si="6"/>
        <v>16911</v>
      </c>
      <c r="O15" s="531">
        <f t="shared" si="6"/>
        <v>19056</v>
      </c>
      <c r="P15" s="531">
        <f t="shared" si="6"/>
        <v>18159</v>
      </c>
      <c r="Q15" s="531">
        <f t="shared" si="6"/>
        <v>20072</v>
      </c>
      <c r="R15" s="531">
        <f t="shared" si="6"/>
        <v>18188</v>
      </c>
      <c r="S15" s="531">
        <f t="shared" si="6"/>
        <v>20583</v>
      </c>
      <c r="T15" s="531">
        <f t="shared" si="6"/>
        <v>24997</v>
      </c>
      <c r="U15" s="531">
        <f t="shared" ref="U15:V15" si="7">SUM(U7:U14)</f>
        <v>29375</v>
      </c>
      <c r="V15" s="531">
        <f t="shared" si="7"/>
        <v>31523</v>
      </c>
      <c r="W15" s="531">
        <f t="shared" ref="W15" si="8">SUM(W7:W14)</f>
        <v>38355</v>
      </c>
      <c r="X15" s="1628">
        <f t="shared" si="6"/>
        <v>41593.436293635023</v>
      </c>
      <c r="Y15" s="533">
        <f t="shared" si="6"/>
        <v>43987.060149534133</v>
      </c>
      <c r="Z15" s="533">
        <f t="shared" si="6"/>
        <v>45869.925074221552</v>
      </c>
      <c r="AA15" s="533">
        <f t="shared" si="6"/>
        <v>51776.958276888137</v>
      </c>
      <c r="AB15" s="533">
        <f t="shared" si="6"/>
        <v>56473.694698900603</v>
      </c>
    </row>
    <row r="16" spans="1:37" x14ac:dyDescent="0.25">
      <c r="A16" s="186"/>
      <c r="B16" s="141"/>
      <c r="C16" s="141"/>
      <c r="D16" s="141"/>
      <c r="E16" s="141"/>
      <c r="F16" s="141"/>
      <c r="G16" s="141"/>
      <c r="H16" s="141"/>
      <c r="I16" s="141"/>
      <c r="J16" s="141"/>
      <c r="K16" s="141"/>
      <c r="L16" s="141"/>
      <c r="M16" s="141"/>
      <c r="N16" s="141"/>
      <c r="O16" s="141"/>
      <c r="P16" s="141"/>
      <c r="Q16" s="141"/>
      <c r="R16" s="141"/>
      <c r="S16" s="141"/>
      <c r="T16" s="141"/>
      <c r="U16" s="141"/>
      <c r="V16" s="141"/>
      <c r="W16" s="141"/>
      <c r="X16" s="1629"/>
      <c r="Y16" s="141"/>
      <c r="Z16" s="141"/>
      <c r="AA16" s="141"/>
      <c r="AB16" s="141"/>
    </row>
    <row r="17" spans="1:29" x14ac:dyDescent="0.25">
      <c r="A17" s="186" t="s">
        <v>612</v>
      </c>
      <c r="B17" s="186"/>
      <c r="C17" s="514"/>
      <c r="D17" s="186"/>
      <c r="E17" s="186"/>
      <c r="F17" s="186"/>
      <c r="G17" s="186"/>
      <c r="H17" s="186"/>
      <c r="I17" s="186"/>
      <c r="J17" s="186"/>
      <c r="K17" s="186"/>
      <c r="L17" s="186"/>
      <c r="M17" s="186"/>
      <c r="N17" s="186"/>
      <c r="O17" s="186"/>
      <c r="P17" s="186"/>
      <c r="Q17" s="186"/>
      <c r="R17" s="186"/>
      <c r="S17" s="186"/>
      <c r="T17" s="186"/>
      <c r="U17" s="186"/>
      <c r="V17" s="186"/>
      <c r="W17" s="186"/>
      <c r="X17" s="1630"/>
      <c r="Y17" s="537"/>
      <c r="Z17" s="537"/>
      <c r="AA17" s="537"/>
      <c r="AB17" s="537"/>
    </row>
    <row r="18" spans="1:29" x14ac:dyDescent="0.25">
      <c r="A18" s="4" t="s">
        <v>55</v>
      </c>
      <c r="B18" s="102">
        <v>97</v>
      </c>
      <c r="C18" s="102">
        <v>1519</v>
      </c>
      <c r="D18" s="102">
        <v>1589</v>
      </c>
      <c r="E18" s="102">
        <v>1561</v>
      </c>
      <c r="F18" s="102">
        <v>1756</v>
      </c>
      <c r="G18" s="102">
        <v>2126</v>
      </c>
      <c r="H18" s="102">
        <v>2298</v>
      </c>
      <c r="I18" s="102">
        <v>3126</v>
      </c>
      <c r="J18" s="102">
        <v>3078</v>
      </c>
      <c r="K18" s="49">
        <v>3399</v>
      </c>
      <c r="L18" s="49">
        <v>3420</v>
      </c>
      <c r="M18" s="49">
        <v>3590</v>
      </c>
      <c r="N18" s="49">
        <v>1864</v>
      </c>
      <c r="O18" s="49">
        <v>1831</v>
      </c>
      <c r="P18" s="49">
        <v>5173</v>
      </c>
      <c r="Q18" s="49">
        <v>5199</v>
      </c>
      <c r="R18" s="49">
        <v>5060</v>
      </c>
      <c r="S18" s="49">
        <v>5068</v>
      </c>
      <c r="T18" s="49">
        <v>4994</v>
      </c>
      <c r="U18" s="49">
        <v>4706</v>
      </c>
      <c r="V18" s="49">
        <v>4937</v>
      </c>
      <c r="W18" s="49">
        <v>5773</v>
      </c>
      <c r="X18" s="1615">
        <f t="shared" ref="X18:AB18" si="9">+X101</f>
        <v>5662</v>
      </c>
      <c r="Y18" s="491">
        <f t="shared" si="9"/>
        <v>5662</v>
      </c>
      <c r="Z18" s="491">
        <f t="shared" si="9"/>
        <v>5662</v>
      </c>
      <c r="AA18" s="491">
        <f t="shared" si="9"/>
        <v>5662</v>
      </c>
      <c r="AB18" s="491">
        <f t="shared" si="9"/>
        <v>5662</v>
      </c>
      <c r="AC18" s="36"/>
    </row>
    <row r="19" spans="1:29" x14ac:dyDescent="0.25">
      <c r="A19" s="4" t="s">
        <v>613</v>
      </c>
      <c r="B19" s="102">
        <v>59</v>
      </c>
      <c r="C19" s="102">
        <v>3072</v>
      </c>
      <c r="D19" s="102">
        <v>3056</v>
      </c>
      <c r="E19" s="102">
        <v>2981</v>
      </c>
      <c r="F19" s="102">
        <v>3112</v>
      </c>
      <c r="G19" s="102">
        <v>3217</v>
      </c>
      <c r="H19" s="102">
        <v>3130</v>
      </c>
      <c r="I19" s="102">
        <v>3498</v>
      </c>
      <c r="J19" s="102">
        <v>3872</v>
      </c>
      <c r="K19" s="49">
        <v>4620</v>
      </c>
      <c r="L19" s="49">
        <v>5536</v>
      </c>
      <c r="M19" s="49">
        <v>5321</v>
      </c>
      <c r="N19" s="49">
        <v>5178</v>
      </c>
      <c r="O19" s="49">
        <v>5241</v>
      </c>
      <c r="P19" s="49">
        <v>9757</v>
      </c>
      <c r="Q19" s="49">
        <v>9479</v>
      </c>
      <c r="R19" s="49">
        <v>8676</v>
      </c>
      <c r="S19" s="49">
        <v>8382</v>
      </c>
      <c r="T19" s="49">
        <v>8096</v>
      </c>
      <c r="U19" s="49">
        <v>7830</v>
      </c>
      <c r="V19" s="49">
        <v>7947</v>
      </c>
      <c r="W19" s="49">
        <v>7485</v>
      </c>
      <c r="X19" s="1615">
        <f t="shared" ref="X19:AB19" si="10">X97</f>
        <v>7407.464411751178</v>
      </c>
      <c r="Y19" s="491">
        <f t="shared" si="10"/>
        <v>7361.9746850637803</v>
      </c>
      <c r="Z19" s="491">
        <f t="shared" si="10"/>
        <v>7351.6650252976142</v>
      </c>
      <c r="AA19" s="491">
        <f t="shared" si="10"/>
        <v>7365.3172152530205</v>
      </c>
      <c r="AB19" s="491">
        <f t="shared" si="10"/>
        <v>7374.0221622558274</v>
      </c>
      <c r="AC19" s="36"/>
    </row>
    <row r="20" spans="1:29" x14ac:dyDescent="0.25">
      <c r="A20" s="4" t="s">
        <v>614</v>
      </c>
      <c r="B20" s="102">
        <v>287</v>
      </c>
      <c r="C20" s="102">
        <v>1798</v>
      </c>
      <c r="D20" s="102">
        <v>1826</v>
      </c>
      <c r="E20" s="102">
        <v>1847</v>
      </c>
      <c r="F20" s="102">
        <v>2107</v>
      </c>
      <c r="G20" s="102">
        <v>2201</v>
      </c>
      <c r="H20" s="102">
        <v>2253</v>
      </c>
      <c r="I20" s="102">
        <v>2486</v>
      </c>
      <c r="J20" s="102">
        <v>2604</v>
      </c>
      <c r="K20" s="49">
        <v>2463</v>
      </c>
      <c r="L20" s="49">
        <v>2928</v>
      </c>
      <c r="M20" s="49">
        <v>3272</v>
      </c>
      <c r="N20" s="49">
        <v>3169</v>
      </c>
      <c r="O20" s="49">
        <v>3518</v>
      </c>
      <c r="P20" s="49">
        <v>4454</v>
      </c>
      <c r="Q20" s="49">
        <v>4398</v>
      </c>
      <c r="R20" s="49">
        <v>4055</v>
      </c>
      <c r="S20" s="49">
        <v>3937</v>
      </c>
      <c r="T20" s="49">
        <v>3847</v>
      </c>
      <c r="U20" s="49">
        <v>4121</v>
      </c>
      <c r="V20" s="49">
        <v>4629</v>
      </c>
      <c r="W20" s="49">
        <v>5417</v>
      </c>
      <c r="X20" s="1615">
        <f t="shared" ref="X20:AB20" si="11">X76</f>
        <v>5764.6354936732951</v>
      </c>
      <c r="Y20" s="491">
        <f t="shared" si="11"/>
        <v>6094.0279362360343</v>
      </c>
      <c r="Z20" s="491">
        <f t="shared" si="11"/>
        <v>6391.3079592961876</v>
      </c>
      <c r="AA20" s="491">
        <f t="shared" si="11"/>
        <v>6711.9338452205011</v>
      </c>
      <c r="AB20" s="491">
        <f t="shared" si="11"/>
        <v>7060.2962534484632</v>
      </c>
      <c r="AC20" s="36"/>
    </row>
    <row r="21" spans="1:29" x14ac:dyDescent="0.25">
      <c r="A21" s="4" t="s">
        <v>615</v>
      </c>
      <c r="B21" s="102"/>
      <c r="C21" s="102"/>
      <c r="D21" s="102"/>
      <c r="E21" s="102"/>
      <c r="F21" s="102"/>
      <c r="G21" s="102"/>
      <c r="H21" s="102"/>
      <c r="I21" s="102"/>
      <c r="J21" s="102"/>
      <c r="K21" s="49"/>
      <c r="L21" s="49"/>
      <c r="M21" s="49"/>
      <c r="N21" s="49"/>
      <c r="O21" s="49"/>
      <c r="P21" s="49"/>
      <c r="Q21" s="49">
        <v>732</v>
      </c>
      <c r="R21" s="49">
        <v>623</v>
      </c>
      <c r="S21" s="49">
        <v>606</v>
      </c>
      <c r="T21" s="49">
        <v>566</v>
      </c>
      <c r="U21" s="49">
        <v>582</v>
      </c>
      <c r="V21" s="49">
        <v>653</v>
      </c>
      <c r="W21" s="49">
        <v>838</v>
      </c>
      <c r="X21" s="1615">
        <f t="shared" ref="X21:AB22" si="12">W21</f>
        <v>838</v>
      </c>
      <c r="Y21" s="491">
        <f t="shared" si="12"/>
        <v>838</v>
      </c>
      <c r="Z21" s="491">
        <f t="shared" si="12"/>
        <v>838</v>
      </c>
      <c r="AA21" s="491">
        <f t="shared" si="12"/>
        <v>838</v>
      </c>
      <c r="AB21" s="491">
        <f t="shared" si="12"/>
        <v>838</v>
      </c>
      <c r="AC21" s="36"/>
    </row>
    <row r="22" spans="1:29" x14ac:dyDescent="0.25">
      <c r="A22" s="4" t="s">
        <v>616</v>
      </c>
      <c r="B22" s="102">
        <v>15</v>
      </c>
      <c r="C22" s="102">
        <v>451</v>
      </c>
      <c r="D22" s="102">
        <v>364</v>
      </c>
      <c r="E22" s="102">
        <v>286</v>
      </c>
      <c r="F22" s="102">
        <v>203</v>
      </c>
      <c r="G22" s="102">
        <v>220</v>
      </c>
      <c r="H22" s="102">
        <v>215</v>
      </c>
      <c r="I22" s="102">
        <v>246</v>
      </c>
      <c r="J22" s="102">
        <v>281</v>
      </c>
      <c r="K22" s="49">
        <v>370</v>
      </c>
      <c r="L22" s="49">
        <v>446</v>
      </c>
      <c r="M22" s="49">
        <v>419</v>
      </c>
      <c r="N22" s="49">
        <v>382</v>
      </c>
      <c r="O22" s="49">
        <v>324</v>
      </c>
      <c r="P22" s="49">
        <v>416</v>
      </c>
      <c r="Q22" s="49">
        <v>429</v>
      </c>
      <c r="R22" s="49">
        <v>431</v>
      </c>
      <c r="S22" s="49">
        <v>688</v>
      </c>
      <c r="T22" s="49">
        <v>752</v>
      </c>
      <c r="U22" s="49">
        <v>797</v>
      </c>
      <c r="V22" s="49">
        <v>1073</v>
      </c>
      <c r="W22" s="49">
        <v>1168</v>
      </c>
      <c r="X22" s="1615">
        <f t="shared" si="12"/>
        <v>1168</v>
      </c>
      <c r="Y22" s="491">
        <f t="shared" si="12"/>
        <v>1168</v>
      </c>
      <c r="Z22" s="491">
        <f t="shared" si="12"/>
        <v>1168</v>
      </c>
      <c r="AA22" s="491">
        <f t="shared" si="12"/>
        <v>1168</v>
      </c>
      <c r="AB22" s="491">
        <f t="shared" si="12"/>
        <v>1168</v>
      </c>
      <c r="AC22" s="36"/>
    </row>
    <row r="23" spans="1:29" x14ac:dyDescent="0.25">
      <c r="A23" s="4" t="s">
        <v>617</v>
      </c>
      <c r="B23" s="115">
        <v>0</v>
      </c>
      <c r="C23" s="102">
        <v>37</v>
      </c>
      <c r="D23" s="102">
        <v>32</v>
      </c>
      <c r="E23" s="102">
        <v>34</v>
      </c>
      <c r="F23" s="102">
        <v>244</v>
      </c>
      <c r="G23" s="102">
        <v>238</v>
      </c>
      <c r="H23" s="102">
        <v>236</v>
      </c>
      <c r="I23" s="102">
        <v>253</v>
      </c>
      <c r="J23" s="102">
        <v>281</v>
      </c>
      <c r="K23" s="49">
        <v>680</v>
      </c>
      <c r="L23" s="49">
        <v>771</v>
      </c>
      <c r="M23" s="49">
        <v>765</v>
      </c>
      <c r="N23" s="49">
        <v>2175</v>
      </c>
      <c r="O23" s="49">
        <v>2119</v>
      </c>
      <c r="P23" s="49">
        <v>2253</v>
      </c>
      <c r="Q23" s="49">
        <v>2211</v>
      </c>
      <c r="R23" s="49">
        <v>2126</v>
      </c>
      <c r="S23" s="49">
        <v>1969</v>
      </c>
      <c r="T23" s="49">
        <v>1974</v>
      </c>
      <c r="U23" s="49">
        <v>1928</v>
      </c>
      <c r="V23" s="49">
        <v>1894</v>
      </c>
      <c r="W23" s="49">
        <v>1892</v>
      </c>
      <c r="X23" s="1615">
        <f t="shared" ref="X23:AB23" si="13">X189</f>
        <v>2032</v>
      </c>
      <c r="Y23" s="491">
        <f t="shared" si="13"/>
        <v>2172</v>
      </c>
      <c r="Z23" s="491">
        <f t="shared" si="13"/>
        <v>2312</v>
      </c>
      <c r="AA23" s="491">
        <f t="shared" si="13"/>
        <v>2452</v>
      </c>
      <c r="AB23" s="491">
        <f t="shared" si="13"/>
        <v>2592</v>
      </c>
      <c r="AC23" s="36"/>
    </row>
    <row r="24" spans="1:29" x14ac:dyDescent="0.25">
      <c r="A24" s="4" t="s">
        <v>618</v>
      </c>
      <c r="B24" s="102">
        <v>12</v>
      </c>
      <c r="C24" s="102">
        <v>57</v>
      </c>
      <c r="D24" s="102">
        <v>120</v>
      </c>
      <c r="E24" s="102">
        <v>158</v>
      </c>
      <c r="F24" s="102">
        <v>295</v>
      </c>
      <c r="G24" s="102">
        <v>263</v>
      </c>
      <c r="H24" s="102">
        <v>194</v>
      </c>
      <c r="I24" s="102">
        <v>251</v>
      </c>
      <c r="J24" s="102">
        <v>243</v>
      </c>
      <c r="K24" s="49">
        <v>203</v>
      </c>
      <c r="L24" s="49">
        <v>228</v>
      </c>
      <c r="M24" s="49">
        <v>984</v>
      </c>
      <c r="N24" s="49">
        <v>1351</v>
      </c>
      <c r="O24" s="49">
        <v>142</v>
      </c>
      <c r="P24" s="49">
        <v>391</v>
      </c>
      <c r="Q24" s="49">
        <v>251</v>
      </c>
      <c r="R24" s="49">
        <v>316</v>
      </c>
      <c r="S24" s="49">
        <v>449</v>
      </c>
      <c r="T24" s="49">
        <v>1576</v>
      </c>
      <c r="U24" s="49">
        <v>1122</v>
      </c>
      <c r="V24" s="49">
        <v>2349</v>
      </c>
      <c r="W24" s="49">
        <v>881</v>
      </c>
      <c r="X24" s="1615">
        <f t="shared" ref="X24:AB24" si="14">W24</f>
        <v>881</v>
      </c>
      <c r="Y24" s="491">
        <f t="shared" si="14"/>
        <v>881</v>
      </c>
      <c r="Z24" s="491">
        <f t="shared" si="14"/>
        <v>881</v>
      </c>
      <c r="AA24" s="491">
        <f t="shared" si="14"/>
        <v>881</v>
      </c>
      <c r="AB24" s="491">
        <f t="shared" si="14"/>
        <v>881</v>
      </c>
      <c r="AC24" s="36"/>
    </row>
    <row r="25" spans="1:29" x14ac:dyDescent="0.25">
      <c r="A25" s="4" t="s">
        <v>619</v>
      </c>
      <c r="B25" s="102">
        <v>2</v>
      </c>
      <c r="C25" s="102">
        <v>26</v>
      </c>
      <c r="D25" s="102">
        <v>16</v>
      </c>
      <c r="E25" s="102">
        <v>10</v>
      </c>
      <c r="F25" s="102">
        <v>9</v>
      </c>
      <c r="G25" s="102">
        <v>1</v>
      </c>
      <c r="H25" s="102">
        <v>12</v>
      </c>
      <c r="I25" s="102">
        <v>12</v>
      </c>
      <c r="J25" s="102">
        <v>13</v>
      </c>
      <c r="K25" s="49">
        <v>12</v>
      </c>
      <c r="L25" s="49">
        <v>29</v>
      </c>
      <c r="M25" s="49">
        <v>35</v>
      </c>
      <c r="N25" s="49">
        <v>28</v>
      </c>
      <c r="O25" s="49">
        <v>16</v>
      </c>
      <c r="P25" s="49">
        <f>13+4</f>
        <v>17</v>
      </c>
      <c r="Q25" s="49">
        <f>33+4</f>
        <v>37</v>
      </c>
      <c r="R25" s="49">
        <f>52+4</f>
        <v>56</v>
      </c>
      <c r="S25" s="49">
        <f>23+11</f>
        <v>34</v>
      </c>
      <c r="T25" s="49">
        <f>18+8</f>
        <v>26</v>
      </c>
      <c r="U25" s="49">
        <v>7</v>
      </c>
      <c r="V25" s="49">
        <f>3+4</f>
        <v>7</v>
      </c>
      <c r="W25" s="49">
        <f>4+1</f>
        <v>5</v>
      </c>
      <c r="X25" s="1615">
        <f>X122</f>
        <v>5</v>
      </c>
      <c r="Y25" s="491">
        <f>Y122</f>
        <v>5</v>
      </c>
      <c r="Z25" s="491">
        <f>Z122</f>
        <v>5</v>
      </c>
      <c r="AA25" s="491">
        <f>AA122</f>
        <v>5</v>
      </c>
      <c r="AB25" s="491">
        <f>AB122</f>
        <v>5</v>
      </c>
      <c r="AC25" s="36"/>
    </row>
    <row r="26" spans="1:29" x14ac:dyDescent="0.25">
      <c r="A26" s="419" t="s">
        <v>620</v>
      </c>
      <c r="B26" s="531">
        <f>+SUM(B18:B25)</f>
        <v>472</v>
      </c>
      <c r="C26" s="531">
        <f t="shared" ref="C26:AB26" si="15">SUM(C18:C25)</f>
        <v>6960</v>
      </c>
      <c r="D26" s="531">
        <f t="shared" si="15"/>
        <v>7003</v>
      </c>
      <c r="E26" s="531">
        <f t="shared" si="15"/>
        <v>6877</v>
      </c>
      <c r="F26" s="531">
        <f t="shared" si="15"/>
        <v>7726</v>
      </c>
      <c r="G26" s="531">
        <f t="shared" si="15"/>
        <v>8266</v>
      </c>
      <c r="H26" s="531">
        <f t="shared" si="15"/>
        <v>8338</v>
      </c>
      <c r="I26" s="531">
        <f t="shared" si="15"/>
        <v>9872</v>
      </c>
      <c r="J26" s="531">
        <f t="shared" si="15"/>
        <v>10372</v>
      </c>
      <c r="K26" s="531">
        <f t="shared" si="15"/>
        <v>11747</v>
      </c>
      <c r="L26" s="531">
        <f t="shared" si="15"/>
        <v>13358</v>
      </c>
      <c r="M26" s="531">
        <f t="shared" si="15"/>
        <v>14386</v>
      </c>
      <c r="N26" s="531">
        <f t="shared" si="15"/>
        <v>14147</v>
      </c>
      <c r="O26" s="531">
        <f t="shared" si="15"/>
        <v>13191</v>
      </c>
      <c r="P26" s="531">
        <f t="shared" si="15"/>
        <v>22461</v>
      </c>
      <c r="Q26" s="531">
        <f t="shared" si="15"/>
        <v>22736</v>
      </c>
      <c r="R26" s="531">
        <f t="shared" si="15"/>
        <v>21343</v>
      </c>
      <c r="S26" s="531">
        <f t="shared" si="15"/>
        <v>21133</v>
      </c>
      <c r="T26" s="531">
        <f t="shared" si="15"/>
        <v>21831</v>
      </c>
      <c r="U26" s="531">
        <f t="shared" ref="U26:V26" si="16">SUM(U18:U25)</f>
        <v>21093</v>
      </c>
      <c r="V26" s="531">
        <f t="shared" si="16"/>
        <v>23489</v>
      </c>
      <c r="W26" s="531">
        <f t="shared" ref="W26" si="17">SUM(W18:W25)</f>
        <v>23459</v>
      </c>
      <c r="X26" s="1628">
        <f t="shared" si="15"/>
        <v>23758.099905424475</v>
      </c>
      <c r="Y26" s="533">
        <f t="shared" si="15"/>
        <v>24182.002621299813</v>
      </c>
      <c r="Z26" s="533">
        <f t="shared" si="15"/>
        <v>24608.972984593802</v>
      </c>
      <c r="AA26" s="533">
        <f t="shared" si="15"/>
        <v>25083.251060473522</v>
      </c>
      <c r="AB26" s="533">
        <f t="shared" si="15"/>
        <v>25580.318415704292</v>
      </c>
    </row>
    <row r="27" spans="1:29" x14ac:dyDescent="0.25">
      <c r="B27" s="102"/>
      <c r="C27" s="102"/>
      <c r="D27" s="102"/>
      <c r="E27" s="102"/>
      <c r="F27" s="102"/>
      <c r="G27" s="102"/>
      <c r="H27" s="102"/>
      <c r="I27" s="102"/>
      <c r="J27" s="102"/>
      <c r="K27" s="49"/>
      <c r="L27" s="49"/>
      <c r="M27" s="49"/>
      <c r="N27" s="49"/>
      <c r="O27" s="49"/>
      <c r="P27" s="49"/>
      <c r="Q27" s="49"/>
      <c r="R27" s="49"/>
      <c r="S27" s="49"/>
      <c r="T27" s="49"/>
      <c r="U27" s="49"/>
      <c r="V27" s="49"/>
      <c r="W27" s="49"/>
      <c r="X27" s="1615"/>
      <c r="Y27" s="491"/>
      <c r="Z27" s="491"/>
      <c r="AA27" s="491"/>
      <c r="AB27" s="491"/>
    </row>
    <row r="28" spans="1:29" ht="15.75" thickBot="1" x14ac:dyDescent="0.3">
      <c r="A28" s="12" t="s">
        <v>621</v>
      </c>
      <c r="B28" s="538">
        <f>+B15+B26</f>
        <v>2982</v>
      </c>
      <c r="C28" s="538">
        <f>+C15+C26</f>
        <v>15581</v>
      </c>
      <c r="D28" s="538">
        <f t="shared" ref="D28:AB28" si="18">D15+D26</f>
        <v>15928</v>
      </c>
      <c r="E28" s="538">
        <f t="shared" si="18"/>
        <v>16175</v>
      </c>
      <c r="F28" s="538">
        <f t="shared" si="18"/>
        <v>16836</v>
      </c>
      <c r="G28" s="538">
        <f t="shared" si="18"/>
        <v>18169</v>
      </c>
      <c r="H28" s="538">
        <f t="shared" si="18"/>
        <v>18511</v>
      </c>
      <c r="I28" s="538">
        <f t="shared" si="18"/>
        <v>20702</v>
      </c>
      <c r="J28" s="538">
        <f t="shared" si="18"/>
        <v>22965</v>
      </c>
      <c r="K28" s="538">
        <f t="shared" si="18"/>
        <v>23698</v>
      </c>
      <c r="L28" s="538">
        <f t="shared" si="18"/>
        <v>26133</v>
      </c>
      <c r="M28" s="538">
        <f t="shared" si="18"/>
        <v>28507</v>
      </c>
      <c r="N28" s="538">
        <f t="shared" si="18"/>
        <v>31058</v>
      </c>
      <c r="O28" s="538">
        <f t="shared" si="18"/>
        <v>32247</v>
      </c>
      <c r="P28" s="538">
        <f t="shared" si="18"/>
        <v>40620</v>
      </c>
      <c r="Q28" s="538">
        <f t="shared" si="18"/>
        <v>42808</v>
      </c>
      <c r="R28" s="538">
        <f t="shared" si="18"/>
        <v>39531</v>
      </c>
      <c r="S28" s="538">
        <f t="shared" si="18"/>
        <v>41716</v>
      </c>
      <c r="T28" s="538">
        <f t="shared" si="18"/>
        <v>46828</v>
      </c>
      <c r="U28" s="538">
        <f t="shared" ref="U28:V28" si="19">U15+U26</f>
        <v>50468</v>
      </c>
      <c r="V28" s="538">
        <f t="shared" si="19"/>
        <v>55012</v>
      </c>
      <c r="W28" s="538">
        <f t="shared" ref="W28" si="20">W15+W26</f>
        <v>61814</v>
      </c>
      <c r="X28" s="1631">
        <f t="shared" si="18"/>
        <v>65351.536199059497</v>
      </c>
      <c r="Y28" s="539">
        <f t="shared" si="18"/>
        <v>68169.062770833945</v>
      </c>
      <c r="Z28" s="539">
        <f t="shared" si="18"/>
        <v>70478.89805881535</v>
      </c>
      <c r="AA28" s="539">
        <f t="shared" si="18"/>
        <v>76860.209337361652</v>
      </c>
      <c r="AB28" s="539">
        <f t="shared" si="18"/>
        <v>82054.013114604895</v>
      </c>
    </row>
    <row r="29" spans="1:29" x14ac:dyDescent="0.25">
      <c r="A29" s="186"/>
      <c r="B29" s="141"/>
      <c r="C29" s="141"/>
      <c r="D29" s="141"/>
      <c r="E29" s="141"/>
      <c r="F29" s="141"/>
      <c r="G29" s="141"/>
      <c r="H29" s="141"/>
      <c r="I29" s="141"/>
      <c r="J29" s="141"/>
      <c r="K29" s="141"/>
      <c r="L29" s="141"/>
      <c r="M29" s="141"/>
      <c r="N29" s="141"/>
      <c r="O29" s="141"/>
      <c r="P29" s="141"/>
      <c r="Q29" s="141"/>
      <c r="R29" s="141"/>
      <c r="S29" s="141"/>
      <c r="T29" s="141"/>
      <c r="U29" s="141"/>
      <c r="V29" s="141"/>
      <c r="W29" s="141"/>
      <c r="X29" s="1629"/>
      <c r="Y29" s="141"/>
      <c r="Z29" s="141"/>
      <c r="AA29" s="141"/>
      <c r="AB29" s="141"/>
    </row>
    <row r="30" spans="1:29" x14ac:dyDescent="0.25">
      <c r="A30" s="4" t="s">
        <v>390</v>
      </c>
      <c r="B30" s="102">
        <v>210</v>
      </c>
      <c r="C30" s="102">
        <f>973-C31</f>
        <v>868</v>
      </c>
      <c r="D30" s="102">
        <f>1101-D31</f>
        <v>684.6</v>
      </c>
      <c r="E30" s="102">
        <f>1133-E31</f>
        <v>740.1</v>
      </c>
      <c r="F30" s="102">
        <f>1278-F31</f>
        <v>893.7</v>
      </c>
      <c r="G30" s="102">
        <f>1039-G31</f>
        <v>681.3</v>
      </c>
      <c r="H30" s="102">
        <f>1114-H31</f>
        <v>748</v>
      </c>
      <c r="I30" s="102">
        <v>646</v>
      </c>
      <c r="J30" s="102">
        <v>1064</v>
      </c>
      <c r="K30" s="49">
        <v>1220</v>
      </c>
      <c r="L30" s="49">
        <v>1459</v>
      </c>
      <c r="M30" s="49">
        <v>1654</v>
      </c>
      <c r="N30" s="49">
        <v>1558</v>
      </c>
      <c r="O30" s="49">
        <v>1906</v>
      </c>
      <c r="P30" s="49">
        <v>1189</v>
      </c>
      <c r="Q30" s="49">
        <v>990</v>
      </c>
      <c r="R30" s="49">
        <v>905</v>
      </c>
      <c r="S30" s="49">
        <v>1058</v>
      </c>
      <c r="T30" s="49">
        <v>1018</v>
      </c>
      <c r="U30" s="49">
        <v>1064</v>
      </c>
      <c r="V30" s="49">
        <v>1173</v>
      </c>
      <c r="W30" s="49">
        <v>1212</v>
      </c>
      <c r="X30" s="1615">
        <f t="shared" ref="X30:AB31" si="21">W30</f>
        <v>1212</v>
      </c>
      <c r="Y30" s="491">
        <f t="shared" si="21"/>
        <v>1212</v>
      </c>
      <c r="Z30" s="491">
        <f t="shared" si="21"/>
        <v>1212</v>
      </c>
      <c r="AA30" s="491">
        <f t="shared" si="21"/>
        <v>1212</v>
      </c>
      <c r="AB30" s="491">
        <f t="shared" si="21"/>
        <v>1212</v>
      </c>
      <c r="AC30" s="36"/>
    </row>
    <row r="31" spans="1:29" x14ac:dyDescent="0.25">
      <c r="A31" s="4" t="s">
        <v>622</v>
      </c>
      <c r="B31" s="115">
        <v>0</v>
      </c>
      <c r="C31" s="102">
        <v>105</v>
      </c>
      <c r="D31" s="102">
        <v>416.4</v>
      </c>
      <c r="E31" s="102">
        <v>392.9</v>
      </c>
      <c r="F31" s="102">
        <v>384.3</v>
      </c>
      <c r="G31" s="102">
        <v>357.7</v>
      </c>
      <c r="H31" s="102">
        <v>366</v>
      </c>
      <c r="I31" s="102">
        <v>418</v>
      </c>
      <c r="J31" s="102"/>
      <c r="K31" s="49"/>
      <c r="L31" s="49"/>
      <c r="M31" s="49"/>
      <c r="N31" s="49"/>
      <c r="O31" s="49"/>
      <c r="P31" s="49"/>
      <c r="Q31" s="49"/>
      <c r="R31" s="49"/>
      <c r="S31" s="49"/>
      <c r="T31" s="49"/>
      <c r="U31" s="49"/>
      <c r="V31" s="49"/>
      <c r="W31" s="49"/>
      <c r="X31" s="1615">
        <f t="shared" si="21"/>
        <v>0</v>
      </c>
      <c r="Y31" s="491">
        <f t="shared" si="21"/>
        <v>0</v>
      </c>
      <c r="Z31" s="491">
        <f t="shared" si="21"/>
        <v>0</v>
      </c>
      <c r="AA31" s="491">
        <f t="shared" si="21"/>
        <v>0</v>
      </c>
      <c r="AB31" s="491">
        <f t="shared" si="21"/>
        <v>0</v>
      </c>
      <c r="AC31" s="36"/>
    </row>
    <row r="32" spans="1:29" x14ac:dyDescent="0.25">
      <c r="A32" s="4" t="s">
        <v>623</v>
      </c>
      <c r="B32" s="102">
        <v>12</v>
      </c>
      <c r="C32" s="102">
        <v>877</v>
      </c>
      <c r="D32" s="102">
        <v>699</v>
      </c>
      <c r="E32" s="102">
        <v>502</v>
      </c>
      <c r="F32" s="102">
        <v>1136</v>
      </c>
      <c r="G32" s="102">
        <v>1367</v>
      </c>
      <c r="H32" s="102">
        <v>568</v>
      </c>
      <c r="I32" s="102">
        <v>998</v>
      </c>
      <c r="J32" s="102">
        <v>916</v>
      </c>
      <c r="K32" s="49">
        <v>1445</v>
      </c>
      <c r="L32" s="49">
        <v>1507</v>
      </c>
      <c r="M32" s="49">
        <v>876</v>
      </c>
      <c r="N32" s="49">
        <v>945</v>
      </c>
      <c r="O32" s="49">
        <v>1390</v>
      </c>
      <c r="P32" s="49">
        <v>2221</v>
      </c>
      <c r="Q32" s="49">
        <v>3540</v>
      </c>
      <c r="R32" s="49">
        <v>2509</v>
      </c>
      <c r="S32" s="49">
        <v>1720</v>
      </c>
      <c r="T32" s="49">
        <v>1277</v>
      </c>
      <c r="U32" s="49">
        <v>1608</v>
      </c>
      <c r="V32" s="49">
        <v>988</v>
      </c>
      <c r="W32" s="49">
        <v>2605</v>
      </c>
      <c r="X32" s="1615">
        <f t="shared" ref="X32:AB32" si="22">X146</f>
        <v>2605</v>
      </c>
      <c r="Y32" s="491">
        <f t="shared" si="22"/>
        <v>2605</v>
      </c>
      <c r="Z32" s="491">
        <f t="shared" si="22"/>
        <v>2605</v>
      </c>
      <c r="AA32" s="491">
        <f t="shared" si="22"/>
        <v>2605</v>
      </c>
      <c r="AB32" s="491">
        <f t="shared" si="22"/>
        <v>2605</v>
      </c>
      <c r="AC32" s="36"/>
    </row>
    <row r="33" spans="1:29" x14ac:dyDescent="0.25">
      <c r="A33" s="4" t="s">
        <v>624</v>
      </c>
      <c r="B33" s="102">
        <v>1322</v>
      </c>
      <c r="C33" s="102">
        <v>5897</v>
      </c>
      <c r="D33" s="102">
        <v>6390</v>
      </c>
      <c r="E33" s="102">
        <v>6517</v>
      </c>
      <c r="F33" s="102">
        <v>6786</v>
      </c>
      <c r="G33" s="102">
        <f>6936-G37</f>
        <v>6807</v>
      </c>
      <c r="H33" s="102">
        <f>7236-H37</f>
        <v>7095</v>
      </c>
      <c r="I33" s="102">
        <v>8348</v>
      </c>
      <c r="J33" s="102">
        <v>8767</v>
      </c>
      <c r="K33" s="49">
        <v>8668</v>
      </c>
      <c r="L33" s="49">
        <v>9618</v>
      </c>
      <c r="M33" s="49">
        <v>10602</v>
      </c>
      <c r="N33" s="49">
        <v>10242</v>
      </c>
      <c r="O33" s="49">
        <v>10822</v>
      </c>
      <c r="P33" s="49">
        <f>5650+10453</f>
        <v>16103</v>
      </c>
      <c r="Q33" s="49">
        <f>6164+10923</f>
        <v>17087</v>
      </c>
      <c r="R33" s="49">
        <f>4353+9838</f>
        <v>14191</v>
      </c>
      <c r="S33" s="49">
        <f>4950+10141</f>
        <v>15091</v>
      </c>
      <c r="T33" s="49">
        <f>6298+12756</f>
        <v>19054</v>
      </c>
      <c r="U33" s="49">
        <f>8097+15029</f>
        <v>23126</v>
      </c>
      <c r="V33" s="49">
        <f>9802+16421</f>
        <v>26223</v>
      </c>
      <c r="W33" s="49">
        <f>13444+19235</f>
        <v>32679</v>
      </c>
      <c r="X33" s="1615">
        <f t="shared" ref="X33:AB33" si="23">X126</f>
        <v>34980.219766149763</v>
      </c>
      <c r="Y33" s="491">
        <f t="shared" si="23"/>
        <v>35253.475738142173</v>
      </c>
      <c r="Z33" s="491">
        <f t="shared" si="23"/>
        <v>35043.246187312761</v>
      </c>
      <c r="AA33" s="491">
        <f t="shared" si="23"/>
        <v>37507.085765105134</v>
      </c>
      <c r="AB33" s="491">
        <f t="shared" si="23"/>
        <v>38595.863302135185</v>
      </c>
      <c r="AC33" s="36"/>
    </row>
    <row r="34" spans="1:29" x14ac:dyDescent="0.25">
      <c r="A34" s="4" t="s">
        <v>625</v>
      </c>
      <c r="B34" s="102">
        <v>2</v>
      </c>
      <c r="C34" s="102">
        <v>21</v>
      </c>
      <c r="D34" s="102">
        <v>21</v>
      </c>
      <c r="E34" s="102">
        <v>43</v>
      </c>
      <c r="F34" s="102">
        <v>39</v>
      </c>
      <c r="G34" s="102">
        <v>53</v>
      </c>
      <c r="H34" s="102">
        <v>72</v>
      </c>
      <c r="I34" s="102">
        <v>92</v>
      </c>
      <c r="J34" s="102">
        <v>156</v>
      </c>
      <c r="K34" s="49">
        <v>199</v>
      </c>
      <c r="L34" s="49">
        <v>220</v>
      </c>
      <c r="M34" s="49">
        <v>287</v>
      </c>
      <c r="N34" s="49">
        <v>179</v>
      </c>
      <c r="O34" s="49">
        <v>214</v>
      </c>
      <c r="P34" s="49">
        <v>210</v>
      </c>
      <c r="Q34" s="49">
        <v>111</v>
      </c>
      <c r="R34" s="49">
        <v>118</v>
      </c>
      <c r="S34" s="49">
        <v>109</v>
      </c>
      <c r="T34" s="49">
        <v>105</v>
      </c>
      <c r="U34" s="49">
        <v>104</v>
      </c>
      <c r="V34" s="49">
        <v>105</v>
      </c>
      <c r="W34" s="49">
        <v>205</v>
      </c>
      <c r="X34" s="1615">
        <f t="shared" ref="X34:AB34" si="24">W34</f>
        <v>205</v>
      </c>
      <c r="Y34" s="491">
        <f t="shared" si="24"/>
        <v>205</v>
      </c>
      <c r="Z34" s="491">
        <f t="shared" si="24"/>
        <v>205</v>
      </c>
      <c r="AA34" s="491">
        <f t="shared" si="24"/>
        <v>205</v>
      </c>
      <c r="AB34" s="491">
        <f t="shared" si="24"/>
        <v>205</v>
      </c>
      <c r="AC34" s="36"/>
    </row>
    <row r="35" spans="1:29" x14ac:dyDescent="0.25">
      <c r="A35" s="4" t="s">
        <v>605</v>
      </c>
      <c r="B35" s="115">
        <v>0</v>
      </c>
      <c r="C35" s="115">
        <v>0</v>
      </c>
      <c r="D35" s="102">
        <v>2</v>
      </c>
      <c r="E35" s="102">
        <v>4</v>
      </c>
      <c r="F35" s="102">
        <v>577</v>
      </c>
      <c r="G35" s="102">
        <f>13-G36</f>
        <v>10</v>
      </c>
      <c r="H35" s="102">
        <f>451-H36</f>
        <v>464</v>
      </c>
      <c r="I35" s="102">
        <v>675</v>
      </c>
      <c r="J35" s="102">
        <f>213+12</f>
        <v>225</v>
      </c>
      <c r="K35" s="49">
        <f>150+36</f>
        <v>186</v>
      </c>
      <c r="L35" s="49">
        <v>1636</v>
      </c>
      <c r="M35" s="49">
        <v>4108</v>
      </c>
      <c r="N35" s="49">
        <v>4385</v>
      </c>
      <c r="O35" s="49">
        <v>805</v>
      </c>
      <c r="P35" s="49">
        <v>1255</v>
      </c>
      <c r="Q35" s="49">
        <v>1033</v>
      </c>
      <c r="R35" s="49">
        <v>1244</v>
      </c>
      <c r="S35" s="49">
        <v>1788</v>
      </c>
      <c r="T35" s="49">
        <v>5848</v>
      </c>
      <c r="U35" s="49">
        <v>4735</v>
      </c>
      <c r="V35" s="49">
        <v>8803</v>
      </c>
      <c r="W35" s="49">
        <v>4246</v>
      </c>
      <c r="X35" s="1615">
        <f>W35+CF!X23+CF!X18</f>
        <v>4045</v>
      </c>
      <c r="Y35" s="491">
        <f>X35+CF!Y23+CF!Y18</f>
        <v>4045</v>
      </c>
      <c r="Z35" s="491">
        <f>Y35+CF!Z23+CF!Z18</f>
        <v>4045</v>
      </c>
      <c r="AA35" s="491">
        <f>Z35+CF!AA23+CF!AA18</f>
        <v>4045</v>
      </c>
      <c r="AB35" s="491">
        <f>AA35+CF!AB23+CF!AB18</f>
        <v>4045</v>
      </c>
      <c r="AC35" s="36"/>
    </row>
    <row r="36" spans="1:29" x14ac:dyDescent="0.25">
      <c r="A36" s="4" t="s">
        <v>626</v>
      </c>
      <c r="B36" s="115"/>
      <c r="C36" s="115"/>
      <c r="D36" s="102"/>
      <c r="E36" s="102"/>
      <c r="F36" s="102"/>
      <c r="G36" s="102">
        <v>3</v>
      </c>
      <c r="H36" s="102">
        <v>-13</v>
      </c>
      <c r="I36" s="102">
        <v>-17</v>
      </c>
      <c r="J36" s="102"/>
      <c r="K36" s="49"/>
      <c r="L36" s="49"/>
      <c r="M36" s="49"/>
      <c r="N36" s="49"/>
      <c r="O36" s="49"/>
      <c r="P36" s="49"/>
      <c r="Q36" s="49"/>
      <c r="R36" s="49">
        <v>0</v>
      </c>
      <c r="S36" s="49">
        <v>0</v>
      </c>
      <c r="T36" s="49">
        <f t="shared" ref="T36:AB37" si="25">S36</f>
        <v>0</v>
      </c>
      <c r="U36" s="49">
        <v>0</v>
      </c>
      <c r="V36" s="49">
        <v>0</v>
      </c>
      <c r="W36" s="49">
        <v>0</v>
      </c>
      <c r="X36" s="1615">
        <f t="shared" si="25"/>
        <v>0</v>
      </c>
      <c r="Y36" s="491">
        <f t="shared" si="25"/>
        <v>0</v>
      </c>
      <c r="Z36" s="491">
        <f t="shared" si="25"/>
        <v>0</v>
      </c>
      <c r="AA36" s="491">
        <f t="shared" si="25"/>
        <v>0</v>
      </c>
      <c r="AB36" s="491">
        <f t="shared" si="25"/>
        <v>0</v>
      </c>
      <c r="AC36" s="36"/>
    </row>
    <row r="37" spans="1:29" x14ac:dyDescent="0.25">
      <c r="A37" s="4" t="s">
        <v>627</v>
      </c>
      <c r="B37" s="102">
        <v>58</v>
      </c>
      <c r="C37" s="102">
        <v>162</v>
      </c>
      <c r="D37" s="102">
        <v>150</v>
      </c>
      <c r="E37" s="102">
        <v>139</v>
      </c>
      <c r="F37" s="102">
        <f>156+39</f>
        <v>195</v>
      </c>
      <c r="G37" s="102">
        <f>109+20</f>
        <v>129</v>
      </c>
      <c r="H37" s="102">
        <f>123+18</f>
        <v>141</v>
      </c>
      <c r="I37" s="102">
        <v>0</v>
      </c>
      <c r="J37" s="102">
        <v>26</v>
      </c>
      <c r="K37" s="49">
        <v>64</v>
      </c>
      <c r="L37" s="49">
        <v>125</v>
      </c>
      <c r="M37" s="49">
        <v>122</v>
      </c>
      <c r="N37" s="49">
        <f>357+794</f>
        <v>1151</v>
      </c>
      <c r="O37" s="49">
        <v>144</v>
      </c>
      <c r="P37" s="49">
        <v>113</v>
      </c>
      <c r="Q37" s="49">
        <v>115</v>
      </c>
      <c r="R37" s="49">
        <v>59</v>
      </c>
      <c r="S37" s="49">
        <v>62</v>
      </c>
      <c r="T37" s="49">
        <f>125+49</f>
        <v>174</v>
      </c>
      <c r="U37" s="49">
        <v>150</v>
      </c>
      <c r="V37" s="49">
        <v>148</v>
      </c>
      <c r="W37" s="49">
        <v>174</v>
      </c>
      <c r="X37" s="1615">
        <f t="shared" si="25"/>
        <v>174</v>
      </c>
      <c r="Y37" s="491">
        <f t="shared" si="25"/>
        <v>174</v>
      </c>
      <c r="Z37" s="491">
        <f t="shared" si="25"/>
        <v>174</v>
      </c>
      <c r="AA37" s="491">
        <f t="shared" si="25"/>
        <v>174</v>
      </c>
      <c r="AB37" s="491">
        <f t="shared" si="25"/>
        <v>174</v>
      </c>
      <c r="AC37" s="36"/>
    </row>
    <row r="38" spans="1:29" x14ac:dyDescent="0.25">
      <c r="A38" s="531" t="s">
        <v>628</v>
      </c>
      <c r="B38" s="531">
        <f t="shared" ref="B38:AB38" si="26">SUM(B30:B37)</f>
        <v>1604</v>
      </c>
      <c r="C38" s="531">
        <f t="shared" si="26"/>
        <v>7930</v>
      </c>
      <c r="D38" s="531">
        <f t="shared" si="26"/>
        <v>8363</v>
      </c>
      <c r="E38" s="531">
        <f t="shared" si="26"/>
        <v>8338</v>
      </c>
      <c r="F38" s="531">
        <f t="shared" si="26"/>
        <v>10011</v>
      </c>
      <c r="G38" s="531">
        <f t="shared" si="26"/>
        <v>9408</v>
      </c>
      <c r="H38" s="531">
        <f t="shared" si="26"/>
        <v>9441</v>
      </c>
      <c r="I38" s="531">
        <f t="shared" si="26"/>
        <v>11160</v>
      </c>
      <c r="J38" s="531">
        <f t="shared" si="26"/>
        <v>11154</v>
      </c>
      <c r="K38" s="531">
        <f t="shared" si="26"/>
        <v>11782</v>
      </c>
      <c r="L38" s="531">
        <f t="shared" si="26"/>
        <v>14565</v>
      </c>
      <c r="M38" s="531">
        <f t="shared" si="26"/>
        <v>17649</v>
      </c>
      <c r="N38" s="531">
        <f t="shared" si="26"/>
        <v>18460</v>
      </c>
      <c r="O38" s="531">
        <f t="shared" si="26"/>
        <v>15281</v>
      </c>
      <c r="P38" s="531">
        <f t="shared" si="26"/>
        <v>21091</v>
      </c>
      <c r="Q38" s="531">
        <f t="shared" si="26"/>
        <v>22876</v>
      </c>
      <c r="R38" s="531">
        <f t="shared" si="26"/>
        <v>19026</v>
      </c>
      <c r="S38" s="531">
        <f t="shared" si="26"/>
        <v>19828</v>
      </c>
      <c r="T38" s="531">
        <f t="shared" si="26"/>
        <v>27476</v>
      </c>
      <c r="U38" s="531">
        <f t="shared" ref="U38:V38" si="27">SUM(U30:U37)</f>
        <v>30787</v>
      </c>
      <c r="V38" s="531">
        <f t="shared" si="27"/>
        <v>37440</v>
      </c>
      <c r="W38" s="531">
        <f t="shared" ref="W38" si="28">SUM(W30:W37)</f>
        <v>41121</v>
      </c>
      <c r="X38" s="1628">
        <f t="shared" si="26"/>
        <v>43221.219766149763</v>
      </c>
      <c r="Y38" s="533">
        <f t="shared" si="26"/>
        <v>43494.475738142173</v>
      </c>
      <c r="Z38" s="533">
        <f t="shared" si="26"/>
        <v>43284.246187312761</v>
      </c>
      <c r="AA38" s="533">
        <f t="shared" si="26"/>
        <v>45748.085765105134</v>
      </c>
      <c r="AB38" s="533">
        <f t="shared" si="26"/>
        <v>46836.863302135185</v>
      </c>
    </row>
    <row r="39" spans="1:29" x14ac:dyDescent="0.25">
      <c r="B39" s="102"/>
      <c r="C39" s="102"/>
      <c r="D39" s="102"/>
      <c r="E39" s="102"/>
      <c r="F39" s="102"/>
      <c r="G39" s="102"/>
      <c r="H39" s="102"/>
      <c r="I39" s="102"/>
      <c r="J39" s="102"/>
      <c r="K39" s="49"/>
      <c r="L39" s="49"/>
      <c r="M39" s="49"/>
      <c r="N39" s="49"/>
      <c r="O39" s="49"/>
      <c r="P39" s="49"/>
      <c r="Q39" s="49"/>
      <c r="R39" s="49"/>
      <c r="S39" s="49"/>
      <c r="T39" s="49"/>
      <c r="U39" s="49"/>
      <c r="V39" s="49"/>
      <c r="W39" s="49"/>
      <c r="X39" s="148"/>
      <c r="Y39" s="102"/>
      <c r="Z39" s="102"/>
      <c r="AA39" s="102"/>
      <c r="AB39" s="102"/>
    </row>
    <row r="40" spans="1:29" x14ac:dyDescent="0.25">
      <c r="A40" s="186" t="s">
        <v>629</v>
      </c>
      <c r="B40" s="102"/>
      <c r="C40" s="102"/>
      <c r="D40" s="102"/>
      <c r="E40" s="102"/>
      <c r="F40" s="102"/>
      <c r="G40" s="102"/>
      <c r="H40" s="102"/>
      <c r="I40" s="102"/>
      <c r="J40" s="102"/>
      <c r="K40" s="49"/>
      <c r="L40" s="49"/>
      <c r="M40" s="49"/>
      <c r="N40" s="49"/>
      <c r="O40" s="49"/>
      <c r="P40" s="49"/>
      <c r="Q40" s="49"/>
      <c r="R40" s="49"/>
      <c r="S40" s="49"/>
      <c r="T40" s="49"/>
      <c r="U40" s="49"/>
      <c r="V40" s="49"/>
      <c r="W40" s="49"/>
      <c r="X40" s="148"/>
      <c r="Y40" s="102"/>
      <c r="Z40" s="102"/>
      <c r="AA40" s="102"/>
      <c r="AB40" s="102"/>
    </row>
    <row r="41" spans="1:29" x14ac:dyDescent="0.25">
      <c r="A41" s="4" t="s">
        <v>390</v>
      </c>
      <c r="B41" s="102">
        <v>61</v>
      </c>
      <c r="C41" s="102">
        <v>804</v>
      </c>
      <c r="D41" s="102">
        <v>976</v>
      </c>
      <c r="E41" s="102">
        <v>1052</v>
      </c>
      <c r="F41" s="102">
        <v>1078</v>
      </c>
      <c r="G41" s="102">
        <v>1315</v>
      </c>
      <c r="H41" s="102">
        <v>1310</v>
      </c>
      <c r="I41" s="102">
        <v>1374</v>
      </c>
      <c r="J41" s="102">
        <v>1823</v>
      </c>
      <c r="K41" s="49">
        <v>1738</v>
      </c>
      <c r="L41" s="49">
        <v>1870</v>
      </c>
      <c r="M41" s="49">
        <v>1802</v>
      </c>
      <c r="N41" s="49">
        <v>1706</v>
      </c>
      <c r="O41" s="49">
        <v>1497</v>
      </c>
      <c r="P41" s="49">
        <v>1588</v>
      </c>
      <c r="Q41" s="49">
        <v>2093</v>
      </c>
      <c r="R41" s="49">
        <v>1942</v>
      </c>
      <c r="S41" s="49">
        <v>1798</v>
      </c>
      <c r="T41" s="49">
        <v>1549</v>
      </c>
      <c r="U41" s="49">
        <v>1547</v>
      </c>
      <c r="V41" s="49">
        <v>1835</v>
      </c>
      <c r="W41" s="49">
        <v>1687</v>
      </c>
      <c r="X41" s="1615">
        <f t="shared" ref="X41:AB41" si="29">W41-X31+W31</f>
        <v>1687</v>
      </c>
      <c r="Y41" s="146">
        <f t="shared" si="29"/>
        <v>1687</v>
      </c>
      <c r="Z41" s="146">
        <f t="shared" si="29"/>
        <v>1687</v>
      </c>
      <c r="AA41" s="146">
        <f t="shared" si="29"/>
        <v>1687</v>
      </c>
      <c r="AB41" s="146">
        <f t="shared" si="29"/>
        <v>1687</v>
      </c>
      <c r="AC41" s="36"/>
    </row>
    <row r="42" spans="1:29" x14ac:dyDescent="0.25">
      <c r="A42" s="4" t="s">
        <v>630</v>
      </c>
      <c r="B42" s="102">
        <v>35</v>
      </c>
      <c r="C42" s="102">
        <v>523</v>
      </c>
      <c r="D42" s="102">
        <v>573</v>
      </c>
      <c r="E42" s="102">
        <v>590</v>
      </c>
      <c r="F42" s="102">
        <v>698</v>
      </c>
      <c r="G42" s="102">
        <v>696</v>
      </c>
      <c r="H42" s="102">
        <v>701</v>
      </c>
      <c r="I42" s="102">
        <v>682</v>
      </c>
      <c r="J42" s="102">
        <v>670</v>
      </c>
      <c r="K42" s="49">
        <v>670</v>
      </c>
      <c r="L42" s="49">
        <v>713</v>
      </c>
      <c r="M42" s="49">
        <v>708</v>
      </c>
      <c r="N42" s="49">
        <v>699</v>
      </c>
      <c r="O42" s="49">
        <v>569</v>
      </c>
      <c r="P42" s="49">
        <v>585</v>
      </c>
      <c r="Q42" s="49">
        <v>505</v>
      </c>
      <c r="R42" s="49">
        <v>426</v>
      </c>
      <c r="S42" s="49">
        <v>327</v>
      </c>
      <c r="T42" s="49">
        <v>302</v>
      </c>
      <c r="U42" s="49">
        <v>292</v>
      </c>
      <c r="V42" s="49">
        <v>287</v>
      </c>
      <c r="W42" s="49">
        <v>275</v>
      </c>
      <c r="X42" s="1615">
        <f t="shared" ref="X42:AB42" si="30">W42</f>
        <v>275</v>
      </c>
      <c r="Y42" s="491">
        <f t="shared" si="30"/>
        <v>275</v>
      </c>
      <c r="Z42" s="491">
        <f t="shared" si="30"/>
        <v>275</v>
      </c>
      <c r="AA42" s="491">
        <f t="shared" si="30"/>
        <v>275</v>
      </c>
      <c r="AB42" s="491">
        <f t="shared" si="30"/>
        <v>275</v>
      </c>
      <c r="AC42" s="36"/>
    </row>
    <row r="43" spans="1:29" x14ac:dyDescent="0.25">
      <c r="A43" s="4" t="s">
        <v>631</v>
      </c>
      <c r="B43" s="102">
        <v>20</v>
      </c>
      <c r="C43" s="102">
        <v>532</v>
      </c>
      <c r="D43" s="102">
        <v>463</v>
      </c>
      <c r="E43" s="102">
        <v>397</v>
      </c>
      <c r="F43" s="102">
        <v>418</v>
      </c>
      <c r="G43" s="102">
        <v>1208</v>
      </c>
      <c r="H43" s="102">
        <v>1483</v>
      </c>
      <c r="I43" s="102">
        <v>1447</v>
      </c>
      <c r="J43" s="102">
        <v>2259</v>
      </c>
      <c r="K43" s="49">
        <v>1291</v>
      </c>
      <c r="L43" s="49">
        <v>1658</v>
      </c>
      <c r="M43" s="49">
        <v>1752</v>
      </c>
      <c r="N43" s="49">
        <v>2392</v>
      </c>
      <c r="O43" s="49">
        <v>3246</v>
      </c>
      <c r="P43" s="49">
        <v>3384</v>
      </c>
      <c r="Q43" s="49">
        <v>3239</v>
      </c>
      <c r="R43" s="49">
        <v>4082</v>
      </c>
      <c r="S43" s="49">
        <v>5094</v>
      </c>
      <c r="T43" s="49">
        <v>5378</v>
      </c>
      <c r="U43" s="49">
        <v>4691</v>
      </c>
      <c r="V43" s="49">
        <v>3788</v>
      </c>
      <c r="W43" s="49">
        <v>2446</v>
      </c>
      <c r="X43" s="1615">
        <f t="shared" ref="X43:AB43" si="31">X147</f>
        <v>1940</v>
      </c>
      <c r="Y43" s="491">
        <f t="shared" si="31"/>
        <v>1940</v>
      </c>
      <c r="Z43" s="491">
        <f t="shared" si="31"/>
        <v>1940</v>
      </c>
      <c r="AA43" s="491">
        <f t="shared" si="31"/>
        <v>1940</v>
      </c>
      <c r="AB43" s="491">
        <f t="shared" si="31"/>
        <v>1940</v>
      </c>
      <c r="AC43" s="36"/>
    </row>
    <row r="44" spans="1:29" x14ac:dyDescent="0.25">
      <c r="A44" s="4" t="s">
        <v>632</v>
      </c>
      <c r="B44" s="102">
        <v>1</v>
      </c>
      <c r="C44" s="102">
        <v>999</v>
      </c>
      <c r="D44" s="102">
        <v>929</v>
      </c>
      <c r="E44" s="102">
        <v>745</v>
      </c>
      <c r="F44" s="102">
        <v>618</v>
      </c>
      <c r="G44" s="102">
        <v>833</v>
      </c>
      <c r="H44" s="102">
        <v>685</v>
      </c>
      <c r="I44" s="102">
        <v>718</v>
      </c>
      <c r="J44" s="102">
        <v>981</v>
      </c>
      <c r="K44" s="49">
        <v>1264</v>
      </c>
      <c r="L44" s="49">
        <v>735</v>
      </c>
      <c r="M44" s="49">
        <v>677</v>
      </c>
      <c r="N44" s="49">
        <v>987</v>
      </c>
      <c r="O44" s="49">
        <v>1022</v>
      </c>
      <c r="P44" s="49">
        <v>1662</v>
      </c>
      <c r="Q44" s="49">
        <v>1340</v>
      </c>
      <c r="R44" s="49">
        <v>1285</v>
      </c>
      <c r="S44" s="49">
        <v>1275</v>
      </c>
      <c r="T44" s="49">
        <v>1164</v>
      </c>
      <c r="U44" s="49">
        <v>1022</v>
      </c>
      <c r="V44" s="49">
        <v>911</v>
      </c>
      <c r="W44" s="49">
        <v>641</v>
      </c>
      <c r="X44" s="1615">
        <f>W44+IS!X112</f>
        <v>600.03999999999974</v>
      </c>
      <c r="Y44" s="491">
        <f>X44+IS!Y112</f>
        <v>475.03999999999974</v>
      </c>
      <c r="Z44" s="491">
        <f>Y44+IS!Z112</f>
        <v>350.03999999999974</v>
      </c>
      <c r="AA44" s="491">
        <f>Z44+IS!AA112</f>
        <v>225.03999999999974</v>
      </c>
      <c r="AB44" s="491">
        <f>AA44+IS!AB112</f>
        <v>100.03999999999974</v>
      </c>
      <c r="AC44" s="36"/>
    </row>
    <row r="45" spans="1:29" x14ac:dyDescent="0.25">
      <c r="A45" s="4" t="s">
        <v>633</v>
      </c>
      <c r="B45" s="102">
        <v>16</v>
      </c>
      <c r="C45" s="102">
        <v>125</v>
      </c>
      <c r="D45" s="102">
        <v>112</v>
      </c>
      <c r="E45" s="102">
        <f>96+452</f>
        <v>548</v>
      </c>
      <c r="F45" s="102">
        <v>139</v>
      </c>
      <c r="G45" s="102">
        <v>208</v>
      </c>
      <c r="H45" s="102">
        <v>186</v>
      </c>
      <c r="I45" s="102">
        <v>199</v>
      </c>
      <c r="J45" s="102">
        <v>81</v>
      </c>
      <c r="K45" s="49">
        <v>140</v>
      </c>
      <c r="L45" s="49">
        <v>101</v>
      </c>
      <c r="M45" s="49">
        <v>26</v>
      </c>
      <c r="N45" s="49">
        <v>5</v>
      </c>
      <c r="O45" s="49">
        <v>8</v>
      </c>
      <c r="P45" s="49">
        <f>7+2</f>
        <v>9</v>
      </c>
      <c r="Q45" s="49">
        <f>5+2</f>
        <v>7</v>
      </c>
      <c r="R45" s="49">
        <f>18+2</f>
        <v>20</v>
      </c>
      <c r="S45" s="49">
        <f>8+116</f>
        <v>124</v>
      </c>
      <c r="T45" s="49">
        <f>18+75</f>
        <v>93</v>
      </c>
      <c r="U45" s="49">
        <f>8+33</f>
        <v>41</v>
      </c>
      <c r="V45" s="49">
        <f>11+15</f>
        <v>26</v>
      </c>
      <c r="W45" s="49">
        <f>23+160</f>
        <v>183</v>
      </c>
      <c r="X45" s="1613">
        <f>W45+CF!X31+CF!X63</f>
        <v>212.0222421588262</v>
      </c>
      <c r="Y45" s="143">
        <f>X45+CF!Y31+CF!Y63</f>
        <v>211.84479771201819</v>
      </c>
      <c r="Z45" s="143">
        <f>Y45+CF!Z31+CF!Z63</f>
        <v>149.73696353283964</v>
      </c>
      <c r="AA45" s="143">
        <f>Z45+CF!AA31+CF!AA63</f>
        <v>5.5716982730327231</v>
      </c>
      <c r="AB45" s="143">
        <f>AA45+CF!AB31+CF!AB63</f>
        <v>-116.41728386358346</v>
      </c>
      <c r="AC45" s="36"/>
    </row>
    <row r="46" spans="1:29" x14ac:dyDescent="0.25">
      <c r="A46" s="419" t="s">
        <v>634</v>
      </c>
      <c r="B46" s="531">
        <f t="shared" ref="B46:AB46" si="32">SUM(B41:B45)</f>
        <v>133</v>
      </c>
      <c r="C46" s="531">
        <f t="shared" si="32"/>
        <v>2983</v>
      </c>
      <c r="D46" s="531">
        <f t="shared" si="32"/>
        <v>3053</v>
      </c>
      <c r="E46" s="531">
        <f t="shared" si="32"/>
        <v>3332</v>
      </c>
      <c r="F46" s="531">
        <f t="shared" si="32"/>
        <v>2951</v>
      </c>
      <c r="G46" s="531">
        <f t="shared" si="32"/>
        <v>4260</v>
      </c>
      <c r="H46" s="531">
        <f t="shared" si="32"/>
        <v>4365</v>
      </c>
      <c r="I46" s="531">
        <f t="shared" si="32"/>
        <v>4420</v>
      </c>
      <c r="J46" s="531">
        <f t="shared" si="32"/>
        <v>5814</v>
      </c>
      <c r="K46" s="531">
        <f t="shared" si="32"/>
        <v>5103</v>
      </c>
      <c r="L46" s="531">
        <f t="shared" si="32"/>
        <v>5077</v>
      </c>
      <c r="M46" s="531">
        <f t="shared" si="32"/>
        <v>4965</v>
      </c>
      <c r="N46" s="531">
        <f t="shared" si="32"/>
        <v>5789</v>
      </c>
      <c r="O46" s="531">
        <f t="shared" si="32"/>
        <v>6342</v>
      </c>
      <c r="P46" s="531">
        <f t="shared" si="32"/>
        <v>7228</v>
      </c>
      <c r="Q46" s="531">
        <f t="shared" si="32"/>
        <v>7184</v>
      </c>
      <c r="R46" s="531">
        <f t="shared" si="32"/>
        <v>7755</v>
      </c>
      <c r="S46" s="531">
        <f t="shared" si="32"/>
        <v>8618</v>
      </c>
      <c r="T46" s="531">
        <f t="shared" si="32"/>
        <v>8486</v>
      </c>
      <c r="U46" s="531">
        <f t="shared" ref="U46:V46" si="33">SUM(U41:U45)</f>
        <v>7593</v>
      </c>
      <c r="V46" s="531">
        <f t="shared" si="33"/>
        <v>6847</v>
      </c>
      <c r="W46" s="531">
        <f t="shared" ref="W46" si="34">SUM(W41:W45)</f>
        <v>5232</v>
      </c>
      <c r="X46" s="1628">
        <f t="shared" si="32"/>
        <v>4714.0622421588259</v>
      </c>
      <c r="Y46" s="533">
        <f t="shared" si="32"/>
        <v>4588.8847977120186</v>
      </c>
      <c r="Z46" s="533">
        <f t="shared" si="32"/>
        <v>4401.7769635328395</v>
      </c>
      <c r="AA46" s="533">
        <f t="shared" si="32"/>
        <v>4132.6116982730327</v>
      </c>
      <c r="AB46" s="533">
        <f t="shared" si="32"/>
        <v>3885.6227161364163</v>
      </c>
    </row>
    <row r="47" spans="1:29" x14ac:dyDescent="0.25">
      <c r="B47" s="102"/>
      <c r="C47" s="102"/>
      <c r="D47" s="102"/>
      <c r="E47" s="102"/>
      <c r="F47" s="102"/>
      <c r="G47" s="102"/>
      <c r="H47" s="102"/>
      <c r="I47" s="102"/>
      <c r="J47" s="102"/>
      <c r="K47" s="49"/>
      <c r="L47" s="49"/>
      <c r="M47" s="49"/>
      <c r="N47" s="49"/>
      <c r="O47" s="49"/>
      <c r="P47" s="49"/>
      <c r="Q47" s="49"/>
      <c r="R47" s="49"/>
      <c r="S47" s="49"/>
      <c r="T47" s="49"/>
      <c r="U47" s="49"/>
      <c r="V47" s="49"/>
      <c r="W47" s="49"/>
      <c r="X47" s="148"/>
      <c r="Y47" s="102"/>
      <c r="Z47" s="102"/>
      <c r="AA47" s="102"/>
      <c r="AB47" s="102"/>
    </row>
    <row r="48" spans="1:29" x14ac:dyDescent="0.25">
      <c r="A48" s="186" t="s">
        <v>48</v>
      </c>
      <c r="B48" s="102"/>
      <c r="C48" s="102"/>
      <c r="D48" s="102"/>
      <c r="E48" s="102"/>
      <c r="F48" s="102"/>
      <c r="G48" s="102"/>
      <c r="H48" s="102"/>
      <c r="I48" s="102"/>
      <c r="J48" s="102"/>
      <c r="K48" s="49"/>
      <c r="L48" s="49"/>
      <c r="M48" s="49"/>
      <c r="N48" s="49"/>
      <c r="O48" s="49"/>
      <c r="P48" s="49"/>
      <c r="Q48" s="49"/>
      <c r="R48" s="49"/>
      <c r="S48" s="49"/>
      <c r="T48" s="49"/>
      <c r="U48" s="49"/>
      <c r="V48" s="49"/>
      <c r="W48" s="49"/>
      <c r="X48" s="148"/>
      <c r="Y48" s="102"/>
      <c r="Z48" s="102"/>
      <c r="AA48" s="102"/>
      <c r="AB48" s="102"/>
    </row>
    <row r="49" spans="1:31" x14ac:dyDescent="0.25">
      <c r="A49" s="4" t="s">
        <v>635</v>
      </c>
      <c r="B49" s="102">
        <v>1</v>
      </c>
      <c r="C49" s="102">
        <v>164</v>
      </c>
      <c r="D49" s="102">
        <v>173</v>
      </c>
      <c r="E49" s="102">
        <v>167</v>
      </c>
      <c r="F49" s="102">
        <v>141</v>
      </c>
      <c r="G49" s="102">
        <v>148</v>
      </c>
      <c r="H49" s="102">
        <v>175</v>
      </c>
      <c r="I49" s="102">
        <v>154</v>
      </c>
      <c r="J49" s="102">
        <v>163</v>
      </c>
      <c r="K49" s="49">
        <v>178</v>
      </c>
      <c r="L49" s="49">
        <v>225</v>
      </c>
      <c r="M49" s="49">
        <v>266</v>
      </c>
      <c r="N49" s="49">
        <v>288</v>
      </c>
      <c r="O49" s="49">
        <v>303</v>
      </c>
      <c r="P49" s="49">
        <v>346</v>
      </c>
      <c r="Q49" s="49">
        <v>377</v>
      </c>
      <c r="R49" s="49">
        <v>401</v>
      </c>
      <c r="S49" s="49">
        <v>429</v>
      </c>
      <c r="T49" s="49">
        <v>455</v>
      </c>
      <c r="U49" s="49">
        <v>511</v>
      </c>
      <c r="V49" s="49">
        <v>549</v>
      </c>
      <c r="W49" s="49">
        <v>622</v>
      </c>
      <c r="X49" s="1615">
        <f>W49-IS!X88+CF!X57</f>
        <v>669</v>
      </c>
      <c r="Y49" s="491">
        <f>X49-IS!Y88+CF!Y57</f>
        <v>716</v>
      </c>
      <c r="Z49" s="491">
        <f>Y49-IS!Z88+CF!Z57</f>
        <v>763</v>
      </c>
      <c r="AA49" s="491">
        <f>Z49-IS!AA88+CF!AA57</f>
        <v>810</v>
      </c>
      <c r="AB49" s="491">
        <f>AA49-IS!AB88+CF!AB57</f>
        <v>857</v>
      </c>
      <c r="AC49" s="36"/>
    </row>
    <row r="50" spans="1:31" x14ac:dyDescent="0.25">
      <c r="A50" s="4" t="s">
        <v>636</v>
      </c>
      <c r="B50" s="102">
        <v>36</v>
      </c>
      <c r="C50" s="102">
        <v>83</v>
      </c>
      <c r="D50" s="102">
        <v>83</v>
      </c>
      <c r="E50" s="102">
        <v>83</v>
      </c>
      <c r="F50" s="102">
        <v>83</v>
      </c>
      <c r="G50" s="102">
        <v>83</v>
      </c>
      <c r="H50" s="102">
        <v>83</v>
      </c>
      <c r="I50" s="102">
        <v>83</v>
      </c>
      <c r="J50" s="102">
        <v>83</v>
      </c>
      <c r="K50" s="49">
        <v>83</v>
      </c>
      <c r="L50" s="49">
        <v>83</v>
      </c>
      <c r="M50" s="49">
        <v>83</v>
      </c>
      <c r="N50" s="49">
        <v>83</v>
      </c>
      <c r="O50" s="49">
        <v>83</v>
      </c>
      <c r="P50" s="49">
        <v>87</v>
      </c>
      <c r="Q50" s="49">
        <v>85</v>
      </c>
      <c r="R50" s="49">
        <v>85</v>
      </c>
      <c r="S50" s="49">
        <v>85</v>
      </c>
      <c r="T50" s="49">
        <v>85</v>
      </c>
      <c r="U50" s="49">
        <v>85</v>
      </c>
      <c r="V50" s="49">
        <v>85</v>
      </c>
      <c r="W50" s="49">
        <v>84</v>
      </c>
      <c r="X50" s="1615">
        <f t="shared" ref="X50:AB50" si="35">W50</f>
        <v>84</v>
      </c>
      <c r="Y50" s="491">
        <f t="shared" si="35"/>
        <v>84</v>
      </c>
      <c r="Z50" s="491">
        <f t="shared" si="35"/>
        <v>84</v>
      </c>
      <c r="AA50" s="491">
        <f t="shared" si="35"/>
        <v>84</v>
      </c>
      <c r="AB50" s="491">
        <f t="shared" si="35"/>
        <v>84</v>
      </c>
      <c r="AC50" s="36"/>
    </row>
    <row r="51" spans="1:31" x14ac:dyDescent="0.25">
      <c r="A51" s="4" t="s">
        <v>637</v>
      </c>
      <c r="B51" s="102">
        <v>1054</v>
      </c>
      <c r="C51" s="102">
        <v>4840</v>
      </c>
      <c r="D51" s="102">
        <v>4296</v>
      </c>
      <c r="E51" s="102">
        <v>4189</v>
      </c>
      <c r="F51" s="102">
        <v>3902</v>
      </c>
      <c r="G51" s="102">
        <v>3619</v>
      </c>
      <c r="H51" s="102">
        <v>4214</v>
      </c>
      <c r="I51" s="102">
        <v>4387</v>
      </c>
      <c r="J51" s="102">
        <v>4444</v>
      </c>
      <c r="K51" s="49">
        <v>5137</v>
      </c>
      <c r="L51" s="49">
        <v>6259</v>
      </c>
      <c r="M51" s="49">
        <v>5927</v>
      </c>
      <c r="N51" s="49">
        <v>4495</v>
      </c>
      <c r="O51" s="49">
        <v>5420</v>
      </c>
      <c r="P51" s="49">
        <v>10585</v>
      </c>
      <c r="Q51" s="49">
        <v>9839</v>
      </c>
      <c r="R51" s="49">
        <v>11912</v>
      </c>
      <c r="S51" s="49">
        <v>12713</v>
      </c>
      <c r="T51" s="49">
        <v>12785</v>
      </c>
      <c r="U51" s="49">
        <v>8048</v>
      </c>
      <c r="V51" s="49">
        <v>10758</v>
      </c>
      <c r="W51" s="49">
        <v>7578</v>
      </c>
      <c r="X51" s="1615">
        <f>W51+CF!X49+CF!X41+CF!X54+CF!X42</f>
        <v>6440</v>
      </c>
      <c r="Y51" s="491">
        <f>X51+CF!Y49+CF!Y41+CF!Y54+CF!Y42</f>
        <v>5190</v>
      </c>
      <c r="Z51" s="491">
        <f>Y51+CF!Z49+CF!Z41+CF!Z54+CF!Z42</f>
        <v>3940</v>
      </c>
      <c r="AA51" s="491">
        <f>Z51+CF!AA49+CF!AA41+CF!AA54+CF!AA42</f>
        <v>3940</v>
      </c>
      <c r="AB51" s="491">
        <f>AA51+CF!AB49+CF!AB41+CF!AB54+CF!AB42</f>
        <v>3940</v>
      </c>
      <c r="AC51" s="36"/>
    </row>
    <row r="52" spans="1:31" x14ac:dyDescent="0.25">
      <c r="A52" s="4" t="s">
        <v>638</v>
      </c>
      <c r="B52" s="102">
        <v>0</v>
      </c>
      <c r="C52" s="102">
        <f>10-127</f>
        <v>-117</v>
      </c>
      <c r="D52" s="102">
        <f>27-76</f>
        <v>-49</v>
      </c>
      <c r="E52" s="102">
        <v>27</v>
      </c>
      <c r="F52" s="102">
        <f>-15-32</f>
        <v>-47</v>
      </c>
      <c r="G52" s="102">
        <v>10</v>
      </c>
      <c r="H52" s="102">
        <v>26</v>
      </c>
      <c r="I52" s="102">
        <v>20</v>
      </c>
      <c r="J52" s="102">
        <v>25</v>
      </c>
      <c r="K52" s="49">
        <v>29</v>
      </c>
      <c r="L52" s="49">
        <v>50</v>
      </c>
      <c r="M52" s="49">
        <v>41</v>
      </c>
      <c r="N52" s="49">
        <v>35</v>
      </c>
      <c r="O52" s="49">
        <v>28</v>
      </c>
      <c r="P52" s="49">
        <v>0</v>
      </c>
      <c r="Q52" s="49">
        <f>P52</f>
        <v>0</v>
      </c>
      <c r="R52" s="49">
        <f>Q52</f>
        <v>0</v>
      </c>
      <c r="S52" s="49">
        <v>0</v>
      </c>
      <c r="T52" s="49">
        <v>0</v>
      </c>
      <c r="U52" s="49">
        <v>0</v>
      </c>
      <c r="V52" s="49">
        <v>0</v>
      </c>
      <c r="W52" s="49">
        <v>0</v>
      </c>
      <c r="X52" s="1615">
        <f t="shared" ref="X52:AB52" si="36">W52</f>
        <v>0</v>
      </c>
      <c r="Y52" s="491">
        <f t="shared" si="36"/>
        <v>0</v>
      </c>
      <c r="Z52" s="491">
        <f t="shared" si="36"/>
        <v>0</v>
      </c>
      <c r="AA52" s="491">
        <f t="shared" si="36"/>
        <v>0</v>
      </c>
      <c r="AB52" s="491">
        <f t="shared" si="36"/>
        <v>0</v>
      </c>
      <c r="AC52" s="36"/>
    </row>
    <row r="53" spans="1:31" x14ac:dyDescent="0.25">
      <c r="A53" s="4" t="s">
        <v>639</v>
      </c>
      <c r="B53" s="102">
        <f>IS!B89</f>
        <v>154</v>
      </c>
      <c r="C53" s="102">
        <f>IS!C89</f>
        <v>-302</v>
      </c>
      <c r="D53" s="102">
        <f>IS!D89</f>
        <v>9</v>
      </c>
      <c r="E53" s="102">
        <f>IS!E89</f>
        <v>39</v>
      </c>
      <c r="F53" s="102">
        <f>IS!F89</f>
        <v>-205</v>
      </c>
      <c r="G53" s="102">
        <f>IS!G89</f>
        <v>641</v>
      </c>
      <c r="H53" s="102">
        <f>IS!H89</f>
        <v>207</v>
      </c>
      <c r="I53" s="102">
        <v>478</v>
      </c>
      <c r="J53" s="102">
        <v>1282</v>
      </c>
      <c r="K53" s="49">
        <v>1386</v>
      </c>
      <c r="L53" s="49">
        <v>-126</v>
      </c>
      <c r="M53" s="49">
        <v>-424</v>
      </c>
      <c r="N53" s="49">
        <v>1908</v>
      </c>
      <c r="O53" s="49">
        <v>4790</v>
      </c>
      <c r="P53" s="49">
        <v>1283</v>
      </c>
      <c r="Q53" s="49">
        <v>2447</v>
      </c>
      <c r="R53" s="49">
        <v>352</v>
      </c>
      <c r="S53" s="49">
        <v>43</v>
      </c>
      <c r="T53" s="49">
        <v>-2459</v>
      </c>
      <c r="U53" s="49">
        <v>3444</v>
      </c>
      <c r="V53" s="49">
        <v>-667</v>
      </c>
      <c r="W53" s="49">
        <v>7177</v>
      </c>
      <c r="X53" s="1615">
        <f>IS!X89-IS!X98+W53</f>
        <v>10223.254190750908</v>
      </c>
      <c r="Y53" s="491">
        <f>IS!Y89-IS!Y98+X53</f>
        <v>14095.702234979757</v>
      </c>
      <c r="Z53" s="491">
        <f>IS!Z89-IS!Z98+Y53</f>
        <v>18005.874907969752</v>
      </c>
      <c r="AA53" s="491">
        <f>IS!AA89-IS!AA98+Z53</f>
        <v>22145.511873983487</v>
      </c>
      <c r="AB53" s="491">
        <f>IS!AB89-IS!AB98+AA53</f>
        <v>26450.527096333288</v>
      </c>
      <c r="AC53" s="36"/>
    </row>
    <row r="54" spans="1:31" x14ac:dyDescent="0.25">
      <c r="A54" s="419" t="s">
        <v>640</v>
      </c>
      <c r="B54" s="531">
        <f>+SUM(B49:B53)</f>
        <v>1245</v>
      </c>
      <c r="C54" s="531">
        <f>+SUM(C49:C53)</f>
        <v>4668</v>
      </c>
      <c r="D54" s="531">
        <f t="shared" ref="D54:AB54" si="37">SUM(D49:D53)</f>
        <v>4512</v>
      </c>
      <c r="E54" s="531">
        <f t="shared" si="37"/>
        <v>4505</v>
      </c>
      <c r="F54" s="531">
        <f t="shared" si="37"/>
        <v>3874</v>
      </c>
      <c r="G54" s="531">
        <f t="shared" si="37"/>
        <v>4501</v>
      </c>
      <c r="H54" s="531">
        <f t="shared" si="37"/>
        <v>4705</v>
      </c>
      <c r="I54" s="531">
        <f t="shared" si="37"/>
        <v>5122</v>
      </c>
      <c r="J54" s="531">
        <f t="shared" si="37"/>
        <v>5997</v>
      </c>
      <c r="K54" s="531">
        <f t="shared" si="37"/>
        <v>6813</v>
      </c>
      <c r="L54" s="531">
        <f t="shared" si="37"/>
        <v>6491</v>
      </c>
      <c r="M54" s="531">
        <f t="shared" si="37"/>
        <v>5893</v>
      </c>
      <c r="N54" s="531">
        <f t="shared" si="37"/>
        <v>6809</v>
      </c>
      <c r="O54" s="531">
        <f t="shared" si="37"/>
        <v>10624</v>
      </c>
      <c r="P54" s="531">
        <f t="shared" si="37"/>
        <v>12301</v>
      </c>
      <c r="Q54" s="531">
        <f t="shared" si="37"/>
        <v>12748</v>
      </c>
      <c r="R54" s="531">
        <f t="shared" si="37"/>
        <v>12750</v>
      </c>
      <c r="S54" s="531">
        <f t="shared" si="37"/>
        <v>13270</v>
      </c>
      <c r="T54" s="531">
        <f t="shared" si="37"/>
        <v>10866</v>
      </c>
      <c r="U54" s="531">
        <f t="shared" ref="U54:V54" si="38">SUM(U49:U53)</f>
        <v>12088</v>
      </c>
      <c r="V54" s="531">
        <f t="shared" si="38"/>
        <v>10725</v>
      </c>
      <c r="W54" s="531">
        <f t="shared" ref="W54" si="39">SUM(W49:W53)</f>
        <v>15461</v>
      </c>
      <c r="X54" s="1628">
        <f t="shared" si="37"/>
        <v>17416.254190750908</v>
      </c>
      <c r="Y54" s="533">
        <f t="shared" si="37"/>
        <v>20085.702234979755</v>
      </c>
      <c r="Z54" s="533">
        <f t="shared" si="37"/>
        <v>22792.874907969752</v>
      </c>
      <c r="AA54" s="533">
        <f t="shared" si="37"/>
        <v>26979.511873983487</v>
      </c>
      <c r="AB54" s="533">
        <f t="shared" si="37"/>
        <v>31331.527096333288</v>
      </c>
    </row>
    <row r="55" spans="1:31" x14ac:dyDescent="0.25">
      <c r="B55" s="102"/>
      <c r="C55" s="102"/>
      <c r="D55" s="102"/>
      <c r="E55" s="102"/>
      <c r="F55" s="102"/>
      <c r="G55" s="102"/>
      <c r="H55" s="102"/>
      <c r="I55" s="102"/>
      <c r="J55" s="102"/>
      <c r="K55" s="49"/>
      <c r="L55" s="49"/>
      <c r="M55" s="49"/>
      <c r="N55" s="49"/>
      <c r="O55" s="49"/>
      <c r="P55" s="49"/>
      <c r="Q55" s="49"/>
      <c r="R55" s="49"/>
      <c r="S55" s="49"/>
      <c r="T55" s="49"/>
      <c r="U55" s="49"/>
      <c r="V55" s="49"/>
      <c r="W55" s="49"/>
      <c r="X55" s="1615"/>
      <c r="Y55" s="491"/>
      <c r="Z55" s="491"/>
      <c r="AA55" s="491"/>
      <c r="AB55" s="491"/>
    </row>
    <row r="56" spans="1:31" ht="15.75" thickBot="1" x14ac:dyDescent="0.3">
      <c r="A56" s="12" t="s">
        <v>641</v>
      </c>
      <c r="B56" s="538">
        <f t="shared" ref="B56:AB56" si="40">B54+B38+B46</f>
        <v>2982</v>
      </c>
      <c r="C56" s="538">
        <f t="shared" si="40"/>
        <v>15581</v>
      </c>
      <c r="D56" s="538">
        <f t="shared" si="40"/>
        <v>15928</v>
      </c>
      <c r="E56" s="538">
        <f t="shared" si="40"/>
        <v>16175</v>
      </c>
      <c r="F56" s="538">
        <f t="shared" si="40"/>
        <v>16836</v>
      </c>
      <c r="G56" s="538">
        <f t="shared" si="40"/>
        <v>18169</v>
      </c>
      <c r="H56" s="538">
        <f t="shared" si="40"/>
        <v>18511</v>
      </c>
      <c r="I56" s="538">
        <f t="shared" si="40"/>
        <v>20702</v>
      </c>
      <c r="J56" s="538">
        <f t="shared" si="40"/>
        <v>22965</v>
      </c>
      <c r="K56" s="538">
        <f t="shared" si="40"/>
        <v>23698</v>
      </c>
      <c r="L56" s="538">
        <f t="shared" si="40"/>
        <v>26133</v>
      </c>
      <c r="M56" s="538">
        <f t="shared" si="40"/>
        <v>28507</v>
      </c>
      <c r="N56" s="538">
        <f t="shared" si="40"/>
        <v>31058</v>
      </c>
      <c r="O56" s="538">
        <f t="shared" si="40"/>
        <v>32247</v>
      </c>
      <c r="P56" s="538">
        <f t="shared" si="40"/>
        <v>40620</v>
      </c>
      <c r="Q56" s="538">
        <f t="shared" si="40"/>
        <v>42808</v>
      </c>
      <c r="R56" s="538">
        <f t="shared" si="40"/>
        <v>39531</v>
      </c>
      <c r="S56" s="538">
        <f t="shared" si="40"/>
        <v>41716</v>
      </c>
      <c r="T56" s="538">
        <f t="shared" si="40"/>
        <v>46828</v>
      </c>
      <c r="U56" s="538">
        <f t="shared" ref="U56:V56" si="41">U54+U38+U46</f>
        <v>50468</v>
      </c>
      <c r="V56" s="538">
        <f t="shared" si="41"/>
        <v>55012</v>
      </c>
      <c r="W56" s="538">
        <f t="shared" ref="W56" si="42">W54+W38+W46</f>
        <v>61814</v>
      </c>
      <c r="X56" s="1631">
        <f t="shared" si="40"/>
        <v>65351.536199059497</v>
      </c>
      <c r="Y56" s="539">
        <f t="shared" si="40"/>
        <v>68169.062770833945</v>
      </c>
      <c r="Z56" s="539">
        <f t="shared" si="40"/>
        <v>70478.898058815364</v>
      </c>
      <c r="AA56" s="539">
        <f t="shared" si="40"/>
        <v>76860.209337361652</v>
      </c>
      <c r="AB56" s="539">
        <f t="shared" si="40"/>
        <v>82054.013114604895</v>
      </c>
    </row>
    <row r="57" spans="1:31" x14ac:dyDescent="0.25">
      <c r="A57" s="186"/>
      <c r="B57" s="141"/>
      <c r="C57" s="141"/>
      <c r="D57" s="458"/>
      <c r="E57" s="458"/>
      <c r="F57" s="141"/>
      <c r="G57" s="141"/>
      <c r="H57" s="141"/>
      <c r="I57" s="141"/>
      <c r="J57" s="141"/>
      <c r="K57" s="141"/>
      <c r="L57" s="141"/>
      <c r="M57" s="141"/>
      <c r="N57" s="141"/>
      <c r="O57" s="141"/>
      <c r="P57" s="141"/>
      <c r="Q57" s="141"/>
      <c r="R57" s="141"/>
      <c r="S57" s="141"/>
      <c r="T57" s="141"/>
      <c r="U57" s="141"/>
      <c r="V57" s="141"/>
      <c r="W57" s="141"/>
      <c r="X57" s="1629"/>
      <c r="Y57" s="141"/>
      <c r="Z57" s="141"/>
      <c r="AA57" s="141"/>
      <c r="AB57" s="141"/>
    </row>
    <row r="58" spans="1:31" x14ac:dyDescent="0.25">
      <c r="A58" s="521" t="s">
        <v>642</v>
      </c>
      <c r="B58" s="540" t="str">
        <f t="shared" ref="B58:AB58" si="43">IF(B56=B28,"OK",B56-B28)</f>
        <v>OK</v>
      </c>
      <c r="C58" s="540" t="str">
        <f t="shared" si="43"/>
        <v>OK</v>
      </c>
      <c r="D58" s="540" t="str">
        <f t="shared" si="43"/>
        <v>OK</v>
      </c>
      <c r="E58" s="540" t="str">
        <f t="shared" si="43"/>
        <v>OK</v>
      </c>
      <c r="F58" s="540" t="str">
        <f t="shared" si="43"/>
        <v>OK</v>
      </c>
      <c r="G58" s="540" t="str">
        <f t="shared" si="43"/>
        <v>OK</v>
      </c>
      <c r="H58" s="540" t="str">
        <f t="shared" si="43"/>
        <v>OK</v>
      </c>
      <c r="I58" s="540" t="str">
        <f t="shared" si="43"/>
        <v>OK</v>
      </c>
      <c r="J58" s="540" t="str">
        <f t="shared" si="43"/>
        <v>OK</v>
      </c>
      <c r="K58" s="540" t="str">
        <f t="shared" si="43"/>
        <v>OK</v>
      </c>
      <c r="L58" s="540" t="str">
        <f t="shared" si="43"/>
        <v>OK</v>
      </c>
      <c r="M58" s="540" t="str">
        <f t="shared" si="43"/>
        <v>OK</v>
      </c>
      <c r="N58" s="540" t="str">
        <f t="shared" si="43"/>
        <v>OK</v>
      </c>
      <c r="O58" s="540" t="str">
        <f t="shared" si="43"/>
        <v>OK</v>
      </c>
      <c r="P58" s="540" t="str">
        <f t="shared" si="43"/>
        <v>OK</v>
      </c>
      <c r="Q58" s="540" t="str">
        <f t="shared" si="43"/>
        <v>OK</v>
      </c>
      <c r="R58" s="540" t="str">
        <f t="shared" si="43"/>
        <v>OK</v>
      </c>
      <c r="S58" s="540" t="str">
        <f t="shared" si="43"/>
        <v>OK</v>
      </c>
      <c r="T58" s="540" t="str">
        <f t="shared" si="43"/>
        <v>OK</v>
      </c>
      <c r="U58" s="540" t="str">
        <f t="shared" si="43"/>
        <v>OK</v>
      </c>
      <c r="V58" s="540" t="str">
        <f t="shared" si="43"/>
        <v>OK</v>
      </c>
      <c r="W58" s="540" t="str">
        <f t="shared" ref="W58" si="44">IF(W56=W28,"OK",W56-W28)</f>
        <v>OK</v>
      </c>
      <c r="X58" s="1632" t="str">
        <f t="shared" si="43"/>
        <v>OK</v>
      </c>
      <c r="Y58" s="540" t="str">
        <f t="shared" si="43"/>
        <v>OK</v>
      </c>
      <c r="Z58" s="540">
        <f t="shared" si="43"/>
        <v>1.4551915228366852E-11</v>
      </c>
      <c r="AA58" s="540" t="str">
        <f t="shared" si="43"/>
        <v>OK</v>
      </c>
      <c r="AB58" s="540" t="str">
        <f t="shared" si="43"/>
        <v>OK</v>
      </c>
    </row>
    <row r="59" spans="1:31" x14ac:dyDescent="0.25">
      <c r="B59" s="53"/>
      <c r="C59" s="53"/>
      <c r="D59" s="53"/>
      <c r="E59" s="53"/>
      <c r="F59" s="53"/>
      <c r="G59" s="53"/>
      <c r="H59" s="53"/>
      <c r="I59" s="53"/>
      <c r="J59" s="53"/>
      <c r="K59" s="53"/>
      <c r="L59" s="53"/>
      <c r="M59" s="53"/>
      <c r="N59" s="53"/>
      <c r="O59" s="53"/>
      <c r="P59" s="53"/>
      <c r="Q59" s="53"/>
      <c r="R59" s="53"/>
      <c r="S59" s="53"/>
      <c r="T59" s="53"/>
      <c r="U59" s="53"/>
      <c r="V59" s="53"/>
      <c r="W59" s="53"/>
      <c r="X59" s="56"/>
      <c r="Y59" s="53"/>
      <c r="Z59" s="53"/>
      <c r="AA59" s="53"/>
      <c r="AB59" s="53"/>
    </row>
    <row r="60" spans="1:31" x14ac:dyDescent="0.25">
      <c r="A60" s="42" t="s">
        <v>643</v>
      </c>
      <c r="B60" s="440"/>
      <c r="C60" s="440"/>
      <c r="D60" s="445"/>
      <c r="E60" s="445"/>
      <c r="F60" s="445"/>
      <c r="G60" s="445"/>
      <c r="H60" s="445"/>
      <c r="I60" s="445"/>
      <c r="J60" s="445"/>
      <c r="K60" s="445"/>
      <c r="L60" s="445"/>
      <c r="M60" s="445"/>
      <c r="N60" s="445"/>
      <c r="O60" s="445"/>
      <c r="P60" s="445"/>
      <c r="Q60" s="445"/>
      <c r="R60" s="445"/>
      <c r="S60" s="445"/>
      <c r="T60" s="445"/>
      <c r="U60" s="445"/>
      <c r="V60" s="445"/>
      <c r="W60" s="445"/>
      <c r="X60" s="1626"/>
      <c r="Y60" s="447"/>
      <c r="Z60" s="447"/>
      <c r="AA60" s="447"/>
      <c r="AB60" s="447"/>
    </row>
    <row r="61" spans="1:31" x14ac:dyDescent="0.25">
      <c r="A61" s="219" t="s">
        <v>644</v>
      </c>
      <c r="B61" s="516"/>
      <c r="C61" s="516"/>
      <c r="D61" s="516"/>
      <c r="E61" s="516"/>
      <c r="F61" s="516"/>
      <c r="G61" s="516"/>
      <c r="H61" s="516"/>
      <c r="I61" s="516"/>
      <c r="J61" s="516"/>
      <c r="K61" s="516"/>
      <c r="L61" s="516"/>
      <c r="M61" s="516"/>
      <c r="N61" s="516"/>
      <c r="O61" s="516"/>
      <c r="P61" s="516"/>
      <c r="Q61" s="516"/>
      <c r="R61" s="541"/>
      <c r="S61" s="541"/>
      <c r="T61" s="541"/>
      <c r="U61" s="541"/>
      <c r="V61" s="541"/>
      <c r="W61" s="541"/>
      <c r="X61" s="1633"/>
      <c r="Y61" s="516"/>
      <c r="Z61" s="516"/>
      <c r="AA61" s="516"/>
      <c r="AB61" s="516"/>
    </row>
    <row r="62" spans="1:31" x14ac:dyDescent="0.25">
      <c r="A62" s="4" t="s">
        <v>645</v>
      </c>
      <c r="B62" s="50"/>
      <c r="C62" s="50">
        <f t="shared" ref="C62:AB62" si="45">B68</f>
        <v>914</v>
      </c>
      <c r="D62" s="50">
        <f t="shared" si="45"/>
        <v>4772</v>
      </c>
      <c r="E62" s="50">
        <f t="shared" si="45"/>
        <v>4871</v>
      </c>
      <c r="F62" s="50">
        <f t="shared" si="45"/>
        <v>4881</v>
      </c>
      <c r="G62" s="50">
        <f t="shared" si="45"/>
        <v>5238</v>
      </c>
      <c r="H62" s="50">
        <f t="shared" si="45"/>
        <v>5436</v>
      </c>
      <c r="I62" s="50">
        <f t="shared" si="45"/>
        <v>5750</v>
      </c>
      <c r="J62" s="50">
        <f t="shared" si="45"/>
        <v>6434</v>
      </c>
      <c r="K62" s="53">
        <f t="shared" si="45"/>
        <v>6769</v>
      </c>
      <c r="L62" s="53">
        <f t="shared" si="45"/>
        <v>6510</v>
      </c>
      <c r="M62" s="53">
        <f t="shared" si="45"/>
        <v>7299</v>
      </c>
      <c r="N62" s="53">
        <f t="shared" si="45"/>
        <v>8015</v>
      </c>
      <c r="O62" s="53">
        <f t="shared" si="45"/>
        <v>7385</v>
      </c>
      <c r="P62" s="53">
        <f t="shared" si="45"/>
        <v>7889</v>
      </c>
      <c r="Q62" s="53">
        <f t="shared" si="45"/>
        <v>9636</v>
      </c>
      <c r="R62" s="53">
        <f t="shared" si="45"/>
        <v>9934</v>
      </c>
      <c r="S62" s="53">
        <f t="shared" si="45"/>
        <v>10006</v>
      </c>
      <c r="T62" s="53">
        <f t="shared" si="45"/>
        <v>10490</v>
      </c>
      <c r="U62" s="53">
        <f t="shared" si="45"/>
        <v>10619</v>
      </c>
      <c r="V62" s="53">
        <f t="shared" si="45"/>
        <v>11317</v>
      </c>
      <c r="W62" s="53">
        <f t="shared" si="45"/>
        <v>12251</v>
      </c>
      <c r="X62" s="1596">
        <f t="shared" si="45"/>
        <v>13546</v>
      </c>
      <c r="Y62" s="59">
        <f t="shared" si="45"/>
        <v>14756.957635210223</v>
      </c>
      <c r="Z62" s="59">
        <f t="shared" si="45"/>
        <v>16036.69744664334</v>
      </c>
      <c r="AA62" s="59">
        <f t="shared" si="45"/>
        <v>17380.278564039141</v>
      </c>
      <c r="AB62" s="59">
        <f t="shared" si="45"/>
        <v>18810.872221794729</v>
      </c>
    </row>
    <row r="63" spans="1:31" x14ac:dyDescent="0.25">
      <c r="A63" s="4" t="s">
        <v>646</v>
      </c>
      <c r="B63" s="50"/>
      <c r="C63" s="50">
        <v>238</v>
      </c>
      <c r="D63" s="50">
        <v>394</v>
      </c>
      <c r="E63" s="50">
        <v>409</v>
      </c>
      <c r="F63" s="50">
        <v>461</v>
      </c>
      <c r="G63" s="50">
        <v>394</v>
      </c>
      <c r="H63" s="50">
        <v>267</v>
      </c>
      <c r="I63" s="50">
        <v>322</v>
      </c>
      <c r="J63" s="102">
        <v>410</v>
      </c>
      <c r="K63" s="49">
        <v>481</v>
      </c>
      <c r="L63" s="49">
        <v>603</v>
      </c>
      <c r="M63" s="49">
        <v>644</v>
      </c>
      <c r="N63" s="49">
        <v>624</v>
      </c>
      <c r="O63" s="49">
        <v>678</v>
      </c>
      <c r="P63" s="49">
        <f>723+80</f>
        <v>803</v>
      </c>
      <c r="Q63" s="49">
        <f>709+68</f>
        <v>777</v>
      </c>
      <c r="R63" s="49">
        <v>383</v>
      </c>
      <c r="S63" s="49">
        <v>409</v>
      </c>
      <c r="T63" s="49">
        <v>496</v>
      </c>
      <c r="U63" s="49">
        <v>786</v>
      </c>
      <c r="V63" s="49">
        <v>952</v>
      </c>
      <c r="W63" s="49">
        <v>1195</v>
      </c>
      <c r="X63" s="1596">
        <f>Divisional!Z103</f>
        <v>1469.0585249335102</v>
      </c>
      <c r="Y63" s="59">
        <f>Divisional!AA103</f>
        <v>1554.3775014851897</v>
      </c>
      <c r="Z63" s="59">
        <f>Divisional!AB103</f>
        <v>1642.0356939882952</v>
      </c>
      <c r="AA63" s="59">
        <f>Divisional!AC103</f>
        <v>1754.0532539192434</v>
      </c>
      <c r="AB63" s="59">
        <f>Divisional!AD103</f>
        <v>1801.2919613341246</v>
      </c>
      <c r="AE63" s="52"/>
    </row>
    <row r="64" spans="1:31" x14ac:dyDescent="0.25">
      <c r="A64" s="4" t="s">
        <v>647</v>
      </c>
      <c r="B64" s="50"/>
      <c r="C64" s="466">
        <f t="shared" ref="C64:AB64" si="46">C63/C62</f>
        <v>0.26039387308533918</v>
      </c>
      <c r="D64" s="466">
        <f t="shared" si="46"/>
        <v>8.2564962279966472E-2</v>
      </c>
      <c r="E64" s="466">
        <f t="shared" si="46"/>
        <v>8.3966331348799009E-2</v>
      </c>
      <c r="F64" s="466">
        <f t="shared" si="46"/>
        <v>9.444785904527761E-2</v>
      </c>
      <c r="G64" s="466">
        <f t="shared" si="46"/>
        <v>7.5219549446353576E-2</v>
      </c>
      <c r="H64" s="466">
        <f t="shared" si="46"/>
        <v>4.9116997792494482E-2</v>
      </c>
      <c r="I64" s="466">
        <f t="shared" si="46"/>
        <v>5.6000000000000001E-2</v>
      </c>
      <c r="J64" s="466">
        <f t="shared" si="46"/>
        <v>6.3723966428349391E-2</v>
      </c>
      <c r="K64" s="272">
        <f t="shared" si="46"/>
        <v>7.1059240655931458E-2</v>
      </c>
      <c r="L64" s="272">
        <f t="shared" si="46"/>
        <v>9.2626728110599077E-2</v>
      </c>
      <c r="M64" s="272">
        <f t="shared" si="46"/>
        <v>8.8231264556788605E-2</v>
      </c>
      <c r="N64" s="272">
        <f t="shared" si="46"/>
        <v>7.7854023705552083E-2</v>
      </c>
      <c r="O64" s="272">
        <f t="shared" si="46"/>
        <v>9.1807718348002706E-2</v>
      </c>
      <c r="P64" s="272">
        <f t="shared" si="46"/>
        <v>0.10178729877043985</v>
      </c>
      <c r="Q64" s="272">
        <f t="shared" si="46"/>
        <v>8.0635118306351186E-2</v>
      </c>
      <c r="R64" s="272">
        <f t="shared" si="46"/>
        <v>3.8554459432252872E-2</v>
      </c>
      <c r="S64" s="272">
        <f t="shared" si="46"/>
        <v>4.0875474715170897E-2</v>
      </c>
      <c r="T64" s="272">
        <f t="shared" si="46"/>
        <v>4.7283126787416585E-2</v>
      </c>
      <c r="U64" s="272">
        <f t="shared" ref="U64:V64" si="47">U63/U62</f>
        <v>7.4018269140220361E-2</v>
      </c>
      <c r="V64" s="272">
        <f t="shared" si="47"/>
        <v>8.4121233542458249E-2</v>
      </c>
      <c r="W64" s="272">
        <f t="shared" ref="W64" si="48">W63/W62</f>
        <v>9.7543057709574735E-2</v>
      </c>
      <c r="X64" s="1634">
        <f t="shared" si="46"/>
        <v>0.1084496179634955</v>
      </c>
      <c r="Y64" s="467">
        <f t="shared" si="46"/>
        <v>0.10533184006549101</v>
      </c>
      <c r="Z64" s="467">
        <f t="shared" si="46"/>
        <v>0.10239238468217106</v>
      </c>
      <c r="AA64" s="467">
        <f t="shared" si="46"/>
        <v>0.10092204491753583</v>
      </c>
      <c r="AB64" s="467">
        <f t="shared" si="46"/>
        <v>9.5758024407135378E-2</v>
      </c>
    </row>
    <row r="65" spans="1:31" x14ac:dyDescent="0.25">
      <c r="A65" s="4" t="s">
        <v>648</v>
      </c>
      <c r="B65" s="50"/>
      <c r="C65" s="50">
        <v>-332</v>
      </c>
      <c r="D65" s="50">
        <v>-289</v>
      </c>
      <c r="E65" s="50">
        <v>-226</v>
      </c>
      <c r="F65" s="50">
        <v>-251</v>
      </c>
      <c r="G65" s="50">
        <v>-245</v>
      </c>
      <c r="H65" s="50">
        <v>-154</v>
      </c>
      <c r="I65" s="50">
        <v>-153</v>
      </c>
      <c r="J65" s="102">
        <v>-206</v>
      </c>
      <c r="K65" s="49">
        <v>-187</v>
      </c>
      <c r="L65" s="49">
        <v>-152</v>
      </c>
      <c r="M65" s="49">
        <v>-226</v>
      </c>
      <c r="N65" s="49">
        <v>-189</v>
      </c>
      <c r="O65" s="49">
        <v>-202</v>
      </c>
      <c r="P65" s="49">
        <v>-167</v>
      </c>
      <c r="Q65" s="49">
        <v>-180</v>
      </c>
      <c r="R65" s="49">
        <v>-151</v>
      </c>
      <c r="S65" s="49">
        <v>-209</v>
      </c>
      <c r="T65" s="49">
        <v>-409</v>
      </c>
      <c r="U65" s="49">
        <v>-193</v>
      </c>
      <c r="V65" s="49">
        <v>-142</v>
      </c>
      <c r="W65" s="49">
        <v>-228</v>
      </c>
      <c r="X65" s="1596">
        <f t="shared" ref="X65:AB65" si="49">-X66*X62</f>
        <v>-252.10088972328791</v>
      </c>
      <c r="Y65" s="59">
        <f t="shared" si="49"/>
        <v>-274.63769005207178</v>
      </c>
      <c r="Z65" s="59">
        <f t="shared" si="49"/>
        <v>-298.45457659249712</v>
      </c>
      <c r="AA65" s="59">
        <f t="shared" si="49"/>
        <v>-323.45959616365394</v>
      </c>
      <c r="AB65" s="59">
        <f t="shared" si="49"/>
        <v>-350.08398225199562</v>
      </c>
    </row>
    <row r="66" spans="1:31" x14ac:dyDescent="0.25">
      <c r="A66" s="4" t="s">
        <v>649</v>
      </c>
      <c r="B66" s="102"/>
      <c r="C66" s="18">
        <f t="shared" ref="C66:T66" si="50">-C65/C62</f>
        <v>0.36323851203501095</v>
      </c>
      <c r="D66" s="18">
        <f t="shared" si="50"/>
        <v>6.0561609388097237E-2</v>
      </c>
      <c r="E66" s="18">
        <f t="shared" si="50"/>
        <v>4.6397043728187232E-2</v>
      </c>
      <c r="F66" s="18">
        <f t="shared" si="50"/>
        <v>5.1423888547428805E-2</v>
      </c>
      <c r="G66" s="18">
        <f t="shared" si="50"/>
        <v>4.6773577701412751E-2</v>
      </c>
      <c r="H66" s="18">
        <f t="shared" si="50"/>
        <v>2.8329654157468728E-2</v>
      </c>
      <c r="I66" s="18">
        <f t="shared" si="50"/>
        <v>2.6608695652173914E-2</v>
      </c>
      <c r="J66" s="18">
        <f t="shared" si="50"/>
        <v>3.2017407522536526E-2</v>
      </c>
      <c r="K66" s="19">
        <f t="shared" si="50"/>
        <v>2.7625941793470232E-2</v>
      </c>
      <c r="L66" s="19">
        <f t="shared" si="50"/>
        <v>2.3348694316436252E-2</v>
      </c>
      <c r="M66" s="19">
        <f t="shared" si="50"/>
        <v>3.0963145636388547E-2</v>
      </c>
      <c r="N66" s="19">
        <f t="shared" si="50"/>
        <v>2.3580786026200874E-2</v>
      </c>
      <c r="O66" s="19">
        <f t="shared" si="50"/>
        <v>2.7352742044685172E-2</v>
      </c>
      <c r="P66" s="19">
        <f t="shared" si="50"/>
        <v>2.11687159335784E-2</v>
      </c>
      <c r="Q66" s="19">
        <f t="shared" si="50"/>
        <v>1.86799501867995E-2</v>
      </c>
      <c r="R66" s="19">
        <f t="shared" si="50"/>
        <v>1.520032212603181E-2</v>
      </c>
      <c r="S66" s="19">
        <f t="shared" si="50"/>
        <v>2.0887467519488306E-2</v>
      </c>
      <c r="T66" s="19">
        <f t="shared" si="50"/>
        <v>3.8989513822688275E-2</v>
      </c>
      <c r="U66" s="19">
        <f t="shared" ref="U66:V66" si="51">-U65/U62</f>
        <v>1.8174969394481589E-2</v>
      </c>
      <c r="V66" s="19">
        <f t="shared" si="51"/>
        <v>1.2547494919148184E-2</v>
      </c>
      <c r="W66" s="19">
        <f t="shared" ref="W66" si="52">-W65/W62</f>
        <v>1.8610725655048569E-2</v>
      </c>
      <c r="X66" s="1656">
        <f t="shared" ref="X66:AB66" si="53">W66</f>
        <v>1.8610725655048569E-2</v>
      </c>
      <c r="Y66" s="511">
        <f t="shared" si="53"/>
        <v>1.8610725655048569E-2</v>
      </c>
      <c r="Z66" s="511">
        <f t="shared" si="53"/>
        <v>1.8610725655048569E-2</v>
      </c>
      <c r="AA66" s="511">
        <f t="shared" si="53"/>
        <v>1.8610725655048569E-2</v>
      </c>
      <c r="AB66" s="511">
        <f t="shared" si="53"/>
        <v>1.8610725655048569E-2</v>
      </c>
    </row>
    <row r="67" spans="1:31" x14ac:dyDescent="0.25">
      <c r="A67" s="4" t="s">
        <v>397</v>
      </c>
      <c r="B67" s="50"/>
      <c r="C67" s="50">
        <f t="shared" ref="C67:T67" si="54">C68-C65-C63-C62</f>
        <v>3952</v>
      </c>
      <c r="D67" s="50">
        <f t="shared" si="54"/>
        <v>-6</v>
      </c>
      <c r="E67" s="50">
        <f t="shared" si="54"/>
        <v>-173</v>
      </c>
      <c r="F67" s="50">
        <f t="shared" si="54"/>
        <v>147</v>
      </c>
      <c r="G67" s="50">
        <f t="shared" si="54"/>
        <v>49</v>
      </c>
      <c r="H67" s="50">
        <f t="shared" si="54"/>
        <v>201</v>
      </c>
      <c r="I67" s="50">
        <f t="shared" si="54"/>
        <v>515</v>
      </c>
      <c r="J67" s="50">
        <f t="shared" si="54"/>
        <v>131</v>
      </c>
      <c r="K67" s="53">
        <f t="shared" si="54"/>
        <v>-553</v>
      </c>
      <c r="L67" s="53">
        <f t="shared" si="54"/>
        <v>338</v>
      </c>
      <c r="M67" s="53">
        <f t="shared" si="54"/>
        <v>298</v>
      </c>
      <c r="N67" s="53">
        <f t="shared" si="54"/>
        <v>-1065</v>
      </c>
      <c r="O67" s="53">
        <f t="shared" si="54"/>
        <v>28</v>
      </c>
      <c r="P67" s="53">
        <f t="shared" si="54"/>
        <v>1111</v>
      </c>
      <c r="Q67" s="53">
        <f t="shared" si="54"/>
        <v>-299</v>
      </c>
      <c r="R67" s="53">
        <f t="shared" si="54"/>
        <v>-160</v>
      </c>
      <c r="S67" s="53">
        <f t="shared" si="54"/>
        <v>284</v>
      </c>
      <c r="T67" s="53">
        <f t="shared" si="54"/>
        <v>42</v>
      </c>
      <c r="U67" s="53">
        <f t="shared" ref="U67:V67" si="55">U68-U65-U63-U62</f>
        <v>105</v>
      </c>
      <c r="V67" s="53">
        <f t="shared" si="55"/>
        <v>124</v>
      </c>
      <c r="W67" s="53">
        <f t="shared" ref="W67" si="56">W68-W65-W63-W62</f>
        <v>328</v>
      </c>
      <c r="X67" s="1596">
        <f>-CF!X21</f>
        <v>-6</v>
      </c>
      <c r="Y67" s="59">
        <f>-CF!Y21</f>
        <v>0</v>
      </c>
      <c r="Z67" s="59">
        <f>-CF!Z21</f>
        <v>0</v>
      </c>
      <c r="AA67" s="59">
        <f>-CF!AA21</f>
        <v>0</v>
      </c>
      <c r="AB67" s="59">
        <f>-CF!AB21</f>
        <v>0</v>
      </c>
    </row>
    <row r="68" spans="1:31" x14ac:dyDescent="0.25">
      <c r="A68" s="186" t="s">
        <v>650</v>
      </c>
      <c r="B68" s="70">
        <v>914</v>
      </c>
      <c r="C68" s="70">
        <v>4772</v>
      </c>
      <c r="D68" s="70">
        <v>4871</v>
      </c>
      <c r="E68" s="70">
        <v>4881</v>
      </c>
      <c r="F68" s="70">
        <v>5238</v>
      </c>
      <c r="G68" s="70">
        <v>5436</v>
      </c>
      <c r="H68" s="70">
        <v>5750</v>
      </c>
      <c r="I68" s="70">
        <v>6434</v>
      </c>
      <c r="J68" s="70">
        <v>6769</v>
      </c>
      <c r="K68" s="70">
        <v>6510</v>
      </c>
      <c r="L68" s="70">
        <v>7299</v>
      </c>
      <c r="M68" s="70">
        <v>8015</v>
      </c>
      <c r="N68" s="70">
        <v>7385</v>
      </c>
      <c r="O68" s="70">
        <v>7889</v>
      </c>
      <c r="P68" s="70">
        <v>9636</v>
      </c>
      <c r="Q68" s="70">
        <v>9934</v>
      </c>
      <c r="R68" s="70">
        <v>10006</v>
      </c>
      <c r="S68" s="70">
        <v>10490</v>
      </c>
      <c r="T68" s="70">
        <v>10619</v>
      </c>
      <c r="U68" s="70">
        <v>11317</v>
      </c>
      <c r="V68" s="70">
        <v>12251</v>
      </c>
      <c r="W68" s="70">
        <v>13546</v>
      </c>
      <c r="X68" s="1602">
        <f t="shared" ref="X68:AB68" si="57">+X62+X63+X67+X65</f>
        <v>14756.957635210223</v>
      </c>
      <c r="Y68" s="542">
        <f t="shared" si="57"/>
        <v>16036.69744664334</v>
      </c>
      <c r="Z68" s="542">
        <f t="shared" si="57"/>
        <v>17380.278564039141</v>
      </c>
      <c r="AA68" s="542">
        <f t="shared" si="57"/>
        <v>18810.872221794729</v>
      </c>
      <c r="AB68" s="542">
        <f t="shared" si="57"/>
        <v>20262.080200876859</v>
      </c>
    </row>
    <row r="69" spans="1:31" x14ac:dyDescent="0.25">
      <c r="B69" s="50"/>
      <c r="C69" s="50"/>
      <c r="D69" s="50"/>
      <c r="E69" s="50"/>
      <c r="F69" s="50"/>
      <c r="G69" s="50"/>
      <c r="H69" s="50"/>
      <c r="I69" s="50"/>
      <c r="J69" s="50"/>
      <c r="K69" s="53"/>
      <c r="L69" s="53"/>
      <c r="M69" s="53"/>
      <c r="N69" s="53"/>
      <c r="O69" s="53"/>
      <c r="P69" s="53"/>
      <c r="Q69" s="53"/>
      <c r="R69" s="53"/>
      <c r="S69" s="53"/>
      <c r="T69" s="53"/>
      <c r="U69" s="53"/>
      <c r="V69" s="53"/>
      <c r="W69" s="53"/>
      <c r="X69" s="56"/>
      <c r="Y69" s="50"/>
      <c r="Z69" s="50"/>
      <c r="AA69" s="50"/>
      <c r="AB69" s="50"/>
    </row>
    <row r="70" spans="1:31" x14ac:dyDescent="0.25">
      <c r="A70" s="4" t="s">
        <v>651</v>
      </c>
      <c r="B70" s="50"/>
      <c r="C70" s="50">
        <f t="shared" ref="C70:H70" si="58">B74</f>
        <v>-627</v>
      </c>
      <c r="D70" s="50">
        <f t="shared" si="58"/>
        <v>-2974</v>
      </c>
      <c r="E70" s="50">
        <f t="shared" si="58"/>
        <v>-3045</v>
      </c>
      <c r="F70" s="50">
        <f t="shared" si="58"/>
        <v>-3034</v>
      </c>
      <c r="G70" s="50">
        <f t="shared" si="58"/>
        <v>-3131</v>
      </c>
      <c r="H70" s="50">
        <f t="shared" si="58"/>
        <v>-3235</v>
      </c>
      <c r="I70" s="50">
        <f t="shared" ref="I70:AB70" si="59">+H74</f>
        <v>-3497</v>
      </c>
      <c r="J70" s="50">
        <f t="shared" si="59"/>
        <v>-3948</v>
      </c>
      <c r="K70" s="53">
        <f t="shared" si="59"/>
        <v>-4165</v>
      </c>
      <c r="L70" s="53">
        <f t="shared" si="59"/>
        <v>-4047</v>
      </c>
      <c r="M70" s="53">
        <f t="shared" si="59"/>
        <v>-4371</v>
      </c>
      <c r="N70" s="53">
        <f t="shared" si="59"/>
        <v>-4743</v>
      </c>
      <c r="O70" s="53">
        <f t="shared" si="59"/>
        <v>-4216</v>
      </c>
      <c r="P70" s="53">
        <f t="shared" si="59"/>
        <v>-4371</v>
      </c>
      <c r="Q70" s="53">
        <f t="shared" si="59"/>
        <v>-5182</v>
      </c>
      <c r="R70" s="53">
        <f t="shared" si="59"/>
        <v>-5536</v>
      </c>
      <c r="S70" s="53">
        <f t="shared" si="59"/>
        <v>-5951</v>
      </c>
      <c r="T70" s="53">
        <f t="shared" si="59"/>
        <v>-6553</v>
      </c>
      <c r="U70" s="53">
        <f t="shared" si="59"/>
        <v>-6772</v>
      </c>
      <c r="V70" s="53">
        <f t="shared" si="59"/>
        <v>-7196</v>
      </c>
      <c r="W70" s="53">
        <f t="shared" si="59"/>
        <v>-7622</v>
      </c>
      <c r="X70" s="1596">
        <f t="shared" si="59"/>
        <v>-8129</v>
      </c>
      <c r="Y70" s="59">
        <f t="shared" si="59"/>
        <v>-8992.322141536928</v>
      </c>
      <c r="Z70" s="59">
        <f t="shared" si="59"/>
        <v>-9942.669510407306</v>
      </c>
      <c r="AA70" s="59">
        <f t="shared" si="59"/>
        <v>-10988.970604742954</v>
      </c>
      <c r="AB70" s="59">
        <f t="shared" si="59"/>
        <v>-12098.938376574228</v>
      </c>
    </row>
    <row r="71" spans="1:31" x14ac:dyDescent="0.25">
      <c r="A71" s="4" t="s">
        <v>652</v>
      </c>
      <c r="B71" s="50"/>
      <c r="C71" s="102">
        <v>-257</v>
      </c>
      <c r="D71" s="50">
        <f>+IS!D71-D91</f>
        <v>-307</v>
      </c>
      <c r="E71" s="50">
        <v>-287</v>
      </c>
      <c r="F71" s="50">
        <v>-281</v>
      </c>
      <c r="G71" s="50">
        <v>-279</v>
      </c>
      <c r="H71" s="50">
        <v>-291</v>
      </c>
      <c r="I71" s="50">
        <v>-321</v>
      </c>
      <c r="J71" s="50">
        <v>-340</v>
      </c>
      <c r="K71" s="53">
        <v>-363</v>
      </c>
      <c r="L71" s="53">
        <v>-366</v>
      </c>
      <c r="M71" s="53">
        <v>-494</v>
      </c>
      <c r="N71" s="53">
        <v>-393</v>
      </c>
      <c r="O71" s="53">
        <v>-420</v>
      </c>
      <c r="P71" s="53">
        <v>-555</v>
      </c>
      <c r="Q71" s="53">
        <v>-615</v>
      </c>
      <c r="R71" s="53">
        <v>-604</v>
      </c>
      <c r="S71" s="53">
        <v>-600</v>
      </c>
      <c r="T71" s="53">
        <v>-602</v>
      </c>
      <c r="U71" s="53">
        <v>-584</v>
      </c>
      <c r="V71" s="53">
        <v>-597</v>
      </c>
      <c r="W71" s="53">
        <v>-642</v>
      </c>
      <c r="X71" s="1596">
        <f>+IS!X71-X91</f>
        <v>-1115.4230312602167</v>
      </c>
      <c r="Y71" s="59">
        <f>+IS!Y71-Y91</f>
        <v>-1224.9850589224498</v>
      </c>
      <c r="Z71" s="59">
        <f>+IS!Z71-Z91</f>
        <v>-1344.7556709281453</v>
      </c>
      <c r="AA71" s="59">
        <f>+IS!AA71-AA91</f>
        <v>-1433.4273679949279</v>
      </c>
      <c r="AB71" s="59">
        <f>+IS!AB71-AB91</f>
        <v>-1452.9295531061639</v>
      </c>
    </row>
    <row r="72" spans="1:31" x14ac:dyDescent="0.25">
      <c r="A72" s="4" t="str">
        <f>+A65</f>
        <v>Disposals and retirements</v>
      </c>
      <c r="B72" s="50"/>
      <c r="C72" s="50">
        <v>275</v>
      </c>
      <c r="D72" s="50">
        <f>-D65</f>
        <v>289</v>
      </c>
      <c r="E72" s="50">
        <v>185</v>
      </c>
      <c r="F72" s="50">
        <v>200</v>
      </c>
      <c r="G72" s="50">
        <v>155</v>
      </c>
      <c r="H72" s="50">
        <v>101</v>
      </c>
      <c r="I72" s="50">
        <v>153</v>
      </c>
      <c r="J72" s="50">
        <v>-206</v>
      </c>
      <c r="K72" s="53">
        <v>136</v>
      </c>
      <c r="L72" s="53">
        <v>126</v>
      </c>
      <c r="M72" s="53">
        <v>173</v>
      </c>
      <c r="N72" s="53">
        <v>152</v>
      </c>
      <c r="O72" s="53">
        <v>174</v>
      </c>
      <c r="P72" s="53">
        <v>137</v>
      </c>
      <c r="Q72" s="53">
        <v>150</v>
      </c>
      <c r="R72" s="53">
        <f t="shared" ref="R72:AB72" si="60">-R65</f>
        <v>151</v>
      </c>
      <c r="S72" s="53">
        <f t="shared" si="60"/>
        <v>209</v>
      </c>
      <c r="T72" s="53">
        <f t="shared" si="60"/>
        <v>409</v>
      </c>
      <c r="U72" s="53">
        <f t="shared" ref="U72" si="61">-U65</f>
        <v>193</v>
      </c>
      <c r="V72" s="53">
        <v>124</v>
      </c>
      <c r="W72" s="53">
        <v>212</v>
      </c>
      <c r="X72" s="1596">
        <f t="shared" si="60"/>
        <v>252.10088972328791</v>
      </c>
      <c r="Y72" s="59">
        <f t="shared" si="60"/>
        <v>274.63769005207178</v>
      </c>
      <c r="Z72" s="59">
        <f t="shared" si="60"/>
        <v>298.45457659249712</v>
      </c>
      <c r="AA72" s="59">
        <f t="shared" si="60"/>
        <v>323.45959616365394</v>
      </c>
      <c r="AB72" s="59">
        <f t="shared" si="60"/>
        <v>350.08398225199562</v>
      </c>
    </row>
    <row r="73" spans="1:31" x14ac:dyDescent="0.25">
      <c r="A73" s="4" t="s">
        <v>397</v>
      </c>
      <c r="B73" s="50"/>
      <c r="C73" s="50">
        <f t="shared" ref="C73:T73" si="62">C74-C72-C71-C70</f>
        <v>-2365</v>
      </c>
      <c r="D73" s="50">
        <f t="shared" si="62"/>
        <v>-53</v>
      </c>
      <c r="E73" s="50">
        <f t="shared" si="62"/>
        <v>113</v>
      </c>
      <c r="F73" s="50">
        <f t="shared" si="62"/>
        <v>-16</v>
      </c>
      <c r="G73" s="50">
        <f t="shared" si="62"/>
        <v>20</v>
      </c>
      <c r="H73" s="50">
        <f t="shared" si="62"/>
        <v>-72</v>
      </c>
      <c r="I73" s="50">
        <f t="shared" si="62"/>
        <v>-283</v>
      </c>
      <c r="J73" s="50">
        <f t="shared" si="62"/>
        <v>329</v>
      </c>
      <c r="K73" s="53">
        <f t="shared" si="62"/>
        <v>345</v>
      </c>
      <c r="L73" s="53">
        <f t="shared" si="62"/>
        <v>-84</v>
      </c>
      <c r="M73" s="53">
        <f t="shared" si="62"/>
        <v>-51</v>
      </c>
      <c r="N73" s="53">
        <f t="shared" si="62"/>
        <v>768</v>
      </c>
      <c r="O73" s="53">
        <f t="shared" si="62"/>
        <v>91</v>
      </c>
      <c r="P73" s="53">
        <f t="shared" si="62"/>
        <v>-393</v>
      </c>
      <c r="Q73" s="53">
        <f t="shared" si="62"/>
        <v>111</v>
      </c>
      <c r="R73" s="53">
        <f t="shared" si="62"/>
        <v>38</v>
      </c>
      <c r="S73" s="53">
        <f t="shared" si="62"/>
        <v>-211</v>
      </c>
      <c r="T73" s="53">
        <f t="shared" si="62"/>
        <v>-26</v>
      </c>
      <c r="U73" s="53">
        <f t="shared" ref="U73:V73" si="63">U74-U72-U71-U70</f>
        <v>-33</v>
      </c>
      <c r="V73" s="53">
        <f t="shared" si="63"/>
        <v>47</v>
      </c>
      <c r="W73" s="53">
        <f t="shared" ref="W73" si="64">W74-W72-W71-W70</f>
        <v>-77</v>
      </c>
      <c r="X73" s="1596"/>
      <c r="Y73" s="59"/>
      <c r="Z73" s="59"/>
      <c r="AA73" s="59"/>
      <c r="AB73" s="59"/>
    </row>
    <row r="74" spans="1:31" x14ac:dyDescent="0.25">
      <c r="A74" s="186" t="s">
        <v>653</v>
      </c>
      <c r="B74" s="141">
        <v>-627</v>
      </c>
      <c r="C74" s="141">
        <v>-2974</v>
      </c>
      <c r="D74" s="141">
        <v>-3045</v>
      </c>
      <c r="E74" s="141">
        <v>-3034</v>
      </c>
      <c r="F74" s="141">
        <v>-3131</v>
      </c>
      <c r="G74" s="141">
        <v>-3235</v>
      </c>
      <c r="H74" s="141">
        <v>-3497</v>
      </c>
      <c r="I74" s="141">
        <v>-3948</v>
      </c>
      <c r="J74" s="141">
        <v>-4165</v>
      </c>
      <c r="K74" s="141">
        <v>-4047</v>
      </c>
      <c r="L74" s="141">
        <v>-4371</v>
      </c>
      <c r="M74" s="141">
        <v>-4743</v>
      </c>
      <c r="N74" s="141">
        <v>-4216</v>
      </c>
      <c r="O74" s="141">
        <v>-4371</v>
      </c>
      <c r="P74" s="141">
        <v>-5182</v>
      </c>
      <c r="Q74" s="141">
        <v>-5536</v>
      </c>
      <c r="R74" s="141">
        <v>-5951</v>
      </c>
      <c r="S74" s="141">
        <v>-6553</v>
      </c>
      <c r="T74" s="141">
        <v>-6772</v>
      </c>
      <c r="U74" s="141">
        <v>-7196</v>
      </c>
      <c r="V74" s="141">
        <v>-7622</v>
      </c>
      <c r="W74" s="141">
        <v>-8129</v>
      </c>
      <c r="X74" s="1616">
        <f t="shared" ref="X74:AB74" si="65">+X70+X71+X72+X73</f>
        <v>-8992.322141536928</v>
      </c>
      <c r="Y74" s="149">
        <f t="shared" si="65"/>
        <v>-9942.669510407306</v>
      </c>
      <c r="Z74" s="149">
        <f t="shared" si="65"/>
        <v>-10988.970604742954</v>
      </c>
      <c r="AA74" s="149">
        <f t="shared" si="65"/>
        <v>-12098.938376574228</v>
      </c>
      <c r="AB74" s="149">
        <f t="shared" si="65"/>
        <v>-13201.783947428396</v>
      </c>
      <c r="AC74" s="186"/>
      <c r="AD74" s="186"/>
      <c r="AE74" s="186"/>
    </row>
    <row r="75" spans="1:31" x14ac:dyDescent="0.25">
      <c r="B75" s="50"/>
      <c r="C75" s="50"/>
      <c r="D75" s="50"/>
      <c r="E75" s="50"/>
      <c r="F75" s="50"/>
      <c r="G75" s="50"/>
      <c r="H75" s="50"/>
      <c r="I75" s="50"/>
      <c r="J75" s="50"/>
      <c r="K75" s="53"/>
      <c r="L75" s="53"/>
      <c r="M75" s="53"/>
      <c r="N75" s="53"/>
      <c r="O75" s="53"/>
      <c r="P75" s="53"/>
      <c r="Q75" s="53"/>
      <c r="R75" s="53"/>
      <c r="S75" s="53"/>
      <c r="T75" s="53"/>
      <c r="U75" s="53"/>
      <c r="V75" s="53"/>
      <c r="W75" s="53"/>
      <c r="X75" s="1596"/>
      <c r="Y75" s="59"/>
      <c r="Z75" s="59"/>
      <c r="AA75" s="59"/>
      <c r="AB75" s="59"/>
    </row>
    <row r="76" spans="1:31" x14ac:dyDescent="0.25">
      <c r="A76" s="419" t="s">
        <v>654</v>
      </c>
      <c r="B76" s="543"/>
      <c r="C76" s="544">
        <f>+C74+C68</f>
        <v>1798</v>
      </c>
      <c r="D76" s="544">
        <f>+D74+D68</f>
        <v>1826</v>
      </c>
      <c r="E76" s="544">
        <f>+E74+E68</f>
        <v>1847</v>
      </c>
      <c r="F76" s="544">
        <f t="shared" ref="F76:AB76" si="66">F74+F68</f>
        <v>2107</v>
      </c>
      <c r="G76" s="544">
        <f t="shared" si="66"/>
        <v>2201</v>
      </c>
      <c r="H76" s="544">
        <f t="shared" si="66"/>
        <v>2253</v>
      </c>
      <c r="I76" s="544">
        <f t="shared" si="66"/>
        <v>2486</v>
      </c>
      <c r="J76" s="544">
        <f t="shared" si="66"/>
        <v>2604</v>
      </c>
      <c r="K76" s="544">
        <f t="shared" si="66"/>
        <v>2463</v>
      </c>
      <c r="L76" s="544">
        <f t="shared" si="66"/>
        <v>2928</v>
      </c>
      <c r="M76" s="544">
        <f t="shared" si="66"/>
        <v>3272</v>
      </c>
      <c r="N76" s="544">
        <f t="shared" si="66"/>
        <v>3169</v>
      </c>
      <c r="O76" s="544">
        <f t="shared" si="66"/>
        <v>3518</v>
      </c>
      <c r="P76" s="544">
        <f t="shared" si="66"/>
        <v>4454</v>
      </c>
      <c r="Q76" s="544">
        <f t="shared" si="66"/>
        <v>4398</v>
      </c>
      <c r="R76" s="544">
        <f t="shared" si="66"/>
        <v>4055</v>
      </c>
      <c r="S76" s="544">
        <f t="shared" si="66"/>
        <v>3937</v>
      </c>
      <c r="T76" s="544">
        <f t="shared" si="66"/>
        <v>3847</v>
      </c>
      <c r="U76" s="544">
        <f t="shared" ref="U76:V76" si="67">U74+U68</f>
        <v>4121</v>
      </c>
      <c r="V76" s="544">
        <f t="shared" si="67"/>
        <v>4629</v>
      </c>
      <c r="W76" s="544">
        <f t="shared" ref="W76" si="68">W74+W68</f>
        <v>5417</v>
      </c>
      <c r="X76" s="1636">
        <f t="shared" si="66"/>
        <v>5764.6354936732951</v>
      </c>
      <c r="Y76" s="546">
        <f t="shared" si="66"/>
        <v>6094.0279362360343</v>
      </c>
      <c r="Z76" s="546">
        <f t="shared" si="66"/>
        <v>6391.3079592961876</v>
      </c>
      <c r="AA76" s="546">
        <f t="shared" si="66"/>
        <v>6711.9338452205011</v>
      </c>
      <c r="AB76" s="546">
        <f t="shared" si="66"/>
        <v>7060.2962534484632</v>
      </c>
    </row>
    <row r="77" spans="1:31" x14ac:dyDescent="0.25">
      <c r="B77" s="50"/>
      <c r="C77" s="50"/>
      <c r="D77" s="50"/>
      <c r="E77" s="50"/>
      <c r="F77" s="50"/>
      <c r="G77" s="50"/>
      <c r="H77" s="50"/>
      <c r="I77" s="50"/>
      <c r="J77" s="50"/>
      <c r="K77" s="53"/>
      <c r="L77" s="53"/>
      <c r="M77" s="53"/>
      <c r="N77" s="53"/>
      <c r="O77" s="53"/>
      <c r="P77" s="53"/>
      <c r="Q77" s="53"/>
      <c r="R77" s="53"/>
      <c r="S77" s="53"/>
      <c r="T77" s="53"/>
      <c r="U77" s="53"/>
      <c r="V77" s="53"/>
      <c r="W77" s="53"/>
      <c r="X77" s="56"/>
      <c r="Y77" s="50"/>
      <c r="Z77" s="50"/>
      <c r="AA77" s="50"/>
      <c r="AB77" s="50"/>
    </row>
    <row r="78" spans="1:31" x14ac:dyDescent="0.25">
      <c r="A78" s="219" t="s">
        <v>655</v>
      </c>
      <c r="B78" s="516"/>
      <c r="C78" s="516"/>
      <c r="D78" s="516"/>
      <c r="E78" s="516"/>
      <c r="F78" s="516"/>
      <c r="G78" s="516"/>
      <c r="H78" s="516"/>
      <c r="I78" s="516"/>
      <c r="J78" s="516"/>
      <c r="K78" s="516"/>
      <c r="L78" s="516"/>
      <c r="M78" s="516"/>
      <c r="N78" s="516"/>
      <c r="O78" s="516"/>
      <c r="P78" s="516"/>
      <c r="Q78" s="516"/>
      <c r="R78" s="547"/>
      <c r="S78" s="547"/>
      <c r="T78" s="547"/>
      <c r="U78" s="547"/>
      <c r="V78" s="547"/>
      <c r="W78" s="547"/>
      <c r="X78" s="1633"/>
      <c r="Y78" s="516"/>
      <c r="Z78" s="516"/>
      <c r="AA78" s="516"/>
      <c r="AB78" s="516"/>
    </row>
    <row r="79" spans="1:31" x14ac:dyDescent="0.25">
      <c r="A79" s="4" t="s">
        <v>656</v>
      </c>
      <c r="B79" s="50"/>
      <c r="C79" s="50">
        <f t="shared" ref="C79:O79" si="69">B84</f>
        <v>122</v>
      </c>
      <c r="D79" s="50">
        <f t="shared" si="69"/>
        <v>3458</v>
      </c>
      <c r="E79" s="50">
        <f t="shared" si="69"/>
        <v>3815</v>
      </c>
      <c r="F79" s="50">
        <f t="shared" si="69"/>
        <v>4030</v>
      </c>
      <c r="G79" s="50">
        <f t="shared" si="69"/>
        <v>4431</v>
      </c>
      <c r="H79" s="50">
        <f t="shared" si="69"/>
        <v>4922</v>
      </c>
      <c r="I79" s="50">
        <f t="shared" si="69"/>
        <v>5041</v>
      </c>
      <c r="J79" s="50">
        <f t="shared" si="69"/>
        <v>5797</v>
      </c>
      <c r="K79" s="53">
        <f t="shared" si="69"/>
        <v>6553</v>
      </c>
      <c r="L79" s="49">
        <f t="shared" si="69"/>
        <v>7668</v>
      </c>
      <c r="M79" s="49">
        <f t="shared" si="69"/>
        <v>9140</v>
      </c>
      <c r="N79" s="49">
        <f t="shared" si="69"/>
        <v>9345</v>
      </c>
      <c r="O79" s="49">
        <f t="shared" si="69"/>
        <v>8771</v>
      </c>
      <c r="P79" s="49">
        <v>9368</v>
      </c>
      <c r="Q79" s="49">
        <f t="shared" ref="Q79:AB79" si="70">P84</f>
        <v>14530</v>
      </c>
      <c r="R79" s="49">
        <f t="shared" si="70"/>
        <v>14973</v>
      </c>
      <c r="S79" s="49">
        <f t="shared" si="70"/>
        <v>15121</v>
      </c>
      <c r="T79" s="49">
        <f t="shared" si="70"/>
        <v>15693</v>
      </c>
      <c r="U79" s="49">
        <f t="shared" si="70"/>
        <v>16116</v>
      </c>
      <c r="V79" s="49">
        <f t="shared" si="70"/>
        <v>16490</v>
      </c>
      <c r="W79" s="49">
        <f t="shared" si="70"/>
        <v>17363</v>
      </c>
      <c r="X79" s="1615">
        <f t="shared" si="70"/>
        <v>17287</v>
      </c>
      <c r="Y79" s="491">
        <f t="shared" si="70"/>
        <v>17900.944411751178</v>
      </c>
      <c r="Z79" s="491">
        <f t="shared" si="70"/>
        <v>18571.492461533828</v>
      </c>
      <c r="AA79" s="491">
        <f t="shared" si="70"/>
        <v>19304.042500229014</v>
      </c>
      <c r="AB79" s="491">
        <f t="shared" si="70"/>
        <v>20089.856390193581</v>
      </c>
    </row>
    <row r="80" spans="1:31" x14ac:dyDescent="0.25">
      <c r="A80" s="4" t="s">
        <v>646</v>
      </c>
      <c r="B80" s="50"/>
      <c r="C80" s="102">
        <f>+Divisional!C82</f>
        <v>306</v>
      </c>
      <c r="D80" s="102">
        <f>+Divisional!D82</f>
        <v>165</v>
      </c>
      <c r="E80" s="50">
        <f>+Divisional!E82</f>
        <v>105</v>
      </c>
      <c r="F80" s="50">
        <f>Divisional!F82</f>
        <v>229</v>
      </c>
      <c r="G80" s="50">
        <f>Divisional!G82</f>
        <v>182</v>
      </c>
      <c r="H80" s="102">
        <f>Divisional!H82</f>
        <v>179</v>
      </c>
      <c r="I80" s="50">
        <f>Divisional!I82</f>
        <v>282</v>
      </c>
      <c r="J80" s="50">
        <f>Divisional!J82</f>
        <v>504</v>
      </c>
      <c r="K80" s="49">
        <f>Divisional!K82</f>
        <v>693</v>
      </c>
      <c r="L80" s="49">
        <f t="shared" ref="L80:AB80" si="71">L86+L87</f>
        <v>941</v>
      </c>
      <c r="M80" s="49">
        <f t="shared" si="71"/>
        <v>995</v>
      </c>
      <c r="N80" s="49">
        <f t="shared" si="71"/>
        <v>677</v>
      </c>
      <c r="O80" s="49">
        <f t="shared" si="71"/>
        <v>577</v>
      </c>
      <c r="P80" s="49">
        <f t="shared" si="71"/>
        <v>496</v>
      </c>
      <c r="Q80" s="49">
        <f t="shared" si="71"/>
        <v>466</v>
      </c>
      <c r="R80" s="49">
        <f t="shared" si="71"/>
        <v>348</v>
      </c>
      <c r="S80" s="49">
        <f t="shared" si="71"/>
        <v>489</v>
      </c>
      <c r="T80" s="49">
        <f t="shared" si="71"/>
        <v>386</v>
      </c>
      <c r="U80" s="49">
        <f t="shared" ref="U80:V80" si="72">U86+U87</f>
        <v>460</v>
      </c>
      <c r="V80" s="49">
        <f t="shared" si="72"/>
        <v>473</v>
      </c>
      <c r="W80" s="49">
        <f t="shared" ref="W80" si="73">W86+W87</f>
        <v>524</v>
      </c>
      <c r="X80" s="1615">
        <f t="shared" si="71"/>
        <v>613.94441175117845</v>
      </c>
      <c r="Y80" s="146">
        <f t="shared" si="71"/>
        <v>670.54804978264906</v>
      </c>
      <c r="Z80" s="146">
        <f t="shared" si="71"/>
        <v>732.55003869518782</v>
      </c>
      <c r="AA80" s="146">
        <f t="shared" si="71"/>
        <v>785.81388996456656</v>
      </c>
      <c r="AB80" s="146">
        <f t="shared" si="71"/>
        <v>812.29920261054895</v>
      </c>
    </row>
    <row r="81" spans="1:31" x14ac:dyDescent="0.25">
      <c r="A81" s="4" t="s">
        <v>657</v>
      </c>
      <c r="B81" s="50"/>
      <c r="C81" s="548">
        <f>+C80/C79</f>
        <v>2.5081967213114753</v>
      </c>
      <c r="D81" s="548">
        <f>+D80/D79</f>
        <v>4.7715442452284561E-2</v>
      </c>
      <c r="E81" s="548">
        <f>+E80/E79</f>
        <v>2.7522935779816515E-2</v>
      </c>
      <c r="F81" s="548">
        <f t="shared" ref="F81:AB81" si="74">F80/F79</f>
        <v>5.682382133995037E-2</v>
      </c>
      <c r="G81" s="548">
        <f t="shared" si="74"/>
        <v>4.1074249605055291E-2</v>
      </c>
      <c r="H81" s="549">
        <f t="shared" si="74"/>
        <v>3.6367330353514832E-2</v>
      </c>
      <c r="I81" s="548">
        <f t="shared" si="74"/>
        <v>5.5941281491767504E-2</v>
      </c>
      <c r="J81" s="548">
        <f t="shared" si="74"/>
        <v>8.6941521476625844E-2</v>
      </c>
      <c r="K81" s="550">
        <f t="shared" si="74"/>
        <v>0.10575309018770029</v>
      </c>
      <c r="L81" s="551">
        <f t="shared" si="74"/>
        <v>0.12271778821074596</v>
      </c>
      <c r="M81" s="551">
        <f t="shared" si="74"/>
        <v>0.10886214442013128</v>
      </c>
      <c r="N81" s="551">
        <f t="shared" si="74"/>
        <v>7.2445157838416263E-2</v>
      </c>
      <c r="O81" s="551">
        <f t="shared" si="74"/>
        <v>6.5784973207159952E-2</v>
      </c>
      <c r="P81" s="551">
        <f t="shared" si="74"/>
        <v>5.2946199829205808E-2</v>
      </c>
      <c r="Q81" s="551">
        <f t="shared" si="74"/>
        <v>3.2071576049552651E-2</v>
      </c>
      <c r="R81" s="551">
        <f t="shared" si="74"/>
        <v>2.3241835303546385E-2</v>
      </c>
      <c r="S81" s="551">
        <f t="shared" si="74"/>
        <v>3.2339131009853847E-2</v>
      </c>
      <c r="T81" s="551">
        <f t="shared" si="74"/>
        <v>2.459695405594851E-2</v>
      </c>
      <c r="U81" s="551">
        <f t="shared" ref="U81:V81" si="75">U80/U79</f>
        <v>2.8543062794738148E-2</v>
      </c>
      <c r="V81" s="551">
        <f t="shared" si="75"/>
        <v>2.8684050939963613E-2</v>
      </c>
      <c r="W81" s="551">
        <f t="shared" ref="W81" si="76">W80/W79</f>
        <v>3.0179116512123481E-2</v>
      </c>
      <c r="X81" s="1637">
        <f t="shared" si="74"/>
        <v>3.5514803710949179E-2</v>
      </c>
      <c r="Y81" s="552">
        <f t="shared" si="74"/>
        <v>3.7458808561098261E-2</v>
      </c>
      <c r="Z81" s="552">
        <f t="shared" si="74"/>
        <v>3.9444866383920453E-2</v>
      </c>
      <c r="AA81" s="552">
        <f t="shared" si="74"/>
        <v>4.0707219223913543E-2</v>
      </c>
      <c r="AB81" s="552">
        <f t="shared" si="74"/>
        <v>4.0433300608711906E-2</v>
      </c>
    </row>
    <row r="82" spans="1:31" x14ac:dyDescent="0.25">
      <c r="A82" s="4" t="s">
        <v>648</v>
      </c>
      <c r="B82" s="102"/>
      <c r="C82" s="102">
        <v>-10</v>
      </c>
      <c r="D82" s="102">
        <v>-8</v>
      </c>
      <c r="E82" s="102">
        <v>-5</v>
      </c>
      <c r="F82" s="102">
        <v>-14</v>
      </c>
      <c r="G82" s="102">
        <v>-12</v>
      </c>
      <c r="H82" s="102">
        <v>0</v>
      </c>
      <c r="I82" s="102">
        <v>0</v>
      </c>
      <c r="J82" s="102"/>
      <c r="K82" s="49"/>
      <c r="L82" s="49">
        <f>-15</f>
        <v>-15</v>
      </c>
      <c r="M82" s="49">
        <f>-39-842</f>
        <v>-881</v>
      </c>
      <c r="N82" s="49">
        <f>-7</f>
        <v>-7</v>
      </c>
      <c r="O82" s="49">
        <v>-50</v>
      </c>
      <c r="P82" s="49">
        <v>-15</v>
      </c>
      <c r="Q82" s="49">
        <v>-4</v>
      </c>
      <c r="R82" s="49">
        <v>-9</v>
      </c>
      <c r="S82" s="49">
        <v>-35</v>
      </c>
      <c r="T82" s="49">
        <v>-122</v>
      </c>
      <c r="U82" s="49">
        <v>-19</v>
      </c>
      <c r="V82" s="49">
        <v>-20</v>
      </c>
      <c r="W82" s="49">
        <v>-26</v>
      </c>
      <c r="X82" s="1608">
        <v>0</v>
      </c>
      <c r="Y82" s="498">
        <v>0</v>
      </c>
      <c r="Z82" s="498">
        <v>0</v>
      </c>
      <c r="AA82" s="498">
        <v>0</v>
      </c>
      <c r="AB82" s="498">
        <v>0</v>
      </c>
    </row>
    <row r="83" spans="1:31" x14ac:dyDescent="0.25">
      <c r="A83" s="4" t="s">
        <v>397</v>
      </c>
      <c r="B83" s="102"/>
      <c r="C83" s="102">
        <f t="shared" ref="C83:K83" si="77">C84-C80-C79+C82</f>
        <v>3020</v>
      </c>
      <c r="D83" s="102">
        <f t="shared" si="77"/>
        <v>184</v>
      </c>
      <c r="E83" s="102">
        <f t="shared" si="77"/>
        <v>105</v>
      </c>
      <c r="F83" s="102">
        <f t="shared" si="77"/>
        <v>158</v>
      </c>
      <c r="G83" s="102">
        <f t="shared" si="77"/>
        <v>297</v>
      </c>
      <c r="H83" s="102">
        <f t="shared" si="77"/>
        <v>-60</v>
      </c>
      <c r="I83" s="102">
        <f t="shared" si="77"/>
        <v>474</v>
      </c>
      <c r="J83" s="102">
        <f t="shared" si="77"/>
        <v>252</v>
      </c>
      <c r="K83" s="49">
        <f t="shared" si="77"/>
        <v>422</v>
      </c>
      <c r="L83" s="49">
        <f t="shared" ref="L83:T83" si="78">L84-L80-L79-L82</f>
        <v>546</v>
      </c>
      <c r="M83" s="49">
        <f t="shared" si="78"/>
        <v>91</v>
      </c>
      <c r="N83" s="49">
        <f t="shared" si="78"/>
        <v>-1244</v>
      </c>
      <c r="O83" s="49">
        <f t="shared" si="78"/>
        <v>-143</v>
      </c>
      <c r="P83" s="49">
        <f t="shared" si="78"/>
        <v>4681</v>
      </c>
      <c r="Q83" s="49">
        <f t="shared" si="78"/>
        <v>-19</v>
      </c>
      <c r="R83" s="49">
        <f t="shared" si="78"/>
        <v>-191</v>
      </c>
      <c r="S83" s="49">
        <f t="shared" si="78"/>
        <v>118</v>
      </c>
      <c r="T83" s="49">
        <f t="shared" si="78"/>
        <v>159</v>
      </c>
      <c r="U83" s="49">
        <f t="shared" ref="U83:V83" si="79">U84-U80-U79-U82</f>
        <v>-67</v>
      </c>
      <c r="V83" s="49">
        <f t="shared" si="79"/>
        <v>420</v>
      </c>
      <c r="W83" s="49">
        <f t="shared" ref="W83" si="80">W84-W80-W79-W82</f>
        <v>-574</v>
      </c>
      <c r="X83" s="1608">
        <v>0</v>
      </c>
      <c r="Y83" s="498">
        <v>0</v>
      </c>
      <c r="Z83" s="498">
        <v>0</v>
      </c>
      <c r="AA83" s="498">
        <v>0</v>
      </c>
      <c r="AB83" s="498">
        <v>0</v>
      </c>
    </row>
    <row r="84" spans="1:31" x14ac:dyDescent="0.25">
      <c r="A84" s="186" t="s">
        <v>658</v>
      </c>
      <c r="B84" s="70">
        <v>122</v>
      </c>
      <c r="C84" s="70">
        <v>3458</v>
      </c>
      <c r="D84" s="70">
        <v>3815</v>
      </c>
      <c r="E84" s="70">
        <v>4030</v>
      </c>
      <c r="F84" s="70">
        <v>4431</v>
      </c>
      <c r="G84" s="70">
        <v>4922</v>
      </c>
      <c r="H84" s="70">
        <v>5041</v>
      </c>
      <c r="I84" s="70">
        <v>5797</v>
      </c>
      <c r="J84" s="70">
        <v>6553</v>
      </c>
      <c r="K84" s="70">
        <v>7668</v>
      </c>
      <c r="L84" s="141">
        <v>9140</v>
      </c>
      <c r="M84" s="141">
        <v>9345</v>
      </c>
      <c r="N84" s="141">
        <v>8771</v>
      </c>
      <c r="O84" s="141">
        <v>9155</v>
      </c>
      <c r="P84" s="141">
        <v>14530</v>
      </c>
      <c r="Q84" s="141">
        <v>14973</v>
      </c>
      <c r="R84" s="141">
        <v>15121</v>
      </c>
      <c r="S84" s="141">
        <v>15693</v>
      </c>
      <c r="T84" s="141">
        <v>16116</v>
      </c>
      <c r="U84" s="141">
        <v>16490</v>
      </c>
      <c r="V84" s="141">
        <v>17363</v>
      </c>
      <c r="W84" s="141">
        <v>17287</v>
      </c>
      <c r="X84" s="1616">
        <f t="shared" ref="X84:AB84" si="81">X79+X80+X82+X83</f>
        <v>17900.944411751178</v>
      </c>
      <c r="Y84" s="149">
        <f t="shared" si="81"/>
        <v>18571.492461533828</v>
      </c>
      <c r="Z84" s="149">
        <f t="shared" si="81"/>
        <v>19304.042500229014</v>
      </c>
      <c r="AA84" s="149">
        <f t="shared" si="81"/>
        <v>20089.856390193581</v>
      </c>
      <c r="AB84" s="149">
        <f t="shared" si="81"/>
        <v>20902.155592804131</v>
      </c>
    </row>
    <row r="85" spans="1:31" x14ac:dyDescent="0.25">
      <c r="B85" s="50"/>
      <c r="C85" s="50"/>
      <c r="D85" s="50"/>
      <c r="E85" s="50"/>
      <c r="F85" s="50"/>
      <c r="G85" s="50"/>
      <c r="H85" s="50"/>
      <c r="I85" s="50"/>
      <c r="J85" s="50"/>
      <c r="K85" s="53"/>
      <c r="L85" s="53"/>
      <c r="M85" s="53"/>
      <c r="N85" s="53"/>
      <c r="O85" s="53"/>
      <c r="P85" s="53"/>
      <c r="Q85" s="53"/>
      <c r="R85" s="124"/>
      <c r="S85" s="124"/>
      <c r="T85" s="124"/>
      <c r="U85" s="124"/>
      <c r="V85" s="124"/>
      <c r="W85" s="124"/>
      <c r="X85" s="56"/>
      <c r="Y85" s="50"/>
      <c r="Z85" s="50"/>
      <c r="AA85" s="50"/>
      <c r="AB85" s="50"/>
    </row>
    <row r="86" spans="1:31" x14ac:dyDescent="0.25">
      <c r="A86" s="4" t="s">
        <v>659</v>
      </c>
      <c r="B86" s="50"/>
      <c r="C86" s="50"/>
      <c r="D86" s="50"/>
      <c r="E86" s="50"/>
      <c r="F86" s="50"/>
      <c r="G86" s="50"/>
      <c r="H86" s="50"/>
      <c r="I86" s="50"/>
      <c r="J86" s="50"/>
      <c r="K86" s="53"/>
      <c r="L86" s="53">
        <f>Divisional!L82+32</f>
        <v>676</v>
      </c>
      <c r="M86" s="53">
        <f>Divisional!M82+26</f>
        <v>521</v>
      </c>
      <c r="N86" s="53">
        <v>364</v>
      </c>
      <c r="O86" s="53">
        <v>286</v>
      </c>
      <c r="P86" s="53">
        <v>327</v>
      </c>
      <c r="Q86" s="53">
        <v>333</v>
      </c>
      <c r="R86" s="53">
        <v>287</v>
      </c>
      <c r="S86" s="53">
        <v>316</v>
      </c>
      <c r="T86" s="53">
        <v>283</v>
      </c>
      <c r="U86" s="53">
        <v>323</v>
      </c>
      <c r="V86" s="53">
        <v>328</v>
      </c>
      <c r="W86" s="53">
        <v>349</v>
      </c>
      <c r="X86" s="1596">
        <f>Divisional!Z82</f>
        <v>428.86388388795223</v>
      </c>
      <c r="Y86" s="106">
        <f>Divisional!AA82</f>
        <v>467.94186737953311</v>
      </c>
      <c r="Z86" s="106">
        <f>Divisional!AB82</f>
        <v>510.75734130713238</v>
      </c>
      <c r="AA86" s="106">
        <f>Divisional!AC82</f>
        <v>548.42727119807842</v>
      </c>
      <c r="AB86" s="106">
        <f>Divisional!AD82</f>
        <v>568.0215867742503</v>
      </c>
    </row>
    <row r="87" spans="1:31" x14ac:dyDescent="0.25">
      <c r="A87" s="4" t="s">
        <v>660</v>
      </c>
      <c r="B87" s="50"/>
      <c r="C87" s="50"/>
      <c r="D87" s="50"/>
      <c r="E87" s="50"/>
      <c r="F87" s="50"/>
      <c r="G87" s="50"/>
      <c r="H87" s="50"/>
      <c r="I87" s="50"/>
      <c r="J87" s="50"/>
      <c r="K87" s="53"/>
      <c r="L87" s="53">
        <f>132+133</f>
        <v>265</v>
      </c>
      <c r="M87" s="53">
        <f>259+215</f>
        <v>474</v>
      </c>
      <c r="N87" s="53">
        <f>141+172</f>
        <v>313</v>
      </c>
      <c r="O87" s="53">
        <f>117+174</f>
        <v>291</v>
      </c>
      <c r="P87" s="53">
        <f>48+121</f>
        <v>169</v>
      </c>
      <c r="Q87" s="53">
        <f>46+87</f>
        <v>133</v>
      </c>
      <c r="R87" s="53">
        <f>13+48</f>
        <v>61</v>
      </c>
      <c r="S87" s="53">
        <f>28+145</f>
        <v>173</v>
      </c>
      <c r="T87" s="53">
        <f>54+49</f>
        <v>103</v>
      </c>
      <c r="U87" s="53">
        <f>69+68</f>
        <v>137</v>
      </c>
      <c r="V87" s="53">
        <f>85+60</f>
        <v>145</v>
      </c>
      <c r="W87" s="53">
        <f>95+80</f>
        <v>175</v>
      </c>
      <c r="X87" s="1596">
        <f>X88*IS!X8</f>
        <v>185.08052786322628</v>
      </c>
      <c r="Y87" s="106">
        <f>Y88*IS!Y8</f>
        <v>202.60618240311592</v>
      </c>
      <c r="Z87" s="106">
        <f>Z88*IS!Z8</f>
        <v>221.79269738805547</v>
      </c>
      <c r="AA87" s="106">
        <f>AA88*IS!AA8</f>
        <v>237.38661876648817</v>
      </c>
      <c r="AB87" s="106">
        <f>AB88*IS!AB8</f>
        <v>244.27761583629865</v>
      </c>
    </row>
    <row r="88" spans="1:31" x14ac:dyDescent="0.25">
      <c r="A88" s="197" t="s">
        <v>661</v>
      </c>
      <c r="B88" s="102"/>
      <c r="C88" s="102"/>
      <c r="D88" s="102"/>
      <c r="E88" s="102"/>
      <c r="F88" s="102"/>
      <c r="G88" s="102"/>
      <c r="H88" s="102"/>
      <c r="I88" s="102"/>
      <c r="J88" s="102"/>
      <c r="K88" s="49"/>
      <c r="L88" s="272">
        <f>L87/IS!L8</f>
        <v>1.7258222077499184E-2</v>
      </c>
      <c r="M88" s="272">
        <f>M87/IS!M8</f>
        <v>2.7219478580452511E-2</v>
      </c>
      <c r="N88" s="272">
        <f>N87/IS!N8</f>
        <v>1.9833977567961472E-2</v>
      </c>
      <c r="O88" s="272">
        <f>O87/IS!O8</f>
        <v>1.7613945887052843E-2</v>
      </c>
      <c r="P88" s="272">
        <f>P87/IS!P8</f>
        <v>8.0285035629453685E-3</v>
      </c>
      <c r="Q88" s="272">
        <f>Q87/IS!Q8</f>
        <v>5.3977272727272728E-3</v>
      </c>
      <c r="R88" s="272">
        <f>R87/IS!R8</f>
        <v>3.6974178688325859E-3</v>
      </c>
      <c r="S88" s="272">
        <f>S87/IS!S8</f>
        <v>1.1339057481811627E-2</v>
      </c>
      <c r="T88" s="272">
        <f>T87/IS!T8</f>
        <v>5.4110848437089569E-3</v>
      </c>
      <c r="U88" s="272">
        <f>U87/IS!U8</f>
        <v>5.9054269580585371E-3</v>
      </c>
      <c r="V88" s="272">
        <f>V87/IS!V8</f>
        <v>5.3080499322766045E-3</v>
      </c>
      <c r="W88" s="272">
        <f>W87/IS!W8</f>
        <v>5.5858788981454884E-3</v>
      </c>
      <c r="X88" s="1641">
        <v>5.0000000000000001E-3</v>
      </c>
      <c r="Y88" s="274">
        <f t="shared" ref="Y88:AB88" si="82">X88</f>
        <v>5.0000000000000001E-3</v>
      </c>
      <c r="Z88" s="274">
        <f t="shared" si="82"/>
        <v>5.0000000000000001E-3</v>
      </c>
      <c r="AA88" s="274">
        <f t="shared" si="82"/>
        <v>5.0000000000000001E-3</v>
      </c>
      <c r="AB88" s="274">
        <f t="shared" si="82"/>
        <v>5.0000000000000001E-3</v>
      </c>
    </row>
    <row r="89" spans="1:31" x14ac:dyDescent="0.25">
      <c r="B89" s="50"/>
      <c r="C89" s="50"/>
      <c r="D89" s="50"/>
      <c r="E89" s="50"/>
      <c r="F89" s="50"/>
      <c r="G89" s="50"/>
      <c r="H89" s="50"/>
      <c r="I89" s="50"/>
      <c r="J89" s="50"/>
      <c r="K89" s="53"/>
      <c r="L89" s="53"/>
      <c r="M89" s="53"/>
      <c r="N89" s="53"/>
      <c r="O89" s="53"/>
      <c r="P89" s="53"/>
      <c r="Q89" s="53"/>
      <c r="R89" s="53"/>
      <c r="S89" s="53"/>
      <c r="T89" s="53"/>
      <c r="U89" s="53"/>
      <c r="V89" s="53"/>
      <c r="W89" s="53"/>
      <c r="X89" s="56"/>
      <c r="Y89" s="50"/>
      <c r="Z89" s="50"/>
      <c r="AA89" s="50"/>
      <c r="AB89" s="50"/>
    </row>
    <row r="90" spans="1:31" x14ac:dyDescent="0.25">
      <c r="A90" s="4" t="s">
        <v>662</v>
      </c>
      <c r="B90" s="50"/>
      <c r="C90" s="50">
        <f>B95</f>
        <v>-63</v>
      </c>
      <c r="D90" s="50">
        <f>C95</f>
        <v>-386</v>
      </c>
      <c r="E90" s="50">
        <f>D95</f>
        <v>-759</v>
      </c>
      <c r="F90" s="50">
        <f>E95</f>
        <v>-1049</v>
      </c>
      <c r="G90" s="50">
        <f>F95</f>
        <v>-1319</v>
      </c>
      <c r="H90" s="50">
        <f t="shared" ref="H90:O90" si="83">+G95</f>
        <v>-1705</v>
      </c>
      <c r="I90" s="50">
        <f t="shared" si="83"/>
        <v>-1911</v>
      </c>
      <c r="J90" s="50">
        <f t="shared" si="83"/>
        <v>-2299</v>
      </c>
      <c r="K90" s="53">
        <f t="shared" si="83"/>
        <v>-2681</v>
      </c>
      <c r="L90" s="53">
        <f t="shared" si="83"/>
        <v>-3048</v>
      </c>
      <c r="M90" s="49">
        <f t="shared" si="83"/>
        <v>-3604</v>
      </c>
      <c r="N90" s="49">
        <f t="shared" si="83"/>
        <v>-4024</v>
      </c>
      <c r="O90" s="49">
        <f t="shared" si="83"/>
        <v>-3593</v>
      </c>
      <c r="P90" s="49">
        <v>-3772</v>
      </c>
      <c r="Q90" s="49">
        <f t="shared" ref="Q90:AB90" si="84">+P95</f>
        <v>-4773</v>
      </c>
      <c r="R90" s="49">
        <f t="shared" si="84"/>
        <v>-5494</v>
      </c>
      <c r="S90" s="49">
        <f t="shared" si="84"/>
        <v>-6445</v>
      </c>
      <c r="T90" s="49">
        <f t="shared" si="84"/>
        <v>-7311</v>
      </c>
      <c r="U90" s="49">
        <f t="shared" si="84"/>
        <v>-8020</v>
      </c>
      <c r="V90" s="49">
        <f t="shared" si="84"/>
        <v>-8660</v>
      </c>
      <c r="W90" s="49">
        <f t="shared" si="84"/>
        <v>-9416</v>
      </c>
      <c r="X90" s="1615">
        <f t="shared" si="84"/>
        <v>-9802</v>
      </c>
      <c r="Y90" s="491">
        <f t="shared" si="84"/>
        <v>-10493.48</v>
      </c>
      <c r="Z90" s="491">
        <f t="shared" si="84"/>
        <v>-11209.517776470047</v>
      </c>
      <c r="AA90" s="491">
        <f t="shared" si="84"/>
        <v>-11952.3774749314</v>
      </c>
      <c r="AB90" s="491">
        <f t="shared" si="84"/>
        <v>-12724.539174940561</v>
      </c>
    </row>
    <row r="91" spans="1:31" x14ac:dyDescent="0.25">
      <c r="A91" s="4" t="s">
        <v>663</v>
      </c>
      <c r="B91" s="50"/>
      <c r="C91" s="50">
        <v>-190</v>
      </c>
      <c r="D91" s="50">
        <v>-276</v>
      </c>
      <c r="E91" s="50">
        <v>-232</v>
      </c>
      <c r="F91" s="50">
        <v>-260</v>
      </c>
      <c r="G91" s="50">
        <v>-299</v>
      </c>
      <c r="H91" s="50">
        <v>-321</v>
      </c>
      <c r="I91" s="50">
        <v>-341</v>
      </c>
      <c r="J91" s="102">
        <v>-381</v>
      </c>
      <c r="K91" s="49">
        <v>-399</v>
      </c>
      <c r="L91" s="53">
        <v>-452</v>
      </c>
      <c r="M91" s="53">
        <v>-428</v>
      </c>
      <c r="N91" s="53">
        <v>-333</v>
      </c>
      <c r="O91" s="53">
        <v>-382</v>
      </c>
      <c r="P91" s="53">
        <v>-654</v>
      </c>
      <c r="Q91" s="53">
        <v>-736</v>
      </c>
      <c r="R91" s="53">
        <v>-732</v>
      </c>
      <c r="S91" s="53">
        <v>-679</v>
      </c>
      <c r="T91" s="53">
        <v>-668</v>
      </c>
      <c r="U91" s="53">
        <v>-647</v>
      </c>
      <c r="V91" s="53">
        <v>-687</v>
      </c>
      <c r="W91" s="53">
        <v>-703</v>
      </c>
      <c r="X91" s="1638">
        <f t="shared" ref="X91:AB91" si="85">-X92*X79</f>
        <v>-691.48</v>
      </c>
      <c r="Y91" s="553">
        <f t="shared" si="85"/>
        <v>-716.03777647004711</v>
      </c>
      <c r="Z91" s="553">
        <f t="shared" si="85"/>
        <v>-742.8596984613531</v>
      </c>
      <c r="AA91" s="553">
        <f t="shared" si="85"/>
        <v>-772.16170000916054</v>
      </c>
      <c r="AB91" s="553">
        <f t="shared" si="85"/>
        <v>-803.59425560774332</v>
      </c>
    </row>
    <row r="92" spans="1:31" x14ac:dyDescent="0.25">
      <c r="A92" s="4" t="s">
        <v>664</v>
      </c>
      <c r="B92" s="102"/>
      <c r="C92" s="18">
        <f t="shared" ref="C92:T92" si="86">-C91/C79</f>
        <v>1.5573770491803278</v>
      </c>
      <c r="D92" s="18">
        <f t="shared" si="86"/>
        <v>7.9814921920185078E-2</v>
      </c>
      <c r="E92" s="18">
        <f t="shared" si="86"/>
        <v>6.0812581913499343E-2</v>
      </c>
      <c r="F92" s="18">
        <f t="shared" si="86"/>
        <v>6.4516129032258063E-2</v>
      </c>
      <c r="G92" s="18">
        <f t="shared" si="86"/>
        <v>6.7479124351162267E-2</v>
      </c>
      <c r="H92" s="18">
        <f t="shared" si="86"/>
        <v>6.5217391304347824E-2</v>
      </c>
      <c r="I92" s="18">
        <f t="shared" si="86"/>
        <v>6.7645308470541565E-2</v>
      </c>
      <c r="J92" s="18">
        <f t="shared" si="86"/>
        <v>6.5723650163877864E-2</v>
      </c>
      <c r="K92" s="18">
        <f t="shared" si="86"/>
        <v>6.0888142835342593E-2</v>
      </c>
      <c r="L92" s="466">
        <f t="shared" si="86"/>
        <v>5.894627021387585E-2</v>
      </c>
      <c r="M92" s="466">
        <f t="shared" si="86"/>
        <v>4.6827133479212253E-2</v>
      </c>
      <c r="N92" s="466">
        <f t="shared" si="86"/>
        <v>3.5634028892455857E-2</v>
      </c>
      <c r="O92" s="466">
        <f t="shared" si="86"/>
        <v>4.3552616577357199E-2</v>
      </c>
      <c r="P92" s="466">
        <f t="shared" si="86"/>
        <v>6.9812126387702816E-2</v>
      </c>
      <c r="Q92" s="466">
        <f t="shared" si="86"/>
        <v>5.0653819683413627E-2</v>
      </c>
      <c r="R92" s="466">
        <f t="shared" si="86"/>
        <v>4.8887998397114808E-2</v>
      </c>
      <c r="S92" s="466">
        <f t="shared" si="86"/>
        <v>4.4904437537199922E-2</v>
      </c>
      <c r="T92" s="466">
        <f t="shared" si="86"/>
        <v>4.2566749506149242E-2</v>
      </c>
      <c r="U92" s="466">
        <f t="shared" ref="U92:V92" si="87">-U91/U79</f>
        <v>4.0146438322164309E-2</v>
      </c>
      <c r="V92" s="272">
        <f t="shared" si="87"/>
        <v>4.1661613098847784E-2</v>
      </c>
      <c r="W92" s="272">
        <f t="shared" ref="W92" si="88">-W91/W79</f>
        <v>4.0488394862638943E-2</v>
      </c>
      <c r="X92" s="1641">
        <v>0.04</v>
      </c>
      <c r="Y92" s="467">
        <f t="shared" ref="Y92:AB92" si="89">X92</f>
        <v>0.04</v>
      </c>
      <c r="Z92" s="467">
        <f t="shared" si="89"/>
        <v>0.04</v>
      </c>
      <c r="AA92" s="467">
        <f t="shared" si="89"/>
        <v>0.04</v>
      </c>
      <c r="AB92" s="467">
        <f t="shared" si="89"/>
        <v>0.04</v>
      </c>
    </row>
    <row r="93" spans="1:31" x14ac:dyDescent="0.25">
      <c r="A93" s="4" t="s">
        <v>665</v>
      </c>
      <c r="B93" s="50"/>
      <c r="C93" s="50">
        <v>-33</v>
      </c>
      <c r="D93" s="50">
        <v>-91</v>
      </c>
      <c r="E93" s="50">
        <v>-74</v>
      </c>
      <c r="F93" s="50">
        <v>-15</v>
      </c>
      <c r="G93" s="50">
        <v>-103</v>
      </c>
      <c r="H93" s="50">
        <v>-61</v>
      </c>
      <c r="I93" s="50">
        <v>-61</v>
      </c>
      <c r="J93" s="102">
        <v>-5</v>
      </c>
      <c r="K93" s="49">
        <v>-16</v>
      </c>
      <c r="L93" s="53">
        <v>-63</v>
      </c>
      <c r="M93" s="53">
        <f>-798+842</f>
        <v>44</v>
      </c>
      <c r="N93" s="53">
        <v>-1</v>
      </c>
      <c r="O93" s="53">
        <v>-73</v>
      </c>
      <c r="P93" s="53">
        <v>-51</v>
      </c>
      <c r="Q93" s="53">
        <v>-41</v>
      </c>
      <c r="R93" s="49"/>
      <c r="S93" s="53">
        <v>-159</v>
      </c>
      <c r="T93" s="53">
        <v>-81</v>
      </c>
      <c r="U93" s="53">
        <v>-85</v>
      </c>
      <c r="V93" s="53">
        <v>2</v>
      </c>
      <c r="W93" s="53">
        <v>-297</v>
      </c>
      <c r="X93" s="148"/>
      <c r="Y93" s="102"/>
      <c r="Z93" s="102"/>
      <c r="AA93" s="102"/>
      <c r="AB93" s="102"/>
    </row>
    <row r="94" spans="1:31" x14ac:dyDescent="0.25">
      <c r="A94" s="4" t="s">
        <v>397</v>
      </c>
      <c r="B94" s="50"/>
      <c r="C94" s="50">
        <f t="shared" ref="C94:T94" si="90">C95-C93-C91-C90</f>
        <v>-100</v>
      </c>
      <c r="D94" s="50">
        <f t="shared" si="90"/>
        <v>-6</v>
      </c>
      <c r="E94" s="50">
        <f t="shared" si="90"/>
        <v>16</v>
      </c>
      <c r="F94" s="50">
        <f t="shared" si="90"/>
        <v>5</v>
      </c>
      <c r="G94" s="50">
        <f t="shared" si="90"/>
        <v>16</v>
      </c>
      <c r="H94" s="50">
        <f t="shared" si="90"/>
        <v>176</v>
      </c>
      <c r="I94" s="50">
        <f t="shared" si="90"/>
        <v>14</v>
      </c>
      <c r="J94" s="50">
        <f t="shared" si="90"/>
        <v>4</v>
      </c>
      <c r="K94" s="53">
        <f t="shared" si="90"/>
        <v>48</v>
      </c>
      <c r="L94" s="53">
        <f t="shared" si="90"/>
        <v>-41</v>
      </c>
      <c r="M94" s="53">
        <f t="shared" si="90"/>
        <v>-36</v>
      </c>
      <c r="N94" s="53">
        <f t="shared" si="90"/>
        <v>765</v>
      </c>
      <c r="O94" s="53">
        <f t="shared" si="90"/>
        <v>134</v>
      </c>
      <c r="P94" s="53">
        <f t="shared" si="90"/>
        <v>-296</v>
      </c>
      <c r="Q94" s="53">
        <f t="shared" si="90"/>
        <v>56</v>
      </c>
      <c r="R94" s="53">
        <f t="shared" si="90"/>
        <v>-219</v>
      </c>
      <c r="S94" s="53">
        <f t="shared" si="90"/>
        <v>-28</v>
      </c>
      <c r="T94" s="53">
        <f t="shared" si="90"/>
        <v>40</v>
      </c>
      <c r="U94" s="53">
        <f t="shared" ref="U94:V94" si="91">U95-U93-U91-U90</f>
        <v>92</v>
      </c>
      <c r="V94" s="53">
        <f t="shared" si="91"/>
        <v>-71</v>
      </c>
      <c r="W94" s="53">
        <f t="shared" ref="W94" si="92">W95-W93-W91-W90</f>
        <v>614</v>
      </c>
      <c r="X94" s="148"/>
      <c r="Y94" s="102"/>
      <c r="Z94" s="102"/>
      <c r="AA94" s="102"/>
      <c r="AB94" s="102"/>
    </row>
    <row r="95" spans="1:31" x14ac:dyDescent="0.25">
      <c r="A95" s="186" t="s">
        <v>666</v>
      </c>
      <c r="B95" s="70">
        <v>-63</v>
      </c>
      <c r="C95" s="70">
        <v>-386</v>
      </c>
      <c r="D95" s="70">
        <v>-759</v>
      </c>
      <c r="E95" s="70">
        <v>-1049</v>
      </c>
      <c r="F95" s="70">
        <v>-1319</v>
      </c>
      <c r="G95" s="70">
        <v>-1705</v>
      </c>
      <c r="H95" s="70">
        <v>-1911</v>
      </c>
      <c r="I95" s="70">
        <v>-2299</v>
      </c>
      <c r="J95" s="70">
        <v>-2681</v>
      </c>
      <c r="K95" s="70">
        <v>-3048</v>
      </c>
      <c r="L95" s="70">
        <v>-3604</v>
      </c>
      <c r="M95" s="70">
        <v>-4024</v>
      </c>
      <c r="N95" s="70">
        <v>-3593</v>
      </c>
      <c r="O95" s="70">
        <v>-3914</v>
      </c>
      <c r="P95" s="70">
        <v>-4773</v>
      </c>
      <c r="Q95" s="70">
        <v>-5494</v>
      </c>
      <c r="R95" s="70">
        <v>-6445</v>
      </c>
      <c r="S95" s="70">
        <v>-7311</v>
      </c>
      <c r="T95" s="70">
        <v>-8020</v>
      </c>
      <c r="U95" s="70">
        <v>-8660</v>
      </c>
      <c r="V95" s="70">
        <v>-9416</v>
      </c>
      <c r="W95" s="70">
        <v>-9802</v>
      </c>
      <c r="X95" s="1602">
        <f t="shared" ref="X95:AB95" si="93">+X90+X91+X93+X94</f>
        <v>-10493.48</v>
      </c>
      <c r="Y95" s="542">
        <f t="shared" si="93"/>
        <v>-11209.517776470047</v>
      </c>
      <c r="Z95" s="542">
        <f t="shared" si="93"/>
        <v>-11952.3774749314</v>
      </c>
      <c r="AA95" s="542">
        <f t="shared" si="93"/>
        <v>-12724.539174940561</v>
      </c>
      <c r="AB95" s="542">
        <f t="shared" si="93"/>
        <v>-13528.133430548303</v>
      </c>
      <c r="AC95" s="186"/>
      <c r="AD95" s="186"/>
      <c r="AE95" s="186"/>
    </row>
    <row r="96" spans="1:31" x14ac:dyDescent="0.25">
      <c r="A96" s="186"/>
      <c r="B96" s="70"/>
      <c r="C96" s="70"/>
      <c r="D96" s="70"/>
      <c r="E96" s="70"/>
      <c r="F96" s="70"/>
      <c r="G96" s="70"/>
      <c r="H96" s="70"/>
      <c r="I96" s="70"/>
      <c r="J96" s="70"/>
      <c r="K96" s="70"/>
      <c r="L96" s="70"/>
      <c r="M96" s="70"/>
      <c r="N96" s="70"/>
      <c r="O96" s="70"/>
      <c r="P96" s="70"/>
      <c r="Q96" s="70"/>
      <c r="R96" s="70"/>
      <c r="S96" s="70"/>
      <c r="T96" s="70"/>
      <c r="U96" s="70"/>
      <c r="V96" s="70"/>
      <c r="W96" s="70"/>
      <c r="X96" s="1602"/>
      <c r="Y96" s="542"/>
      <c r="Z96" s="542"/>
      <c r="AA96" s="542"/>
      <c r="AB96" s="542"/>
      <c r="AC96" s="186"/>
      <c r="AD96" s="186"/>
      <c r="AE96" s="186"/>
    </row>
    <row r="97" spans="1:31" x14ac:dyDescent="0.25">
      <c r="A97" s="419" t="s">
        <v>667</v>
      </c>
      <c r="B97" s="544">
        <f t="shared" ref="B97:G97" si="94">B84+B95</f>
        <v>59</v>
      </c>
      <c r="C97" s="544">
        <f t="shared" si="94"/>
        <v>3072</v>
      </c>
      <c r="D97" s="544">
        <f t="shared" si="94"/>
        <v>3056</v>
      </c>
      <c r="E97" s="544">
        <f t="shared" si="94"/>
        <v>2981</v>
      </c>
      <c r="F97" s="544">
        <f t="shared" si="94"/>
        <v>3112</v>
      </c>
      <c r="G97" s="544">
        <f t="shared" si="94"/>
        <v>3217</v>
      </c>
      <c r="H97" s="544">
        <f t="shared" ref="H97:AB97" si="95">+H84+H95</f>
        <v>3130</v>
      </c>
      <c r="I97" s="544">
        <f t="shared" si="95"/>
        <v>3498</v>
      </c>
      <c r="J97" s="544">
        <f t="shared" si="95"/>
        <v>3872</v>
      </c>
      <c r="K97" s="544">
        <f t="shared" si="95"/>
        <v>4620</v>
      </c>
      <c r="L97" s="544">
        <f t="shared" si="95"/>
        <v>5536</v>
      </c>
      <c r="M97" s="544">
        <f t="shared" si="95"/>
        <v>5321</v>
      </c>
      <c r="N97" s="544">
        <f t="shared" si="95"/>
        <v>5178</v>
      </c>
      <c r="O97" s="544">
        <f t="shared" si="95"/>
        <v>5241</v>
      </c>
      <c r="P97" s="544">
        <f t="shared" si="95"/>
        <v>9757</v>
      </c>
      <c r="Q97" s="544">
        <f t="shared" si="95"/>
        <v>9479</v>
      </c>
      <c r="R97" s="544">
        <f t="shared" si="95"/>
        <v>8676</v>
      </c>
      <c r="S97" s="544">
        <f t="shared" si="95"/>
        <v>8382</v>
      </c>
      <c r="T97" s="544">
        <f t="shared" si="95"/>
        <v>8096</v>
      </c>
      <c r="U97" s="544">
        <f t="shared" ref="U97:V97" si="96">+U84+U95</f>
        <v>7830</v>
      </c>
      <c r="V97" s="544">
        <f t="shared" si="96"/>
        <v>7947</v>
      </c>
      <c r="W97" s="544">
        <f t="shared" ref="W97" si="97">+W84+W95</f>
        <v>7485</v>
      </c>
      <c r="X97" s="1636">
        <f t="shared" si="95"/>
        <v>7407.464411751178</v>
      </c>
      <c r="Y97" s="546">
        <f t="shared" si="95"/>
        <v>7361.9746850637803</v>
      </c>
      <c r="Z97" s="546">
        <f t="shared" si="95"/>
        <v>7351.6650252976142</v>
      </c>
      <c r="AA97" s="546">
        <f t="shared" si="95"/>
        <v>7365.3172152530205</v>
      </c>
      <c r="AB97" s="546">
        <f t="shared" si="95"/>
        <v>7374.0221622558274</v>
      </c>
      <c r="AC97" s="186"/>
      <c r="AD97" s="186"/>
      <c r="AE97" s="186"/>
    </row>
    <row r="98" spans="1:31" x14ac:dyDescent="0.25">
      <c r="B98" s="53"/>
      <c r="C98" s="53"/>
      <c r="D98" s="53"/>
      <c r="E98" s="53"/>
      <c r="F98" s="53"/>
      <c r="G98" s="53"/>
      <c r="H98" s="53"/>
      <c r="I98" s="53"/>
      <c r="J98" s="53"/>
      <c r="K98" s="53"/>
      <c r="L98" s="53"/>
      <c r="M98" s="53"/>
      <c r="N98" s="53"/>
      <c r="O98" s="53"/>
      <c r="P98" s="53"/>
      <c r="Q98" s="53"/>
      <c r="R98" s="53"/>
      <c r="S98" s="53"/>
      <c r="T98" s="53"/>
      <c r="U98" s="53"/>
      <c r="V98" s="53"/>
      <c r="W98" s="53"/>
      <c r="X98" s="56"/>
      <c r="Y98" s="53"/>
      <c r="Z98" s="53"/>
      <c r="AA98" s="53"/>
      <c r="AB98" s="53"/>
    </row>
    <row r="99" spans="1:31" x14ac:dyDescent="0.25">
      <c r="A99" s="4" t="s">
        <v>668</v>
      </c>
      <c r="B99" s="53"/>
      <c r="C99" s="53">
        <f t="shared" ref="C99:AB99" si="98">B101</f>
        <v>97</v>
      </c>
      <c r="D99" s="53">
        <f t="shared" si="98"/>
        <v>1519</v>
      </c>
      <c r="E99" s="53">
        <f t="shared" si="98"/>
        <v>1589</v>
      </c>
      <c r="F99" s="53">
        <f t="shared" si="98"/>
        <v>1561</v>
      </c>
      <c r="G99" s="53">
        <f t="shared" si="98"/>
        <v>1756</v>
      </c>
      <c r="H99" s="53">
        <f t="shared" si="98"/>
        <v>2126</v>
      </c>
      <c r="I99" s="53">
        <f t="shared" si="98"/>
        <v>2298</v>
      </c>
      <c r="J99" s="53">
        <f t="shared" si="98"/>
        <v>3126</v>
      </c>
      <c r="K99" s="53">
        <f t="shared" si="98"/>
        <v>3078</v>
      </c>
      <c r="L99" s="53">
        <f t="shared" si="98"/>
        <v>3399</v>
      </c>
      <c r="M99" s="53">
        <f t="shared" si="98"/>
        <v>3420</v>
      </c>
      <c r="N99" s="53">
        <f t="shared" si="98"/>
        <v>3590</v>
      </c>
      <c r="O99" s="53">
        <f t="shared" si="98"/>
        <v>1864</v>
      </c>
      <c r="P99" s="53">
        <f t="shared" si="98"/>
        <v>1831</v>
      </c>
      <c r="Q99" s="53">
        <f t="shared" si="98"/>
        <v>5173</v>
      </c>
      <c r="R99" s="53">
        <f t="shared" si="98"/>
        <v>5199</v>
      </c>
      <c r="S99" s="53">
        <f t="shared" si="98"/>
        <v>5060</v>
      </c>
      <c r="T99" s="53">
        <f t="shared" si="98"/>
        <v>5068</v>
      </c>
      <c r="U99" s="53">
        <f t="shared" si="98"/>
        <v>4994</v>
      </c>
      <c r="V99" s="53">
        <f t="shared" si="98"/>
        <v>4706</v>
      </c>
      <c r="W99" s="53">
        <f t="shared" si="98"/>
        <v>4937</v>
      </c>
      <c r="X99" s="1596">
        <f t="shared" si="98"/>
        <v>5773</v>
      </c>
      <c r="Y99" s="106">
        <f t="shared" si="98"/>
        <v>5662</v>
      </c>
      <c r="Z99" s="106">
        <f t="shared" si="98"/>
        <v>5662</v>
      </c>
      <c r="AA99" s="106">
        <f t="shared" si="98"/>
        <v>5662</v>
      </c>
      <c r="AB99" s="106">
        <f t="shared" si="98"/>
        <v>5662</v>
      </c>
    </row>
    <row r="100" spans="1:31" x14ac:dyDescent="0.25">
      <c r="A100" s="4" t="s">
        <v>646</v>
      </c>
      <c r="B100" s="53"/>
      <c r="C100" s="53">
        <f t="shared" ref="C100:T100" si="99">C101-C99</f>
        <v>1422</v>
      </c>
      <c r="D100" s="53">
        <f t="shared" si="99"/>
        <v>70</v>
      </c>
      <c r="E100" s="53">
        <f t="shared" si="99"/>
        <v>-28</v>
      </c>
      <c r="F100" s="53">
        <f t="shared" si="99"/>
        <v>195</v>
      </c>
      <c r="G100" s="53">
        <f t="shared" si="99"/>
        <v>370</v>
      </c>
      <c r="H100" s="53">
        <f t="shared" si="99"/>
        <v>172</v>
      </c>
      <c r="I100" s="53">
        <f t="shared" si="99"/>
        <v>828</v>
      </c>
      <c r="J100" s="53">
        <f t="shared" si="99"/>
        <v>-48</v>
      </c>
      <c r="K100" s="53">
        <f t="shared" si="99"/>
        <v>321</v>
      </c>
      <c r="L100" s="53">
        <f t="shared" si="99"/>
        <v>21</v>
      </c>
      <c r="M100" s="53">
        <f t="shared" si="99"/>
        <v>170</v>
      </c>
      <c r="N100" s="53">
        <f t="shared" si="99"/>
        <v>-1726</v>
      </c>
      <c r="O100" s="53">
        <f t="shared" si="99"/>
        <v>-33</v>
      </c>
      <c r="P100" s="53">
        <f t="shared" si="99"/>
        <v>3342</v>
      </c>
      <c r="Q100" s="53">
        <f t="shared" si="99"/>
        <v>26</v>
      </c>
      <c r="R100" s="53">
        <f t="shared" si="99"/>
        <v>-139</v>
      </c>
      <c r="S100" s="53">
        <f t="shared" si="99"/>
        <v>8</v>
      </c>
      <c r="T100" s="53">
        <f t="shared" si="99"/>
        <v>-74</v>
      </c>
      <c r="U100" s="53">
        <f t="shared" ref="U100:V100" si="100">U101-U99</f>
        <v>-288</v>
      </c>
      <c r="V100" s="53">
        <f t="shared" si="100"/>
        <v>231</v>
      </c>
      <c r="W100" s="53">
        <f t="shared" ref="W100" si="101">W101-W99</f>
        <v>836</v>
      </c>
      <c r="X100" s="1596">
        <f>-CF!X16</f>
        <v>-111</v>
      </c>
      <c r="Y100" s="106">
        <f>-CF!Y16</f>
        <v>0</v>
      </c>
      <c r="Z100" s="106">
        <f>-CF!Z16</f>
        <v>0</v>
      </c>
      <c r="AA100" s="106">
        <f>-CF!AA16</f>
        <v>0</v>
      </c>
      <c r="AB100" s="106">
        <f>-CF!AB16</f>
        <v>0</v>
      </c>
    </row>
    <row r="101" spans="1:31" x14ac:dyDescent="0.25">
      <c r="A101" s="186" t="s">
        <v>669</v>
      </c>
      <c r="B101" s="70">
        <v>97</v>
      </c>
      <c r="C101" s="70">
        <f t="shared" ref="C101:T101" si="102">C18</f>
        <v>1519</v>
      </c>
      <c r="D101" s="70">
        <f t="shared" si="102"/>
        <v>1589</v>
      </c>
      <c r="E101" s="70">
        <f t="shared" si="102"/>
        <v>1561</v>
      </c>
      <c r="F101" s="70">
        <f t="shared" si="102"/>
        <v>1756</v>
      </c>
      <c r="G101" s="70">
        <f t="shared" si="102"/>
        <v>2126</v>
      </c>
      <c r="H101" s="70">
        <f t="shared" si="102"/>
        <v>2298</v>
      </c>
      <c r="I101" s="70">
        <f t="shared" si="102"/>
        <v>3126</v>
      </c>
      <c r="J101" s="70">
        <f t="shared" si="102"/>
        <v>3078</v>
      </c>
      <c r="K101" s="70">
        <f t="shared" si="102"/>
        <v>3399</v>
      </c>
      <c r="L101" s="70">
        <f t="shared" si="102"/>
        <v>3420</v>
      </c>
      <c r="M101" s="70">
        <f t="shared" si="102"/>
        <v>3590</v>
      </c>
      <c r="N101" s="70">
        <f t="shared" si="102"/>
        <v>1864</v>
      </c>
      <c r="O101" s="70">
        <f t="shared" si="102"/>
        <v>1831</v>
      </c>
      <c r="P101" s="70">
        <f t="shared" si="102"/>
        <v>5173</v>
      </c>
      <c r="Q101" s="70">
        <f t="shared" si="102"/>
        <v>5199</v>
      </c>
      <c r="R101" s="70">
        <f t="shared" si="102"/>
        <v>5060</v>
      </c>
      <c r="S101" s="70">
        <f t="shared" si="102"/>
        <v>5068</v>
      </c>
      <c r="T101" s="70">
        <f t="shared" si="102"/>
        <v>4994</v>
      </c>
      <c r="U101" s="70">
        <f t="shared" ref="U101:V101" si="103">U18</f>
        <v>4706</v>
      </c>
      <c r="V101" s="70">
        <f t="shared" si="103"/>
        <v>4937</v>
      </c>
      <c r="W101" s="70">
        <f t="shared" ref="W101" si="104">W18</f>
        <v>5773</v>
      </c>
      <c r="X101" s="1602">
        <f t="shared" ref="X101:AB101" si="105">X99+X100</f>
        <v>5662</v>
      </c>
      <c r="Y101" s="542">
        <f t="shared" si="105"/>
        <v>5662</v>
      </c>
      <c r="Z101" s="542">
        <f t="shared" si="105"/>
        <v>5662</v>
      </c>
      <c r="AA101" s="542">
        <f t="shared" si="105"/>
        <v>5662</v>
      </c>
      <c r="AB101" s="542">
        <f t="shared" si="105"/>
        <v>5662</v>
      </c>
    </row>
    <row r="102" spans="1:31" x14ac:dyDescent="0.25">
      <c r="B102" s="53"/>
      <c r="C102" s="53"/>
      <c r="D102" s="53"/>
      <c r="E102" s="53"/>
      <c r="F102" s="53"/>
      <c r="G102" s="53"/>
      <c r="H102" s="53"/>
      <c r="I102" s="53"/>
      <c r="J102" s="554"/>
      <c r="K102" s="554"/>
      <c r="L102" s="554"/>
      <c r="M102" s="204"/>
      <c r="N102" s="204"/>
      <c r="O102" s="204"/>
      <c r="P102" s="204"/>
      <c r="Q102" s="204"/>
      <c r="R102" s="204"/>
      <c r="S102" s="204"/>
      <c r="T102" s="204"/>
      <c r="U102" s="204"/>
      <c r="V102" s="204"/>
      <c r="W102" s="204"/>
      <c r="X102" s="1639"/>
      <c r="Y102" s="1590"/>
      <c r="Z102" s="1590"/>
      <c r="AA102" s="1590"/>
      <c r="AB102" s="1590"/>
    </row>
    <row r="103" spans="1:31" x14ac:dyDescent="0.25">
      <c r="B103" s="50"/>
      <c r="C103" s="50"/>
      <c r="D103" s="50"/>
      <c r="E103" s="50"/>
      <c r="F103" s="50"/>
      <c r="G103" s="50"/>
      <c r="H103" s="50"/>
      <c r="I103" s="50"/>
      <c r="J103" s="52"/>
      <c r="K103" s="124"/>
      <c r="L103" s="124"/>
      <c r="M103" s="124"/>
      <c r="N103" s="124"/>
      <c r="O103" s="124"/>
      <c r="P103" s="124"/>
      <c r="Q103" s="124"/>
      <c r="R103" s="124"/>
      <c r="S103" s="124"/>
      <c r="T103" s="124"/>
      <c r="U103" s="124"/>
      <c r="V103" s="124"/>
      <c r="W103" s="124"/>
      <c r="X103" s="56"/>
      <c r="Y103" s="50"/>
      <c r="Z103" s="50"/>
      <c r="AA103" s="50"/>
      <c r="AB103" s="50"/>
    </row>
    <row r="104" spans="1:31" x14ac:dyDescent="0.25">
      <c r="A104" s="219" t="s">
        <v>670</v>
      </c>
      <c r="B104" s="516"/>
      <c r="C104" s="514"/>
      <c r="D104" s="516"/>
      <c r="E104" s="516"/>
      <c r="F104" s="516"/>
      <c r="G104" s="516"/>
      <c r="H104" s="516"/>
      <c r="I104" s="516"/>
      <c r="J104" s="516"/>
      <c r="K104" s="516"/>
      <c r="L104" s="516"/>
      <c r="M104" s="516"/>
      <c r="N104" s="516"/>
      <c r="O104" s="516"/>
      <c r="P104" s="516"/>
      <c r="Q104" s="516"/>
      <c r="R104" s="516"/>
      <c r="S104" s="516"/>
      <c r="T104" s="516"/>
      <c r="U104" s="516"/>
      <c r="V104" s="516"/>
      <c r="W104" s="516"/>
      <c r="X104" s="1640"/>
      <c r="Y104" s="1585"/>
      <c r="Z104" s="1585"/>
      <c r="AA104" s="1585"/>
      <c r="AB104" s="1585"/>
    </row>
    <row r="105" spans="1:31" x14ac:dyDescent="0.25">
      <c r="A105" s="4" t="s">
        <v>671</v>
      </c>
      <c r="B105" s="50">
        <f>IS!B67</f>
        <v>-2731</v>
      </c>
      <c r="C105" s="50">
        <f>IS!C67</f>
        <v>-8220</v>
      </c>
      <c r="D105" s="50">
        <f>IS!D67</f>
        <v>-9902</v>
      </c>
      <c r="E105" s="50">
        <f>IS!E67</f>
        <v>-8313</v>
      </c>
      <c r="F105" s="50">
        <f>IS!F67</f>
        <v>-8897</v>
      </c>
      <c r="G105" s="50">
        <f>IS!G67</f>
        <v>-8972</v>
      </c>
      <c r="H105" s="50">
        <f>IS!H67</f>
        <v>-9244</v>
      </c>
      <c r="I105" s="50">
        <f>IS!I67</f>
        <v>-9905</v>
      </c>
      <c r="J105" s="50">
        <f>IS!J67</f>
        <v>-11128</v>
      </c>
      <c r="K105" s="53">
        <f>IS!K67</f>
        <v>-11826</v>
      </c>
      <c r="L105" s="53">
        <f>IS!L67</f>
        <v>-12166</v>
      </c>
      <c r="M105" s="53">
        <f>IS!M67</f>
        <v>-13760</v>
      </c>
      <c r="N105" s="53">
        <f>IS!N67</f>
        <v>-12459</v>
      </c>
      <c r="O105" s="53">
        <f>IS!O67</f>
        <v>-12745</v>
      </c>
      <c r="P105" s="53">
        <f>IS!P67</f>
        <v>-17337</v>
      </c>
      <c r="Q105" s="53">
        <f>IS!Q67</f>
        <v>-19123</v>
      </c>
      <c r="R105" s="53">
        <f>IS!R67</f>
        <v>-13756</v>
      </c>
      <c r="S105" s="53">
        <f>IS!S67</f>
        <v>-12155</v>
      </c>
      <c r="T105" s="53">
        <f>IS!T67</f>
        <v>-15628</v>
      </c>
      <c r="U105" s="53">
        <f>IS!U67</f>
        <v>-18736</v>
      </c>
      <c r="V105" s="53">
        <f>IS!V67</f>
        <v>-21503</v>
      </c>
      <c r="W105" s="53">
        <f>IS!W67</f>
        <v>-24587</v>
      </c>
      <c r="X105" s="1596">
        <f>IS!X67</f>
        <v>-27806.666535247645</v>
      </c>
      <c r="Y105" s="59">
        <f>IS!Y67</f>
        <v>-30462.230911481274</v>
      </c>
      <c r="Z105" s="59">
        <f>IS!Z67</f>
        <v>-33288.150909575023</v>
      </c>
      <c r="AA105" s="59">
        <f>IS!AA67</f>
        <v>-35614.063662927671</v>
      </c>
      <c r="AB105" s="59">
        <f>IS!AB67</f>
        <v>-36523.360346384317</v>
      </c>
    </row>
    <row r="106" spans="1:31" x14ac:dyDescent="0.25">
      <c r="A106" s="4" t="s">
        <v>78</v>
      </c>
      <c r="B106" s="50">
        <f>IS!B64</f>
        <v>3567</v>
      </c>
      <c r="C106" s="50">
        <f>IS!C64</f>
        <v>8691</v>
      </c>
      <c r="D106" s="50">
        <f>IS!D64</f>
        <v>10841</v>
      </c>
      <c r="E106" s="50">
        <f>IS!E64</f>
        <v>9714</v>
      </c>
      <c r="F106" s="50">
        <f>IS!F64</f>
        <v>10281</v>
      </c>
      <c r="G106" s="50">
        <f>IS!G64</f>
        <v>10559</v>
      </c>
      <c r="H106" s="50">
        <f>IS!H64</f>
        <v>11028</v>
      </c>
      <c r="I106" s="50">
        <f>IS!I64</f>
        <v>11658</v>
      </c>
      <c r="J106" s="50">
        <f>IS!J64</f>
        <v>13615</v>
      </c>
      <c r="K106" s="53">
        <f>IS!K64</f>
        <v>14158</v>
      </c>
      <c r="L106" s="53">
        <f>IS!L64</f>
        <v>15044</v>
      </c>
      <c r="M106" s="53">
        <f>IS!M64</f>
        <v>18100</v>
      </c>
      <c r="N106" s="53">
        <f>IS!N64</f>
        <v>16482</v>
      </c>
      <c r="O106" s="53">
        <f>IS!O64</f>
        <v>16940</v>
      </c>
      <c r="P106" s="53">
        <f>IS!P64</f>
        <v>21025</v>
      </c>
      <c r="Q106" s="53">
        <f>IS!Q64</f>
        <v>25098</v>
      </c>
      <c r="R106" s="53">
        <f>IS!R64</f>
        <v>16631</v>
      </c>
      <c r="S106" s="53">
        <f>IS!S64</f>
        <v>15133</v>
      </c>
      <c r="T106" s="53">
        <f>IS!T64</f>
        <v>19523</v>
      </c>
      <c r="U106" s="53">
        <f>IS!U64</f>
        <v>23651</v>
      </c>
      <c r="V106" s="53">
        <f>IS!V64</f>
        <v>27716</v>
      </c>
      <c r="W106" s="53">
        <f>IS!W64</f>
        <v>31189</v>
      </c>
      <c r="X106" s="1596">
        <f>IS!X64</f>
        <v>36690.105572645254</v>
      </c>
      <c r="Y106" s="59">
        <f>IS!Y64</f>
        <v>40521.236480623185</v>
      </c>
      <c r="Z106" s="59">
        <f>IS!Z64</f>
        <v>44358.539477611092</v>
      </c>
      <c r="AA106" s="59">
        <f>IS!AA64</f>
        <v>47477.323753297635</v>
      </c>
      <c r="AB106" s="59">
        <f>IS!AB64</f>
        <v>48855.523167259729</v>
      </c>
    </row>
    <row r="107" spans="1:31" x14ac:dyDescent="0.25">
      <c r="A107" s="4" t="s">
        <v>672</v>
      </c>
      <c r="B107" s="102"/>
      <c r="C107" s="102">
        <f t="shared" ref="C107:AB107" si="106">-365/((AVERAGE(B105,C105)/C108))</f>
        <v>191.31586156515385</v>
      </c>
      <c r="D107" s="102">
        <f t="shared" si="106"/>
        <v>130.51539565169409</v>
      </c>
      <c r="E107" s="102">
        <f t="shared" si="106"/>
        <v>137.062860279989</v>
      </c>
      <c r="F107" s="102">
        <f t="shared" si="106"/>
        <v>155.79837303893086</v>
      </c>
      <c r="G107" s="102">
        <f t="shared" si="106"/>
        <v>138.16441882589959</v>
      </c>
      <c r="H107" s="102">
        <f t="shared" si="106"/>
        <v>140.58190601668863</v>
      </c>
      <c r="I107" s="102">
        <f t="shared" si="106"/>
        <v>144.82583946942398</v>
      </c>
      <c r="J107" s="102">
        <f t="shared" si="106"/>
        <v>143.37612323491658</v>
      </c>
      <c r="K107" s="49">
        <f t="shared" si="106"/>
        <v>127.14733815457001</v>
      </c>
      <c r="L107" s="49">
        <f t="shared" si="106"/>
        <v>129.77034011337113</v>
      </c>
      <c r="M107" s="49">
        <f t="shared" si="106"/>
        <v>127.2136079611201</v>
      </c>
      <c r="N107" s="49">
        <f t="shared" si="106"/>
        <v>118.24669133071437</v>
      </c>
      <c r="O107" s="49">
        <f t="shared" si="106"/>
        <v>130.220599904777</v>
      </c>
      <c r="P107" s="49">
        <f t="shared" si="106"/>
        <v>134.87600558473505</v>
      </c>
      <c r="Q107" s="49">
        <f t="shared" si="106"/>
        <v>126.37849698299507</v>
      </c>
      <c r="R107" s="49">
        <f t="shared" si="106"/>
        <v>115.23160680069346</v>
      </c>
      <c r="S107" s="49">
        <f t="shared" si="106"/>
        <v>142.64173517039094</v>
      </c>
      <c r="T107" s="49">
        <f t="shared" si="106"/>
        <v>168.37058632977002</v>
      </c>
      <c r="U107" s="49">
        <f t="shared" si="106"/>
        <v>167.88470492375743</v>
      </c>
      <c r="V107" s="49">
        <f t="shared" si="106"/>
        <v>172.1819627724347</v>
      </c>
      <c r="W107" s="49">
        <f t="shared" si="106"/>
        <v>162.8997613365155</v>
      </c>
      <c r="X107" s="1615">
        <f t="shared" si="106"/>
        <v>154.72341709385191</v>
      </c>
      <c r="Y107" s="146">
        <f t="shared" si="106"/>
        <v>139.60515094561418</v>
      </c>
      <c r="Z107" s="146">
        <f t="shared" si="106"/>
        <v>126.98643087954275</v>
      </c>
      <c r="AA107" s="146">
        <f t="shared" si="106"/>
        <v>125.75229459220702</v>
      </c>
      <c r="AB107" s="146">
        <f t="shared" si="106"/>
        <v>123.59927042687227</v>
      </c>
    </row>
    <row r="108" spans="1:31" x14ac:dyDescent="0.25">
      <c r="A108" s="4" t="s">
        <v>673</v>
      </c>
      <c r="B108" s="102">
        <f t="shared" ref="B108:T108" si="107">B10</f>
        <v>651</v>
      </c>
      <c r="C108" s="102">
        <f t="shared" si="107"/>
        <v>2870</v>
      </c>
      <c r="D108" s="102">
        <f t="shared" si="107"/>
        <v>3240</v>
      </c>
      <c r="E108" s="102">
        <f t="shared" si="107"/>
        <v>3420</v>
      </c>
      <c r="F108" s="102">
        <f t="shared" si="107"/>
        <v>3673</v>
      </c>
      <c r="G108" s="102">
        <f t="shared" si="107"/>
        <v>3382</v>
      </c>
      <c r="H108" s="102">
        <f t="shared" si="107"/>
        <v>3508</v>
      </c>
      <c r="I108" s="102">
        <f t="shared" si="107"/>
        <v>3799</v>
      </c>
      <c r="J108" s="102">
        <f t="shared" si="107"/>
        <v>4131</v>
      </c>
      <c r="K108" s="49">
        <f t="shared" si="107"/>
        <v>3998</v>
      </c>
      <c r="L108" s="49">
        <f t="shared" si="107"/>
        <v>4265</v>
      </c>
      <c r="M108" s="49">
        <f t="shared" si="107"/>
        <v>4518</v>
      </c>
      <c r="N108" s="49">
        <f t="shared" si="107"/>
        <v>4247</v>
      </c>
      <c r="O108" s="49">
        <f t="shared" si="107"/>
        <v>4496</v>
      </c>
      <c r="P108" s="49">
        <f t="shared" si="107"/>
        <v>5558</v>
      </c>
      <c r="Q108" s="49">
        <f t="shared" si="107"/>
        <v>6312</v>
      </c>
      <c r="R108" s="49">
        <f t="shared" si="107"/>
        <v>5190</v>
      </c>
      <c r="S108" s="49">
        <f t="shared" si="107"/>
        <v>5063</v>
      </c>
      <c r="T108" s="49">
        <f t="shared" si="107"/>
        <v>6408</v>
      </c>
      <c r="U108" s="49">
        <f t="shared" ref="U108:V108" si="108">U10</f>
        <v>7903</v>
      </c>
      <c r="V108" s="49">
        <f t="shared" si="108"/>
        <v>9491</v>
      </c>
      <c r="W108" s="49">
        <f t="shared" ref="W108" si="109">W10</f>
        <v>10285</v>
      </c>
      <c r="X108" s="1615">
        <f>X109*IS!X$8</f>
        <v>11104.831671793576</v>
      </c>
      <c r="Y108" s="146">
        <f>Y109*IS!Y$8</f>
        <v>11143.340032171376</v>
      </c>
      <c r="Z108" s="146">
        <f>Z109*IS!Z$8</f>
        <v>11089.634869402773</v>
      </c>
      <c r="AA108" s="146">
        <f>AA109*IS!AA$8</f>
        <v>11869.330938324409</v>
      </c>
      <c r="AB108" s="146">
        <f>AB109*IS!AB$8</f>
        <v>12213.880791814932</v>
      </c>
    </row>
    <row r="109" spans="1:31" x14ac:dyDescent="0.25">
      <c r="A109" s="197" t="s">
        <v>674</v>
      </c>
      <c r="B109" s="557"/>
      <c r="C109" s="557"/>
      <c r="D109" s="557"/>
      <c r="E109" s="466">
        <f>E108/IS!E$8</f>
        <v>0.33457249070631973</v>
      </c>
      <c r="F109" s="466">
        <f>F108/IS!F$8</f>
        <v>0.35560073579242907</v>
      </c>
      <c r="G109" s="466">
        <f>G108/IS!G$8</f>
        <v>0.32369831546707506</v>
      </c>
      <c r="H109" s="466">
        <f>H108/IS!H$8</f>
        <v>0.32602230483271377</v>
      </c>
      <c r="I109" s="466">
        <f>I108/IS!I$8</f>
        <v>0.32370483980913428</v>
      </c>
      <c r="J109" s="466">
        <f>J108/IS!J$8</f>
        <v>0.30464601769911503</v>
      </c>
      <c r="K109" s="466">
        <f>K108/IS!K$8</f>
        <v>0.27835410429575996</v>
      </c>
      <c r="L109" s="466">
        <f>L108/IS!L$8</f>
        <v>0.27775968739824164</v>
      </c>
      <c r="M109" s="466">
        <f>M108/IS!M$8</f>
        <v>0.25944642241874355</v>
      </c>
      <c r="N109" s="466">
        <f>N108/IS!N$8</f>
        <v>0.26912109498764336</v>
      </c>
      <c r="O109" s="466">
        <f>O108/IS!O$8</f>
        <v>0.27213849040614974</v>
      </c>
      <c r="P109" s="466">
        <f>P108/IS!P$8</f>
        <v>0.2640380047505938</v>
      </c>
      <c r="Q109" s="466">
        <f>Q108/IS!Q$8</f>
        <v>0.25616883116883116</v>
      </c>
      <c r="R109" s="466">
        <f>R108/IS!R$8</f>
        <v>0.31458358588919871</v>
      </c>
      <c r="S109" s="466">
        <f>S108/IS!S$8</f>
        <v>0.33184767647637148</v>
      </c>
      <c r="T109" s="466">
        <f>T108/IS!T$8</f>
        <v>0.33664302600472812</v>
      </c>
      <c r="U109" s="466">
        <f>U108/IS!U$8</f>
        <v>0.34066123539807752</v>
      </c>
      <c r="V109" s="272">
        <f>V108/IS!V$8</f>
        <v>0.34743932349818796</v>
      </c>
      <c r="W109" s="272">
        <f>W108/IS!W$8</f>
        <v>0.32829008267100768</v>
      </c>
      <c r="X109" s="1641">
        <v>0.3</v>
      </c>
      <c r="Y109" s="513">
        <v>0.27500000000000002</v>
      </c>
      <c r="Z109" s="513">
        <v>0.25</v>
      </c>
      <c r="AA109" s="467">
        <f>Z109</f>
        <v>0.25</v>
      </c>
      <c r="AB109" s="467">
        <f>AA109</f>
        <v>0.25</v>
      </c>
    </row>
    <row r="110" spans="1:31" x14ac:dyDescent="0.25">
      <c r="B110" s="102"/>
      <c r="C110" s="102"/>
      <c r="D110" s="102"/>
      <c r="E110" s="101"/>
      <c r="F110" s="101"/>
      <c r="G110" s="101"/>
      <c r="H110" s="101"/>
      <c r="I110" s="101"/>
      <c r="J110" s="101"/>
      <c r="K110" s="101"/>
      <c r="L110" s="101"/>
      <c r="M110" s="151"/>
      <c r="N110" s="151"/>
      <c r="O110" s="151"/>
      <c r="P110" s="151"/>
      <c r="Q110" s="151"/>
      <c r="R110" s="151"/>
      <c r="S110" s="151"/>
      <c r="T110" s="151"/>
      <c r="U110" s="151"/>
      <c r="V110" s="151"/>
      <c r="W110" s="151"/>
      <c r="X110" s="1642"/>
      <c r="Y110" s="558"/>
      <c r="Z110" s="558"/>
      <c r="AA110" s="558"/>
      <c r="AB110" s="558"/>
    </row>
    <row r="111" spans="1:31" x14ac:dyDescent="0.25">
      <c r="A111" s="4" t="s">
        <v>675</v>
      </c>
      <c r="B111" s="102"/>
      <c r="C111" s="102">
        <f t="shared" ref="C111:AB111" si="110">365/((AVERAGE(B106,C106)/C112))</f>
        <v>240.23658019252733</v>
      </c>
      <c r="D111" s="102">
        <f t="shared" si="110"/>
        <v>157.64591439688718</v>
      </c>
      <c r="E111" s="102">
        <f t="shared" si="110"/>
        <v>139.42982242763318</v>
      </c>
      <c r="F111" s="102">
        <f t="shared" si="110"/>
        <v>141.69192298074518</v>
      </c>
      <c r="G111" s="102">
        <f t="shared" si="110"/>
        <v>139.904990403071</v>
      </c>
      <c r="H111" s="102">
        <f t="shared" si="110"/>
        <v>136.17964515680734</v>
      </c>
      <c r="I111" s="102">
        <f t="shared" si="110"/>
        <v>161.05307237944106</v>
      </c>
      <c r="J111" s="102">
        <f t="shared" si="110"/>
        <v>145.14501642068612</v>
      </c>
      <c r="K111" s="49">
        <f t="shared" si="110"/>
        <v>130.55521549706549</v>
      </c>
      <c r="L111" s="49">
        <f t="shared" si="110"/>
        <v>145.665022943634</v>
      </c>
      <c r="M111" s="49">
        <f t="shared" si="110"/>
        <v>143.49354332609221</v>
      </c>
      <c r="N111" s="49">
        <f t="shared" si="110"/>
        <v>131.97501590422763</v>
      </c>
      <c r="O111" s="49">
        <f t="shared" si="110"/>
        <v>139.15474836933757</v>
      </c>
      <c r="P111" s="49">
        <f t="shared" si="110"/>
        <v>165.24746477018306</v>
      </c>
      <c r="Q111" s="49">
        <f t="shared" si="110"/>
        <v>155.9458404700475</v>
      </c>
      <c r="R111" s="49">
        <f t="shared" si="110"/>
        <v>139.07594239018428</v>
      </c>
      <c r="S111" s="49">
        <f t="shared" si="110"/>
        <v>204.74656844226169</v>
      </c>
      <c r="T111" s="49">
        <f t="shared" si="110"/>
        <v>222.22703139427517</v>
      </c>
      <c r="U111" s="49">
        <f t="shared" si="110"/>
        <v>208.42891555102608</v>
      </c>
      <c r="V111" s="49">
        <f t="shared" si="110"/>
        <v>198.37775225339226</v>
      </c>
      <c r="W111" s="49">
        <f t="shared" si="110"/>
        <v>224.44665138782784</v>
      </c>
      <c r="X111" s="1615">
        <f t="shared" si="110"/>
        <v>199.04326110419896</v>
      </c>
      <c r="Y111" s="146">
        <f t="shared" si="110"/>
        <v>172.3998810265627</v>
      </c>
      <c r="Z111" s="146">
        <f t="shared" si="110"/>
        <v>152.60046791164845</v>
      </c>
      <c r="AA111" s="146">
        <f t="shared" si="110"/>
        <v>150.95822098503433</v>
      </c>
      <c r="AB111" s="146">
        <f t="shared" si="110"/>
        <v>148.0887695201659</v>
      </c>
    </row>
    <row r="112" spans="1:31" x14ac:dyDescent="0.25">
      <c r="A112" s="4" t="s">
        <v>676</v>
      </c>
      <c r="B112" s="102">
        <f t="shared" ref="B112:T112" si="111">B11</f>
        <v>1350</v>
      </c>
      <c r="C112" s="102">
        <f t="shared" si="111"/>
        <v>4034</v>
      </c>
      <c r="D112" s="102">
        <f t="shared" si="111"/>
        <v>4218</v>
      </c>
      <c r="E112" s="102">
        <f t="shared" si="111"/>
        <v>3926</v>
      </c>
      <c r="F112" s="102">
        <f t="shared" si="111"/>
        <v>3881</v>
      </c>
      <c r="G112" s="102">
        <f t="shared" si="111"/>
        <v>3994</v>
      </c>
      <c r="H112" s="102">
        <f t="shared" si="111"/>
        <v>4027</v>
      </c>
      <c r="I112" s="102">
        <f t="shared" si="111"/>
        <v>5005</v>
      </c>
      <c r="J112" s="102">
        <f t="shared" si="111"/>
        <v>5025</v>
      </c>
      <c r="K112" s="49">
        <f t="shared" si="111"/>
        <v>4967</v>
      </c>
      <c r="L112" s="49">
        <f t="shared" si="111"/>
        <v>5827</v>
      </c>
      <c r="M112" s="49">
        <f t="shared" si="111"/>
        <v>6515</v>
      </c>
      <c r="N112" s="49">
        <f t="shared" si="111"/>
        <v>6252</v>
      </c>
      <c r="O112" s="49">
        <f t="shared" si="111"/>
        <v>6371</v>
      </c>
      <c r="P112" s="49">
        <f t="shared" si="111"/>
        <v>8594</v>
      </c>
      <c r="Q112" s="49">
        <f t="shared" si="111"/>
        <v>9853</v>
      </c>
      <c r="R112" s="49">
        <f t="shared" si="111"/>
        <v>7950</v>
      </c>
      <c r="S112" s="49">
        <f t="shared" si="111"/>
        <v>8909</v>
      </c>
      <c r="T112" s="49">
        <f t="shared" si="111"/>
        <v>10550</v>
      </c>
      <c r="U112" s="49">
        <f t="shared" ref="U112:V112" si="112">U11</f>
        <v>12327</v>
      </c>
      <c r="V112" s="49">
        <f t="shared" si="112"/>
        <v>13959</v>
      </c>
      <c r="W112" s="49">
        <f t="shared" ref="W112" si="113">W11</f>
        <v>18111</v>
      </c>
      <c r="X112" s="1615">
        <f>X113*IS!X$8</f>
        <v>18508.052786322627</v>
      </c>
      <c r="Y112" s="146">
        <f>Y113*IS!Y$8</f>
        <v>18234.556416280433</v>
      </c>
      <c r="Z112" s="146">
        <f>Z113*IS!Z$8</f>
        <v>17743.415791044437</v>
      </c>
      <c r="AA112" s="146">
        <f>AA113*IS!AA$8</f>
        <v>18990.929501319053</v>
      </c>
      <c r="AB112" s="146">
        <f>AB113*IS!AB$8</f>
        <v>19542.209266903894</v>
      </c>
    </row>
    <row r="113" spans="1:28" x14ac:dyDescent="0.25">
      <c r="A113" s="197" t="s">
        <v>677</v>
      </c>
      <c r="B113" s="557"/>
      <c r="C113" s="557"/>
      <c r="D113" s="557"/>
      <c r="E113" s="466">
        <f>E112/IS!E$8</f>
        <v>0.38407356681666993</v>
      </c>
      <c r="F113" s="466">
        <f>F112/IS!F$8</f>
        <v>0.37573821279891567</v>
      </c>
      <c r="G113" s="466">
        <f>G112/IS!G$8</f>
        <v>0.38227411944869832</v>
      </c>
      <c r="H113" s="466">
        <f>H112/IS!H$8</f>
        <v>0.37425650557620815</v>
      </c>
      <c r="I113" s="466">
        <f>I112/IS!I$8</f>
        <v>0.42646557600545332</v>
      </c>
      <c r="J113" s="466">
        <f>J112/IS!J$8</f>
        <v>0.37057522123893805</v>
      </c>
      <c r="K113" s="466">
        <f>K112/IS!K$8</f>
        <v>0.34581911856854419</v>
      </c>
      <c r="L113" s="466">
        <f>L112/IS!L$8</f>
        <v>0.37948550960599153</v>
      </c>
      <c r="M113" s="466">
        <f>M112/IS!M$8</f>
        <v>0.37412426783048125</v>
      </c>
      <c r="N113" s="466">
        <f>N112/IS!N$8</f>
        <v>0.39617261263544767</v>
      </c>
      <c r="O113" s="466">
        <f>O112/IS!O$8</f>
        <v>0.38563040978149021</v>
      </c>
      <c r="P113" s="466">
        <f>P112/IS!P$8</f>
        <v>0.40826603325415678</v>
      </c>
      <c r="Q113" s="466">
        <f>Q112/IS!Q$8</f>
        <v>0.39987824675324674</v>
      </c>
      <c r="R113" s="466">
        <f>R112/IS!R$8</f>
        <v>0.48187659110195175</v>
      </c>
      <c r="S113" s="466">
        <f>S112/IS!S$8</f>
        <v>0.58392868847086588</v>
      </c>
      <c r="T113" s="466">
        <f>T112/IS!T$8</f>
        <v>0.55424218544785919</v>
      </c>
      <c r="U113" s="466">
        <f>U112/IS!U$8</f>
        <v>0.53135911030647875</v>
      </c>
      <c r="V113" s="272">
        <f>V112/IS!V$8</f>
        <v>0.51100047589413189</v>
      </c>
      <c r="W113" s="272">
        <f>W112/IS!W$8</f>
        <v>0.57809058699607396</v>
      </c>
      <c r="X113" s="1641">
        <v>0.5</v>
      </c>
      <c r="Y113" s="513">
        <v>0.45</v>
      </c>
      <c r="Z113" s="513">
        <v>0.4</v>
      </c>
      <c r="AA113" s="467">
        <f>+Z113</f>
        <v>0.4</v>
      </c>
      <c r="AB113" s="467">
        <f>+AA113</f>
        <v>0.4</v>
      </c>
    </row>
    <row r="114" spans="1:28" x14ac:dyDescent="0.25">
      <c r="B114" s="102"/>
      <c r="C114" s="102"/>
      <c r="D114" s="102"/>
      <c r="E114" s="102"/>
      <c r="F114" s="102"/>
      <c r="G114" s="102"/>
      <c r="H114" s="102"/>
      <c r="I114" s="102"/>
      <c r="J114" s="102"/>
      <c r="K114" s="49"/>
      <c r="L114" s="49"/>
      <c r="M114" s="49"/>
      <c r="N114" s="49"/>
      <c r="O114" s="49"/>
      <c r="P114" s="49"/>
      <c r="Q114" s="49"/>
      <c r="R114" s="49"/>
      <c r="S114" s="49"/>
      <c r="T114" s="49"/>
      <c r="U114" s="49"/>
      <c r="V114" s="49"/>
      <c r="W114" s="49"/>
      <c r="X114" s="148"/>
      <c r="Y114" s="102"/>
      <c r="Z114" s="102"/>
      <c r="AA114" s="102"/>
      <c r="AB114" s="102"/>
    </row>
    <row r="115" spans="1:28" x14ac:dyDescent="0.25">
      <c r="A115" s="4" t="s">
        <v>678</v>
      </c>
      <c r="B115" s="102"/>
      <c r="C115" s="102">
        <f t="shared" ref="C115:AB115" si="114">-365/((AVERAGE(B105,C105)/C116))</f>
        <v>393.09743402429001</v>
      </c>
      <c r="D115" s="102">
        <f t="shared" si="114"/>
        <v>257.40536364639661</v>
      </c>
      <c r="E115" s="102">
        <f t="shared" si="114"/>
        <v>261.18089486686796</v>
      </c>
      <c r="F115" s="102">
        <f t="shared" si="114"/>
        <v>287.84311446833237</v>
      </c>
      <c r="G115" s="102">
        <f t="shared" si="114"/>
        <v>278.08551122054956</v>
      </c>
      <c r="H115" s="102">
        <f t="shared" si="114"/>
        <v>284.32971014492756</v>
      </c>
      <c r="I115" s="102">
        <f t="shared" si="114"/>
        <v>318.24325030027683</v>
      </c>
      <c r="J115" s="102">
        <f t="shared" si="114"/>
        <v>304.27946560167356</v>
      </c>
      <c r="K115" s="49">
        <f t="shared" si="114"/>
        <v>275.66611483837238</v>
      </c>
      <c r="L115" s="49">
        <f t="shared" si="114"/>
        <v>292.64504834944984</v>
      </c>
      <c r="M115" s="49">
        <f t="shared" si="114"/>
        <v>298.52117565378381</v>
      </c>
      <c r="N115" s="49">
        <f t="shared" si="114"/>
        <v>285.16190548838625</v>
      </c>
      <c r="O115" s="49">
        <f t="shared" si="114"/>
        <v>313.4446913188383</v>
      </c>
      <c r="P115" s="49">
        <f t="shared" si="114"/>
        <v>390.77155774217141</v>
      </c>
      <c r="Q115" s="49">
        <f t="shared" si="114"/>
        <v>342.11492046077893</v>
      </c>
      <c r="R115" s="49">
        <f t="shared" si="114"/>
        <v>315.07740503056664</v>
      </c>
      <c r="S115" s="49">
        <f t="shared" si="114"/>
        <v>425.16421597005132</v>
      </c>
      <c r="T115" s="49">
        <f t="shared" si="114"/>
        <v>500.64499874023687</v>
      </c>
      <c r="U115" s="49">
        <f t="shared" si="114"/>
        <v>491.26935164707254</v>
      </c>
      <c r="V115" s="49">
        <f t="shared" si="114"/>
        <v>475.72727950495789</v>
      </c>
      <c r="W115" s="49">
        <f t="shared" si="114"/>
        <v>517.5888479062703</v>
      </c>
      <c r="X115" s="1615">
        <f t="shared" si="114"/>
        <v>487.37876384563339</v>
      </c>
      <c r="Y115" s="146">
        <f t="shared" si="114"/>
        <v>441.65993208248852</v>
      </c>
      <c r="Z115" s="146">
        <f t="shared" si="114"/>
        <v>401.27712157935508</v>
      </c>
      <c r="AA115" s="146">
        <f t="shared" si="114"/>
        <v>397.37725091137423</v>
      </c>
      <c r="AB115" s="146">
        <f t="shared" si="114"/>
        <v>390.57369454891636</v>
      </c>
    </row>
    <row r="116" spans="1:28" x14ac:dyDescent="0.25">
      <c r="A116" s="4" t="s">
        <v>679</v>
      </c>
      <c r="B116" s="102">
        <f t="shared" ref="B116:T116" si="115">B33</f>
        <v>1322</v>
      </c>
      <c r="C116" s="102">
        <f t="shared" si="115"/>
        <v>5897</v>
      </c>
      <c r="D116" s="102">
        <f t="shared" si="115"/>
        <v>6390</v>
      </c>
      <c r="E116" s="102">
        <f t="shared" si="115"/>
        <v>6517</v>
      </c>
      <c r="F116" s="102">
        <f t="shared" si="115"/>
        <v>6786</v>
      </c>
      <c r="G116" s="102">
        <f t="shared" si="115"/>
        <v>6807</v>
      </c>
      <c r="H116" s="102">
        <f t="shared" si="115"/>
        <v>7095</v>
      </c>
      <c r="I116" s="102">
        <f t="shared" si="115"/>
        <v>8348</v>
      </c>
      <c r="J116" s="102">
        <f t="shared" si="115"/>
        <v>8767</v>
      </c>
      <c r="K116" s="49">
        <f t="shared" si="115"/>
        <v>8668</v>
      </c>
      <c r="L116" s="49">
        <f t="shared" si="115"/>
        <v>9618</v>
      </c>
      <c r="M116" s="49">
        <f t="shared" si="115"/>
        <v>10602</v>
      </c>
      <c r="N116" s="49">
        <f t="shared" si="115"/>
        <v>10242</v>
      </c>
      <c r="O116" s="49">
        <f t="shared" si="115"/>
        <v>10822</v>
      </c>
      <c r="P116" s="49">
        <f t="shared" si="115"/>
        <v>16103</v>
      </c>
      <c r="Q116" s="49">
        <f t="shared" si="115"/>
        <v>17087</v>
      </c>
      <c r="R116" s="49">
        <f t="shared" si="115"/>
        <v>14191</v>
      </c>
      <c r="S116" s="49">
        <f t="shared" si="115"/>
        <v>15091</v>
      </c>
      <c r="T116" s="49">
        <f t="shared" si="115"/>
        <v>19054</v>
      </c>
      <c r="U116" s="49">
        <f t="shared" ref="U116:V116" si="116">U33</f>
        <v>23126</v>
      </c>
      <c r="V116" s="49">
        <f t="shared" si="116"/>
        <v>26223</v>
      </c>
      <c r="W116" s="49">
        <f t="shared" ref="W116" si="117">W33</f>
        <v>32679</v>
      </c>
      <c r="X116" s="1615">
        <f>X117*IS!X$8</f>
        <v>34980.219766149763</v>
      </c>
      <c r="Y116" s="146">
        <f>Y117*IS!Y$8</f>
        <v>35253.475738142173</v>
      </c>
      <c r="Z116" s="146">
        <f>Z117*IS!Z$8</f>
        <v>35043.246187312761</v>
      </c>
      <c r="AA116" s="146">
        <f>AA117*IS!AA$8</f>
        <v>37507.085765105134</v>
      </c>
      <c r="AB116" s="146">
        <f>AB117*IS!AB$8</f>
        <v>38595.863302135185</v>
      </c>
    </row>
    <row r="117" spans="1:28" x14ac:dyDescent="0.25">
      <c r="A117" s="197" t="s">
        <v>680</v>
      </c>
      <c r="B117" s="557"/>
      <c r="C117" s="557"/>
      <c r="D117" s="557"/>
      <c r="E117" s="466">
        <f>E116/IS!E$8</f>
        <v>0.63754646840148699</v>
      </c>
      <c r="F117" s="466">
        <f>F116/IS!F$8</f>
        <v>0.65698518733662503</v>
      </c>
      <c r="G117" s="466">
        <f>G116/IS!G$8</f>
        <v>0.65151225114854516</v>
      </c>
      <c r="H117" s="466">
        <f>H116/IS!H$8</f>
        <v>0.65938661710037172</v>
      </c>
      <c r="I117" s="466">
        <f>I116/IS!I$8</f>
        <v>0.71131561008861621</v>
      </c>
      <c r="J117" s="466">
        <f>J116/IS!J$8</f>
        <v>0.64653392330383486</v>
      </c>
      <c r="K117" s="466">
        <f>K116/IS!K$8</f>
        <v>0.60349509155468917</v>
      </c>
      <c r="L117" s="466">
        <f>L116/IS!L$8</f>
        <v>0.62637577336372519</v>
      </c>
      <c r="M117" s="466">
        <f>M116/IS!M$8</f>
        <v>0.60882048926151378</v>
      </c>
      <c r="N117" s="466">
        <f>N116/IS!N$8</f>
        <v>0.6490083011216019</v>
      </c>
      <c r="O117" s="466">
        <f>O116/IS!O$8</f>
        <v>0.65504509412263179</v>
      </c>
      <c r="P117" s="466">
        <f>P116/IS!P$8</f>
        <v>0.76498812351543943</v>
      </c>
      <c r="Q117" s="466">
        <f>Q116/IS!Q$8</f>
        <v>0.69346590909090911</v>
      </c>
      <c r="R117" s="466">
        <f>R116/IS!R$8</f>
        <v>0.86016486846890527</v>
      </c>
      <c r="S117" s="466">
        <f>S116/IS!S$8</f>
        <v>0.98911974831225014</v>
      </c>
      <c r="T117" s="466">
        <f>T116/IS!T$8</f>
        <v>1.0009981612818493</v>
      </c>
      <c r="U117" s="466">
        <f>U116/IS!U$8</f>
        <v>0.99685331264278632</v>
      </c>
      <c r="V117" s="272">
        <f>V116/IS!V$8</f>
        <v>0.9599516784419958</v>
      </c>
      <c r="W117" s="272">
        <f>W116/IS!W$8</f>
        <v>1.0430910657856938</v>
      </c>
      <c r="X117" s="1641">
        <v>0.94499999999999995</v>
      </c>
      <c r="Y117" s="513">
        <v>0.87</v>
      </c>
      <c r="Z117" s="513">
        <v>0.79</v>
      </c>
      <c r="AA117" s="513">
        <v>0.79</v>
      </c>
      <c r="AB117" s="513">
        <v>0.79</v>
      </c>
    </row>
    <row r="118" spans="1:28" x14ac:dyDescent="0.25">
      <c r="B118" s="102"/>
      <c r="C118" s="102"/>
      <c r="D118" s="102"/>
      <c r="E118" s="101"/>
      <c r="F118" s="101"/>
      <c r="G118" s="101"/>
      <c r="H118" s="101"/>
      <c r="I118" s="101"/>
      <c r="J118" s="101"/>
      <c r="K118" s="101"/>
      <c r="L118" s="101"/>
      <c r="M118" s="101"/>
      <c r="N118" s="101"/>
      <c r="O118" s="101"/>
      <c r="P118" s="101"/>
      <c r="Q118" s="101"/>
      <c r="R118" s="101"/>
      <c r="S118" s="101"/>
      <c r="T118" s="101"/>
      <c r="U118" s="101"/>
      <c r="V118" s="151"/>
      <c r="W118" s="151"/>
      <c r="X118" s="1643"/>
      <c r="Y118" s="1530"/>
      <c r="Z118" s="1530"/>
      <c r="AA118" s="1530"/>
      <c r="AB118" s="1530"/>
    </row>
    <row r="119" spans="1:28" x14ac:dyDescent="0.25">
      <c r="A119" s="186" t="s">
        <v>681</v>
      </c>
      <c r="B119" s="102"/>
      <c r="C119" s="102"/>
      <c r="D119" s="102"/>
      <c r="E119" s="102"/>
      <c r="F119" s="102"/>
      <c r="G119" s="102"/>
      <c r="H119" s="102"/>
      <c r="I119" s="102"/>
      <c r="J119" s="102"/>
      <c r="K119" s="49"/>
      <c r="L119" s="49"/>
      <c r="M119" s="49"/>
      <c r="N119" s="49"/>
      <c r="O119" s="49"/>
      <c r="P119" s="49"/>
      <c r="Q119" s="49"/>
      <c r="R119" s="49"/>
      <c r="S119" s="49"/>
      <c r="T119" s="49"/>
      <c r="U119" s="49"/>
      <c r="V119" s="49"/>
      <c r="W119" s="49"/>
      <c r="X119" s="1644"/>
      <c r="Y119" s="1531"/>
      <c r="Z119" s="1531"/>
      <c r="AA119" s="1531"/>
      <c r="AB119" s="1531"/>
    </row>
    <row r="120" spans="1:28" x14ac:dyDescent="0.25">
      <c r="A120" s="4" t="s">
        <v>673</v>
      </c>
      <c r="B120" s="102">
        <f t="shared" ref="B120:AB120" si="118">B108</f>
        <v>651</v>
      </c>
      <c r="C120" s="102">
        <f t="shared" si="118"/>
        <v>2870</v>
      </c>
      <c r="D120" s="102">
        <f t="shared" si="118"/>
        <v>3240</v>
      </c>
      <c r="E120" s="102">
        <f t="shared" si="118"/>
        <v>3420</v>
      </c>
      <c r="F120" s="102">
        <f t="shared" si="118"/>
        <v>3673</v>
      </c>
      <c r="G120" s="102">
        <f t="shared" si="118"/>
        <v>3382</v>
      </c>
      <c r="H120" s="102">
        <f t="shared" si="118"/>
        <v>3508</v>
      </c>
      <c r="I120" s="102">
        <f t="shared" si="118"/>
        <v>3799</v>
      </c>
      <c r="J120" s="102">
        <f t="shared" si="118"/>
        <v>4131</v>
      </c>
      <c r="K120" s="49">
        <f t="shared" si="118"/>
        <v>3998</v>
      </c>
      <c r="L120" s="49">
        <f t="shared" si="118"/>
        <v>4265</v>
      </c>
      <c r="M120" s="49">
        <f t="shared" si="118"/>
        <v>4518</v>
      </c>
      <c r="N120" s="49">
        <f t="shared" si="118"/>
        <v>4247</v>
      </c>
      <c r="O120" s="49">
        <f t="shared" si="118"/>
        <v>4496</v>
      </c>
      <c r="P120" s="49">
        <f t="shared" si="118"/>
        <v>5558</v>
      </c>
      <c r="Q120" s="49">
        <f t="shared" si="118"/>
        <v>6312</v>
      </c>
      <c r="R120" s="49">
        <f t="shared" si="118"/>
        <v>5190</v>
      </c>
      <c r="S120" s="49">
        <f t="shared" si="118"/>
        <v>5063</v>
      </c>
      <c r="T120" s="49">
        <f t="shared" si="118"/>
        <v>6408</v>
      </c>
      <c r="U120" s="49">
        <f t="shared" ref="U120:V120" si="119">U108</f>
        <v>7903</v>
      </c>
      <c r="V120" s="49">
        <f t="shared" si="119"/>
        <v>9491</v>
      </c>
      <c r="W120" s="49">
        <f t="shared" ref="W120" si="120">W108</f>
        <v>10285</v>
      </c>
      <c r="X120" s="1615">
        <f t="shared" si="118"/>
        <v>11104.831671793576</v>
      </c>
      <c r="Y120" s="491">
        <f t="shared" si="118"/>
        <v>11143.340032171376</v>
      </c>
      <c r="Z120" s="491">
        <f t="shared" si="118"/>
        <v>11089.634869402773</v>
      </c>
      <c r="AA120" s="491">
        <f t="shared" si="118"/>
        <v>11869.330938324409</v>
      </c>
      <c r="AB120" s="491">
        <f t="shared" si="118"/>
        <v>12213.880791814932</v>
      </c>
    </row>
    <row r="121" spans="1:28" x14ac:dyDescent="0.25">
      <c r="A121" s="4" t="s">
        <v>682</v>
      </c>
      <c r="B121" s="50">
        <f t="shared" ref="B121:AB121" si="121">B112</f>
        <v>1350</v>
      </c>
      <c r="C121" s="50">
        <f t="shared" si="121"/>
        <v>4034</v>
      </c>
      <c r="D121" s="50">
        <f t="shared" si="121"/>
        <v>4218</v>
      </c>
      <c r="E121" s="50">
        <f t="shared" si="121"/>
        <v>3926</v>
      </c>
      <c r="F121" s="50">
        <f t="shared" si="121"/>
        <v>3881</v>
      </c>
      <c r="G121" s="50">
        <f t="shared" si="121"/>
        <v>3994</v>
      </c>
      <c r="H121" s="50">
        <f t="shared" si="121"/>
        <v>4027</v>
      </c>
      <c r="I121" s="50">
        <f t="shared" si="121"/>
        <v>5005</v>
      </c>
      <c r="J121" s="50">
        <f t="shared" si="121"/>
        <v>5025</v>
      </c>
      <c r="K121" s="53">
        <f t="shared" si="121"/>
        <v>4967</v>
      </c>
      <c r="L121" s="53">
        <f t="shared" si="121"/>
        <v>5827</v>
      </c>
      <c r="M121" s="53">
        <f t="shared" si="121"/>
        <v>6515</v>
      </c>
      <c r="N121" s="53">
        <f t="shared" si="121"/>
        <v>6252</v>
      </c>
      <c r="O121" s="53">
        <f t="shared" si="121"/>
        <v>6371</v>
      </c>
      <c r="P121" s="53">
        <f t="shared" si="121"/>
        <v>8594</v>
      </c>
      <c r="Q121" s="53">
        <f t="shared" si="121"/>
        <v>9853</v>
      </c>
      <c r="R121" s="53">
        <f t="shared" si="121"/>
        <v>7950</v>
      </c>
      <c r="S121" s="53">
        <f t="shared" si="121"/>
        <v>8909</v>
      </c>
      <c r="T121" s="53">
        <f t="shared" si="121"/>
        <v>10550</v>
      </c>
      <c r="U121" s="53">
        <f t="shared" ref="U121:V121" si="122">U112</f>
        <v>12327</v>
      </c>
      <c r="V121" s="53">
        <f t="shared" si="122"/>
        <v>13959</v>
      </c>
      <c r="W121" s="53">
        <f t="shared" ref="W121" si="123">W112</f>
        <v>18111</v>
      </c>
      <c r="X121" s="1596">
        <f t="shared" si="121"/>
        <v>18508.052786322627</v>
      </c>
      <c r="Y121" s="59">
        <f t="shared" si="121"/>
        <v>18234.556416280433</v>
      </c>
      <c r="Z121" s="59">
        <f t="shared" si="121"/>
        <v>17743.415791044437</v>
      </c>
      <c r="AA121" s="59">
        <f t="shared" si="121"/>
        <v>18990.929501319053</v>
      </c>
      <c r="AB121" s="59">
        <f t="shared" si="121"/>
        <v>19542.209266903894</v>
      </c>
    </row>
    <row r="122" spans="1:28" x14ac:dyDescent="0.25">
      <c r="A122" s="4" t="s">
        <v>619</v>
      </c>
      <c r="B122" s="102">
        <f t="shared" ref="B122:T122" si="124">B25</f>
        <v>2</v>
      </c>
      <c r="C122" s="102">
        <f t="shared" si="124"/>
        <v>26</v>
      </c>
      <c r="D122" s="102">
        <f t="shared" si="124"/>
        <v>16</v>
      </c>
      <c r="E122" s="102">
        <f t="shared" si="124"/>
        <v>10</v>
      </c>
      <c r="F122" s="102">
        <f t="shared" si="124"/>
        <v>9</v>
      </c>
      <c r="G122" s="102">
        <f t="shared" si="124"/>
        <v>1</v>
      </c>
      <c r="H122" s="102">
        <f t="shared" si="124"/>
        <v>12</v>
      </c>
      <c r="I122" s="102">
        <f t="shared" si="124"/>
        <v>12</v>
      </c>
      <c r="J122" s="102">
        <f t="shared" si="124"/>
        <v>13</v>
      </c>
      <c r="K122" s="49">
        <f t="shared" si="124"/>
        <v>12</v>
      </c>
      <c r="L122" s="49">
        <f t="shared" si="124"/>
        <v>29</v>
      </c>
      <c r="M122" s="49">
        <f t="shared" si="124"/>
        <v>35</v>
      </c>
      <c r="N122" s="49">
        <f t="shared" si="124"/>
        <v>28</v>
      </c>
      <c r="O122" s="49">
        <f t="shared" si="124"/>
        <v>16</v>
      </c>
      <c r="P122" s="49">
        <f t="shared" si="124"/>
        <v>17</v>
      </c>
      <c r="Q122" s="49">
        <f t="shared" si="124"/>
        <v>37</v>
      </c>
      <c r="R122" s="49">
        <f t="shared" si="124"/>
        <v>56</v>
      </c>
      <c r="S122" s="49">
        <f t="shared" si="124"/>
        <v>34</v>
      </c>
      <c r="T122" s="49">
        <f t="shared" si="124"/>
        <v>26</v>
      </c>
      <c r="U122" s="49">
        <f t="shared" ref="U122:V122" si="125">U25</f>
        <v>7</v>
      </c>
      <c r="V122" s="49">
        <f t="shared" si="125"/>
        <v>7</v>
      </c>
      <c r="W122" s="49">
        <f t="shared" ref="W122" si="126">W25</f>
        <v>5</v>
      </c>
      <c r="X122" s="1615">
        <f t="shared" ref="X122:AB122" si="127">+W122</f>
        <v>5</v>
      </c>
      <c r="Y122" s="491">
        <f t="shared" si="127"/>
        <v>5</v>
      </c>
      <c r="Z122" s="491">
        <f t="shared" si="127"/>
        <v>5</v>
      </c>
      <c r="AA122" s="491">
        <f t="shared" si="127"/>
        <v>5</v>
      </c>
      <c r="AB122" s="491">
        <f t="shared" si="127"/>
        <v>5</v>
      </c>
    </row>
    <row r="123" spans="1:28" x14ac:dyDescent="0.25">
      <c r="A123" s="186" t="s">
        <v>683</v>
      </c>
      <c r="B123" s="70">
        <f t="shared" ref="B123:G123" si="128">SUM(B120:B122)</f>
        <v>2003</v>
      </c>
      <c r="C123" s="70">
        <f t="shared" si="128"/>
        <v>6930</v>
      </c>
      <c r="D123" s="70">
        <f t="shared" si="128"/>
        <v>7474</v>
      </c>
      <c r="E123" s="70">
        <f t="shared" si="128"/>
        <v>7356</v>
      </c>
      <c r="F123" s="70">
        <f t="shared" si="128"/>
        <v>7563</v>
      </c>
      <c r="G123" s="70">
        <f t="shared" si="128"/>
        <v>7377</v>
      </c>
      <c r="H123" s="70">
        <f t="shared" ref="H123:AB123" si="129">+SUM(H120:H122)</f>
        <v>7547</v>
      </c>
      <c r="I123" s="70">
        <f t="shared" si="129"/>
        <v>8816</v>
      </c>
      <c r="J123" s="70">
        <f t="shared" si="129"/>
        <v>9169</v>
      </c>
      <c r="K123" s="70">
        <f t="shared" si="129"/>
        <v>8977</v>
      </c>
      <c r="L123" s="70">
        <f t="shared" si="129"/>
        <v>10121</v>
      </c>
      <c r="M123" s="70">
        <f t="shared" si="129"/>
        <v>11068</v>
      </c>
      <c r="N123" s="70">
        <f t="shared" si="129"/>
        <v>10527</v>
      </c>
      <c r="O123" s="70">
        <f t="shared" si="129"/>
        <v>10883</v>
      </c>
      <c r="P123" s="70">
        <f t="shared" si="129"/>
        <v>14169</v>
      </c>
      <c r="Q123" s="70">
        <f t="shared" si="129"/>
        <v>16202</v>
      </c>
      <c r="R123" s="70">
        <f t="shared" si="129"/>
        <v>13196</v>
      </c>
      <c r="S123" s="70">
        <f t="shared" si="129"/>
        <v>14006</v>
      </c>
      <c r="T123" s="70">
        <f t="shared" si="129"/>
        <v>16984</v>
      </c>
      <c r="U123" s="70">
        <f t="shared" ref="U123:V123" si="130">+SUM(U120:U122)</f>
        <v>20237</v>
      </c>
      <c r="V123" s="70">
        <f t="shared" si="130"/>
        <v>23457</v>
      </c>
      <c r="W123" s="70">
        <f t="shared" ref="W123" si="131">+SUM(W120:W122)</f>
        <v>28401</v>
      </c>
      <c r="X123" s="1602">
        <f t="shared" si="129"/>
        <v>29617.884458116205</v>
      </c>
      <c r="Y123" s="542">
        <f t="shared" si="129"/>
        <v>29382.896448451807</v>
      </c>
      <c r="Z123" s="542">
        <f t="shared" si="129"/>
        <v>28838.05066044721</v>
      </c>
      <c r="AA123" s="542">
        <f t="shared" si="129"/>
        <v>30865.260439643462</v>
      </c>
      <c r="AB123" s="542">
        <f t="shared" si="129"/>
        <v>31761.090058718826</v>
      </c>
    </row>
    <row r="124" spans="1:28" x14ac:dyDescent="0.25">
      <c r="B124" s="53"/>
      <c r="C124" s="53"/>
      <c r="D124" s="53"/>
      <c r="E124" s="53"/>
      <c r="F124" s="53"/>
      <c r="G124" s="53"/>
      <c r="H124" s="53"/>
      <c r="I124" s="53"/>
      <c r="J124" s="53"/>
      <c r="K124" s="53"/>
      <c r="L124" s="53"/>
      <c r="M124" s="53"/>
      <c r="N124" s="53"/>
      <c r="O124" s="53"/>
      <c r="P124" s="53"/>
      <c r="Q124" s="53"/>
      <c r="R124" s="53"/>
      <c r="S124" s="53"/>
      <c r="T124" s="53"/>
      <c r="U124" s="53"/>
      <c r="V124" s="53"/>
      <c r="W124" s="53"/>
      <c r="X124" s="56"/>
      <c r="Y124" s="53"/>
      <c r="Z124" s="53"/>
      <c r="AA124" s="53"/>
      <c r="AB124" s="53"/>
    </row>
    <row r="125" spans="1:28" x14ac:dyDescent="0.25">
      <c r="A125" s="186" t="s">
        <v>684</v>
      </c>
      <c r="B125" s="53"/>
      <c r="C125" s="53"/>
      <c r="D125" s="53"/>
      <c r="E125" s="53"/>
      <c r="F125" s="53"/>
      <c r="G125" s="53"/>
      <c r="H125" s="53"/>
      <c r="I125" s="53"/>
      <c r="J125" s="53"/>
      <c r="K125" s="53"/>
      <c r="L125" s="53"/>
      <c r="M125" s="53"/>
      <c r="N125" s="53"/>
      <c r="O125" s="53"/>
      <c r="P125" s="53"/>
      <c r="Q125" s="53"/>
      <c r="R125" s="53"/>
      <c r="S125" s="53"/>
      <c r="T125" s="53"/>
      <c r="U125" s="53"/>
      <c r="V125" s="53"/>
      <c r="W125" s="53"/>
      <c r="X125" s="56"/>
      <c r="Y125" s="53"/>
      <c r="Z125" s="53"/>
      <c r="AA125" s="53"/>
      <c r="AB125" s="53"/>
    </row>
    <row r="126" spans="1:28" x14ac:dyDescent="0.25">
      <c r="A126" s="4" t="s">
        <v>685</v>
      </c>
      <c r="B126" s="53">
        <f t="shared" ref="B126:AB126" si="132">B116</f>
        <v>1322</v>
      </c>
      <c r="C126" s="53">
        <f t="shared" si="132"/>
        <v>5897</v>
      </c>
      <c r="D126" s="53">
        <f t="shared" si="132"/>
        <v>6390</v>
      </c>
      <c r="E126" s="53">
        <f t="shared" si="132"/>
        <v>6517</v>
      </c>
      <c r="F126" s="53">
        <f t="shared" si="132"/>
        <v>6786</v>
      </c>
      <c r="G126" s="53">
        <f t="shared" si="132"/>
        <v>6807</v>
      </c>
      <c r="H126" s="53">
        <f t="shared" si="132"/>
        <v>7095</v>
      </c>
      <c r="I126" s="53">
        <f t="shared" si="132"/>
        <v>8348</v>
      </c>
      <c r="J126" s="53">
        <f t="shared" si="132"/>
        <v>8767</v>
      </c>
      <c r="K126" s="53">
        <f t="shared" si="132"/>
        <v>8668</v>
      </c>
      <c r="L126" s="53">
        <f t="shared" si="132"/>
        <v>9618</v>
      </c>
      <c r="M126" s="53">
        <f t="shared" si="132"/>
        <v>10602</v>
      </c>
      <c r="N126" s="53">
        <f t="shared" si="132"/>
        <v>10242</v>
      </c>
      <c r="O126" s="53">
        <f t="shared" si="132"/>
        <v>10822</v>
      </c>
      <c r="P126" s="53">
        <f t="shared" si="132"/>
        <v>16103</v>
      </c>
      <c r="Q126" s="53">
        <f t="shared" si="132"/>
        <v>17087</v>
      </c>
      <c r="R126" s="53">
        <f t="shared" si="132"/>
        <v>14191</v>
      </c>
      <c r="S126" s="53">
        <f t="shared" si="132"/>
        <v>15091</v>
      </c>
      <c r="T126" s="53">
        <f t="shared" si="132"/>
        <v>19054</v>
      </c>
      <c r="U126" s="53">
        <f t="shared" ref="U126:V126" si="133">U116</f>
        <v>23126</v>
      </c>
      <c r="V126" s="53">
        <f t="shared" si="133"/>
        <v>26223</v>
      </c>
      <c r="W126" s="53">
        <f t="shared" ref="W126" si="134">W116</f>
        <v>32679</v>
      </c>
      <c r="X126" s="1596">
        <f t="shared" si="132"/>
        <v>34980.219766149763</v>
      </c>
      <c r="Y126" s="106">
        <f t="shared" si="132"/>
        <v>35253.475738142173</v>
      </c>
      <c r="Z126" s="106">
        <f t="shared" si="132"/>
        <v>35043.246187312761</v>
      </c>
      <c r="AA126" s="106">
        <f t="shared" si="132"/>
        <v>37507.085765105134</v>
      </c>
      <c r="AB126" s="106">
        <f t="shared" si="132"/>
        <v>38595.863302135185</v>
      </c>
    </row>
    <row r="127" spans="1:28" x14ac:dyDescent="0.25">
      <c r="A127" s="4" t="s">
        <v>686</v>
      </c>
      <c r="B127" s="53">
        <f t="shared" ref="B127:AB127" si="135">B37+B45</f>
        <v>74</v>
      </c>
      <c r="C127" s="53">
        <f t="shared" si="135"/>
        <v>287</v>
      </c>
      <c r="D127" s="53">
        <f t="shared" si="135"/>
        <v>262</v>
      </c>
      <c r="E127" s="53">
        <f t="shared" si="135"/>
        <v>687</v>
      </c>
      <c r="F127" s="53">
        <f t="shared" si="135"/>
        <v>334</v>
      </c>
      <c r="G127" s="53">
        <f t="shared" si="135"/>
        <v>337</v>
      </c>
      <c r="H127" s="53">
        <f t="shared" si="135"/>
        <v>327</v>
      </c>
      <c r="I127" s="53">
        <f t="shared" si="135"/>
        <v>199</v>
      </c>
      <c r="J127" s="53">
        <f t="shared" si="135"/>
        <v>107</v>
      </c>
      <c r="K127" s="53">
        <f t="shared" si="135"/>
        <v>204</v>
      </c>
      <c r="L127" s="53">
        <f t="shared" si="135"/>
        <v>226</v>
      </c>
      <c r="M127" s="53">
        <f t="shared" si="135"/>
        <v>148</v>
      </c>
      <c r="N127" s="53">
        <f t="shared" si="135"/>
        <v>1156</v>
      </c>
      <c r="O127" s="53">
        <f t="shared" si="135"/>
        <v>152</v>
      </c>
      <c r="P127" s="53">
        <f t="shared" si="135"/>
        <v>122</v>
      </c>
      <c r="Q127" s="53">
        <f t="shared" si="135"/>
        <v>122</v>
      </c>
      <c r="R127" s="53">
        <f t="shared" si="135"/>
        <v>79</v>
      </c>
      <c r="S127" s="53">
        <f t="shared" si="135"/>
        <v>186</v>
      </c>
      <c r="T127" s="53">
        <f t="shared" si="135"/>
        <v>267</v>
      </c>
      <c r="U127" s="53">
        <f t="shared" ref="U127:V127" si="136">U37+U45</f>
        <v>191</v>
      </c>
      <c r="V127" s="53">
        <f t="shared" si="136"/>
        <v>174</v>
      </c>
      <c r="W127" s="53">
        <f t="shared" ref="W127" si="137">W37+W45</f>
        <v>357</v>
      </c>
      <c r="X127" s="1596">
        <f t="shared" si="135"/>
        <v>386.0222421588262</v>
      </c>
      <c r="Y127" s="106">
        <f t="shared" si="135"/>
        <v>385.84479771201819</v>
      </c>
      <c r="Z127" s="106">
        <f t="shared" si="135"/>
        <v>323.73696353283964</v>
      </c>
      <c r="AA127" s="106">
        <f t="shared" si="135"/>
        <v>179.57169827303272</v>
      </c>
      <c r="AB127" s="106">
        <f t="shared" si="135"/>
        <v>57.582716136416536</v>
      </c>
    </row>
    <row r="128" spans="1:28" x14ac:dyDescent="0.25">
      <c r="A128" s="186" t="s">
        <v>687</v>
      </c>
      <c r="B128" s="70">
        <f t="shared" ref="B128:AB128" si="138">SUM(B126:B127)</f>
        <v>1396</v>
      </c>
      <c r="C128" s="70">
        <f t="shared" si="138"/>
        <v>6184</v>
      </c>
      <c r="D128" s="70">
        <f t="shared" si="138"/>
        <v>6652</v>
      </c>
      <c r="E128" s="70">
        <f t="shared" si="138"/>
        <v>7204</v>
      </c>
      <c r="F128" s="70">
        <f t="shared" si="138"/>
        <v>7120</v>
      </c>
      <c r="G128" s="70">
        <f t="shared" si="138"/>
        <v>7144</v>
      </c>
      <c r="H128" s="70">
        <f t="shared" si="138"/>
        <v>7422</v>
      </c>
      <c r="I128" s="70">
        <f t="shared" si="138"/>
        <v>8547</v>
      </c>
      <c r="J128" s="70">
        <f t="shared" si="138"/>
        <v>8874</v>
      </c>
      <c r="K128" s="70">
        <f t="shared" si="138"/>
        <v>8872</v>
      </c>
      <c r="L128" s="70">
        <f t="shared" si="138"/>
        <v>9844</v>
      </c>
      <c r="M128" s="70">
        <f t="shared" si="138"/>
        <v>10750</v>
      </c>
      <c r="N128" s="70">
        <f t="shared" si="138"/>
        <v>11398</v>
      </c>
      <c r="O128" s="70">
        <f t="shared" si="138"/>
        <v>10974</v>
      </c>
      <c r="P128" s="70">
        <f t="shared" si="138"/>
        <v>16225</v>
      </c>
      <c r="Q128" s="70">
        <f t="shared" si="138"/>
        <v>17209</v>
      </c>
      <c r="R128" s="70">
        <f t="shared" si="138"/>
        <v>14270</v>
      </c>
      <c r="S128" s="70">
        <f t="shared" si="138"/>
        <v>15277</v>
      </c>
      <c r="T128" s="70">
        <f t="shared" si="138"/>
        <v>19321</v>
      </c>
      <c r="U128" s="70">
        <f t="shared" ref="U128:V128" si="139">SUM(U126:U127)</f>
        <v>23317</v>
      </c>
      <c r="V128" s="70">
        <f t="shared" si="139"/>
        <v>26397</v>
      </c>
      <c r="W128" s="70">
        <f t="shared" ref="W128" si="140">SUM(W126:W127)</f>
        <v>33036</v>
      </c>
      <c r="X128" s="1602">
        <f t="shared" si="138"/>
        <v>35366.242008308589</v>
      </c>
      <c r="Y128" s="542">
        <f t="shared" si="138"/>
        <v>35639.320535854189</v>
      </c>
      <c r="Z128" s="542">
        <f t="shared" si="138"/>
        <v>35366.983150845605</v>
      </c>
      <c r="AA128" s="542">
        <f t="shared" si="138"/>
        <v>37686.657463378164</v>
      </c>
      <c r="AB128" s="542">
        <f t="shared" si="138"/>
        <v>38653.446018271599</v>
      </c>
    </row>
    <row r="129" spans="1:28" x14ac:dyDescent="0.25">
      <c r="A129" s="186"/>
      <c r="B129" s="53"/>
      <c r="C129" s="53"/>
      <c r="D129" s="53"/>
      <c r="E129" s="53"/>
      <c r="F129" s="53"/>
      <c r="G129" s="53"/>
      <c r="H129" s="53"/>
      <c r="I129" s="53"/>
      <c r="J129" s="53"/>
      <c r="K129" s="53"/>
      <c r="L129" s="53"/>
      <c r="M129" s="53"/>
      <c r="N129" s="53"/>
      <c r="O129" s="53"/>
      <c r="P129" s="53"/>
      <c r="Q129" s="53"/>
      <c r="R129" s="53"/>
      <c r="S129" s="53"/>
      <c r="T129" s="53"/>
      <c r="U129" s="53"/>
      <c r="V129" s="53"/>
      <c r="W129" s="1655"/>
      <c r="X129" s="1596"/>
      <c r="Y129" s="106"/>
      <c r="Z129" s="106"/>
      <c r="AA129" s="106"/>
      <c r="AB129" s="106"/>
    </row>
    <row r="130" spans="1:28" x14ac:dyDescent="0.25">
      <c r="A130" s="419" t="s">
        <v>688</v>
      </c>
      <c r="B130" s="544">
        <f>+B123-B128</f>
        <v>607</v>
      </c>
      <c r="C130" s="544">
        <f>+C123-C128</f>
        <v>746</v>
      </c>
      <c r="D130" s="544">
        <f t="shared" ref="D130:AB130" si="141">D123-D128</f>
        <v>822</v>
      </c>
      <c r="E130" s="544">
        <f t="shared" si="141"/>
        <v>152</v>
      </c>
      <c r="F130" s="544">
        <f t="shared" si="141"/>
        <v>443</v>
      </c>
      <c r="G130" s="544">
        <f t="shared" si="141"/>
        <v>233</v>
      </c>
      <c r="H130" s="544">
        <f t="shared" si="141"/>
        <v>125</v>
      </c>
      <c r="I130" s="544">
        <f t="shared" si="141"/>
        <v>269</v>
      </c>
      <c r="J130" s="544">
        <f t="shared" si="141"/>
        <v>295</v>
      </c>
      <c r="K130" s="544">
        <f t="shared" si="141"/>
        <v>105</v>
      </c>
      <c r="L130" s="544">
        <f t="shared" si="141"/>
        <v>277</v>
      </c>
      <c r="M130" s="544">
        <f t="shared" si="141"/>
        <v>318</v>
      </c>
      <c r="N130" s="544">
        <f t="shared" si="141"/>
        <v>-871</v>
      </c>
      <c r="O130" s="544">
        <f t="shared" si="141"/>
        <v>-91</v>
      </c>
      <c r="P130" s="544">
        <f t="shared" si="141"/>
        <v>-2056</v>
      </c>
      <c r="Q130" s="544">
        <f t="shared" si="141"/>
        <v>-1007</v>
      </c>
      <c r="R130" s="544">
        <f t="shared" si="141"/>
        <v>-1074</v>
      </c>
      <c r="S130" s="544">
        <f t="shared" si="141"/>
        <v>-1271</v>
      </c>
      <c r="T130" s="544">
        <f t="shared" si="141"/>
        <v>-2337</v>
      </c>
      <c r="U130" s="544">
        <f t="shared" ref="U130:V130" si="142">U123-U128</f>
        <v>-3080</v>
      </c>
      <c r="V130" s="544">
        <f t="shared" si="142"/>
        <v>-2940</v>
      </c>
      <c r="W130" s="544">
        <f t="shared" ref="W130" si="143">W123-W128</f>
        <v>-4635</v>
      </c>
      <c r="X130" s="1636">
        <f t="shared" si="141"/>
        <v>-5748.3575501923842</v>
      </c>
      <c r="Y130" s="546">
        <f t="shared" si="141"/>
        <v>-6256.4240874023817</v>
      </c>
      <c r="Z130" s="546">
        <f t="shared" si="141"/>
        <v>-6528.9324903983943</v>
      </c>
      <c r="AA130" s="546">
        <f t="shared" si="141"/>
        <v>-6821.3970237347021</v>
      </c>
      <c r="AB130" s="546">
        <f t="shared" si="141"/>
        <v>-6892.3559595527731</v>
      </c>
    </row>
    <row r="131" spans="1:28" x14ac:dyDescent="0.25">
      <c r="A131" s="197" t="s">
        <v>690</v>
      </c>
      <c r="B131" s="50"/>
      <c r="C131" s="124"/>
      <c r="D131" s="124"/>
      <c r="E131" s="1473" t="e">
        <f>E130/IS!E6</f>
        <v>#DIV/0!</v>
      </c>
      <c r="F131" s="1473" t="e">
        <f>F130/IS!F6</f>
        <v>#DIV/0!</v>
      </c>
      <c r="G131" s="1473" t="e">
        <f>G130/IS!G6</f>
        <v>#DIV/0!</v>
      </c>
      <c r="H131" s="1473" t="e">
        <f>H130/IS!H6</f>
        <v>#DIV/0!</v>
      </c>
      <c r="I131" s="1473" t="e">
        <f>I130/IS!I6</f>
        <v>#DIV/0!</v>
      </c>
      <c r="J131" s="1473" t="e">
        <f>J130/IS!J6</f>
        <v>#DIV/0!</v>
      </c>
      <c r="K131" s="1473" t="e">
        <f>K130/IS!K6</f>
        <v>#DIV/0!</v>
      </c>
      <c r="L131" s="1522">
        <f>L130/IS!L8</f>
        <v>1.8039726473461415E-2</v>
      </c>
      <c r="M131" s="1522">
        <f>M130/IS!M8</f>
        <v>1.8261169174227633E-2</v>
      </c>
      <c r="N131" s="1522">
        <f>N130/IS!N8</f>
        <v>-5.5192953551739435E-2</v>
      </c>
      <c r="O131" s="1522">
        <f>O130/IS!O8</f>
        <v>-5.5081411536831914E-3</v>
      </c>
      <c r="P131" s="1522">
        <f>P130/IS!P8</f>
        <v>-9.7672209026128262E-2</v>
      </c>
      <c r="Q131" s="1522">
        <f>Q130/IS!Q8</f>
        <v>-4.0868506493506492E-2</v>
      </c>
      <c r="R131" s="1522">
        <f>R130/IS!R8</f>
        <v>-6.5098799854527822E-2</v>
      </c>
      <c r="S131" s="1522">
        <f>S130/IS!S8</f>
        <v>-8.3306023464639181E-2</v>
      </c>
      <c r="T131" s="1522">
        <f>T130/IS!T8</f>
        <v>-0.12277383766745469</v>
      </c>
      <c r="U131" s="1522">
        <f>U130/IS!U8</f>
        <v>-0.13276434329065909</v>
      </c>
      <c r="V131" s="1522">
        <f>V130/IS!V8</f>
        <v>-0.10762528828202218</v>
      </c>
      <c r="W131" s="1522">
        <f>W130/IS!W8</f>
        <v>-0.14794599253088192</v>
      </c>
      <c r="X131" s="1645">
        <f>X130/IS!X8</f>
        <v>-0.1552934178586414</v>
      </c>
      <c r="Y131" s="1474">
        <f>Y130/IS!Y8</f>
        <v>-0.15439864700066927</v>
      </c>
      <c r="Z131" s="1474">
        <f>Z130/IS!Z8</f>
        <v>-0.14718547020002126</v>
      </c>
      <c r="AA131" s="1474">
        <f>AA130/IS!AA8</f>
        <v>-0.14367694900370007</v>
      </c>
      <c r="AB131" s="1474">
        <f>AB130/IS!AB8</f>
        <v>-0.14107629010452699</v>
      </c>
    </row>
    <row r="132" spans="1:28" x14ac:dyDescent="0.25">
      <c r="A132" s="1523" t="s">
        <v>689</v>
      </c>
      <c r="B132" s="1524"/>
      <c r="C132" s="1524">
        <f t="shared" ref="C132:AB132" si="144">C130-B130</f>
        <v>139</v>
      </c>
      <c r="D132" s="1524">
        <f t="shared" si="144"/>
        <v>76</v>
      </c>
      <c r="E132" s="1524">
        <f t="shared" si="144"/>
        <v>-670</v>
      </c>
      <c r="F132" s="1524">
        <f t="shared" si="144"/>
        <v>291</v>
      </c>
      <c r="G132" s="1524">
        <f t="shared" si="144"/>
        <v>-210</v>
      </c>
      <c r="H132" s="1525">
        <f t="shared" si="144"/>
        <v>-108</v>
      </c>
      <c r="I132" s="1524">
        <f t="shared" si="144"/>
        <v>144</v>
      </c>
      <c r="J132" s="1524">
        <f t="shared" si="144"/>
        <v>26</v>
      </c>
      <c r="K132" s="1524">
        <f t="shared" si="144"/>
        <v>-190</v>
      </c>
      <c r="L132" s="1524">
        <f t="shared" si="144"/>
        <v>172</v>
      </c>
      <c r="M132" s="1524">
        <f t="shared" si="144"/>
        <v>41</v>
      </c>
      <c r="N132" s="1524">
        <f t="shared" si="144"/>
        <v>-1189</v>
      </c>
      <c r="O132" s="1524">
        <f t="shared" si="144"/>
        <v>780</v>
      </c>
      <c r="P132" s="1524">
        <f t="shared" si="144"/>
        <v>-1965</v>
      </c>
      <c r="Q132" s="1524">
        <f t="shared" si="144"/>
        <v>1049</v>
      </c>
      <c r="R132" s="1524">
        <f t="shared" si="144"/>
        <v>-67</v>
      </c>
      <c r="S132" s="1524">
        <f t="shared" si="144"/>
        <v>-197</v>
      </c>
      <c r="T132" s="1524">
        <f t="shared" si="144"/>
        <v>-1066</v>
      </c>
      <c r="U132" s="1524">
        <f t="shared" si="144"/>
        <v>-743</v>
      </c>
      <c r="V132" s="1524">
        <f t="shared" si="144"/>
        <v>140</v>
      </c>
      <c r="W132" s="1524">
        <f t="shared" si="144"/>
        <v>-1695</v>
      </c>
      <c r="X132" s="1646">
        <f t="shared" si="144"/>
        <v>-1113.3575501923842</v>
      </c>
      <c r="Y132" s="1526">
        <f t="shared" si="144"/>
        <v>-508.06653720999748</v>
      </c>
      <c r="Z132" s="1526">
        <f t="shared" si="144"/>
        <v>-272.50840299601259</v>
      </c>
      <c r="AA132" s="1526">
        <f t="shared" si="144"/>
        <v>-292.4645333363078</v>
      </c>
      <c r="AB132" s="1526">
        <f t="shared" si="144"/>
        <v>-70.958935818071041</v>
      </c>
    </row>
    <row r="133" spans="1:28" x14ac:dyDescent="0.25">
      <c r="A133" s="197" t="s">
        <v>690</v>
      </c>
      <c r="B133" s="53"/>
      <c r="C133" s="124"/>
      <c r="D133" s="124"/>
      <c r="E133" s="1473">
        <f>E132/IS!E8</f>
        <v>-6.5544903150068473E-2</v>
      </c>
      <c r="F133" s="1473">
        <f>F132/IS!F8</f>
        <v>2.8173104850421144E-2</v>
      </c>
      <c r="G133" s="1473">
        <f>G132/IS!G8</f>
        <v>-2.0099540581929556E-2</v>
      </c>
      <c r="H133" s="1473">
        <f>H132/IS!H8</f>
        <v>-1.0037174721189592E-2</v>
      </c>
      <c r="I133" s="1473">
        <f>I132/IS!I8</f>
        <v>1.2269938650306749E-2</v>
      </c>
      <c r="J133" s="1473">
        <f>J132/IS!J8</f>
        <v>1.9174041297935103E-3</v>
      </c>
      <c r="K133" s="1473">
        <f>K132/IS!K8</f>
        <v>-1.3228434171134165E-2</v>
      </c>
      <c r="L133" s="1473">
        <f>L132/IS!L8</f>
        <v>1.1201563008791925E-2</v>
      </c>
      <c r="M133" s="1473">
        <f>M132/IS!M8</f>
        <v>2.3544274721488457E-3</v>
      </c>
      <c r="N133" s="1473">
        <f>N132/IS!N8</f>
        <v>-7.5343767822064506E-2</v>
      </c>
      <c r="O133" s="1473">
        <f>O132/IS!O8</f>
        <v>4.7212638460141641E-2</v>
      </c>
      <c r="P133" s="1473">
        <f>P132/IS!P8</f>
        <v>-9.3349168646080755E-2</v>
      </c>
      <c r="Q133" s="1473">
        <f>Q132/IS!Q8</f>
        <v>4.257305194805195E-2</v>
      </c>
      <c r="R133" s="1473">
        <f>R132/IS!R8</f>
        <v>-4.0610983149472661E-3</v>
      </c>
      <c r="S133" s="1473">
        <f>S132/IS!S8</f>
        <v>-1.2912105918594744E-2</v>
      </c>
      <c r="T133" s="1473">
        <f>T132/IS!T8</f>
        <v>-5.6002101392172314E-2</v>
      </c>
      <c r="U133" s="1473">
        <f>U132/IS!U8</f>
        <v>-3.2027242553558342E-2</v>
      </c>
      <c r="V133" s="1473">
        <f>V132/IS!V8</f>
        <v>5.1250137277153423E-3</v>
      </c>
      <c r="W133" s="1473">
        <f>W132/IS!W8</f>
        <v>-5.4103227042037731E-2</v>
      </c>
      <c r="X133" s="1645">
        <f>X132/IS!X8</f>
        <v>-3.0077652226471678E-2</v>
      </c>
      <c r="Y133" s="1474">
        <f>Y132/IS!Y8</f>
        <v>-1.2538278229810421E-2</v>
      </c>
      <c r="Z133" s="1474">
        <f>Z132/IS!Z8</f>
        <v>-6.1433132426182485E-3</v>
      </c>
      <c r="AA133" s="1474">
        <f>AA132/IS!AA8</f>
        <v>-6.1600888638124653E-3</v>
      </c>
      <c r="AB133" s="1474">
        <f>AB132/IS!AB8</f>
        <v>-1.452424029421177E-3</v>
      </c>
    </row>
    <row r="134" spans="1:28" x14ac:dyDescent="0.25">
      <c r="A134" s="197"/>
      <c r="B134" s="50"/>
      <c r="C134" s="124"/>
      <c r="D134" s="124"/>
      <c r="E134" s="1473"/>
      <c r="F134" s="1473"/>
      <c r="G134" s="1473"/>
      <c r="H134" s="1473"/>
      <c r="I134" s="1473"/>
      <c r="J134" s="1473"/>
      <c r="K134" s="1473"/>
      <c r="L134" s="1473"/>
      <c r="M134" s="1473"/>
      <c r="N134" s="1473"/>
      <c r="O134" s="1473"/>
      <c r="P134" s="1473"/>
      <c r="Q134" s="1473"/>
      <c r="R134" s="1473"/>
      <c r="S134" s="1473"/>
      <c r="T134" s="1473"/>
      <c r="U134" s="1473"/>
      <c r="V134" s="1473"/>
      <c r="W134" s="1473"/>
      <c r="X134" s="1647"/>
      <c r="Y134" s="1572"/>
      <c r="Z134" s="1572"/>
      <c r="AA134" s="1572"/>
      <c r="AB134" s="1572"/>
    </row>
    <row r="135" spans="1:28" x14ac:dyDescent="0.25">
      <c r="A135" s="197"/>
      <c r="B135" s="50"/>
      <c r="C135" s="124"/>
      <c r="D135" s="124"/>
      <c r="E135" s="204"/>
      <c r="F135" s="204"/>
      <c r="G135" s="204"/>
      <c r="H135" s="204"/>
      <c r="I135" s="204"/>
      <c r="J135" s="204"/>
      <c r="K135" s="204"/>
      <c r="L135" s="204"/>
      <c r="M135" s="554"/>
      <c r="N135" s="204"/>
      <c r="O135" s="204"/>
      <c r="P135" s="204"/>
      <c r="Q135" s="204"/>
      <c r="R135" s="204"/>
      <c r="S135" s="204"/>
      <c r="T135" s="204"/>
      <c r="U135" s="204"/>
      <c r="V135" s="204"/>
      <c r="W135" s="204"/>
      <c r="X135" s="1648"/>
      <c r="Y135" s="1573"/>
      <c r="Z135" s="1573"/>
      <c r="AA135" s="1573"/>
      <c r="AB135" s="1573"/>
    </row>
    <row r="136" spans="1:28" x14ac:dyDescent="0.25">
      <c r="A136" s="219" t="s">
        <v>691</v>
      </c>
      <c r="B136" s="514"/>
      <c r="C136" s="514"/>
      <c r="D136" s="514"/>
      <c r="E136" s="514"/>
      <c r="F136" s="514"/>
      <c r="G136" s="514"/>
      <c r="H136" s="514"/>
      <c r="I136" s="514"/>
      <c r="J136" s="514"/>
      <c r="K136" s="514"/>
      <c r="L136" s="514"/>
      <c r="M136" s="514"/>
      <c r="N136" s="514"/>
      <c r="O136" s="514"/>
      <c r="P136" s="514"/>
      <c r="Q136" s="514"/>
      <c r="R136" s="514"/>
      <c r="S136" s="514"/>
      <c r="T136" s="514"/>
      <c r="U136" s="514"/>
      <c r="V136" s="514"/>
      <c r="W136" s="514"/>
      <c r="X136" s="1649"/>
      <c r="Y136" s="1574"/>
      <c r="Z136" s="1574"/>
      <c r="AA136" s="1574"/>
      <c r="AB136" s="1574"/>
    </row>
    <row r="137" spans="1:28" x14ac:dyDescent="0.25">
      <c r="A137" s="186" t="s">
        <v>692</v>
      </c>
      <c r="B137" s="50"/>
      <c r="C137" s="50"/>
      <c r="D137" s="50"/>
      <c r="E137" s="50"/>
      <c r="F137" s="50"/>
      <c r="G137" s="50"/>
      <c r="H137" s="50"/>
      <c r="I137" s="50"/>
      <c r="J137" s="50"/>
      <c r="K137" s="53"/>
      <c r="L137" s="53"/>
      <c r="M137" s="53"/>
      <c r="N137" s="53"/>
      <c r="O137" s="53"/>
      <c r="P137" s="53"/>
      <c r="Q137" s="53"/>
      <c r="R137" s="53"/>
      <c r="S137" s="53"/>
      <c r="T137" s="53"/>
      <c r="U137" s="53"/>
      <c r="V137" s="53"/>
      <c r="W137" s="53"/>
      <c r="X137" s="56"/>
      <c r="Y137" s="50"/>
      <c r="Z137" s="50"/>
      <c r="AA137" s="50"/>
      <c r="AB137" s="50"/>
    </row>
    <row r="138" spans="1:28" x14ac:dyDescent="0.25">
      <c r="A138" s="4" t="s">
        <v>693</v>
      </c>
      <c r="B138" s="50"/>
      <c r="C138" s="50"/>
      <c r="D138" s="50"/>
      <c r="E138" s="50"/>
      <c r="F138" s="50"/>
      <c r="G138" s="50"/>
      <c r="H138" s="50"/>
      <c r="I138" s="50"/>
      <c r="J138" s="50"/>
      <c r="K138" s="53"/>
      <c r="L138" s="53"/>
      <c r="M138" s="53"/>
      <c r="N138" s="53"/>
      <c r="O138" s="53"/>
      <c r="P138" s="53"/>
      <c r="Q138" s="53"/>
      <c r="R138" s="53"/>
      <c r="S138" s="53"/>
      <c r="T138" s="53"/>
      <c r="U138" s="53"/>
      <c r="V138" s="53"/>
      <c r="W138" s="53"/>
      <c r="X138" s="56"/>
      <c r="Y138" s="50"/>
      <c r="Z138" s="50"/>
      <c r="AA138" s="50"/>
      <c r="AB138" s="50"/>
    </row>
    <row r="139" spans="1:28" x14ac:dyDescent="0.25">
      <c r="A139" s="4" t="s">
        <v>694</v>
      </c>
      <c r="B139" s="50">
        <v>1</v>
      </c>
      <c r="C139" s="50">
        <v>75</v>
      </c>
      <c r="D139" s="50">
        <v>102</v>
      </c>
      <c r="E139" s="50">
        <v>99</v>
      </c>
      <c r="F139" s="50">
        <v>87</v>
      </c>
      <c r="G139" s="50">
        <v>94</v>
      </c>
      <c r="H139" s="50">
        <v>93</v>
      </c>
      <c r="I139" s="50">
        <v>114</v>
      </c>
      <c r="J139" s="50">
        <v>99</v>
      </c>
      <c r="K139" s="53">
        <v>787</v>
      </c>
      <c r="L139" s="53">
        <v>56</v>
      </c>
      <c r="M139" s="53">
        <v>100</v>
      </c>
      <c r="N139" s="53">
        <v>361</v>
      </c>
      <c r="O139" s="53">
        <v>1018</v>
      </c>
      <c r="P139" s="53">
        <v>1189</v>
      </c>
      <c r="Q139" s="53">
        <v>2425</v>
      </c>
      <c r="R139" s="53">
        <v>1653</v>
      </c>
      <c r="S139" s="53">
        <v>1360</v>
      </c>
      <c r="T139" s="53">
        <v>926</v>
      </c>
      <c r="U139" s="53">
        <v>1152</v>
      </c>
      <c r="V139" s="53">
        <v>696</v>
      </c>
      <c r="W139" s="53">
        <v>2283</v>
      </c>
      <c r="X139" s="1596">
        <f t="shared" ref="X139:AB139" si="145">W139</f>
        <v>2283</v>
      </c>
      <c r="Y139" s="59">
        <f t="shared" si="145"/>
        <v>2283</v>
      </c>
      <c r="Z139" s="59">
        <f t="shared" si="145"/>
        <v>2283</v>
      </c>
      <c r="AA139" s="59">
        <f t="shared" si="145"/>
        <v>2283</v>
      </c>
      <c r="AB139" s="59">
        <f t="shared" si="145"/>
        <v>2283</v>
      </c>
    </row>
    <row r="140" spans="1:28" x14ac:dyDescent="0.25">
      <c r="A140" s="4" t="s">
        <v>695</v>
      </c>
      <c r="B140" s="50">
        <v>1</v>
      </c>
      <c r="C140" s="50">
        <v>432</v>
      </c>
      <c r="D140" s="50">
        <v>364</v>
      </c>
      <c r="E140" s="50">
        <v>265</v>
      </c>
      <c r="F140" s="50">
        <v>225</v>
      </c>
      <c r="G140" s="50">
        <v>947</v>
      </c>
      <c r="H140" s="50">
        <v>907</v>
      </c>
      <c r="I140" s="50">
        <v>884</v>
      </c>
      <c r="J140" s="50">
        <v>1774</v>
      </c>
      <c r="K140" s="53">
        <v>893</v>
      </c>
      <c r="L140" s="53">
        <v>1264</v>
      </c>
      <c r="M140" s="53">
        <v>1377</v>
      </c>
      <c r="N140" s="53">
        <v>822</v>
      </c>
      <c r="O140" s="53">
        <v>805</v>
      </c>
      <c r="P140" s="53">
        <v>1014</v>
      </c>
      <c r="Q140" s="53">
        <v>2435</v>
      </c>
      <c r="R140" s="53">
        <v>3729</v>
      </c>
      <c r="S140" s="53">
        <v>4756</v>
      </c>
      <c r="T140" s="53">
        <v>5069</v>
      </c>
      <c r="U140" s="53">
        <v>4601</v>
      </c>
      <c r="V140" s="53">
        <v>3704</v>
      </c>
      <c r="W140" s="53">
        <v>2371</v>
      </c>
      <c r="X140" s="1596">
        <f>W140+CF!X52+CF!X50</f>
        <v>1868</v>
      </c>
      <c r="Y140" s="59">
        <f>X140+CF!Y52+CF!Y50</f>
        <v>1868</v>
      </c>
      <c r="Z140" s="59">
        <f>Y140+CF!Z52+CF!Z50</f>
        <v>1868</v>
      </c>
      <c r="AA140" s="59">
        <f>Z140+CF!AA52+CF!AA50</f>
        <v>1868</v>
      </c>
      <c r="AB140" s="59">
        <f>AA140+CF!AB52+CF!AB50</f>
        <v>1868</v>
      </c>
    </row>
    <row r="141" spans="1:28" x14ac:dyDescent="0.25">
      <c r="B141" s="50"/>
      <c r="C141" s="50"/>
      <c r="D141" s="50"/>
      <c r="E141" s="50"/>
      <c r="F141" s="50"/>
      <c r="G141" s="50"/>
      <c r="H141" s="50"/>
      <c r="I141" s="50"/>
      <c r="J141" s="50"/>
      <c r="K141" s="53"/>
      <c r="L141" s="53"/>
      <c r="M141" s="53"/>
      <c r="N141" s="53"/>
      <c r="O141" s="53"/>
      <c r="P141" s="53"/>
      <c r="Q141" s="53"/>
      <c r="R141" s="53"/>
      <c r="S141" s="53"/>
      <c r="T141" s="53"/>
      <c r="U141" s="53"/>
      <c r="V141" s="53"/>
      <c r="W141" s="53"/>
      <c r="X141" s="56"/>
      <c r="Y141" s="50"/>
      <c r="Z141" s="50"/>
      <c r="AA141" s="50"/>
      <c r="AB141" s="50"/>
    </row>
    <row r="142" spans="1:28" x14ac:dyDescent="0.25">
      <c r="A142" s="4" t="s">
        <v>696</v>
      </c>
      <c r="B142" s="50"/>
      <c r="C142" s="50"/>
      <c r="D142" s="50"/>
      <c r="E142" s="50"/>
      <c r="F142" s="50"/>
      <c r="G142" s="50"/>
      <c r="H142" s="50"/>
      <c r="I142" s="50"/>
      <c r="J142" s="50"/>
      <c r="K142" s="53"/>
      <c r="L142" s="53"/>
      <c r="M142" s="53"/>
      <c r="N142" s="53"/>
      <c r="O142" s="53"/>
      <c r="P142" s="53"/>
      <c r="Q142" s="53"/>
      <c r="R142" s="53"/>
      <c r="S142" s="53"/>
      <c r="T142" s="53"/>
      <c r="U142" s="53"/>
      <c r="V142" s="53"/>
      <c r="W142" s="53"/>
      <c r="X142" s="56"/>
      <c r="Y142" s="50"/>
      <c r="Z142" s="50"/>
      <c r="AA142" s="50"/>
      <c r="AB142" s="50"/>
    </row>
    <row r="143" spans="1:28" x14ac:dyDescent="0.25">
      <c r="A143" s="4" t="s">
        <v>694</v>
      </c>
      <c r="B143" s="50">
        <v>11</v>
      </c>
      <c r="C143" s="50">
        <v>802</v>
      </c>
      <c r="D143" s="50">
        <v>597</v>
      </c>
      <c r="E143" s="50">
        <v>403</v>
      </c>
      <c r="F143" s="50">
        <v>1049</v>
      </c>
      <c r="G143" s="50">
        <v>1273</v>
      </c>
      <c r="H143" s="50">
        <v>475</v>
      </c>
      <c r="I143" s="50">
        <v>884</v>
      </c>
      <c r="J143" s="50">
        <v>817</v>
      </c>
      <c r="K143" s="53">
        <v>658</v>
      </c>
      <c r="L143" s="53">
        <v>1451</v>
      </c>
      <c r="M143" s="53">
        <v>776</v>
      </c>
      <c r="N143" s="53">
        <v>584</v>
      </c>
      <c r="O143" s="53">
        <v>372</v>
      </c>
      <c r="P143" s="53">
        <v>1031</v>
      </c>
      <c r="Q143" s="53">
        <v>1115</v>
      </c>
      <c r="R143" s="53">
        <v>855</v>
      </c>
      <c r="S143" s="53">
        <v>360</v>
      </c>
      <c r="T143" s="53">
        <v>351</v>
      </c>
      <c r="U143" s="53">
        <v>456</v>
      </c>
      <c r="V143" s="53">
        <v>292</v>
      </c>
      <c r="W143" s="53">
        <v>322</v>
      </c>
      <c r="X143" s="1596">
        <f t="shared" ref="X143:AB144" si="146">W143</f>
        <v>322</v>
      </c>
      <c r="Y143" s="59">
        <f t="shared" si="146"/>
        <v>322</v>
      </c>
      <c r="Z143" s="59">
        <f t="shared" si="146"/>
        <v>322</v>
      </c>
      <c r="AA143" s="59">
        <f t="shared" si="146"/>
        <v>322</v>
      </c>
      <c r="AB143" s="59">
        <f t="shared" si="146"/>
        <v>322</v>
      </c>
    </row>
    <row r="144" spans="1:28" x14ac:dyDescent="0.25">
      <c r="A144" s="4" t="s">
        <v>695</v>
      </c>
      <c r="B144" s="50">
        <v>19</v>
      </c>
      <c r="C144" s="50">
        <v>100</v>
      </c>
      <c r="D144" s="50">
        <v>99</v>
      </c>
      <c r="E144" s="50">
        <v>132</v>
      </c>
      <c r="F144" s="50">
        <v>193</v>
      </c>
      <c r="G144" s="50">
        <v>261</v>
      </c>
      <c r="H144" s="50">
        <v>576</v>
      </c>
      <c r="I144" s="50">
        <v>563</v>
      </c>
      <c r="J144" s="50">
        <v>485</v>
      </c>
      <c r="K144" s="53">
        <v>398</v>
      </c>
      <c r="L144" s="53">
        <v>394</v>
      </c>
      <c r="M144" s="53">
        <v>375</v>
      </c>
      <c r="N144" s="53">
        <v>1570</v>
      </c>
      <c r="O144" s="53">
        <v>2441</v>
      </c>
      <c r="P144" s="53">
        <v>2371</v>
      </c>
      <c r="Q144" s="53">
        <v>804</v>
      </c>
      <c r="R144" s="53">
        <v>354</v>
      </c>
      <c r="S144" s="53">
        <v>338</v>
      </c>
      <c r="T144" s="53">
        <v>309</v>
      </c>
      <c r="U144" s="53">
        <v>90</v>
      </c>
      <c r="V144" s="53">
        <v>84</v>
      </c>
      <c r="W144" s="53">
        <v>72</v>
      </c>
      <c r="X144" s="1596">
        <f t="shared" si="146"/>
        <v>72</v>
      </c>
      <c r="Y144" s="59">
        <f t="shared" si="146"/>
        <v>72</v>
      </c>
      <c r="Z144" s="59">
        <f t="shared" si="146"/>
        <v>72</v>
      </c>
      <c r="AA144" s="59">
        <f t="shared" si="146"/>
        <v>72</v>
      </c>
      <c r="AB144" s="59">
        <f t="shared" si="146"/>
        <v>72</v>
      </c>
    </row>
    <row r="145" spans="1:28" x14ac:dyDescent="0.25">
      <c r="B145" s="50"/>
      <c r="C145" s="50"/>
      <c r="D145" s="50"/>
      <c r="E145" s="50"/>
      <c r="F145" s="50"/>
      <c r="G145" s="50"/>
      <c r="H145" s="50"/>
      <c r="I145" s="50"/>
      <c r="J145" s="50"/>
      <c r="K145" s="53"/>
      <c r="L145" s="53"/>
      <c r="M145" s="53"/>
      <c r="N145" s="53"/>
      <c r="O145" s="53"/>
      <c r="P145" s="53"/>
      <c r="Q145" s="53"/>
      <c r="R145" s="53"/>
      <c r="S145" s="53"/>
      <c r="T145" s="53"/>
      <c r="U145" s="53"/>
      <c r="V145" s="53"/>
      <c r="W145" s="53"/>
      <c r="X145" s="56"/>
      <c r="Y145" s="50"/>
      <c r="Z145" s="50"/>
      <c r="AA145" s="50"/>
      <c r="AB145" s="50"/>
    </row>
    <row r="146" spans="1:28" x14ac:dyDescent="0.25">
      <c r="A146" s="4" t="s">
        <v>697</v>
      </c>
      <c r="B146" s="50">
        <f t="shared" ref="B146:AB147" si="147">B139+B143</f>
        <v>12</v>
      </c>
      <c r="C146" s="50">
        <f t="shared" si="147"/>
        <v>877</v>
      </c>
      <c r="D146" s="50">
        <f t="shared" si="147"/>
        <v>699</v>
      </c>
      <c r="E146" s="50">
        <f t="shared" si="147"/>
        <v>502</v>
      </c>
      <c r="F146" s="50">
        <f t="shared" si="147"/>
        <v>1136</v>
      </c>
      <c r="G146" s="50">
        <f t="shared" si="147"/>
        <v>1367</v>
      </c>
      <c r="H146" s="50">
        <f t="shared" si="147"/>
        <v>568</v>
      </c>
      <c r="I146" s="50">
        <f t="shared" si="147"/>
        <v>998</v>
      </c>
      <c r="J146" s="50">
        <f t="shared" si="147"/>
        <v>916</v>
      </c>
      <c r="K146" s="53">
        <f t="shared" si="147"/>
        <v>1445</v>
      </c>
      <c r="L146" s="53">
        <f t="shared" si="147"/>
        <v>1507</v>
      </c>
      <c r="M146" s="53">
        <f t="shared" si="147"/>
        <v>876</v>
      </c>
      <c r="N146" s="53">
        <f t="shared" si="147"/>
        <v>945</v>
      </c>
      <c r="O146" s="53">
        <f t="shared" si="147"/>
        <v>1390</v>
      </c>
      <c r="P146" s="53">
        <f t="shared" si="147"/>
        <v>2220</v>
      </c>
      <c r="Q146" s="53">
        <f t="shared" si="147"/>
        <v>3540</v>
      </c>
      <c r="R146" s="53">
        <f t="shared" si="147"/>
        <v>2508</v>
      </c>
      <c r="S146" s="53">
        <f t="shared" si="147"/>
        <v>1720</v>
      </c>
      <c r="T146" s="53">
        <f t="shared" si="147"/>
        <v>1277</v>
      </c>
      <c r="U146" s="53">
        <f t="shared" ref="U146:V146" si="148">U139+U143</f>
        <v>1608</v>
      </c>
      <c r="V146" s="53">
        <f t="shared" si="148"/>
        <v>988</v>
      </c>
      <c r="W146" s="53">
        <f t="shared" ref="W146" si="149">W139+W143</f>
        <v>2605</v>
      </c>
      <c r="X146" s="1596">
        <f t="shared" si="147"/>
        <v>2605</v>
      </c>
      <c r="Y146" s="59">
        <f t="shared" si="147"/>
        <v>2605</v>
      </c>
      <c r="Z146" s="59">
        <f t="shared" si="147"/>
        <v>2605</v>
      </c>
      <c r="AA146" s="59">
        <f t="shared" si="147"/>
        <v>2605</v>
      </c>
      <c r="AB146" s="59">
        <f t="shared" si="147"/>
        <v>2605</v>
      </c>
    </row>
    <row r="147" spans="1:28" x14ac:dyDescent="0.25">
      <c r="A147" s="4" t="s">
        <v>698</v>
      </c>
      <c r="B147" s="53">
        <f t="shared" si="147"/>
        <v>20</v>
      </c>
      <c r="C147" s="53">
        <f t="shared" si="147"/>
        <v>532</v>
      </c>
      <c r="D147" s="53">
        <f t="shared" si="147"/>
        <v>463</v>
      </c>
      <c r="E147" s="53">
        <f t="shared" si="147"/>
        <v>397</v>
      </c>
      <c r="F147" s="53">
        <f t="shared" si="147"/>
        <v>418</v>
      </c>
      <c r="G147" s="53">
        <f t="shared" si="147"/>
        <v>1208</v>
      </c>
      <c r="H147" s="53">
        <f t="shared" si="147"/>
        <v>1483</v>
      </c>
      <c r="I147" s="53">
        <f t="shared" si="147"/>
        <v>1447</v>
      </c>
      <c r="J147" s="53">
        <f t="shared" si="147"/>
        <v>2259</v>
      </c>
      <c r="K147" s="53">
        <f t="shared" si="147"/>
        <v>1291</v>
      </c>
      <c r="L147" s="53">
        <f t="shared" si="147"/>
        <v>1658</v>
      </c>
      <c r="M147" s="53">
        <f t="shared" si="147"/>
        <v>1752</v>
      </c>
      <c r="N147" s="53">
        <f t="shared" si="147"/>
        <v>2392</v>
      </c>
      <c r="O147" s="53">
        <f t="shared" si="147"/>
        <v>3246</v>
      </c>
      <c r="P147" s="53">
        <f t="shared" si="147"/>
        <v>3385</v>
      </c>
      <c r="Q147" s="53">
        <f t="shared" si="147"/>
        <v>3239</v>
      </c>
      <c r="R147" s="53">
        <f t="shared" si="147"/>
        <v>4083</v>
      </c>
      <c r="S147" s="53">
        <f t="shared" si="147"/>
        <v>5094</v>
      </c>
      <c r="T147" s="53">
        <f t="shared" si="147"/>
        <v>5378</v>
      </c>
      <c r="U147" s="53">
        <f t="shared" ref="U147:V147" si="150">U140+U144</f>
        <v>4691</v>
      </c>
      <c r="V147" s="53">
        <f t="shared" si="150"/>
        <v>3788</v>
      </c>
      <c r="W147" s="53">
        <f t="shared" ref="W147" si="151">W140+W144</f>
        <v>2443</v>
      </c>
      <c r="X147" s="1596">
        <f t="shared" si="147"/>
        <v>1940</v>
      </c>
      <c r="Y147" s="106">
        <f t="shared" si="147"/>
        <v>1940</v>
      </c>
      <c r="Z147" s="106">
        <f t="shared" si="147"/>
        <v>1940</v>
      </c>
      <c r="AA147" s="106">
        <f t="shared" si="147"/>
        <v>1940</v>
      </c>
      <c r="AB147" s="106">
        <f t="shared" si="147"/>
        <v>1940</v>
      </c>
    </row>
    <row r="148" spans="1:28" x14ac:dyDescent="0.25">
      <c r="A148" s="186" t="s">
        <v>699</v>
      </c>
      <c r="B148" s="70">
        <f t="shared" ref="B148:AB148" si="152">SUM(B146:B147)</f>
        <v>32</v>
      </c>
      <c r="C148" s="70">
        <f t="shared" si="152"/>
        <v>1409</v>
      </c>
      <c r="D148" s="70">
        <f t="shared" si="152"/>
        <v>1162</v>
      </c>
      <c r="E148" s="70">
        <f t="shared" si="152"/>
        <v>899</v>
      </c>
      <c r="F148" s="70">
        <f t="shared" si="152"/>
        <v>1554</v>
      </c>
      <c r="G148" s="70">
        <f t="shared" si="152"/>
        <v>2575</v>
      </c>
      <c r="H148" s="70">
        <f t="shared" si="152"/>
        <v>2051</v>
      </c>
      <c r="I148" s="70">
        <f t="shared" si="152"/>
        <v>2445</v>
      </c>
      <c r="J148" s="70">
        <f t="shared" si="152"/>
        <v>3175</v>
      </c>
      <c r="K148" s="70">
        <f t="shared" si="152"/>
        <v>2736</v>
      </c>
      <c r="L148" s="70">
        <f t="shared" si="152"/>
        <v>3165</v>
      </c>
      <c r="M148" s="70">
        <f t="shared" si="152"/>
        <v>2628</v>
      </c>
      <c r="N148" s="70">
        <f t="shared" si="152"/>
        <v>3337</v>
      </c>
      <c r="O148" s="70">
        <f t="shared" si="152"/>
        <v>4636</v>
      </c>
      <c r="P148" s="70">
        <f t="shared" si="152"/>
        <v>5605</v>
      </c>
      <c r="Q148" s="70">
        <f t="shared" si="152"/>
        <v>6779</v>
      </c>
      <c r="R148" s="70">
        <f t="shared" si="152"/>
        <v>6591</v>
      </c>
      <c r="S148" s="70">
        <f t="shared" si="152"/>
        <v>6814</v>
      </c>
      <c r="T148" s="70">
        <f t="shared" si="152"/>
        <v>6655</v>
      </c>
      <c r="U148" s="70">
        <f t="shared" ref="U148:V148" si="153">SUM(U146:U147)</f>
        <v>6299</v>
      </c>
      <c r="V148" s="70">
        <f t="shared" si="153"/>
        <v>4776</v>
      </c>
      <c r="W148" s="70">
        <f t="shared" ref="W148" si="154">SUM(W146:W147)</f>
        <v>5048</v>
      </c>
      <c r="X148" s="1602">
        <f t="shared" si="152"/>
        <v>4545</v>
      </c>
      <c r="Y148" s="542">
        <f t="shared" si="152"/>
        <v>4545</v>
      </c>
      <c r="Z148" s="542">
        <f t="shared" si="152"/>
        <v>4545</v>
      </c>
      <c r="AA148" s="542">
        <f t="shared" si="152"/>
        <v>4545</v>
      </c>
      <c r="AB148" s="542">
        <f t="shared" si="152"/>
        <v>4545</v>
      </c>
    </row>
    <row r="149" spans="1:28" x14ac:dyDescent="0.25">
      <c r="B149" s="50"/>
      <c r="C149" s="50"/>
      <c r="D149" s="50"/>
      <c r="E149" s="50"/>
      <c r="F149" s="50"/>
      <c r="G149" s="50"/>
      <c r="H149" s="50"/>
      <c r="I149" s="50"/>
      <c r="J149" s="50"/>
      <c r="K149" s="53"/>
      <c r="L149" s="53"/>
      <c r="M149" s="53"/>
      <c r="N149" s="53"/>
      <c r="O149" s="53"/>
      <c r="P149" s="53"/>
      <c r="Q149" s="53"/>
      <c r="R149" s="53"/>
      <c r="S149" s="53"/>
      <c r="T149" s="53"/>
      <c r="U149" s="53"/>
      <c r="V149" s="53"/>
      <c r="W149" s="53"/>
      <c r="X149" s="56"/>
      <c r="Y149" s="50"/>
      <c r="Z149" s="50"/>
      <c r="AA149" s="50"/>
      <c r="AB149" s="50"/>
    </row>
    <row r="150" spans="1:28" x14ac:dyDescent="0.25">
      <c r="A150" s="186" t="s">
        <v>700</v>
      </c>
      <c r="B150" s="50"/>
      <c r="C150" s="50"/>
      <c r="D150" s="50"/>
      <c r="E150" s="50"/>
      <c r="F150" s="50"/>
      <c r="G150" s="50"/>
      <c r="H150" s="50"/>
      <c r="I150" s="50"/>
      <c r="J150" s="50"/>
      <c r="K150" s="53"/>
      <c r="L150" s="53"/>
      <c r="M150" s="53"/>
      <c r="N150" s="53"/>
      <c r="O150" s="53"/>
      <c r="P150" s="53"/>
      <c r="Q150" s="53"/>
      <c r="R150" s="53"/>
      <c r="S150" s="53"/>
      <c r="T150" s="53"/>
      <c r="U150" s="53"/>
      <c r="V150" s="53"/>
      <c r="W150" s="53"/>
      <c r="X150" s="56"/>
      <c r="Y150" s="50"/>
      <c r="Z150" s="50"/>
      <c r="AA150" s="50"/>
      <c r="AB150" s="50"/>
    </row>
    <row r="151" spans="1:28" x14ac:dyDescent="0.25">
      <c r="A151" s="4" t="str">
        <f>+A138</f>
        <v>Fixed rate:</v>
      </c>
      <c r="B151" s="50"/>
      <c r="C151" s="50"/>
      <c r="D151" s="50"/>
      <c r="E151" s="50"/>
      <c r="F151" s="50"/>
      <c r="G151" s="50"/>
      <c r="H151" s="50"/>
      <c r="I151" s="50"/>
      <c r="J151" s="50"/>
      <c r="K151" s="53"/>
      <c r="L151" s="53"/>
      <c r="M151" s="53"/>
      <c r="N151" s="53"/>
      <c r="O151" s="53"/>
      <c r="P151" s="53"/>
      <c r="Q151" s="53"/>
      <c r="R151" s="53"/>
      <c r="S151" s="53"/>
      <c r="T151" s="53"/>
      <c r="U151" s="53"/>
      <c r="V151" s="53"/>
      <c r="W151" s="53"/>
      <c r="X151" s="56"/>
      <c r="Y151" s="50"/>
      <c r="Z151" s="50"/>
      <c r="AA151" s="50"/>
      <c r="AB151" s="50"/>
    </row>
    <row r="152" spans="1:28" x14ac:dyDescent="0.25">
      <c r="A152" s="4" t="str">
        <f>+A139</f>
        <v xml:space="preserve">Current </v>
      </c>
      <c r="B152" s="101">
        <v>7.0000000000000007E-2</v>
      </c>
      <c r="C152" s="101">
        <v>3.7600000000000001E-2</v>
      </c>
      <c r="D152" s="466">
        <v>3.5200000000000002E-2</v>
      </c>
      <c r="E152" s="466">
        <v>3.5999999999999997E-2</v>
      </c>
      <c r="F152" s="466">
        <v>3.3599999999999998E-2</v>
      </c>
      <c r="G152" s="466">
        <v>3.7900000000000003E-2</v>
      </c>
      <c r="H152" s="466">
        <v>3.4700000000000002E-2</v>
      </c>
      <c r="I152" s="466">
        <v>3.6700000000000003E-2</v>
      </c>
      <c r="J152" s="466">
        <v>3.3799999999999997E-2</v>
      </c>
      <c r="K152" s="272">
        <v>3.9300000000000002E-2</v>
      </c>
      <c r="L152" s="272">
        <v>1.35E-2</v>
      </c>
      <c r="M152" s="272">
        <v>0.01</v>
      </c>
      <c r="N152" s="272">
        <v>3.3E-3</v>
      </c>
      <c r="O152" s="272">
        <v>1E-3</v>
      </c>
      <c r="P152" s="272">
        <v>3.0000000000000001E-3</v>
      </c>
      <c r="Q152" s="272">
        <v>4.0000000000000002E-4</v>
      </c>
      <c r="R152" s="272">
        <v>2.7000000000000001E-3</v>
      </c>
      <c r="S152" s="272">
        <v>6.7000000000000002E-3</v>
      </c>
      <c r="T152" s="272">
        <v>1.5E-3</v>
      </c>
      <c r="U152" s="272">
        <v>2.6800000000000001E-2</v>
      </c>
      <c r="V152" s="272">
        <v>2.7400000000000001E-2</v>
      </c>
      <c r="W152" s="272">
        <v>1.77E-2</v>
      </c>
      <c r="X152" s="1634">
        <f t="shared" ref="X152:AB153" si="155">+W152</f>
        <v>1.77E-2</v>
      </c>
      <c r="Y152" s="467">
        <f t="shared" si="155"/>
        <v>1.77E-2</v>
      </c>
      <c r="Z152" s="467">
        <f t="shared" si="155"/>
        <v>1.77E-2</v>
      </c>
      <c r="AA152" s="467">
        <f t="shared" si="155"/>
        <v>1.77E-2</v>
      </c>
      <c r="AB152" s="467">
        <f t="shared" si="155"/>
        <v>1.77E-2</v>
      </c>
    </row>
    <row r="153" spans="1:28" x14ac:dyDescent="0.25">
      <c r="A153" s="4" t="str">
        <f>+A140</f>
        <v>Non-current</v>
      </c>
      <c r="B153" s="101">
        <v>7.0000000000000007E-2</v>
      </c>
      <c r="C153" s="101">
        <v>3.5499999999999997E-2</v>
      </c>
      <c r="D153" s="466">
        <v>3.5799999999999998E-2</v>
      </c>
      <c r="E153" s="466">
        <v>3.44E-2</v>
      </c>
      <c r="F153" s="466">
        <v>3.6400000000000002E-2</v>
      </c>
      <c r="G153" s="466">
        <v>4.0500000000000001E-2</v>
      </c>
      <c r="H153" s="466">
        <v>4.0899999999999999E-2</v>
      </c>
      <c r="I153" s="466">
        <v>4.0800000000000003E-2</v>
      </c>
      <c r="J153" s="466">
        <v>4.1599999999999998E-2</v>
      </c>
      <c r="K153" s="272">
        <v>4.2799999999999998E-2</v>
      </c>
      <c r="L153" s="272">
        <v>4.0599999999999997E-2</v>
      </c>
      <c r="M153" s="272">
        <v>4.1000000000000002E-2</v>
      </c>
      <c r="N153" s="272">
        <v>3.27E-2</v>
      </c>
      <c r="O153" s="272">
        <v>3.1699999999999999E-2</v>
      </c>
      <c r="P153" s="272">
        <v>2.75E-2</v>
      </c>
      <c r="Q153" s="272">
        <v>2.7699999999999999E-2</v>
      </c>
      <c r="R153" s="272">
        <v>2.4500000000000001E-2</v>
      </c>
      <c r="S153" s="272">
        <v>1.24E-2</v>
      </c>
      <c r="T153" s="272">
        <v>1.35E-2</v>
      </c>
      <c r="U153" s="272">
        <v>8.3999999999999995E-3</v>
      </c>
      <c r="V153" s="272">
        <v>9.4000000000000004E-3</v>
      </c>
      <c r="W153" s="272">
        <v>1.8700000000000001E-2</v>
      </c>
      <c r="X153" s="1634">
        <f t="shared" si="155"/>
        <v>1.8700000000000001E-2</v>
      </c>
      <c r="Y153" s="467">
        <f t="shared" si="155"/>
        <v>1.8700000000000001E-2</v>
      </c>
      <c r="Z153" s="467">
        <f t="shared" si="155"/>
        <v>1.8700000000000001E-2</v>
      </c>
      <c r="AA153" s="467">
        <f t="shared" si="155"/>
        <v>1.8700000000000001E-2</v>
      </c>
      <c r="AB153" s="467">
        <f t="shared" si="155"/>
        <v>1.8700000000000001E-2</v>
      </c>
    </row>
    <row r="154" spans="1:28" x14ac:dyDescent="0.25">
      <c r="B154" s="559"/>
      <c r="C154" s="559"/>
      <c r="D154" s="50"/>
      <c r="E154" s="50"/>
      <c r="F154" s="50"/>
      <c r="G154" s="50"/>
      <c r="H154" s="50"/>
      <c r="I154" s="50"/>
      <c r="J154" s="50"/>
      <c r="K154" s="53"/>
      <c r="L154" s="53"/>
      <c r="M154" s="53"/>
      <c r="N154" s="53"/>
      <c r="O154" s="53"/>
      <c r="P154" s="53"/>
      <c r="Q154" s="53"/>
      <c r="R154" s="53"/>
      <c r="S154" s="53"/>
      <c r="T154" s="53"/>
      <c r="U154" s="53"/>
      <c r="V154" s="53"/>
      <c r="W154" s="53"/>
      <c r="X154" s="56"/>
      <c r="Y154" s="50"/>
      <c r="Z154" s="50"/>
      <c r="AA154" s="50"/>
      <c r="AB154" s="50"/>
    </row>
    <row r="155" spans="1:28" x14ac:dyDescent="0.25">
      <c r="A155" s="4" t="str">
        <f>+A142</f>
        <v>Floating rate:</v>
      </c>
      <c r="B155" s="559"/>
      <c r="C155" s="559"/>
      <c r="D155" s="50"/>
      <c r="E155" s="50"/>
      <c r="F155" s="50"/>
      <c r="G155" s="50"/>
      <c r="H155" s="50"/>
      <c r="I155" s="50"/>
      <c r="J155" s="50"/>
      <c r="K155" s="53"/>
      <c r="L155" s="53"/>
      <c r="M155" s="53"/>
      <c r="N155" s="53"/>
      <c r="O155" s="53"/>
      <c r="P155" s="53"/>
      <c r="Q155" s="53"/>
      <c r="R155" s="53"/>
      <c r="S155" s="53"/>
      <c r="T155" s="53"/>
      <c r="U155" s="53"/>
      <c r="V155" s="53"/>
      <c r="W155" s="53"/>
      <c r="X155" s="56"/>
      <c r="Y155" s="50"/>
      <c r="Z155" s="50"/>
      <c r="AA155" s="50"/>
      <c r="AB155" s="50"/>
    </row>
    <row r="156" spans="1:28" x14ac:dyDescent="0.25">
      <c r="A156" s="4" t="str">
        <f>+A143</f>
        <v xml:space="preserve">Current </v>
      </c>
      <c r="B156" s="101">
        <v>2.9499999999999998E-2</v>
      </c>
      <c r="C156" s="101">
        <v>3.0599999999999999E-2</v>
      </c>
      <c r="D156" s="466">
        <v>4.2099999999999999E-2</v>
      </c>
      <c r="E156" s="466">
        <v>4.9399999999999999E-2</v>
      </c>
      <c r="F156" s="466">
        <v>3.27E-2</v>
      </c>
      <c r="G156" s="466">
        <v>1.2999999999999999E-2</v>
      </c>
      <c r="H156" s="466">
        <v>1.8200000000000001E-2</v>
      </c>
      <c r="I156" s="466">
        <f>+H156</f>
        <v>1.8200000000000001E-2</v>
      </c>
      <c r="J156" s="466">
        <v>1.54E-2</v>
      </c>
      <c r="K156" s="272">
        <v>9.1000000000000004E-3</v>
      </c>
      <c r="L156" s="272">
        <v>6.4000000000000003E-3</v>
      </c>
      <c r="M156" s="272">
        <v>3.5000000000000001E-3</v>
      </c>
      <c r="N156" s="272">
        <v>2.8999999999999998E-3</v>
      </c>
      <c r="O156" s="272">
        <v>5.5999999999999999E-3</v>
      </c>
      <c r="P156" s="272">
        <v>2E-3</v>
      </c>
      <c r="Q156" s="272">
        <v>4.4999999999999997E-3</v>
      </c>
      <c r="R156" s="272">
        <v>4.0000000000000001E-3</v>
      </c>
      <c r="S156" s="272">
        <v>0.01</v>
      </c>
      <c r="T156" s="272">
        <v>8.0000000000000004E-4</v>
      </c>
      <c r="U156" s="272">
        <v>4.5499999999999999E-2</v>
      </c>
      <c r="V156" s="272">
        <v>3.0099999999999998E-2</v>
      </c>
      <c r="W156" s="272">
        <v>2.2499999999999999E-2</v>
      </c>
      <c r="X156" s="1634">
        <f t="shared" ref="X156:AB157" si="156">+W156</f>
        <v>2.2499999999999999E-2</v>
      </c>
      <c r="Y156" s="467">
        <f t="shared" si="156"/>
        <v>2.2499999999999999E-2</v>
      </c>
      <c r="Z156" s="467">
        <f t="shared" si="156"/>
        <v>2.2499999999999999E-2</v>
      </c>
      <c r="AA156" s="467">
        <f t="shared" si="156"/>
        <v>2.2499999999999999E-2</v>
      </c>
      <c r="AB156" s="467">
        <f t="shared" si="156"/>
        <v>2.2499999999999999E-2</v>
      </c>
    </row>
    <row r="157" spans="1:28" x14ac:dyDescent="0.25">
      <c r="A157" s="4" t="str">
        <f>+A144</f>
        <v>Non-current</v>
      </c>
      <c r="B157" s="101">
        <v>3.1E-2</v>
      </c>
      <c r="C157" s="101">
        <v>4.0399999999999998E-2</v>
      </c>
      <c r="D157" s="466">
        <v>4.07E-2</v>
      </c>
      <c r="E157" s="466">
        <v>4.6899999999999997E-2</v>
      </c>
      <c r="F157" s="466">
        <v>4.4499999999999998E-2</v>
      </c>
      <c r="G157" s="466">
        <v>3.0300000000000001E-2</v>
      </c>
      <c r="H157" s="466">
        <v>2.1899999999999999E-2</v>
      </c>
      <c r="I157" s="466">
        <f>+H157</f>
        <v>2.1899999999999999E-2</v>
      </c>
      <c r="J157" s="466">
        <v>2.0799999999999999E-2</v>
      </c>
      <c r="K157" s="272">
        <v>1.21E-2</v>
      </c>
      <c r="L157" s="272">
        <v>1.2500000000000001E-2</v>
      </c>
      <c r="M157" s="272">
        <v>9.1999999999999998E-3</v>
      </c>
      <c r="N157" s="272">
        <v>8.8999999999999999E-3</v>
      </c>
      <c r="O157" s="272">
        <v>3.3E-3</v>
      </c>
      <c r="P157" s="272">
        <v>3.2000000000000002E-3</v>
      </c>
      <c r="Q157" s="272">
        <v>3.7000000000000002E-3</v>
      </c>
      <c r="R157" s="272">
        <v>1.29E-2</v>
      </c>
      <c r="S157" s="272">
        <v>1.1299999999999999E-2</v>
      </c>
      <c r="T157" s="272">
        <v>1.3299999999999999E-2</v>
      </c>
      <c r="U157" s="272">
        <v>2.69E-2</v>
      </c>
      <c r="V157" s="272">
        <v>2.41E-2</v>
      </c>
      <c r="W157" s="272">
        <v>2.5600000000000001E-2</v>
      </c>
      <c r="X157" s="1634">
        <f t="shared" si="156"/>
        <v>2.5600000000000001E-2</v>
      </c>
      <c r="Y157" s="467">
        <f t="shared" si="156"/>
        <v>2.5600000000000001E-2</v>
      </c>
      <c r="Z157" s="467">
        <f t="shared" si="156"/>
        <v>2.5600000000000001E-2</v>
      </c>
      <c r="AA157" s="467">
        <f t="shared" si="156"/>
        <v>2.5600000000000001E-2</v>
      </c>
      <c r="AB157" s="467">
        <f t="shared" si="156"/>
        <v>2.5600000000000001E-2</v>
      </c>
    </row>
    <row r="158" spans="1:28" x14ac:dyDescent="0.25">
      <c r="B158" s="50"/>
      <c r="C158" s="50"/>
      <c r="D158" s="50"/>
      <c r="E158" s="50"/>
      <c r="F158" s="50"/>
      <c r="G158" s="50"/>
      <c r="H158" s="50"/>
      <c r="I158" s="50"/>
      <c r="J158" s="50"/>
      <c r="K158" s="53"/>
      <c r="L158" s="53"/>
      <c r="M158" s="53"/>
      <c r="N158" s="53"/>
      <c r="O158" s="53"/>
      <c r="P158" s="53"/>
      <c r="Q158" s="53"/>
      <c r="R158" s="53"/>
      <c r="S158" s="53"/>
      <c r="T158" s="53"/>
      <c r="U158" s="53"/>
      <c r="V158" s="53"/>
      <c r="W158" s="53"/>
      <c r="X158" s="56"/>
      <c r="Y158" s="50"/>
      <c r="Z158" s="50"/>
      <c r="AA158" s="50"/>
      <c r="AB158" s="50"/>
    </row>
    <row r="159" spans="1:28" x14ac:dyDescent="0.25">
      <c r="A159" s="186" t="s">
        <v>701</v>
      </c>
      <c r="B159" s="50"/>
      <c r="C159" s="50"/>
      <c r="D159" s="50"/>
      <c r="E159" s="50"/>
      <c r="F159" s="50"/>
      <c r="G159" s="50"/>
      <c r="H159" s="50"/>
      <c r="I159" s="50"/>
      <c r="J159" s="50"/>
      <c r="K159" s="53"/>
      <c r="L159" s="53"/>
      <c r="M159" s="53"/>
      <c r="N159" s="53"/>
      <c r="O159" s="53"/>
      <c r="P159" s="53"/>
      <c r="Q159" s="53"/>
      <c r="R159" s="53"/>
      <c r="S159" s="53"/>
      <c r="T159" s="53"/>
      <c r="U159" s="53"/>
      <c r="V159" s="53"/>
      <c r="W159" s="53"/>
      <c r="X159" s="56"/>
      <c r="Y159" s="50"/>
      <c r="Z159" s="50"/>
      <c r="AA159" s="50"/>
      <c r="AB159" s="50"/>
    </row>
    <row r="160" spans="1:28" x14ac:dyDescent="0.25">
      <c r="A160" s="4" t="str">
        <f>+A151</f>
        <v>Fixed rate:</v>
      </c>
      <c r="B160" s="50">
        <f>B152*B139</f>
        <v>7.0000000000000007E-2</v>
      </c>
      <c r="C160" s="50">
        <f t="shared" ref="C160:R161" si="157">C152*AVERAGE(C139,B139)</f>
        <v>1.4288000000000001</v>
      </c>
      <c r="D160" s="50">
        <f t="shared" si="157"/>
        <v>3.1152000000000002</v>
      </c>
      <c r="E160" s="50">
        <f t="shared" si="157"/>
        <v>3.6179999999999999</v>
      </c>
      <c r="F160" s="50">
        <f t="shared" si="157"/>
        <v>3.1248</v>
      </c>
      <c r="G160" s="50">
        <f t="shared" si="157"/>
        <v>3.4299500000000003</v>
      </c>
      <c r="H160" s="50">
        <f t="shared" si="157"/>
        <v>3.2444500000000001</v>
      </c>
      <c r="I160" s="50">
        <f t="shared" si="157"/>
        <v>3.7984500000000003</v>
      </c>
      <c r="J160" s="50">
        <f t="shared" si="157"/>
        <v>3.5996999999999995</v>
      </c>
      <c r="K160" s="53">
        <f t="shared" si="157"/>
        <v>17.4099</v>
      </c>
      <c r="L160" s="53">
        <f t="shared" si="157"/>
        <v>5.6902499999999998</v>
      </c>
      <c r="M160" s="53">
        <f t="shared" si="157"/>
        <v>0.78</v>
      </c>
      <c r="N160" s="53">
        <f t="shared" si="157"/>
        <v>0.76065000000000005</v>
      </c>
      <c r="O160" s="53">
        <f t="shared" si="157"/>
        <v>0.6895</v>
      </c>
      <c r="P160" s="53">
        <f t="shared" si="157"/>
        <v>3.3105000000000002</v>
      </c>
      <c r="Q160" s="53">
        <f t="shared" si="157"/>
        <v>0.7228</v>
      </c>
      <c r="R160" s="53">
        <f t="shared" si="157"/>
        <v>5.5053000000000001</v>
      </c>
      <c r="S160" s="53">
        <f t="shared" ref="S160:AB161" si="158">S152*AVERAGE(R139)</f>
        <v>11.075100000000001</v>
      </c>
      <c r="T160" s="53">
        <f t="shared" si="158"/>
        <v>2.04</v>
      </c>
      <c r="U160" s="53">
        <f t="shared" si="158"/>
        <v>24.816800000000001</v>
      </c>
      <c r="V160" s="53">
        <f t="shared" si="158"/>
        <v>31.564800000000002</v>
      </c>
      <c r="W160" s="53">
        <f t="shared" si="158"/>
        <v>12.3192</v>
      </c>
      <c r="X160" s="1596">
        <f t="shared" si="158"/>
        <v>40.409100000000002</v>
      </c>
      <c r="Y160" s="59">
        <f t="shared" si="158"/>
        <v>40.409100000000002</v>
      </c>
      <c r="Z160" s="59">
        <f t="shared" si="158"/>
        <v>40.409100000000002</v>
      </c>
      <c r="AA160" s="59">
        <f t="shared" si="158"/>
        <v>40.409100000000002</v>
      </c>
      <c r="AB160" s="59">
        <f t="shared" si="158"/>
        <v>40.409100000000002</v>
      </c>
    </row>
    <row r="161" spans="1:28" x14ac:dyDescent="0.25">
      <c r="A161" s="4" t="str">
        <f>+A152</f>
        <v xml:space="preserve">Current </v>
      </c>
      <c r="B161" s="50">
        <f>B153*B140</f>
        <v>7.0000000000000007E-2</v>
      </c>
      <c r="C161" s="50">
        <f t="shared" si="157"/>
        <v>7.6857499999999996</v>
      </c>
      <c r="D161" s="50">
        <f t="shared" si="157"/>
        <v>14.2484</v>
      </c>
      <c r="E161" s="50">
        <f t="shared" si="157"/>
        <v>10.8188</v>
      </c>
      <c r="F161" s="50">
        <f t="shared" si="157"/>
        <v>8.918000000000001</v>
      </c>
      <c r="G161" s="50">
        <f t="shared" si="157"/>
        <v>23.733000000000001</v>
      </c>
      <c r="H161" s="50">
        <f t="shared" si="157"/>
        <v>37.914299999999997</v>
      </c>
      <c r="I161" s="50">
        <f t="shared" si="157"/>
        <v>36.5364</v>
      </c>
      <c r="J161" s="50">
        <f t="shared" si="157"/>
        <v>55.2864</v>
      </c>
      <c r="K161" s="53">
        <f t="shared" si="157"/>
        <v>57.073799999999999</v>
      </c>
      <c r="L161" s="53">
        <f t="shared" si="157"/>
        <v>43.787099999999995</v>
      </c>
      <c r="M161" s="53">
        <f t="shared" si="157"/>
        <v>54.140500000000003</v>
      </c>
      <c r="N161" s="53">
        <f t="shared" si="157"/>
        <v>35.953650000000003</v>
      </c>
      <c r="O161" s="53">
        <f t="shared" si="157"/>
        <v>25.787949999999999</v>
      </c>
      <c r="P161" s="53">
        <f t="shared" si="157"/>
        <v>25.01125</v>
      </c>
      <c r="Q161" s="53">
        <f t="shared" si="157"/>
        <v>47.768650000000001</v>
      </c>
      <c r="R161" s="53">
        <f t="shared" si="157"/>
        <v>75.509</v>
      </c>
      <c r="S161" s="53">
        <f t="shared" si="158"/>
        <v>46.239599999999996</v>
      </c>
      <c r="T161" s="53">
        <f t="shared" si="158"/>
        <v>64.206000000000003</v>
      </c>
      <c r="U161" s="53">
        <f t="shared" si="158"/>
        <v>42.579599999999999</v>
      </c>
      <c r="V161" s="53">
        <f t="shared" si="158"/>
        <v>43.249400000000001</v>
      </c>
      <c r="W161" s="53">
        <f t="shared" si="158"/>
        <v>69.264800000000008</v>
      </c>
      <c r="X161" s="1596">
        <f t="shared" si="158"/>
        <v>44.337700000000005</v>
      </c>
      <c r="Y161" s="59">
        <f t="shared" si="158"/>
        <v>34.931600000000003</v>
      </c>
      <c r="Z161" s="59">
        <f t="shared" si="158"/>
        <v>34.931600000000003</v>
      </c>
      <c r="AA161" s="59">
        <f t="shared" si="158"/>
        <v>34.931600000000003</v>
      </c>
      <c r="AB161" s="59">
        <f t="shared" si="158"/>
        <v>34.931600000000003</v>
      </c>
    </row>
    <row r="162" spans="1:28" x14ac:dyDescent="0.25">
      <c r="A162" s="4" t="str">
        <f>+A153</f>
        <v>Non-current</v>
      </c>
      <c r="B162" s="50"/>
      <c r="C162" s="50"/>
      <c r="D162" s="50"/>
      <c r="E162" s="50"/>
      <c r="F162" s="50"/>
      <c r="G162" s="50"/>
      <c r="H162" s="50"/>
      <c r="I162" s="50"/>
      <c r="J162" s="50"/>
      <c r="K162" s="53"/>
      <c r="L162" s="53"/>
      <c r="M162" s="53"/>
      <c r="N162" s="53"/>
      <c r="O162" s="53"/>
      <c r="P162" s="53"/>
      <c r="Q162" s="53"/>
      <c r="R162" s="53"/>
      <c r="S162" s="53"/>
      <c r="T162" s="53"/>
      <c r="U162" s="53"/>
      <c r="V162" s="53"/>
      <c r="W162" s="53"/>
      <c r="X162" s="56"/>
      <c r="Y162" s="50"/>
      <c r="Z162" s="50"/>
      <c r="AA162" s="50"/>
      <c r="AB162" s="50"/>
    </row>
    <row r="163" spans="1:28" x14ac:dyDescent="0.25">
      <c r="B163" s="50"/>
      <c r="C163" s="50"/>
      <c r="D163" s="50"/>
      <c r="E163" s="50"/>
      <c r="F163" s="50"/>
      <c r="G163" s="50"/>
      <c r="H163" s="50"/>
      <c r="I163" s="50"/>
      <c r="J163" s="50"/>
      <c r="K163" s="53"/>
      <c r="L163" s="53"/>
      <c r="M163" s="53"/>
      <c r="N163" s="53"/>
      <c r="O163" s="53"/>
      <c r="P163" s="53"/>
      <c r="Q163" s="53"/>
      <c r="R163" s="53"/>
      <c r="S163" s="53"/>
      <c r="T163" s="53"/>
      <c r="U163" s="53"/>
      <c r="V163" s="53"/>
      <c r="W163" s="53"/>
      <c r="X163" s="56"/>
      <c r="Y163" s="50"/>
      <c r="Z163" s="50"/>
      <c r="AA163" s="50"/>
      <c r="AB163" s="50"/>
    </row>
    <row r="164" spans="1:28" x14ac:dyDescent="0.25">
      <c r="A164" s="4" t="str">
        <f>+A155</f>
        <v>Floating rate:</v>
      </c>
      <c r="B164" s="50"/>
      <c r="C164" s="50"/>
      <c r="D164" s="50"/>
      <c r="E164" s="50"/>
      <c r="F164" s="50"/>
      <c r="G164" s="50"/>
      <c r="H164" s="50"/>
      <c r="I164" s="50"/>
      <c r="J164" s="50"/>
      <c r="K164" s="53"/>
      <c r="L164" s="53"/>
      <c r="M164" s="53"/>
      <c r="N164" s="53"/>
      <c r="O164" s="53"/>
      <c r="P164" s="53"/>
      <c r="Q164" s="53"/>
      <c r="R164" s="53"/>
      <c r="S164" s="53"/>
      <c r="T164" s="53"/>
      <c r="U164" s="53"/>
      <c r="V164" s="53"/>
      <c r="W164" s="53"/>
      <c r="X164" s="56"/>
      <c r="Y164" s="50"/>
      <c r="Z164" s="50"/>
      <c r="AA164" s="50"/>
      <c r="AB164" s="50"/>
    </row>
    <row r="165" spans="1:28" x14ac:dyDescent="0.25">
      <c r="A165" s="4" t="str">
        <f>+A156</f>
        <v xml:space="preserve">Current </v>
      </c>
      <c r="B165" s="50">
        <f>B156*B143</f>
        <v>0.32450000000000001</v>
      </c>
      <c r="C165" s="50">
        <f t="shared" ref="C165:AB166" si="159">C156*AVERAGE(C143,B143)</f>
        <v>12.4389</v>
      </c>
      <c r="D165" s="50">
        <f t="shared" si="159"/>
        <v>29.44895</v>
      </c>
      <c r="E165" s="50">
        <f t="shared" si="159"/>
        <v>24.7</v>
      </c>
      <c r="F165" s="50">
        <f t="shared" si="159"/>
        <v>23.740200000000002</v>
      </c>
      <c r="G165" s="50">
        <f t="shared" si="159"/>
        <v>15.093</v>
      </c>
      <c r="H165" s="50">
        <f t="shared" si="159"/>
        <v>15.9068</v>
      </c>
      <c r="I165" s="50">
        <f t="shared" si="159"/>
        <v>12.366900000000001</v>
      </c>
      <c r="J165" s="50">
        <f t="shared" si="159"/>
        <v>13.0977</v>
      </c>
      <c r="K165" s="53">
        <f t="shared" si="159"/>
        <v>6.7112500000000006</v>
      </c>
      <c r="L165" s="53">
        <f t="shared" si="159"/>
        <v>6.7488000000000001</v>
      </c>
      <c r="M165" s="53">
        <f t="shared" si="159"/>
        <v>3.8972500000000001</v>
      </c>
      <c r="N165" s="53">
        <f t="shared" si="159"/>
        <v>1.972</v>
      </c>
      <c r="O165" s="53">
        <f t="shared" si="159"/>
        <v>2.6768000000000001</v>
      </c>
      <c r="P165" s="53">
        <f t="shared" si="159"/>
        <v>1.403</v>
      </c>
      <c r="Q165" s="53">
        <f t="shared" si="159"/>
        <v>4.8285</v>
      </c>
      <c r="R165" s="53">
        <f t="shared" si="159"/>
        <v>3.94</v>
      </c>
      <c r="S165" s="53">
        <f t="shared" si="159"/>
        <v>6.0750000000000002</v>
      </c>
      <c r="T165" s="53">
        <f t="shared" si="159"/>
        <v>0.28439999999999999</v>
      </c>
      <c r="U165" s="53">
        <f t="shared" si="159"/>
        <v>18.359249999999999</v>
      </c>
      <c r="V165" s="53">
        <f t="shared" si="159"/>
        <v>11.257399999999999</v>
      </c>
      <c r="W165" s="53">
        <f t="shared" si="159"/>
        <v>6.9074999999999998</v>
      </c>
      <c r="X165" s="1596">
        <f t="shared" si="159"/>
        <v>7.2450000000000001</v>
      </c>
      <c r="Y165" s="59">
        <f t="shared" si="159"/>
        <v>7.2450000000000001</v>
      </c>
      <c r="Z165" s="59">
        <f t="shared" si="159"/>
        <v>7.2450000000000001</v>
      </c>
      <c r="AA165" s="59">
        <f t="shared" si="159"/>
        <v>7.2450000000000001</v>
      </c>
      <c r="AB165" s="59">
        <f t="shared" si="159"/>
        <v>7.2450000000000001</v>
      </c>
    </row>
    <row r="166" spans="1:28" x14ac:dyDescent="0.25">
      <c r="A166" s="4" t="str">
        <f>+A157</f>
        <v>Non-current</v>
      </c>
      <c r="B166" s="50">
        <f>B157*B144</f>
        <v>0.58899999999999997</v>
      </c>
      <c r="C166" s="50">
        <f t="shared" si="159"/>
        <v>2.4037999999999999</v>
      </c>
      <c r="D166" s="50">
        <f t="shared" si="159"/>
        <v>4.0496499999999997</v>
      </c>
      <c r="E166" s="50">
        <f t="shared" si="159"/>
        <v>5.4169499999999999</v>
      </c>
      <c r="F166" s="50">
        <f t="shared" si="159"/>
        <v>7.2312499999999993</v>
      </c>
      <c r="G166" s="50">
        <f t="shared" si="159"/>
        <v>6.8780999999999999</v>
      </c>
      <c r="H166" s="50">
        <f t="shared" si="159"/>
        <v>9.1651500000000006</v>
      </c>
      <c r="I166" s="50">
        <f t="shared" si="159"/>
        <v>12.472049999999999</v>
      </c>
      <c r="J166" s="50">
        <f t="shared" si="159"/>
        <v>10.899199999999999</v>
      </c>
      <c r="K166" s="53">
        <f t="shared" si="159"/>
        <v>5.3421500000000002</v>
      </c>
      <c r="L166" s="53">
        <f t="shared" si="159"/>
        <v>4.95</v>
      </c>
      <c r="M166" s="53">
        <f t="shared" si="159"/>
        <v>3.5373999999999999</v>
      </c>
      <c r="N166" s="53">
        <f t="shared" si="159"/>
        <v>8.6552500000000006</v>
      </c>
      <c r="O166" s="53">
        <f t="shared" si="159"/>
        <v>6.61815</v>
      </c>
      <c r="P166" s="53">
        <f t="shared" si="159"/>
        <v>7.6992000000000003</v>
      </c>
      <c r="Q166" s="53">
        <f t="shared" si="159"/>
        <v>5.8737500000000002</v>
      </c>
      <c r="R166" s="53">
        <f t="shared" si="159"/>
        <v>7.4691000000000001</v>
      </c>
      <c r="S166" s="53">
        <f t="shared" ref="S166:AB166" si="160">S157*AVERAGE(R144)</f>
        <v>4.0001999999999995</v>
      </c>
      <c r="T166" s="53">
        <f t="shared" si="160"/>
        <v>4.4954000000000001</v>
      </c>
      <c r="U166" s="53">
        <f t="shared" si="160"/>
        <v>8.3121000000000009</v>
      </c>
      <c r="V166" s="53">
        <f t="shared" si="160"/>
        <v>2.169</v>
      </c>
      <c r="W166" s="53">
        <f t="shared" si="160"/>
        <v>2.1504000000000003</v>
      </c>
      <c r="X166" s="1596">
        <f t="shared" si="160"/>
        <v>1.8432000000000002</v>
      </c>
      <c r="Y166" s="59">
        <f t="shared" si="160"/>
        <v>1.8432000000000002</v>
      </c>
      <c r="Z166" s="59">
        <f t="shared" si="160"/>
        <v>1.8432000000000002</v>
      </c>
      <c r="AA166" s="59">
        <f t="shared" si="160"/>
        <v>1.8432000000000002</v>
      </c>
      <c r="AB166" s="59">
        <f t="shared" si="160"/>
        <v>1.8432000000000002</v>
      </c>
    </row>
    <row r="167" spans="1:28" x14ac:dyDescent="0.25">
      <c r="B167" s="50"/>
      <c r="C167" s="50"/>
      <c r="D167" s="50"/>
      <c r="E167" s="50"/>
      <c r="F167" s="50"/>
      <c r="G167" s="50"/>
      <c r="H167" s="52"/>
      <c r="I167" s="50"/>
      <c r="J167" s="50"/>
      <c r="K167" s="53"/>
      <c r="L167" s="53"/>
      <c r="M167" s="53"/>
      <c r="N167" s="53"/>
      <c r="O167" s="53"/>
      <c r="P167" s="53"/>
      <c r="Q167" s="53"/>
      <c r="R167" s="53"/>
      <c r="S167" s="53"/>
      <c r="T167" s="53"/>
      <c r="U167" s="53"/>
      <c r="V167" s="53"/>
      <c r="W167" s="53"/>
      <c r="X167" s="56"/>
      <c r="Y167" s="50"/>
      <c r="Z167" s="50"/>
      <c r="AA167" s="50"/>
      <c r="AB167" s="50"/>
    </row>
    <row r="168" spans="1:28" x14ac:dyDescent="0.25">
      <c r="A168" s="4" t="s">
        <v>702</v>
      </c>
      <c r="B168" s="50">
        <f>+B166+B165+B161+B160</f>
        <v>1.0535000000000001</v>
      </c>
      <c r="C168" s="50">
        <f t="shared" ref="C168:AB168" si="161">C166+C165+C161+C160</f>
        <v>23.957249999999998</v>
      </c>
      <c r="D168" s="50">
        <f t="shared" si="161"/>
        <v>50.862200000000001</v>
      </c>
      <c r="E168" s="50">
        <f t="shared" si="161"/>
        <v>44.553750000000001</v>
      </c>
      <c r="F168" s="102">
        <f t="shared" si="161"/>
        <v>43.014250000000004</v>
      </c>
      <c r="G168" s="50">
        <f t="shared" si="161"/>
        <v>49.134049999999995</v>
      </c>
      <c r="H168" s="50">
        <f t="shared" si="161"/>
        <v>66.230699999999999</v>
      </c>
      <c r="I168" s="50">
        <f t="shared" si="161"/>
        <v>65.1738</v>
      </c>
      <c r="J168" s="50">
        <f t="shared" si="161"/>
        <v>82.882999999999996</v>
      </c>
      <c r="K168" s="53">
        <f t="shared" si="161"/>
        <v>86.537100000000009</v>
      </c>
      <c r="L168" s="53">
        <f t="shared" si="161"/>
        <v>61.176149999999993</v>
      </c>
      <c r="M168" s="53">
        <f t="shared" si="161"/>
        <v>62.355150000000002</v>
      </c>
      <c r="N168" s="53">
        <f t="shared" si="161"/>
        <v>47.341549999999998</v>
      </c>
      <c r="O168" s="53">
        <f t="shared" si="161"/>
        <v>35.772399999999998</v>
      </c>
      <c r="P168" s="53">
        <f t="shared" si="161"/>
        <v>37.423949999999998</v>
      </c>
      <c r="Q168" s="53">
        <f t="shared" si="161"/>
        <v>59.1937</v>
      </c>
      <c r="R168" s="53">
        <f t="shared" si="161"/>
        <v>92.423400000000001</v>
      </c>
      <c r="S168" s="53">
        <f t="shared" si="161"/>
        <v>67.389899999999997</v>
      </c>
      <c r="T168" s="53">
        <f t="shared" si="161"/>
        <v>71.025800000000004</v>
      </c>
      <c r="U168" s="53">
        <f t="shared" ref="U168:V168" si="162">U166+U165+U161+U160</f>
        <v>94.067750000000004</v>
      </c>
      <c r="V168" s="53">
        <f t="shared" si="162"/>
        <v>88.240600000000001</v>
      </c>
      <c r="W168" s="53">
        <f t="shared" ref="W168" si="163">W166+W165+W161+W160</f>
        <v>90.641900000000007</v>
      </c>
      <c r="X168" s="1596">
        <f t="shared" si="161"/>
        <v>93.835000000000008</v>
      </c>
      <c r="Y168" s="59">
        <f t="shared" si="161"/>
        <v>84.428899999999999</v>
      </c>
      <c r="Z168" s="59">
        <f t="shared" si="161"/>
        <v>84.428899999999999</v>
      </c>
      <c r="AA168" s="59">
        <f t="shared" si="161"/>
        <v>84.428899999999999</v>
      </c>
      <c r="AB168" s="59">
        <f t="shared" si="161"/>
        <v>84.428899999999999</v>
      </c>
    </row>
    <row r="169" spans="1:28" x14ac:dyDescent="0.25">
      <c r="A169" s="4" t="s">
        <v>703</v>
      </c>
      <c r="B169" s="50">
        <f t="shared" ref="B169:T169" si="164">B171-B168</f>
        <v>-5.0534999999999997</v>
      </c>
      <c r="C169" s="50">
        <f t="shared" si="164"/>
        <v>5.0427500000000016</v>
      </c>
      <c r="D169" s="50">
        <f t="shared" si="164"/>
        <v>7.1377999999999986</v>
      </c>
      <c r="E169" s="50">
        <f t="shared" si="164"/>
        <v>11.446249999999999</v>
      </c>
      <c r="F169" s="102">
        <f t="shared" si="164"/>
        <v>10.985749999999996</v>
      </c>
      <c r="G169" s="50">
        <f t="shared" si="164"/>
        <v>6.8659500000000051</v>
      </c>
      <c r="H169" s="50">
        <f t="shared" si="164"/>
        <v>-6.2306999999999988</v>
      </c>
      <c r="I169" s="50">
        <f t="shared" si="164"/>
        <v>5.8262</v>
      </c>
      <c r="J169" s="50">
        <f t="shared" si="164"/>
        <v>14.117000000000004</v>
      </c>
      <c r="K169" s="53">
        <f t="shared" si="164"/>
        <v>-1.5371000000000095</v>
      </c>
      <c r="L169" s="53">
        <f t="shared" si="164"/>
        <v>18.823850000000007</v>
      </c>
      <c r="M169" s="53">
        <f t="shared" si="164"/>
        <v>-1.3551500000000019</v>
      </c>
      <c r="N169" s="53">
        <f t="shared" si="164"/>
        <v>23.658450000000002</v>
      </c>
      <c r="O169" s="53">
        <f t="shared" si="164"/>
        <v>45.227600000000002</v>
      </c>
      <c r="P169" s="53">
        <f t="shared" si="164"/>
        <v>57.576050000000002</v>
      </c>
      <c r="Q169" s="53">
        <f t="shared" si="164"/>
        <v>21.8063</v>
      </c>
      <c r="R169" s="53">
        <f t="shared" si="164"/>
        <v>-12.423400000000001</v>
      </c>
      <c r="S169" s="53">
        <f t="shared" si="164"/>
        <v>32.610100000000003</v>
      </c>
      <c r="T169" s="53">
        <f t="shared" si="164"/>
        <v>22.974199999999996</v>
      </c>
      <c r="U169" s="53">
        <f t="shared" ref="U169:V169" si="165">U171-U168</f>
        <v>23.932249999999996</v>
      </c>
      <c r="V169" s="53">
        <f t="shared" si="165"/>
        <v>3.7593999999999994</v>
      </c>
      <c r="W169" s="53">
        <f t="shared" ref="W169" si="166">W171-W168</f>
        <v>8.3580999999999932</v>
      </c>
      <c r="X169" s="1596">
        <f t="shared" ref="X169:AB169" si="167">X170*X148</f>
        <v>22.725000000000001</v>
      </c>
      <c r="Y169" s="59">
        <f t="shared" si="167"/>
        <v>22.725000000000001</v>
      </c>
      <c r="Z169" s="59">
        <f t="shared" si="167"/>
        <v>22.725000000000001</v>
      </c>
      <c r="AA169" s="59">
        <f t="shared" si="167"/>
        <v>22.725000000000001</v>
      </c>
      <c r="AB169" s="59">
        <f t="shared" si="167"/>
        <v>22.725000000000001</v>
      </c>
    </row>
    <row r="170" spans="1:28" x14ac:dyDescent="0.25">
      <c r="A170" s="4" t="s">
        <v>704</v>
      </c>
      <c r="B170" s="560">
        <f t="shared" ref="B170:T170" si="168">B169/B148</f>
        <v>-0.15792187499999999</v>
      </c>
      <c r="C170" s="560">
        <f t="shared" si="168"/>
        <v>3.5789567068843162E-3</v>
      </c>
      <c r="D170" s="560">
        <f t="shared" si="168"/>
        <v>6.1426850258175549E-3</v>
      </c>
      <c r="E170" s="560">
        <f t="shared" si="168"/>
        <v>1.2732202447163514E-2</v>
      </c>
      <c r="F170" s="560">
        <f t="shared" si="168"/>
        <v>7.0693371943371915E-3</v>
      </c>
      <c r="G170" s="560">
        <f t="shared" si="168"/>
        <v>2.6663883495145653E-3</v>
      </c>
      <c r="H170" s="560">
        <f t="shared" si="168"/>
        <v>-3.0378839590443681E-3</v>
      </c>
      <c r="I170" s="560">
        <f t="shared" si="168"/>
        <v>2.3829038854805726E-3</v>
      </c>
      <c r="J170" s="560">
        <f t="shared" si="168"/>
        <v>4.4462992125984266E-3</v>
      </c>
      <c r="K170" s="560">
        <f t="shared" si="168"/>
        <v>-5.6180555555555899E-4</v>
      </c>
      <c r="L170" s="560">
        <f t="shared" si="168"/>
        <v>5.9475039494470798E-3</v>
      </c>
      <c r="M170" s="560">
        <f t="shared" si="168"/>
        <v>-5.1565829528158369E-4</v>
      </c>
      <c r="N170" s="560">
        <f t="shared" si="168"/>
        <v>7.0897362900809117E-3</v>
      </c>
      <c r="O170" s="560">
        <f t="shared" si="168"/>
        <v>9.7557377049180341E-3</v>
      </c>
      <c r="P170" s="560">
        <f t="shared" si="168"/>
        <v>1.0272265834076718E-2</v>
      </c>
      <c r="Q170" s="560">
        <f t="shared" si="168"/>
        <v>3.216742882431037E-3</v>
      </c>
      <c r="R170" s="560">
        <f t="shared" si="168"/>
        <v>-1.8849036565012898E-3</v>
      </c>
      <c r="S170" s="560">
        <f t="shared" si="168"/>
        <v>4.7857499266216619E-3</v>
      </c>
      <c r="T170" s="560">
        <f t="shared" si="168"/>
        <v>3.4521712997746049E-3</v>
      </c>
      <c r="U170" s="560">
        <f t="shared" ref="U170:V170" si="169">U169/U148</f>
        <v>3.7993729163359256E-3</v>
      </c>
      <c r="V170" s="560">
        <f t="shared" si="169"/>
        <v>7.8714405360133988E-4</v>
      </c>
      <c r="W170" s="560">
        <f t="shared" ref="W170" si="170">W169/W148</f>
        <v>1.65572503961965E-3</v>
      </c>
      <c r="X170" s="1657">
        <v>5.0000000000000001E-3</v>
      </c>
      <c r="Y170" s="561">
        <f t="shared" ref="Y170:AB170" si="171">X170</f>
        <v>5.0000000000000001E-3</v>
      </c>
      <c r="Z170" s="561">
        <f t="shared" si="171"/>
        <v>5.0000000000000001E-3</v>
      </c>
      <c r="AA170" s="561">
        <f t="shared" si="171"/>
        <v>5.0000000000000001E-3</v>
      </c>
      <c r="AB170" s="561">
        <f t="shared" si="171"/>
        <v>5.0000000000000001E-3</v>
      </c>
    </row>
    <row r="171" spans="1:28" x14ac:dyDescent="0.25">
      <c r="A171" s="186" t="s">
        <v>705</v>
      </c>
      <c r="B171" s="147">
        <f>-IS!B77</f>
        <v>-4</v>
      </c>
      <c r="C171" s="147">
        <v>29</v>
      </c>
      <c r="D171" s="147">
        <v>58</v>
      </c>
      <c r="E171" s="147">
        <v>56</v>
      </c>
      <c r="F171" s="147">
        <v>54</v>
      </c>
      <c r="G171" s="147">
        <v>56</v>
      </c>
      <c r="H171" s="147">
        <v>60</v>
      </c>
      <c r="I171" s="147">
        <v>71</v>
      </c>
      <c r="J171" s="147">
        <v>97</v>
      </c>
      <c r="K171" s="141">
        <v>85</v>
      </c>
      <c r="L171" s="141">
        <v>80</v>
      </c>
      <c r="M171" s="141">
        <v>61</v>
      </c>
      <c r="N171" s="141">
        <v>71</v>
      </c>
      <c r="O171" s="141">
        <v>81</v>
      </c>
      <c r="P171" s="141">
        <v>95</v>
      </c>
      <c r="Q171" s="141">
        <v>81</v>
      </c>
      <c r="R171" s="141">
        <v>80</v>
      </c>
      <c r="S171" s="141">
        <v>100</v>
      </c>
      <c r="T171" s="141">
        <v>94</v>
      </c>
      <c r="U171" s="141">
        <v>118</v>
      </c>
      <c r="V171" s="141">
        <v>92</v>
      </c>
      <c r="W171" s="141">
        <v>99</v>
      </c>
      <c r="X171" s="1616">
        <f t="shared" ref="X171:AB171" si="172">X168+X169</f>
        <v>116.56</v>
      </c>
      <c r="Y171" s="493">
        <f t="shared" si="172"/>
        <v>107.15389999999999</v>
      </c>
      <c r="Z171" s="493">
        <f t="shared" si="172"/>
        <v>107.15389999999999</v>
      </c>
      <c r="AA171" s="493">
        <f t="shared" si="172"/>
        <v>107.15389999999999</v>
      </c>
      <c r="AB171" s="493">
        <f t="shared" si="172"/>
        <v>107.15389999999999</v>
      </c>
    </row>
    <row r="172" spans="1:28" x14ac:dyDescent="0.25">
      <c r="B172" s="102"/>
      <c r="C172" s="102"/>
      <c r="D172" s="101"/>
      <c r="E172" s="102"/>
      <c r="F172" s="102"/>
      <c r="G172" s="102"/>
      <c r="H172" s="102"/>
      <c r="I172" s="102"/>
      <c r="J172" s="102"/>
      <c r="K172" s="49"/>
      <c r="L172" s="49"/>
      <c r="M172" s="49"/>
      <c r="N172" s="49"/>
      <c r="O172" s="49"/>
      <c r="P172" s="49"/>
      <c r="Q172" s="49"/>
      <c r="R172" s="49"/>
      <c r="S172" s="49"/>
      <c r="T172" s="49"/>
      <c r="U172" s="49"/>
      <c r="V172" s="49"/>
      <c r="W172" s="49"/>
      <c r="X172" s="148"/>
      <c r="Y172" s="102"/>
      <c r="Z172" s="102"/>
      <c r="AA172" s="102"/>
      <c r="AB172" s="102"/>
    </row>
    <row r="173" spans="1:28" x14ac:dyDescent="0.25">
      <c r="A173" s="4" t="s">
        <v>706</v>
      </c>
      <c r="B173" s="135"/>
      <c r="C173" s="135">
        <f t="shared" ref="C173:AB173" si="173">C14</f>
        <v>936</v>
      </c>
      <c r="D173" s="135">
        <f t="shared" si="173"/>
        <v>743</v>
      </c>
      <c r="E173" s="135">
        <f t="shared" si="173"/>
        <v>730</v>
      </c>
      <c r="F173" s="135">
        <f t="shared" si="173"/>
        <v>919</v>
      </c>
      <c r="G173" s="135">
        <f t="shared" si="173"/>
        <v>2080</v>
      </c>
      <c r="H173" s="135">
        <f t="shared" si="173"/>
        <v>2062</v>
      </c>
      <c r="I173" s="135">
        <f t="shared" si="173"/>
        <v>1431</v>
      </c>
      <c r="J173" s="135">
        <f t="shared" si="173"/>
        <v>2193</v>
      </c>
      <c r="K173" s="135">
        <f t="shared" si="173"/>
        <v>1547</v>
      </c>
      <c r="L173" s="135">
        <f t="shared" si="173"/>
        <v>1633</v>
      </c>
      <c r="M173" s="135">
        <f t="shared" si="173"/>
        <v>1845</v>
      </c>
      <c r="N173" s="135">
        <f t="shared" si="173"/>
        <v>1926</v>
      </c>
      <c r="O173" s="135">
        <f t="shared" si="173"/>
        <v>4914</v>
      </c>
      <c r="P173" s="135">
        <f t="shared" si="173"/>
        <v>2330</v>
      </c>
      <c r="Q173" s="135">
        <f t="shared" si="173"/>
        <v>2632</v>
      </c>
      <c r="R173" s="135">
        <f t="shared" si="173"/>
        <v>3747</v>
      </c>
      <c r="S173" s="135">
        <f t="shared" si="173"/>
        <v>5247</v>
      </c>
      <c r="T173" s="135">
        <f t="shared" si="173"/>
        <v>6687</v>
      </c>
      <c r="U173" s="135">
        <f t="shared" si="173"/>
        <v>6676</v>
      </c>
      <c r="V173" s="135">
        <f t="shared" ref="V173:W173" si="174">V14</f>
        <v>6514</v>
      </c>
      <c r="W173" s="135">
        <f t="shared" si="174"/>
        <v>6789</v>
      </c>
      <c r="X173" s="1613">
        <f t="shared" si="173"/>
        <v>8810.5518355188215</v>
      </c>
      <c r="Y173" s="143">
        <f t="shared" si="173"/>
        <v>11439.163701082325</v>
      </c>
      <c r="Z173" s="143">
        <f t="shared" si="173"/>
        <v>13866.874413774345</v>
      </c>
      <c r="AA173" s="143">
        <f t="shared" si="173"/>
        <v>17746.697837244672</v>
      </c>
      <c r="AB173" s="143">
        <f t="shared" si="173"/>
        <v>21547.60464018178</v>
      </c>
    </row>
    <row r="174" spans="1:28" x14ac:dyDescent="0.25">
      <c r="A174" s="186" t="s">
        <v>707</v>
      </c>
      <c r="B174" s="147"/>
      <c r="C174" s="147">
        <v>11</v>
      </c>
      <c r="D174" s="147">
        <v>36</v>
      </c>
      <c r="E174" s="147">
        <v>46</v>
      </c>
      <c r="F174" s="147">
        <v>35</v>
      </c>
      <c r="G174" s="147">
        <v>18</v>
      </c>
      <c r="H174" s="147">
        <v>24</v>
      </c>
      <c r="I174" s="147">
        <v>29</v>
      </c>
      <c r="J174" s="147">
        <v>43</v>
      </c>
      <c r="K174" s="141">
        <v>43</v>
      </c>
      <c r="L174" s="141">
        <v>38</v>
      </c>
      <c r="M174" s="141">
        <v>33</v>
      </c>
      <c r="N174" s="141">
        <v>20</v>
      </c>
      <c r="O174" s="141">
        <v>24</v>
      </c>
      <c r="P174" s="141">
        <v>28</v>
      </c>
      <c r="Q174" s="141">
        <v>48</v>
      </c>
      <c r="R174" s="141">
        <v>22</v>
      </c>
      <c r="S174" s="141">
        <v>15</v>
      </c>
      <c r="T174" s="141">
        <v>38</v>
      </c>
      <c r="U174" s="141">
        <v>230</v>
      </c>
      <c r="V174" s="141">
        <v>249</v>
      </c>
      <c r="W174" s="141">
        <v>215</v>
      </c>
      <c r="X174" s="1616">
        <f t="shared" ref="X174:AB174" si="175">W173*X175</f>
        <v>237.61500000000001</v>
      </c>
      <c r="Y174" s="493">
        <f t="shared" si="175"/>
        <v>264.31655506556461</v>
      </c>
      <c r="Z174" s="493">
        <f t="shared" si="175"/>
        <v>343.17491103246977</v>
      </c>
      <c r="AA174" s="493">
        <f t="shared" si="175"/>
        <v>416.00623241323035</v>
      </c>
      <c r="AB174" s="493">
        <f t="shared" si="175"/>
        <v>532.40093511734017</v>
      </c>
    </row>
    <row r="175" spans="1:28" x14ac:dyDescent="0.25">
      <c r="A175" s="4" t="s">
        <v>708</v>
      </c>
      <c r="B175" s="102"/>
      <c r="C175" s="466">
        <f t="shared" ref="C175:T175" si="176">C174/C173</f>
        <v>1.1752136752136752E-2</v>
      </c>
      <c r="D175" s="466">
        <f t="shared" si="176"/>
        <v>4.8452220726783311E-2</v>
      </c>
      <c r="E175" s="466">
        <f t="shared" si="176"/>
        <v>6.3013698630136991E-2</v>
      </c>
      <c r="F175" s="466">
        <f t="shared" si="176"/>
        <v>3.8084874863982592E-2</v>
      </c>
      <c r="G175" s="466">
        <f t="shared" si="176"/>
        <v>8.6538461538461543E-3</v>
      </c>
      <c r="H175" s="466">
        <f t="shared" si="176"/>
        <v>1.1639185257032008E-2</v>
      </c>
      <c r="I175" s="466">
        <f t="shared" si="176"/>
        <v>2.026554856743536E-2</v>
      </c>
      <c r="J175" s="466">
        <f t="shared" si="176"/>
        <v>1.9607843137254902E-2</v>
      </c>
      <c r="K175" s="272">
        <f t="shared" si="176"/>
        <v>2.7795733678086618E-2</v>
      </c>
      <c r="L175" s="272">
        <f t="shared" si="176"/>
        <v>2.3270055113288425E-2</v>
      </c>
      <c r="M175" s="272">
        <f t="shared" si="176"/>
        <v>1.7886178861788619E-2</v>
      </c>
      <c r="N175" s="272">
        <f t="shared" si="176"/>
        <v>1.0384215991692628E-2</v>
      </c>
      <c r="O175" s="272">
        <f t="shared" si="176"/>
        <v>4.884004884004884E-3</v>
      </c>
      <c r="P175" s="272">
        <f t="shared" si="176"/>
        <v>1.201716738197425E-2</v>
      </c>
      <c r="Q175" s="272">
        <f t="shared" si="176"/>
        <v>1.82370820668693E-2</v>
      </c>
      <c r="R175" s="272">
        <f t="shared" si="176"/>
        <v>5.8713637576728048E-3</v>
      </c>
      <c r="S175" s="272">
        <f t="shared" si="176"/>
        <v>2.858776443682104E-3</v>
      </c>
      <c r="T175" s="272">
        <f t="shared" si="176"/>
        <v>5.6826678630177959E-3</v>
      </c>
      <c r="U175" s="272">
        <f t="shared" ref="U175:V175" si="177">U174/U173</f>
        <v>3.4451767525464347E-2</v>
      </c>
      <c r="V175" s="272">
        <f t="shared" si="177"/>
        <v>3.8225360761436906E-2</v>
      </c>
      <c r="W175" s="272">
        <f t="shared" ref="W175" si="178">W174/W173</f>
        <v>3.1668876123140371E-2</v>
      </c>
      <c r="X175" s="1641">
        <v>3.5000000000000003E-2</v>
      </c>
      <c r="Y175" s="513">
        <v>0.03</v>
      </c>
      <c r="Z175" s="467">
        <f t="shared" ref="Z175:AB175" si="179">+Y175</f>
        <v>0.03</v>
      </c>
      <c r="AA175" s="467">
        <f t="shared" si="179"/>
        <v>0.03</v>
      </c>
      <c r="AB175" s="467">
        <f t="shared" si="179"/>
        <v>0.03</v>
      </c>
    </row>
    <row r="176" spans="1:28" x14ac:dyDescent="0.25">
      <c r="B176" s="102"/>
      <c r="C176" s="102"/>
      <c r="D176" s="103"/>
      <c r="E176" s="103"/>
      <c r="F176" s="103"/>
      <c r="G176" s="103"/>
      <c r="H176" s="103"/>
      <c r="I176" s="103"/>
      <c r="J176" s="103"/>
      <c r="K176" s="104"/>
      <c r="L176" s="104"/>
      <c r="M176" s="104"/>
      <c r="N176" s="104"/>
      <c r="O176" s="104"/>
      <c r="P176" s="104"/>
      <c r="Q176" s="104"/>
      <c r="R176" s="104"/>
      <c r="S176" s="104"/>
      <c r="T176" s="104"/>
      <c r="U176" s="104"/>
      <c r="V176" s="104"/>
      <c r="W176" s="104"/>
      <c r="X176" s="1650"/>
      <c r="Y176" s="562"/>
      <c r="Z176" s="562"/>
      <c r="AA176" s="562"/>
      <c r="AB176" s="562"/>
    </row>
    <row r="177" spans="1:37" x14ac:dyDescent="0.25">
      <c r="B177" s="135"/>
      <c r="C177" s="135"/>
      <c r="D177" s="563"/>
      <c r="E177" s="563"/>
      <c r="F177" s="563"/>
      <c r="G177" s="563"/>
      <c r="H177" s="563"/>
      <c r="I177" s="563"/>
      <c r="J177" s="563"/>
      <c r="K177" s="563"/>
      <c r="L177" s="563"/>
      <c r="M177" s="563"/>
      <c r="N177" s="563"/>
      <c r="O177" s="563"/>
      <c r="P177" s="563"/>
      <c r="Q177" s="563"/>
      <c r="R177" s="563"/>
      <c r="S177" s="563"/>
      <c r="T177" s="563"/>
      <c r="U177" s="563"/>
      <c r="V177" s="563"/>
      <c r="W177" s="563"/>
      <c r="X177" s="1651"/>
      <c r="Y177" s="564"/>
      <c r="Z177" s="564"/>
      <c r="AA177" s="564"/>
      <c r="AB177" s="564"/>
    </row>
    <row r="178" spans="1:37" x14ac:dyDescent="0.25">
      <c r="A178" s="4" t="s">
        <v>709</v>
      </c>
      <c r="B178" s="102"/>
      <c r="C178" s="565">
        <f t="shared" ref="C178:AB178" si="180">-C171+C174</f>
        <v>-18</v>
      </c>
      <c r="D178" s="565">
        <f t="shared" si="180"/>
        <v>-22</v>
      </c>
      <c r="E178" s="565">
        <f t="shared" si="180"/>
        <v>-10</v>
      </c>
      <c r="F178" s="565">
        <f t="shared" si="180"/>
        <v>-19</v>
      </c>
      <c r="G178" s="565">
        <f t="shared" si="180"/>
        <v>-38</v>
      </c>
      <c r="H178" s="565">
        <f t="shared" si="180"/>
        <v>-36</v>
      </c>
      <c r="I178" s="565">
        <f t="shared" si="180"/>
        <v>-42</v>
      </c>
      <c r="J178" s="565">
        <f t="shared" si="180"/>
        <v>-54</v>
      </c>
      <c r="K178" s="566">
        <f t="shared" si="180"/>
        <v>-42</v>
      </c>
      <c r="L178" s="566">
        <f t="shared" si="180"/>
        <v>-42</v>
      </c>
      <c r="M178" s="566">
        <f t="shared" si="180"/>
        <v>-28</v>
      </c>
      <c r="N178" s="566">
        <f t="shared" si="180"/>
        <v>-51</v>
      </c>
      <c r="O178" s="566">
        <f t="shared" si="180"/>
        <v>-57</v>
      </c>
      <c r="P178" s="566">
        <f t="shared" si="180"/>
        <v>-67</v>
      </c>
      <c r="Q178" s="566">
        <f t="shared" si="180"/>
        <v>-33</v>
      </c>
      <c r="R178" s="566">
        <f t="shared" si="180"/>
        <v>-58</v>
      </c>
      <c r="S178" s="566">
        <f t="shared" si="180"/>
        <v>-85</v>
      </c>
      <c r="T178" s="566">
        <f t="shared" si="180"/>
        <v>-56</v>
      </c>
      <c r="U178" s="566">
        <f t="shared" ref="U178:V178" si="181">-U171+U174</f>
        <v>112</v>
      </c>
      <c r="V178" s="566">
        <f t="shared" si="181"/>
        <v>157</v>
      </c>
      <c r="W178" s="566">
        <f t="shared" ref="W178" si="182">-W171+W174</f>
        <v>116</v>
      </c>
      <c r="X178" s="1652">
        <f>-X171+X174</f>
        <v>121.05500000000001</v>
      </c>
      <c r="Y178" s="567">
        <f t="shared" si="180"/>
        <v>157.16265506556462</v>
      </c>
      <c r="Z178" s="567">
        <f t="shared" si="180"/>
        <v>236.02101103246977</v>
      </c>
      <c r="AA178" s="567">
        <f t="shared" si="180"/>
        <v>308.85233241323033</v>
      </c>
      <c r="AB178" s="567">
        <f t="shared" si="180"/>
        <v>425.24703511734015</v>
      </c>
    </row>
    <row r="179" spans="1:37" s="571" customFormat="1" x14ac:dyDescent="0.25">
      <c r="A179" s="568" t="s">
        <v>710</v>
      </c>
      <c r="B179" s="569"/>
      <c r="C179" s="569"/>
      <c r="D179" s="569"/>
      <c r="E179" s="569">
        <f>IS!E26-E178</f>
        <v>0</v>
      </c>
      <c r="F179" s="569">
        <f>IS!F26-F178</f>
        <v>0</v>
      </c>
      <c r="G179" s="569">
        <f>IS!G26-G178</f>
        <v>0</v>
      </c>
      <c r="H179" s="569">
        <f>IS!H26-H178</f>
        <v>0</v>
      </c>
      <c r="I179" s="569">
        <f>IS!I26-I178</f>
        <v>0</v>
      </c>
      <c r="J179" s="569">
        <f>IS!J26-J178</f>
        <v>0</v>
      </c>
      <c r="K179" s="570">
        <f>IS!K26-K178</f>
        <v>0</v>
      </c>
      <c r="L179" s="570">
        <f>IS!L26-L178</f>
        <v>0</v>
      </c>
      <c r="M179" s="570">
        <f>IS!M26-M178</f>
        <v>0</v>
      </c>
      <c r="N179" s="570">
        <f>IS!N26-N178</f>
        <v>0</v>
      </c>
      <c r="O179" s="570">
        <f>IS!O26-O178</f>
        <v>0</v>
      </c>
      <c r="P179" s="570">
        <f>IS!P26-P178</f>
        <v>0</v>
      </c>
      <c r="Q179" s="570">
        <f>IS!Q26-Q178</f>
        <v>0</v>
      </c>
      <c r="R179" s="570">
        <f>IS!R26-R178</f>
        <v>0</v>
      </c>
      <c r="S179" s="570">
        <f>IS!S26-S178</f>
        <v>0</v>
      </c>
      <c r="T179" s="570">
        <f>IS!T26-T178</f>
        <v>0</v>
      </c>
      <c r="U179" s="570">
        <f>IS!U26-U178</f>
        <v>0</v>
      </c>
      <c r="V179" s="570">
        <f>IS!V26-V178</f>
        <v>0</v>
      </c>
      <c r="W179" s="570">
        <f>IS!W26-W178</f>
        <v>0</v>
      </c>
      <c r="X179" s="1653">
        <f>IS!X26-X178</f>
        <v>0</v>
      </c>
      <c r="Y179" s="569">
        <f>IS!Y26-Y178</f>
        <v>0</v>
      </c>
      <c r="Z179" s="569">
        <f>IS!Z26-Z178</f>
        <v>0</v>
      </c>
      <c r="AA179" s="569">
        <f>IS!AA26-AA178</f>
        <v>0</v>
      </c>
      <c r="AB179" s="569">
        <f>IS!AB26-AB178</f>
        <v>0</v>
      </c>
      <c r="AF179"/>
      <c r="AG179"/>
      <c r="AH179"/>
      <c r="AI179"/>
      <c r="AJ179"/>
      <c r="AK179"/>
    </row>
    <row r="180" spans="1:37" x14ac:dyDescent="0.25">
      <c r="B180" s="102"/>
      <c r="C180" s="102"/>
      <c r="D180" s="103"/>
      <c r="E180" s="103"/>
      <c r="F180" s="103"/>
      <c r="G180" s="103"/>
      <c r="H180" s="103"/>
      <c r="I180" s="103"/>
      <c r="J180" s="103"/>
      <c r="K180" s="104"/>
      <c r="L180" s="104"/>
      <c r="M180" s="104"/>
      <c r="N180" s="104"/>
      <c r="O180" s="104"/>
      <c r="P180" s="104"/>
      <c r="Q180" s="104"/>
      <c r="R180" s="104"/>
      <c r="S180" s="104"/>
      <c r="T180" s="104"/>
      <c r="U180" s="104"/>
      <c r="V180" s="104"/>
      <c r="W180" s="104"/>
      <c r="X180" s="1650"/>
      <c r="Y180" s="562"/>
      <c r="Z180" s="562"/>
      <c r="AA180" s="562"/>
      <c r="AB180" s="562"/>
    </row>
    <row r="181" spans="1:37" x14ac:dyDescent="0.25">
      <c r="B181" s="102"/>
      <c r="C181" s="102"/>
      <c r="D181" s="103"/>
      <c r="E181" s="103"/>
      <c r="F181" s="103"/>
      <c r="G181" s="103"/>
      <c r="H181" s="103"/>
      <c r="I181" s="103"/>
      <c r="J181" s="103"/>
      <c r="K181" s="104"/>
      <c r="L181" s="104"/>
      <c r="M181" s="104"/>
      <c r="N181" s="104"/>
      <c r="O181" s="104"/>
      <c r="P181" s="104"/>
      <c r="Q181" s="104"/>
      <c r="R181" s="104"/>
      <c r="S181" s="104"/>
      <c r="T181" s="104"/>
      <c r="U181" s="104"/>
      <c r="V181" s="104"/>
      <c r="W181" s="104"/>
      <c r="X181" s="1650"/>
      <c r="Y181" s="562"/>
      <c r="Z181" s="562"/>
      <c r="AA181" s="562"/>
      <c r="AB181" s="562"/>
    </row>
    <row r="182" spans="1:37" x14ac:dyDescent="0.25">
      <c r="A182" s="4" t="s">
        <v>711</v>
      </c>
      <c r="B182" s="49"/>
      <c r="C182" s="49"/>
      <c r="D182" s="49"/>
      <c r="E182" s="49"/>
      <c r="F182" s="49"/>
      <c r="G182" s="49"/>
      <c r="H182" s="49"/>
      <c r="I182" s="49"/>
      <c r="J182" s="49">
        <v>42</v>
      </c>
      <c r="K182" s="49">
        <v>43</v>
      </c>
      <c r="L182" s="49">
        <v>38</v>
      </c>
      <c r="M182" s="49">
        <v>33</v>
      </c>
      <c r="N182" s="49">
        <v>20</v>
      </c>
      <c r="O182" s="49">
        <v>24</v>
      </c>
      <c r="P182" s="49">
        <v>26</v>
      </c>
      <c r="Q182" s="49">
        <v>49</v>
      </c>
      <c r="R182" s="49">
        <v>22</v>
      </c>
      <c r="S182" s="49">
        <v>14</v>
      </c>
      <c r="T182" s="49">
        <v>38</v>
      </c>
      <c r="U182" s="49">
        <v>229</v>
      </c>
      <c r="V182" s="49">
        <f t="shared" ref="V182:W182" si="183">V174</f>
        <v>249</v>
      </c>
      <c r="W182" s="49">
        <f t="shared" si="183"/>
        <v>215</v>
      </c>
      <c r="X182" s="1615">
        <f t="shared" ref="X182:AB182" si="184">X174</f>
        <v>237.61500000000001</v>
      </c>
      <c r="Y182" s="491">
        <f t="shared" si="184"/>
        <v>264.31655506556461</v>
      </c>
      <c r="Z182" s="491">
        <f t="shared" si="184"/>
        <v>343.17491103246977</v>
      </c>
      <c r="AA182" s="491">
        <f t="shared" si="184"/>
        <v>416.00623241323035</v>
      </c>
      <c r="AB182" s="491">
        <f t="shared" si="184"/>
        <v>532.40093511734017</v>
      </c>
    </row>
    <row r="183" spans="1:37" x14ac:dyDescent="0.25">
      <c r="A183" s="4" t="s">
        <v>712</v>
      </c>
      <c r="B183" s="49"/>
      <c r="C183" s="49"/>
      <c r="D183" s="49"/>
      <c r="E183" s="49"/>
      <c r="F183" s="49"/>
      <c r="G183" s="49"/>
      <c r="H183" s="49"/>
      <c r="I183" s="49"/>
      <c r="J183" s="49">
        <v>-88</v>
      </c>
      <c r="K183" s="49">
        <v>-93</v>
      </c>
      <c r="L183" s="49">
        <v>-85</v>
      </c>
      <c r="M183" s="49">
        <v>-65</v>
      </c>
      <c r="N183" s="49">
        <v>-50</v>
      </c>
      <c r="O183" s="49">
        <v>-72</v>
      </c>
      <c r="P183" s="49">
        <v>-87</v>
      </c>
      <c r="Q183" s="49">
        <v>-93</v>
      </c>
      <c r="R183" s="49">
        <v>-72</v>
      </c>
      <c r="S183" s="49">
        <v>-79</v>
      </c>
      <c r="T183" s="49">
        <v>-87</v>
      </c>
      <c r="U183" s="49">
        <v>-116</v>
      </c>
      <c r="V183" s="49">
        <f t="shared" ref="V183:W183" si="185">-V171</f>
        <v>-92</v>
      </c>
      <c r="W183" s="49">
        <f t="shared" si="185"/>
        <v>-99</v>
      </c>
      <c r="X183" s="1615">
        <f t="shared" ref="X183:AB183" si="186">-X171</f>
        <v>-116.56</v>
      </c>
      <c r="Y183" s="491">
        <f t="shared" si="186"/>
        <v>-107.15389999999999</v>
      </c>
      <c r="Z183" s="491">
        <f t="shared" si="186"/>
        <v>-107.15389999999999</v>
      </c>
      <c r="AA183" s="491">
        <f t="shared" si="186"/>
        <v>-107.15389999999999</v>
      </c>
      <c r="AB183" s="491">
        <f t="shared" si="186"/>
        <v>-107.15389999999999</v>
      </c>
    </row>
    <row r="184" spans="1:37" x14ac:dyDescent="0.25">
      <c r="A184" s="186" t="s">
        <v>713</v>
      </c>
      <c r="B184" s="49"/>
      <c r="C184" s="49"/>
      <c r="D184" s="49"/>
      <c r="E184" s="49"/>
      <c r="F184" s="49"/>
      <c r="G184" s="49"/>
      <c r="H184" s="49"/>
      <c r="I184" s="49"/>
      <c r="J184" s="141">
        <f t="shared" ref="J184:AB184" si="187">SUM(J182:J183)</f>
        <v>-46</v>
      </c>
      <c r="K184" s="141">
        <f t="shared" si="187"/>
        <v>-50</v>
      </c>
      <c r="L184" s="141">
        <f t="shared" si="187"/>
        <v>-47</v>
      </c>
      <c r="M184" s="141">
        <f t="shared" si="187"/>
        <v>-32</v>
      </c>
      <c r="N184" s="141">
        <f t="shared" si="187"/>
        <v>-30</v>
      </c>
      <c r="O184" s="141">
        <f t="shared" si="187"/>
        <v>-48</v>
      </c>
      <c r="P184" s="141">
        <f t="shared" si="187"/>
        <v>-61</v>
      </c>
      <c r="Q184" s="141">
        <f t="shared" si="187"/>
        <v>-44</v>
      </c>
      <c r="R184" s="141">
        <f t="shared" si="187"/>
        <v>-50</v>
      </c>
      <c r="S184" s="141">
        <f t="shared" si="187"/>
        <v>-65</v>
      </c>
      <c r="T184" s="141">
        <f t="shared" si="187"/>
        <v>-49</v>
      </c>
      <c r="U184" s="141">
        <f t="shared" ref="U184" si="188">SUM(U182:U183)</f>
        <v>113</v>
      </c>
      <c r="V184" s="141">
        <f t="shared" ref="V184:W184" si="189">SUM(V182:V183)</f>
        <v>157</v>
      </c>
      <c r="W184" s="141">
        <f t="shared" si="189"/>
        <v>116</v>
      </c>
      <c r="X184" s="1616">
        <f t="shared" si="187"/>
        <v>121.05500000000001</v>
      </c>
      <c r="Y184" s="149">
        <f t="shared" si="187"/>
        <v>157.16265506556462</v>
      </c>
      <c r="Z184" s="149">
        <f t="shared" si="187"/>
        <v>236.02101103246977</v>
      </c>
      <c r="AA184" s="149">
        <f t="shared" si="187"/>
        <v>308.85233241323033</v>
      </c>
      <c r="AB184" s="149">
        <f t="shared" si="187"/>
        <v>425.24703511734015</v>
      </c>
    </row>
    <row r="185" spans="1:37" x14ac:dyDescent="0.25">
      <c r="B185" s="102"/>
      <c r="C185" s="102"/>
      <c r="D185" s="103"/>
      <c r="E185" s="103"/>
      <c r="F185" s="103"/>
      <c r="G185" s="103"/>
      <c r="H185" s="103"/>
      <c r="I185" s="103"/>
      <c r="J185" s="103"/>
      <c r="K185" s="104"/>
      <c r="L185" s="104"/>
      <c r="M185" s="104"/>
      <c r="N185" s="104"/>
      <c r="O185" s="104"/>
      <c r="P185" s="104"/>
      <c r="Q185" s="104"/>
      <c r="R185" s="104"/>
      <c r="S185" s="104"/>
      <c r="T185" s="104"/>
      <c r="U185" s="104"/>
      <c r="V185" s="104"/>
      <c r="W185" s="104"/>
      <c r="X185" s="1650"/>
      <c r="Y185" s="562"/>
      <c r="Z185" s="562"/>
      <c r="AA185" s="562"/>
      <c r="AB185" s="562"/>
    </row>
    <row r="186" spans="1:37" x14ac:dyDescent="0.25">
      <c r="A186" s="219" t="s">
        <v>714</v>
      </c>
      <c r="B186" s="102"/>
      <c r="C186" s="102"/>
      <c r="D186" s="103"/>
      <c r="E186" s="103"/>
      <c r="F186" s="103"/>
      <c r="G186" s="103"/>
      <c r="H186" s="103"/>
      <c r="I186" s="103"/>
      <c r="J186" s="103"/>
      <c r="K186" s="104"/>
      <c r="L186" s="49"/>
      <c r="M186" s="49"/>
      <c r="N186" s="104"/>
      <c r="O186" s="104"/>
      <c r="P186" s="104"/>
      <c r="Q186" s="104"/>
      <c r="R186" s="104"/>
      <c r="S186" s="104"/>
      <c r="T186" s="104"/>
      <c r="U186" s="104"/>
      <c r="V186" s="104"/>
      <c r="W186" s="104"/>
      <c r="X186" s="1650"/>
      <c r="Y186" s="562"/>
      <c r="Z186" s="562"/>
      <c r="AA186" s="562"/>
      <c r="AB186" s="562"/>
    </row>
    <row r="187" spans="1:37" x14ac:dyDescent="0.25">
      <c r="A187" s="4" t="s">
        <v>715</v>
      </c>
      <c r="B187" s="102"/>
      <c r="C187" s="102"/>
      <c r="D187" s="103"/>
      <c r="E187" s="103"/>
      <c r="F187" s="103"/>
      <c r="G187" s="103"/>
      <c r="H187" s="103"/>
      <c r="I187" s="103"/>
      <c r="J187" s="103"/>
      <c r="K187" s="104"/>
      <c r="L187" s="49">
        <v>153</v>
      </c>
      <c r="M187" s="49">
        <v>0</v>
      </c>
      <c r="N187" s="572">
        <f t="shared" ref="N187:AB187" si="190">M187</f>
        <v>0</v>
      </c>
      <c r="O187" s="572">
        <f t="shared" si="190"/>
        <v>0</v>
      </c>
      <c r="P187" s="572">
        <f t="shared" si="190"/>
        <v>0</v>
      </c>
      <c r="Q187" s="572">
        <f t="shared" si="190"/>
        <v>0</v>
      </c>
      <c r="R187" s="572">
        <f t="shared" si="190"/>
        <v>0</v>
      </c>
      <c r="S187" s="572">
        <f t="shared" si="190"/>
        <v>0</v>
      </c>
      <c r="T187" s="572">
        <f t="shared" si="190"/>
        <v>0</v>
      </c>
      <c r="U187" s="572">
        <v>0</v>
      </c>
      <c r="V187" s="572">
        <f t="shared" si="190"/>
        <v>0</v>
      </c>
      <c r="W187" s="572">
        <f t="shared" si="190"/>
        <v>0</v>
      </c>
      <c r="X187" s="1654">
        <f t="shared" si="190"/>
        <v>0</v>
      </c>
      <c r="Y187" s="535">
        <f t="shared" si="190"/>
        <v>0</v>
      </c>
      <c r="Z187" s="535">
        <f t="shared" si="190"/>
        <v>0</v>
      </c>
      <c r="AA187" s="535">
        <f t="shared" si="190"/>
        <v>0</v>
      </c>
      <c r="AB187" s="535">
        <f t="shared" si="190"/>
        <v>0</v>
      </c>
    </row>
    <row r="188" spans="1:37" x14ac:dyDescent="0.25">
      <c r="A188" s="4" t="s">
        <v>716</v>
      </c>
      <c r="B188" s="102"/>
      <c r="C188" s="102"/>
      <c r="D188" s="103"/>
      <c r="E188" s="103"/>
      <c r="F188" s="103"/>
      <c r="G188" s="103"/>
      <c r="H188" s="103"/>
      <c r="I188" s="103"/>
      <c r="J188" s="103"/>
      <c r="K188" s="104"/>
      <c r="L188" s="49">
        <v>618</v>
      </c>
      <c r="M188" s="49">
        <v>765</v>
      </c>
      <c r="N188" s="49">
        <v>2175</v>
      </c>
      <c r="O188" s="49">
        <f>1550+569</f>
        <v>2119</v>
      </c>
      <c r="P188" s="49">
        <f>1605+648</f>
        <v>2253</v>
      </c>
      <c r="Q188" s="49">
        <f>1559+652</f>
        <v>2211</v>
      </c>
      <c r="R188" s="49">
        <v>2126</v>
      </c>
      <c r="S188" s="49">
        <v>1969</v>
      </c>
      <c r="T188" s="49">
        <v>1974</v>
      </c>
      <c r="U188" s="49">
        <v>1928</v>
      </c>
      <c r="V188" s="49">
        <v>1894</v>
      </c>
      <c r="W188" s="49">
        <v>1892</v>
      </c>
      <c r="X188" s="1654">
        <f t="shared" ref="X188:AB188" si="191">X189-X187</f>
        <v>2032</v>
      </c>
      <c r="Y188" s="535">
        <f t="shared" si="191"/>
        <v>2172</v>
      </c>
      <c r="Z188" s="535">
        <f t="shared" si="191"/>
        <v>2312</v>
      </c>
      <c r="AA188" s="535">
        <f t="shared" si="191"/>
        <v>2452</v>
      </c>
      <c r="AB188" s="535">
        <f t="shared" si="191"/>
        <v>2592</v>
      </c>
    </row>
    <row r="189" spans="1:37" x14ac:dyDescent="0.25">
      <c r="A189" s="186" t="s">
        <v>717</v>
      </c>
      <c r="B189" s="102"/>
      <c r="C189" s="102"/>
      <c r="D189" s="103"/>
      <c r="E189" s="103"/>
      <c r="F189" s="103"/>
      <c r="G189" s="103"/>
      <c r="H189" s="103"/>
      <c r="I189" s="103"/>
      <c r="J189" s="103"/>
      <c r="K189" s="104"/>
      <c r="L189" s="141">
        <f t="shared" ref="L189:T189" si="192">L187+L188</f>
        <v>771</v>
      </c>
      <c r="M189" s="141">
        <f t="shared" si="192"/>
        <v>765</v>
      </c>
      <c r="N189" s="141">
        <f t="shared" si="192"/>
        <v>2175</v>
      </c>
      <c r="O189" s="141">
        <f t="shared" si="192"/>
        <v>2119</v>
      </c>
      <c r="P189" s="141">
        <f t="shared" si="192"/>
        <v>2253</v>
      </c>
      <c r="Q189" s="141">
        <f t="shared" si="192"/>
        <v>2211</v>
      </c>
      <c r="R189" s="141">
        <f t="shared" si="192"/>
        <v>2126</v>
      </c>
      <c r="S189" s="141">
        <f t="shared" si="192"/>
        <v>1969</v>
      </c>
      <c r="T189" s="141">
        <f t="shared" si="192"/>
        <v>1974</v>
      </c>
      <c r="U189" s="141">
        <f t="shared" ref="U189:V189" si="193">U187+U188</f>
        <v>1928</v>
      </c>
      <c r="V189" s="141">
        <f t="shared" si="193"/>
        <v>1894</v>
      </c>
      <c r="W189" s="141">
        <f t="shared" ref="W189" si="194">W187+W188</f>
        <v>1892</v>
      </c>
      <c r="X189" s="1616">
        <f t="shared" ref="X189:AB189" si="195">X197</f>
        <v>2032</v>
      </c>
      <c r="Y189" s="149">
        <f t="shared" si="195"/>
        <v>2172</v>
      </c>
      <c r="Z189" s="149">
        <f t="shared" si="195"/>
        <v>2312</v>
      </c>
      <c r="AA189" s="149">
        <f t="shared" si="195"/>
        <v>2452</v>
      </c>
      <c r="AB189" s="149">
        <f t="shared" si="195"/>
        <v>2592</v>
      </c>
    </row>
    <row r="190" spans="1:37" x14ac:dyDescent="0.25">
      <c r="A190" s="186"/>
      <c r="B190" s="102"/>
      <c r="C190" s="102"/>
      <c r="D190" s="103"/>
      <c r="E190" s="103"/>
      <c r="F190" s="103"/>
      <c r="G190" s="103"/>
      <c r="H190" s="103"/>
      <c r="I190" s="103"/>
      <c r="J190" s="103"/>
      <c r="K190" s="104"/>
      <c r="L190" s="141"/>
      <c r="M190" s="141"/>
      <c r="N190" s="104"/>
      <c r="O190" s="104"/>
      <c r="P190" s="104"/>
      <c r="Q190" s="104"/>
      <c r="R190" s="104"/>
      <c r="S190" s="104"/>
      <c r="T190" s="104"/>
      <c r="U190" s="104"/>
      <c r="V190" s="104"/>
      <c r="W190" s="104"/>
      <c r="X190" s="1650"/>
      <c r="Y190" s="562"/>
      <c r="Z190" s="562"/>
      <c r="AA190" s="562"/>
      <c r="AB190" s="562"/>
    </row>
    <row r="191" spans="1:37" x14ac:dyDescent="0.25">
      <c r="A191" s="186" t="s">
        <v>718</v>
      </c>
      <c r="B191" s="102"/>
      <c r="C191" s="102"/>
      <c r="D191" s="103"/>
      <c r="E191" s="103"/>
      <c r="F191" s="103"/>
      <c r="G191" s="103"/>
      <c r="H191" s="103"/>
      <c r="I191" s="103"/>
      <c r="J191" s="103"/>
      <c r="K191" s="104"/>
      <c r="L191" s="141">
        <v>680</v>
      </c>
      <c r="M191" s="141">
        <f>L189</f>
        <v>771</v>
      </c>
      <c r="N191" s="141">
        <f>M197</f>
        <v>765</v>
      </c>
      <c r="O191" s="141">
        <f>N197</f>
        <v>2175</v>
      </c>
      <c r="P191" s="141">
        <v>2127</v>
      </c>
      <c r="Q191" s="141">
        <f t="shared" ref="Q191:AB191" si="196">P197</f>
        <v>2253</v>
      </c>
      <c r="R191" s="141">
        <f t="shared" si="196"/>
        <v>2211</v>
      </c>
      <c r="S191" s="141">
        <f t="shared" si="196"/>
        <v>2126</v>
      </c>
      <c r="T191" s="141">
        <f t="shared" si="196"/>
        <v>1969</v>
      </c>
      <c r="U191" s="141">
        <f t="shared" si="196"/>
        <v>1974</v>
      </c>
      <c r="V191" s="141">
        <f t="shared" si="196"/>
        <v>1928</v>
      </c>
      <c r="W191" s="141">
        <f t="shared" si="196"/>
        <v>1894</v>
      </c>
      <c r="X191" s="1616">
        <f t="shared" si="196"/>
        <v>1892</v>
      </c>
      <c r="Y191" s="149">
        <f t="shared" si="196"/>
        <v>2032</v>
      </c>
      <c r="Z191" s="149">
        <f t="shared" si="196"/>
        <v>2172</v>
      </c>
      <c r="AA191" s="149">
        <f t="shared" si="196"/>
        <v>2312</v>
      </c>
      <c r="AB191" s="149">
        <f t="shared" si="196"/>
        <v>2452</v>
      </c>
    </row>
    <row r="192" spans="1:37" x14ac:dyDescent="0.25">
      <c r="A192" s="4" t="s">
        <v>301</v>
      </c>
      <c r="B192" s="102"/>
      <c r="C192" s="102"/>
      <c r="D192" s="103"/>
      <c r="E192" s="103"/>
      <c r="F192" s="103"/>
      <c r="G192" s="103"/>
      <c r="H192" s="103"/>
      <c r="I192" s="103"/>
      <c r="J192" s="103"/>
      <c r="K192" s="104"/>
      <c r="L192" s="49">
        <f>IS!L76</f>
        <v>18</v>
      </c>
      <c r="M192" s="49">
        <f>IS!M76</f>
        <v>4</v>
      </c>
      <c r="N192" s="49">
        <f>IS!N76</f>
        <v>0</v>
      </c>
      <c r="O192" s="49">
        <f>IS!O76</f>
        <v>0</v>
      </c>
      <c r="P192" s="49">
        <f>IS!P76</f>
        <v>0</v>
      </c>
      <c r="Q192" s="49">
        <f>IS!Q76</f>
        <v>0</v>
      </c>
      <c r="R192" s="49">
        <f>IS!R76</f>
        <v>0</v>
      </c>
      <c r="S192" s="49">
        <f>IS!S76</f>
        <v>0</v>
      </c>
      <c r="T192" s="49">
        <f>IS!T76</f>
        <v>0</v>
      </c>
      <c r="U192" s="49">
        <f>IS!U76</f>
        <v>0</v>
      </c>
      <c r="V192" s="49">
        <f>IS!V76</f>
        <v>0</v>
      </c>
      <c r="W192" s="49">
        <f>IS!W76</f>
        <v>0</v>
      </c>
      <c r="X192" s="1615">
        <f>IS!X76</f>
        <v>0</v>
      </c>
      <c r="Y192" s="146">
        <f>IS!Y76</f>
        <v>0</v>
      </c>
      <c r="Z192" s="146">
        <f>IS!Z76</f>
        <v>0</v>
      </c>
      <c r="AA192" s="146">
        <f>IS!AA76</f>
        <v>0</v>
      </c>
      <c r="AB192" s="146">
        <f>IS!AB76</f>
        <v>0</v>
      </c>
    </row>
    <row r="193" spans="1:28" x14ac:dyDescent="0.25">
      <c r="A193" s="4" t="s">
        <v>719</v>
      </c>
      <c r="B193" s="102"/>
      <c r="C193" s="102"/>
      <c r="D193" s="103"/>
      <c r="E193" s="103"/>
      <c r="F193" s="103"/>
      <c r="G193" s="103"/>
      <c r="H193" s="103"/>
      <c r="I193" s="103"/>
      <c r="J193" s="103"/>
      <c r="K193" s="104"/>
      <c r="L193" s="49">
        <f>IS!L72</f>
        <v>45</v>
      </c>
      <c r="M193" s="49">
        <f>IS!M72</f>
        <v>45</v>
      </c>
      <c r="N193" s="49">
        <f>IS!N72</f>
        <v>87</v>
      </c>
      <c r="O193" s="49">
        <f>IS!O72</f>
        <v>154</v>
      </c>
      <c r="P193" s="49">
        <f>IS!P72</f>
        <v>189</v>
      </c>
      <c r="Q193" s="49">
        <f>IS!Q72</f>
        <v>164</v>
      </c>
      <c r="R193" s="49">
        <f>IS!R72</f>
        <v>48</v>
      </c>
      <c r="S193" s="49">
        <f>IS!S72</f>
        <v>40</v>
      </c>
      <c r="T193" s="49">
        <f>IS!T72</f>
        <v>73</v>
      </c>
      <c r="U193" s="49">
        <f>IS!U72</f>
        <v>99</v>
      </c>
      <c r="V193" s="49">
        <f>IS!V72</f>
        <v>136</v>
      </c>
      <c r="W193" s="49">
        <f>IS!W72</f>
        <v>201</v>
      </c>
      <c r="X193" s="1615">
        <f>IS!X72</f>
        <v>200</v>
      </c>
      <c r="Y193" s="146">
        <f>IS!Y72</f>
        <v>200</v>
      </c>
      <c r="Z193" s="146">
        <f>IS!Z72</f>
        <v>200</v>
      </c>
      <c r="AA193" s="146">
        <f>IS!AA72</f>
        <v>200</v>
      </c>
      <c r="AB193" s="146">
        <f>IS!AB72</f>
        <v>200</v>
      </c>
    </row>
    <row r="194" spans="1:28" x14ac:dyDescent="0.25">
      <c r="A194" s="4" t="s">
        <v>720</v>
      </c>
      <c r="B194" s="102"/>
      <c r="C194" s="102"/>
      <c r="D194" s="103"/>
      <c r="E194" s="103"/>
      <c r="F194" s="103"/>
      <c r="G194" s="103"/>
      <c r="H194" s="103"/>
      <c r="I194" s="103"/>
      <c r="J194" s="103"/>
      <c r="K194" s="104"/>
      <c r="L194" s="49">
        <v>-27</v>
      </c>
      <c r="M194" s="49">
        <v>-41</v>
      </c>
      <c r="N194" s="49">
        <v>-24</v>
      </c>
      <c r="O194" s="49">
        <v>-44</v>
      </c>
      <c r="P194" s="49">
        <v>-65</v>
      </c>
      <c r="Q194" s="49">
        <v>-77</v>
      </c>
      <c r="R194" s="49">
        <v>-18</v>
      </c>
      <c r="S194" s="49">
        <v>-596</v>
      </c>
      <c r="T194" s="49">
        <v>-26</v>
      </c>
      <c r="U194" s="49">
        <v>-16</v>
      </c>
      <c r="V194" s="49">
        <v>-43</v>
      </c>
      <c r="W194" s="49">
        <v>-21</v>
      </c>
      <c r="X194" s="1615">
        <f t="shared" ref="X194:AB194" si="197">-X195*X193</f>
        <v>-60</v>
      </c>
      <c r="Y194" s="146">
        <f t="shared" si="197"/>
        <v>-60</v>
      </c>
      <c r="Z194" s="146">
        <f t="shared" si="197"/>
        <v>-60</v>
      </c>
      <c r="AA194" s="146">
        <f t="shared" si="197"/>
        <v>-60</v>
      </c>
      <c r="AB194" s="146">
        <f t="shared" si="197"/>
        <v>-60</v>
      </c>
    </row>
    <row r="195" spans="1:28" x14ac:dyDescent="0.25">
      <c r="A195" s="197" t="s">
        <v>721</v>
      </c>
      <c r="B195" s="102"/>
      <c r="C195" s="102"/>
      <c r="D195" s="103"/>
      <c r="E195" s="103"/>
      <c r="F195" s="103"/>
      <c r="G195" s="103"/>
      <c r="H195" s="103"/>
      <c r="I195" s="103"/>
      <c r="J195" s="103"/>
      <c r="K195" s="104"/>
      <c r="L195" s="104">
        <f t="shared" ref="L195:T195" si="198">-L194/(L192+L193)</f>
        <v>0.42857142857142855</v>
      </c>
      <c r="M195" s="104">
        <f t="shared" si="198"/>
        <v>0.83673469387755106</v>
      </c>
      <c r="N195" s="104">
        <f t="shared" si="198"/>
        <v>0.27586206896551724</v>
      </c>
      <c r="O195" s="104">
        <f t="shared" si="198"/>
        <v>0.2857142857142857</v>
      </c>
      <c r="P195" s="104">
        <f t="shared" si="198"/>
        <v>0.3439153439153439</v>
      </c>
      <c r="Q195" s="104">
        <f t="shared" si="198"/>
        <v>0.46951219512195119</v>
      </c>
      <c r="R195" s="104">
        <f t="shared" si="198"/>
        <v>0.375</v>
      </c>
      <c r="S195" s="104">
        <f t="shared" si="198"/>
        <v>14.9</v>
      </c>
      <c r="T195" s="104">
        <f t="shared" si="198"/>
        <v>0.35616438356164382</v>
      </c>
      <c r="U195" s="104">
        <f t="shared" ref="U195" si="199">-U194/(U192+U193)</f>
        <v>0.16161616161616163</v>
      </c>
      <c r="V195" s="104">
        <f t="shared" ref="V195:W195" si="200">-V194/(V192+V193)</f>
        <v>0.31617647058823528</v>
      </c>
      <c r="W195" s="105">
        <f t="shared" si="200"/>
        <v>0.1044776119402985</v>
      </c>
      <c r="X195" s="1241">
        <v>0.3</v>
      </c>
      <c r="Y195" s="511">
        <f t="shared" ref="Y195:AB195" si="201">X195</f>
        <v>0.3</v>
      </c>
      <c r="Z195" s="511">
        <f t="shared" si="201"/>
        <v>0.3</v>
      </c>
      <c r="AA195" s="511">
        <f t="shared" si="201"/>
        <v>0.3</v>
      </c>
      <c r="AB195" s="511">
        <f t="shared" si="201"/>
        <v>0.3</v>
      </c>
    </row>
    <row r="196" spans="1:28" x14ac:dyDescent="0.25">
      <c r="A196" s="4" t="s">
        <v>577</v>
      </c>
      <c r="B196" s="102"/>
      <c r="C196" s="102"/>
      <c r="D196" s="103"/>
      <c r="E196" s="103"/>
      <c r="F196" s="103"/>
      <c r="G196" s="103"/>
      <c r="H196" s="103"/>
      <c r="I196" s="103"/>
      <c r="J196" s="103"/>
      <c r="K196" s="104"/>
      <c r="L196" s="49">
        <f t="shared" ref="L196:T196" si="202">L197-L194-L193-L192-L191</f>
        <v>55</v>
      </c>
      <c r="M196" s="49">
        <f t="shared" si="202"/>
        <v>-14</v>
      </c>
      <c r="N196" s="49">
        <f t="shared" si="202"/>
        <v>1347</v>
      </c>
      <c r="O196" s="49">
        <f t="shared" si="202"/>
        <v>-166</v>
      </c>
      <c r="P196" s="49">
        <f t="shared" si="202"/>
        <v>2</v>
      </c>
      <c r="Q196" s="49">
        <f t="shared" si="202"/>
        <v>-129</v>
      </c>
      <c r="R196" s="49">
        <f t="shared" si="202"/>
        <v>-115</v>
      </c>
      <c r="S196" s="49">
        <f t="shared" si="202"/>
        <v>399</v>
      </c>
      <c r="T196" s="49">
        <f t="shared" si="202"/>
        <v>-42</v>
      </c>
      <c r="U196" s="49">
        <f t="shared" ref="U196" si="203">U197-U194-U193-U192-U191</f>
        <v>-129</v>
      </c>
      <c r="V196" s="49">
        <f t="shared" ref="V196:W196" si="204">V197-V194-V193-V192-V191</f>
        <v>-127</v>
      </c>
      <c r="W196" s="49">
        <f t="shared" si="204"/>
        <v>-182</v>
      </c>
      <c r="X196" s="1615">
        <v>0</v>
      </c>
      <c r="Y196" s="491">
        <v>0</v>
      </c>
      <c r="Z196" s="491">
        <v>0</v>
      </c>
      <c r="AA196" s="491">
        <v>0</v>
      </c>
      <c r="AB196" s="491">
        <v>0</v>
      </c>
    </row>
    <row r="197" spans="1:28" x14ac:dyDescent="0.25">
      <c r="A197" s="186" t="s">
        <v>722</v>
      </c>
      <c r="B197" s="102"/>
      <c r="C197" s="102"/>
      <c r="D197" s="103"/>
      <c r="E197" s="103"/>
      <c r="F197" s="103"/>
      <c r="G197" s="103"/>
      <c r="H197" s="103"/>
      <c r="I197" s="103"/>
      <c r="J197" s="103"/>
      <c r="K197" s="104"/>
      <c r="L197" s="138">
        <f t="shared" ref="L197:T197" si="205">L189</f>
        <v>771</v>
      </c>
      <c r="M197" s="138">
        <f t="shared" si="205"/>
        <v>765</v>
      </c>
      <c r="N197" s="138">
        <f t="shared" si="205"/>
        <v>2175</v>
      </c>
      <c r="O197" s="138">
        <f t="shared" si="205"/>
        <v>2119</v>
      </c>
      <c r="P197" s="138">
        <f t="shared" si="205"/>
        <v>2253</v>
      </c>
      <c r="Q197" s="138">
        <f t="shared" si="205"/>
        <v>2211</v>
      </c>
      <c r="R197" s="138">
        <f t="shared" si="205"/>
        <v>2126</v>
      </c>
      <c r="S197" s="138">
        <f t="shared" si="205"/>
        <v>1969</v>
      </c>
      <c r="T197" s="138">
        <f t="shared" si="205"/>
        <v>1974</v>
      </c>
      <c r="U197" s="138">
        <f t="shared" ref="U197" si="206">U189</f>
        <v>1928</v>
      </c>
      <c r="V197" s="138">
        <f t="shared" ref="V197:W197" si="207">V189</f>
        <v>1894</v>
      </c>
      <c r="W197" s="138">
        <f t="shared" si="207"/>
        <v>1892</v>
      </c>
      <c r="X197" s="112">
        <f t="shared" ref="X197:AB197" si="208">X191+X192+X193+X194+X196</f>
        <v>2032</v>
      </c>
      <c r="Y197" s="112">
        <f t="shared" si="208"/>
        <v>2172</v>
      </c>
      <c r="Z197" s="112">
        <f t="shared" si="208"/>
        <v>2312</v>
      </c>
      <c r="AA197" s="112">
        <f t="shared" si="208"/>
        <v>2452</v>
      </c>
      <c r="AB197" s="112">
        <f t="shared" si="208"/>
        <v>2592</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2297-EAD1-46EA-A620-416542C727BD}">
  <sheetPr codeName="Sheet12">
    <tabColor theme="8"/>
    <pageSetUpPr fitToPage="1"/>
  </sheetPr>
  <dimension ref="A1:CM304"/>
  <sheetViews>
    <sheetView showGridLines="0" zoomScaleNormal="100" workbookViewId="0">
      <pane xSplit="2" ySplit="3" topLeftCell="V4" activePane="bottomRight" state="frozen"/>
      <selection pane="topRight" activeCell="C1" sqref="C1"/>
      <selection pane="bottomLeft" activeCell="A4" sqref="A4"/>
      <selection pane="bottomRight" activeCell="U114" sqref="U114"/>
    </sheetView>
  </sheetViews>
  <sheetFormatPr defaultColWidth="8.85546875" defaultRowHeight="11.25" outlineLevelRow="1" outlineLevelCol="2" x14ac:dyDescent="0.2"/>
  <cols>
    <col min="1" max="1" width="32.85546875" style="4" customWidth="1"/>
    <col min="2" max="2" width="13.28515625" style="4" customWidth="1"/>
    <col min="3" max="3" width="7.28515625" style="4" hidden="1" customWidth="1" outlineLevel="1"/>
    <col min="4" max="5" width="7.7109375" style="4" hidden="1" customWidth="1" outlineLevel="1"/>
    <col min="6" max="7" width="7.28515625" style="4" hidden="1" customWidth="1" outlineLevel="1"/>
    <col min="8" max="8" width="7" style="4" hidden="1" customWidth="1" outlineLevel="1"/>
    <col min="9" max="10" width="8" style="4" hidden="1" customWidth="1" outlineLevel="1"/>
    <col min="11" max="13" width="7.7109375" style="4" hidden="1" customWidth="1" outlineLevel="1"/>
    <col min="14" max="20" width="7.140625" style="4" hidden="1" customWidth="1" outlineLevel="1"/>
    <col min="21" max="21" width="7.140625" style="4" customWidth="1" collapsed="1"/>
    <col min="22" max="24" width="7.140625" style="4" customWidth="1"/>
    <col min="25" max="28" width="7.140625" style="4" hidden="1" customWidth="1" outlineLevel="2"/>
    <col min="29" max="31" width="7.140625" style="4" hidden="1" customWidth="1" outlineLevel="1"/>
    <col min="32" max="32" width="7.140625" style="4" customWidth="1" collapsed="1"/>
    <col min="33" max="36" width="7.140625" style="4" hidden="1" customWidth="1" outlineLevel="2"/>
    <col min="37" max="39" width="7.140625" style="4" hidden="1" customWidth="1" outlineLevel="1"/>
    <col min="40" max="40" width="7.140625" style="4" customWidth="1" collapsed="1"/>
    <col min="41" max="44" width="7.140625" style="4" hidden="1" customWidth="1" outlineLevel="2"/>
    <col min="45" max="47" width="7.140625" style="4" hidden="1" customWidth="1" outlineLevel="1"/>
    <col min="48" max="48" width="7.140625" style="4" customWidth="1" collapsed="1"/>
    <col min="49" max="52" width="7.140625" style="4" hidden="1" customWidth="1" outlineLevel="2"/>
    <col min="53" max="55" width="7.140625" style="4" hidden="1" customWidth="1" outlineLevel="1"/>
    <col min="56" max="56" width="7.140625" style="4" customWidth="1" collapsed="1"/>
    <col min="57" max="60" width="7.140625" style="4" hidden="1" customWidth="1" outlineLevel="2"/>
    <col min="61" max="63" width="7.140625" style="4" hidden="1" customWidth="1" outlineLevel="1"/>
    <col min="64" max="64" width="7.140625" style="4" customWidth="1" collapsed="1"/>
    <col min="65" max="68" width="7.140625" style="4" hidden="1" customWidth="1" outlineLevel="2"/>
    <col min="69" max="71" width="7.140625" style="4" hidden="1" customWidth="1" outlineLevel="1"/>
    <col min="72" max="72" width="7.140625" style="4" customWidth="1" collapsed="1"/>
    <col min="73" max="76" width="7.140625" style="4" hidden="1" customWidth="1" outlineLevel="2"/>
    <col min="77" max="79" width="7.140625" style="4" hidden="1" customWidth="1" outlineLevel="1"/>
    <col min="80" max="80" width="7.140625" style="4" customWidth="1" collapsed="1"/>
    <col min="81" max="84" width="7.140625" style="4" hidden="1" customWidth="1" outlineLevel="2"/>
    <col min="85" max="87" width="7.140625" style="4" hidden="1" customWidth="1" outlineLevel="1"/>
    <col min="88" max="88" width="7.140625" style="4" customWidth="1" collapsed="1"/>
    <col min="89" max="241" width="7.140625" style="4" customWidth="1"/>
    <col min="242" max="16384" width="8.85546875" style="4"/>
  </cols>
  <sheetData>
    <row r="1" spans="1:89" ht="15.75" x14ac:dyDescent="0.25">
      <c r="A1" s="573" t="s">
        <v>68</v>
      </c>
      <c r="B1" s="180"/>
      <c r="X1" s="180"/>
    </row>
    <row r="2" spans="1:89" x14ac:dyDescent="0.2">
      <c r="B2" s="180"/>
      <c r="R2" s="574" t="s">
        <v>74</v>
      </c>
      <c r="S2" s="575" t="s">
        <v>74</v>
      </c>
      <c r="T2" s="575" t="s">
        <v>74</v>
      </c>
      <c r="U2" s="575" t="s">
        <v>74</v>
      </c>
      <c r="V2" s="575" t="s">
        <v>74</v>
      </c>
      <c r="W2" s="575" t="s">
        <v>74</v>
      </c>
      <c r="X2" s="576" t="s">
        <v>74</v>
      </c>
      <c r="Y2" s="575"/>
      <c r="Z2" s="575"/>
      <c r="AA2" s="575"/>
      <c r="AB2" s="575"/>
      <c r="AC2" s="575"/>
      <c r="AD2" s="575"/>
      <c r="AE2" s="575"/>
      <c r="AF2" s="575" t="s">
        <v>74</v>
      </c>
      <c r="AG2" s="575"/>
      <c r="AH2" s="575"/>
      <c r="AI2" s="575"/>
      <c r="AJ2" s="575"/>
      <c r="AK2" s="575"/>
      <c r="AL2" s="575"/>
      <c r="AM2" s="575"/>
      <c r="AN2" s="575" t="s">
        <v>74</v>
      </c>
      <c r="AO2" s="575"/>
      <c r="AP2" s="575"/>
      <c r="AQ2" s="575"/>
      <c r="AR2" s="575"/>
      <c r="AS2" s="575"/>
      <c r="AT2" s="575"/>
      <c r="AU2" s="575"/>
      <c r="AV2" s="575" t="s">
        <v>74</v>
      </c>
      <c r="AW2" s="575"/>
      <c r="AX2" s="575"/>
      <c r="AY2" s="575"/>
      <c r="AZ2" s="575"/>
      <c r="BA2" s="575"/>
      <c r="BB2" s="575"/>
      <c r="BC2" s="575"/>
      <c r="BD2" s="575" t="str">
        <f>AV2</f>
        <v>IFRS 15</v>
      </c>
      <c r="BE2" s="575"/>
      <c r="BF2" s="575"/>
      <c r="BG2" s="575"/>
      <c r="BH2" s="575"/>
      <c r="BI2" s="575"/>
      <c r="BJ2" s="575"/>
      <c r="BK2" s="575"/>
      <c r="BL2" s="575" t="str">
        <f>BD2</f>
        <v>IFRS 15</v>
      </c>
      <c r="BM2" s="575"/>
      <c r="BN2" s="575"/>
      <c r="BO2" s="575"/>
      <c r="BP2" s="575"/>
      <c r="BQ2" s="575"/>
      <c r="BR2" s="575"/>
      <c r="BS2" s="575"/>
      <c r="BT2" s="575" t="str">
        <f>BL2</f>
        <v>IFRS 15</v>
      </c>
      <c r="BU2" s="575"/>
      <c r="BV2" s="575"/>
      <c r="BW2" s="575"/>
      <c r="BX2" s="575"/>
      <c r="BY2" s="575"/>
      <c r="BZ2" s="575"/>
      <c r="CA2" s="575"/>
      <c r="CB2" s="575" t="str">
        <f>BT2</f>
        <v>IFRS 15</v>
      </c>
      <c r="CC2" s="575"/>
      <c r="CD2" s="575"/>
      <c r="CE2" s="575"/>
      <c r="CF2" s="575"/>
      <c r="CG2" s="575"/>
      <c r="CH2" s="575"/>
      <c r="CI2" s="575"/>
      <c r="CJ2" s="575" t="str">
        <f>CB2</f>
        <v>IFRS 15</v>
      </c>
    </row>
    <row r="3" spans="1:89" x14ac:dyDescent="0.2">
      <c r="A3" s="39" t="s">
        <v>75</v>
      </c>
      <c r="B3" s="577"/>
      <c r="C3" s="40">
        <v>2003</v>
      </c>
      <c r="D3" s="40">
        <v>2004</v>
      </c>
      <c r="E3" s="40">
        <f t="shared" ref="E3:J3" si="0">D3+1</f>
        <v>2005</v>
      </c>
      <c r="F3" s="40">
        <f t="shared" si="0"/>
        <v>2006</v>
      </c>
      <c r="G3" s="40">
        <f t="shared" si="0"/>
        <v>2007</v>
      </c>
      <c r="H3" s="40">
        <f t="shared" si="0"/>
        <v>2008</v>
      </c>
      <c r="I3" s="40">
        <f t="shared" si="0"/>
        <v>2009</v>
      </c>
      <c r="J3" s="40">
        <f t="shared" si="0"/>
        <v>2010</v>
      </c>
      <c r="K3" s="40">
        <v>2011</v>
      </c>
      <c r="L3" s="40">
        <v>2012</v>
      </c>
      <c r="M3" s="40">
        <v>2013</v>
      </c>
      <c r="N3" s="40">
        <v>2014</v>
      </c>
      <c r="O3" s="40">
        <f t="shared" ref="O3:V3" si="1">+N3+1</f>
        <v>2015</v>
      </c>
      <c r="P3" s="40">
        <f t="shared" si="1"/>
        <v>2016</v>
      </c>
      <c r="Q3" s="40">
        <f t="shared" si="1"/>
        <v>2017</v>
      </c>
      <c r="R3" s="41" t="s">
        <v>76</v>
      </c>
      <c r="S3" s="40">
        <f>+Q3+1</f>
        <v>2018</v>
      </c>
      <c r="T3" s="41" t="s">
        <v>77</v>
      </c>
      <c r="U3" s="40">
        <f>+S3+1</f>
        <v>2019</v>
      </c>
      <c r="V3" s="40">
        <f t="shared" si="1"/>
        <v>2020</v>
      </c>
      <c r="W3" s="40">
        <f>+V3+1</f>
        <v>2021</v>
      </c>
      <c r="X3" s="43">
        <f>+W3+1</f>
        <v>2022</v>
      </c>
      <c r="Y3" s="41" t="str">
        <f>Quarterlies!CU1</f>
        <v>1Q23</v>
      </c>
      <c r="Z3" s="41" t="str">
        <f>Quarterlies!CV1</f>
        <v>2Q23</v>
      </c>
      <c r="AA3" s="41" t="str">
        <f>Quarterlies!CW1</f>
        <v>3Q23</v>
      </c>
      <c r="AB3" s="41" t="str">
        <f>Quarterlies!CX1</f>
        <v>4Q23</v>
      </c>
      <c r="AC3" s="41" t="str">
        <f>Quarterlies!CY1</f>
        <v>1H23</v>
      </c>
      <c r="AD3" s="41" t="str">
        <f>Quarterlies!CZ1</f>
        <v>2H23</v>
      </c>
      <c r="AE3" s="41" t="str">
        <f>Quarterlies!DA1</f>
        <v>9M23</v>
      </c>
      <c r="AF3" s="1348">
        <f>+X3+1</f>
        <v>2023</v>
      </c>
      <c r="AG3" s="41" t="str">
        <f>Quarterlies!DC1</f>
        <v>1Q24</v>
      </c>
      <c r="AH3" s="41" t="str">
        <f>Quarterlies!DD1</f>
        <v>2Q24</v>
      </c>
      <c r="AI3" s="41" t="str">
        <f>Quarterlies!DE1</f>
        <v>3Q24</v>
      </c>
      <c r="AJ3" s="41" t="str">
        <f>Quarterlies!DF1</f>
        <v>4Q24</v>
      </c>
      <c r="AK3" s="41" t="str">
        <f>Quarterlies!DG1</f>
        <v>1H24</v>
      </c>
      <c r="AL3" s="41" t="str">
        <f>Quarterlies!DH1</f>
        <v>2H24</v>
      </c>
      <c r="AM3" s="41" t="str">
        <f>Quarterlies!DI1</f>
        <v>9M24</v>
      </c>
      <c r="AN3" s="1348">
        <f>+AF3+1</f>
        <v>2024</v>
      </c>
      <c r="AO3" s="41" t="str">
        <f>Quarterlies!DK1</f>
        <v>1Q25</v>
      </c>
      <c r="AP3" s="41" t="str">
        <f>Quarterlies!DL1</f>
        <v>2Q25</v>
      </c>
      <c r="AQ3" s="41" t="str">
        <f>Quarterlies!DM1</f>
        <v>3Q25</v>
      </c>
      <c r="AR3" s="41" t="str">
        <f>Quarterlies!DN1</f>
        <v>4Q25</v>
      </c>
      <c r="AS3" s="41" t="str">
        <f>Quarterlies!DO1</f>
        <v>1H25</v>
      </c>
      <c r="AT3" s="41" t="str">
        <f>Quarterlies!DP1</f>
        <v>2H25</v>
      </c>
      <c r="AU3" s="41" t="str">
        <f>Quarterlies!DQ1</f>
        <v>9M25</v>
      </c>
      <c r="AV3" s="1348">
        <f>+AN3+1</f>
        <v>2025</v>
      </c>
      <c r="AW3" s="41" t="str">
        <f>Quarterlies!DS1</f>
        <v>1Q26</v>
      </c>
      <c r="AX3" s="41" t="str">
        <f>Quarterlies!DT1</f>
        <v>2Q26</v>
      </c>
      <c r="AY3" s="578" t="str">
        <f>Quarterlies!DU1</f>
        <v>3Q26e</v>
      </c>
      <c r="AZ3" s="578" t="str">
        <f>Quarterlies!DV1</f>
        <v>4Q26e</v>
      </c>
      <c r="BA3" s="41" t="str">
        <f>Quarterlies!DW1</f>
        <v>1H26</v>
      </c>
      <c r="BB3" s="578" t="str">
        <f>Quarterlies!DX1</f>
        <v>2H26e</v>
      </c>
      <c r="BC3" s="578" t="str">
        <f>Quarterlies!DY1</f>
        <v>9M26e</v>
      </c>
      <c r="BD3" s="579">
        <f>+AV3+1</f>
        <v>2026</v>
      </c>
      <c r="BE3" s="578" t="str">
        <f>Quarterlies!EA1</f>
        <v>1Q27e</v>
      </c>
      <c r="BF3" s="578" t="str">
        <f>Quarterlies!EB1</f>
        <v>2Q27e</v>
      </c>
      <c r="BG3" s="578" t="str">
        <f>Quarterlies!EC1</f>
        <v>3Q27e</v>
      </c>
      <c r="BH3" s="578" t="str">
        <f>Quarterlies!ED1</f>
        <v>4Q27e</v>
      </c>
      <c r="BI3" s="578" t="str">
        <f>Quarterlies!EE1</f>
        <v>1H27e</v>
      </c>
      <c r="BJ3" s="578" t="str">
        <f>Quarterlies!EF1</f>
        <v>2H27e</v>
      </c>
      <c r="BK3" s="578" t="str">
        <f>Quarterlies!EG1</f>
        <v>9M27e</v>
      </c>
      <c r="BL3" s="579">
        <f>+BD3+1</f>
        <v>2027</v>
      </c>
      <c r="BM3" s="578" t="str">
        <f>Quarterlies!EI1</f>
        <v>1Q28e</v>
      </c>
      <c r="BN3" s="578" t="str">
        <f>Quarterlies!EJ1</f>
        <v>2Q28e</v>
      </c>
      <c r="BO3" s="578" t="str">
        <f>Quarterlies!EK1</f>
        <v>3Q28e</v>
      </c>
      <c r="BP3" s="578" t="str">
        <f>Quarterlies!EL1</f>
        <v>4Q28e</v>
      </c>
      <c r="BQ3" s="578" t="str">
        <f>Quarterlies!EM1</f>
        <v>1H28e</v>
      </c>
      <c r="BR3" s="578" t="str">
        <f>Quarterlies!EN1</f>
        <v>2H28e</v>
      </c>
      <c r="BS3" s="578" t="str">
        <f>Quarterlies!EO1</f>
        <v>9M28e</v>
      </c>
      <c r="BT3" s="579">
        <f>+BL3+1</f>
        <v>2028</v>
      </c>
      <c r="BU3" s="578" t="str">
        <f>Quarterlies!EQ1</f>
        <v>1Q29e</v>
      </c>
      <c r="BV3" s="578" t="str">
        <f>Quarterlies!ER1</f>
        <v>2Q29e</v>
      </c>
      <c r="BW3" s="578" t="str">
        <f>Quarterlies!ES1</f>
        <v>3Q29e</v>
      </c>
      <c r="BX3" s="578" t="str">
        <f>Quarterlies!ET1</f>
        <v>4Q29e</v>
      </c>
      <c r="BY3" s="578" t="str">
        <f>Quarterlies!EU1</f>
        <v>1H29e</v>
      </c>
      <c r="BZ3" s="578" t="str">
        <f>Quarterlies!EV1</f>
        <v>2H29e</v>
      </c>
      <c r="CA3" s="578" t="str">
        <f>Quarterlies!EW1</f>
        <v>9M29e</v>
      </c>
      <c r="CB3" s="579">
        <f>+BT3+1</f>
        <v>2029</v>
      </c>
      <c r="CC3" s="578" t="str">
        <f>Quarterlies!EY1</f>
        <v>1Q30e</v>
      </c>
      <c r="CD3" s="578" t="str">
        <f>Quarterlies!EZ1</f>
        <v>2Q30e</v>
      </c>
      <c r="CE3" s="578" t="str">
        <f>Quarterlies!FA1</f>
        <v>3Q30e</v>
      </c>
      <c r="CF3" s="578" t="str">
        <f>Quarterlies!FB1</f>
        <v>4Q30e</v>
      </c>
      <c r="CG3" s="578" t="str">
        <f>Quarterlies!FC1</f>
        <v>1H30e</v>
      </c>
      <c r="CH3" s="578" t="str">
        <f>Quarterlies!FD1</f>
        <v>2H30e</v>
      </c>
      <c r="CI3" s="578" t="str">
        <f>Quarterlies!FE1</f>
        <v>9M30e</v>
      </c>
      <c r="CJ3" s="579">
        <f>+CB3+1</f>
        <v>2030</v>
      </c>
    </row>
    <row r="4" spans="1:89" x14ac:dyDescent="0.2">
      <c r="A4" s="202"/>
      <c r="B4" s="284"/>
      <c r="C4" s="186"/>
      <c r="D4" s="186"/>
      <c r="E4" s="186"/>
      <c r="F4" s="186"/>
      <c r="G4" s="186"/>
      <c r="H4" s="186"/>
      <c r="I4" s="186"/>
      <c r="J4" s="580"/>
      <c r="K4" s="580"/>
      <c r="L4" s="580"/>
      <c r="M4" s="580"/>
      <c r="N4" s="580"/>
      <c r="O4" s="580"/>
      <c r="P4" s="580"/>
      <c r="Q4" s="580"/>
      <c r="R4" s="580"/>
      <c r="S4" s="580"/>
      <c r="T4" s="580"/>
      <c r="U4" s="580"/>
      <c r="V4" s="580"/>
      <c r="W4" s="580"/>
      <c r="X4" s="581"/>
      <c r="Y4" s="580"/>
      <c r="Z4" s="580"/>
      <c r="AA4" s="580"/>
      <c r="AB4" s="582"/>
      <c r="AC4" s="580"/>
      <c r="AD4" s="580"/>
      <c r="AE4" s="580"/>
      <c r="AF4" s="583"/>
      <c r="AG4" s="580"/>
      <c r="AH4" s="580"/>
      <c r="AI4" s="580"/>
      <c r="AJ4" s="582"/>
      <c r="AK4" s="580"/>
      <c r="AL4" s="580"/>
      <c r="AM4" s="580"/>
      <c r="AN4" s="583"/>
      <c r="AO4" s="580"/>
      <c r="AP4" s="580"/>
      <c r="AQ4" s="580"/>
      <c r="AR4" s="582"/>
      <c r="AS4" s="580"/>
      <c r="AT4" s="580"/>
      <c r="AU4" s="580"/>
      <c r="AV4" s="583"/>
      <c r="AW4" s="580"/>
      <c r="AX4" s="580"/>
      <c r="AY4" s="580"/>
      <c r="AZ4" s="582"/>
      <c r="BA4" s="580"/>
      <c r="BB4" s="580"/>
      <c r="BC4" s="580"/>
      <c r="BD4" s="583"/>
      <c r="BE4" s="580"/>
      <c r="BF4" s="580"/>
      <c r="BG4" s="580"/>
      <c r="BH4" s="582"/>
      <c r="BI4" s="580"/>
      <c r="BJ4" s="580"/>
      <c r="BK4" s="580"/>
      <c r="BL4" s="583"/>
      <c r="BM4" s="580"/>
      <c r="BN4" s="580"/>
      <c r="BO4" s="580"/>
      <c r="BP4" s="582"/>
      <c r="BQ4" s="580"/>
      <c r="BR4" s="580"/>
      <c r="BS4" s="580"/>
      <c r="BT4" s="583"/>
      <c r="BU4" s="580"/>
      <c r="BV4" s="580"/>
      <c r="BW4" s="580"/>
      <c r="BX4" s="582"/>
      <c r="BY4" s="580"/>
      <c r="BZ4" s="580"/>
      <c r="CA4" s="580"/>
      <c r="CB4" s="583"/>
      <c r="CC4" s="580"/>
      <c r="CD4" s="580"/>
      <c r="CE4" s="580"/>
      <c r="CF4" s="582"/>
      <c r="CG4" s="580"/>
      <c r="CH4" s="580"/>
      <c r="CI4" s="580"/>
      <c r="CJ4" s="583"/>
    </row>
    <row r="5" spans="1:89" x14ac:dyDescent="0.2">
      <c r="A5" s="584" t="s">
        <v>723</v>
      </c>
      <c r="B5" s="133"/>
      <c r="C5" s="49">
        <v>2917</v>
      </c>
      <c r="D5" s="585">
        <f t="shared" ref="D5:M5" si="2">D60*D9</f>
        <v>2502.6999999999998</v>
      </c>
      <c r="E5" s="585">
        <f t="shared" si="2"/>
        <v>2605.9399999999996</v>
      </c>
      <c r="F5" s="585">
        <f t="shared" si="2"/>
        <v>3094.5299999999997</v>
      </c>
      <c r="G5" s="585">
        <f t="shared" si="2"/>
        <v>3727.71</v>
      </c>
      <c r="H5" s="585">
        <f t="shared" si="2"/>
        <v>3546.54</v>
      </c>
      <c r="I5" s="585">
        <f t="shared" si="2"/>
        <v>3403.7999999999997</v>
      </c>
      <c r="J5" s="585">
        <f t="shared" si="2"/>
        <v>3306.3599999999997</v>
      </c>
      <c r="K5" s="585">
        <f t="shared" si="2"/>
        <v>3666</v>
      </c>
      <c r="L5" s="585">
        <f t="shared" si="2"/>
        <v>4273.05</v>
      </c>
      <c r="M5" s="585">
        <f t="shared" si="2"/>
        <v>4932.8500000000004</v>
      </c>
      <c r="N5" s="585">
        <f t="shared" ref="N5:W5" si="3">N9*N60</f>
        <v>5380.9800000000005</v>
      </c>
      <c r="O5" s="585">
        <f t="shared" si="3"/>
        <v>6523.2999999999993</v>
      </c>
      <c r="P5" s="585">
        <f t="shared" si="3"/>
        <v>6855.4299999999994</v>
      </c>
      <c r="Q5" s="585">
        <f t="shared" si="3"/>
        <v>7500.5700000000006</v>
      </c>
      <c r="R5" s="585">
        <f t="shared" si="3"/>
        <v>7204.89</v>
      </c>
      <c r="S5" s="585">
        <f t="shared" si="3"/>
        <v>8361.6</v>
      </c>
      <c r="T5" s="585">
        <f t="shared" si="3"/>
        <v>0</v>
      </c>
      <c r="U5" s="585">
        <f t="shared" si="3"/>
        <v>9274.65</v>
      </c>
      <c r="V5" s="585">
        <f t="shared" si="3"/>
        <v>5057.58</v>
      </c>
      <c r="W5" s="586">
        <f t="shared" si="3"/>
        <v>4760.96</v>
      </c>
      <c r="X5" s="587">
        <f>X9*X60</f>
        <v>6939.38</v>
      </c>
      <c r="Y5" s="585">
        <f>Y9*Y60</f>
        <v>2035.5</v>
      </c>
      <c r="Z5" s="53">
        <f>AC5-Y5</f>
        <v>2222.25</v>
      </c>
      <c r="AA5" s="585">
        <f>AA9*AA60</f>
        <v>2312.25</v>
      </c>
      <c r="AB5" s="762">
        <f>AD5-AA5</f>
        <v>2693.2800000000007</v>
      </c>
      <c r="AC5" s="585">
        <f>AC9*AC60</f>
        <v>4257.75</v>
      </c>
      <c r="AD5" s="53">
        <f>AF5-AC5</f>
        <v>5005.5300000000007</v>
      </c>
      <c r="AE5" s="53">
        <f>Y5+Z5+AA5</f>
        <v>6570</v>
      </c>
      <c r="AF5" s="1349">
        <f>AF9*AF60</f>
        <v>9263.2800000000007</v>
      </c>
      <c r="AG5" s="585">
        <f>AG9*AG60</f>
        <v>2384.69</v>
      </c>
      <c r="AH5" s="53">
        <f>AK5-AG5</f>
        <v>2654.89</v>
      </c>
      <c r="AI5" s="585">
        <f>AI9*AI60</f>
        <v>2637.81</v>
      </c>
      <c r="AJ5" s="762">
        <f>AL5-AI5</f>
        <v>3107.69</v>
      </c>
      <c r="AK5" s="585">
        <f>AK9*AK60</f>
        <v>5039.58</v>
      </c>
      <c r="AL5" s="53">
        <f>AN5-AK5</f>
        <v>5745.5</v>
      </c>
      <c r="AM5" s="53">
        <f>AG5+AH5+AI5</f>
        <v>7677.3899999999994</v>
      </c>
      <c r="AN5" s="1349">
        <f>AN9*AN60</f>
        <v>10785.08</v>
      </c>
      <c r="AO5" s="585">
        <f>AO9*AO60</f>
        <v>2836.6800000000003</v>
      </c>
      <c r="AP5" s="53">
        <f>AS5-AO5</f>
        <v>3120.71</v>
      </c>
      <c r="AQ5" s="585">
        <f>AQ9*AQ60</f>
        <v>3295.8599999999997</v>
      </c>
      <c r="AR5" s="762">
        <f>AT5-AQ5</f>
        <v>3281.1500000000015</v>
      </c>
      <c r="AS5" s="585">
        <f>AS9*AS60</f>
        <v>5957.39</v>
      </c>
      <c r="AT5" s="53">
        <f>AV5-AS5</f>
        <v>6577.0100000000011</v>
      </c>
      <c r="AU5" s="53">
        <f>AO5+AP5+AQ5</f>
        <v>9253.25</v>
      </c>
      <c r="AV5" s="1349">
        <f>AV9*AV60</f>
        <v>12534.400000000001</v>
      </c>
      <c r="AW5" s="585">
        <f>AW9*AW60</f>
        <v>3550.56</v>
      </c>
      <c r="AX5" s="53">
        <f>BA5-AW5</f>
        <v>3700.06</v>
      </c>
      <c r="AY5" s="106">
        <f t="shared" ref="AY5:BC5" si="4">AY98</f>
        <v>3754.6287810491999</v>
      </c>
      <c r="AZ5" s="588">
        <f>AZ98</f>
        <v>4772.3663834716472</v>
      </c>
      <c r="BA5" s="585">
        <f>BA9*BA60</f>
        <v>7250.62</v>
      </c>
      <c r="BB5" s="106">
        <f t="shared" si="4"/>
        <v>8526.9951645208475</v>
      </c>
      <c r="BC5" s="106">
        <f t="shared" si="4"/>
        <v>11008.672408281345</v>
      </c>
      <c r="BD5" s="589">
        <f>BD98</f>
        <v>15781.038791752992</v>
      </c>
      <c r="BE5" s="106">
        <f t="shared" ref="BE5:BK5" si="5">BE98</f>
        <v>3614.6867413719488</v>
      </c>
      <c r="BF5" s="106">
        <f t="shared" si="5"/>
        <v>4189.5995898927595</v>
      </c>
      <c r="BG5" s="106">
        <f t="shared" si="5"/>
        <v>4190.5275720356158</v>
      </c>
      <c r="BH5" s="588">
        <f t="shared" si="5"/>
        <v>5516.3319788022745</v>
      </c>
      <c r="BI5" s="106">
        <f t="shared" si="5"/>
        <v>7804.2863312647078</v>
      </c>
      <c r="BJ5" s="106">
        <f t="shared" si="5"/>
        <v>9706.8595508378967</v>
      </c>
      <c r="BK5" s="106">
        <f t="shared" si="5"/>
        <v>11994.813903300324</v>
      </c>
      <c r="BL5" s="589">
        <f>BL98</f>
        <v>17511.145882102599</v>
      </c>
      <c r="BM5" s="106">
        <f t="shared" ref="BM5:BS5" si="6">BM98</f>
        <v>4033.5382711768771</v>
      </c>
      <c r="BN5" s="106">
        <f t="shared" si="6"/>
        <v>4660.7059841913087</v>
      </c>
      <c r="BO5" s="106">
        <f t="shared" si="6"/>
        <v>4663.5441418341661</v>
      </c>
      <c r="BP5" s="588">
        <f t="shared" si="6"/>
        <v>6021.0825921157957</v>
      </c>
      <c r="BQ5" s="106">
        <f t="shared" si="6"/>
        <v>8694.2442553681867</v>
      </c>
      <c r="BR5" s="106">
        <f t="shared" si="6"/>
        <v>10684.626733949965</v>
      </c>
      <c r="BS5" s="106">
        <f t="shared" si="6"/>
        <v>13357.788397202352</v>
      </c>
      <c r="BT5" s="589">
        <f>BT98</f>
        <v>19378.870989318144</v>
      </c>
      <c r="BU5" s="106">
        <f t="shared" ref="BU5:CA5" si="7">BU98</f>
        <v>4286.2667103417571</v>
      </c>
      <c r="BV5" s="106">
        <f t="shared" si="7"/>
        <v>4939.5001494882745</v>
      </c>
      <c r="BW5" s="106">
        <f t="shared" si="7"/>
        <v>4942.4643866843289</v>
      </c>
      <c r="BX5" s="588">
        <f t="shared" si="7"/>
        <v>6363.8323254125316</v>
      </c>
      <c r="BY5" s="106">
        <f t="shared" si="7"/>
        <v>9225.7668598300315</v>
      </c>
      <c r="BZ5" s="106">
        <f t="shared" si="7"/>
        <v>11306.296712096862</v>
      </c>
      <c r="CA5" s="106">
        <f t="shared" si="7"/>
        <v>14168.231246514362</v>
      </c>
      <c r="CB5" s="589">
        <f>CB98</f>
        <v>20532.06357192689</v>
      </c>
      <c r="CC5" s="106">
        <f t="shared" ref="CC5:CI5" si="8">CC98</f>
        <v>4279.2859896675736</v>
      </c>
      <c r="CD5" s="106">
        <f t="shared" si="8"/>
        <v>4952.3847234116856</v>
      </c>
      <c r="CE5" s="106">
        <f t="shared" si="8"/>
        <v>4953.5092311264152</v>
      </c>
      <c r="CF5" s="588">
        <f t="shared" si="8"/>
        <v>6361.4374971945408</v>
      </c>
      <c r="CG5" s="106">
        <f t="shared" si="8"/>
        <v>9231.6707130792602</v>
      </c>
      <c r="CH5" s="106">
        <f t="shared" si="8"/>
        <v>11314.946728320952</v>
      </c>
      <c r="CI5" s="106">
        <f t="shared" si="8"/>
        <v>14185.179944205673</v>
      </c>
      <c r="CJ5" s="589">
        <f>CJ98</f>
        <v>20546.617441400213</v>
      </c>
    </row>
    <row r="6" spans="1:89" x14ac:dyDescent="0.2">
      <c r="A6" s="584" t="s">
        <v>724</v>
      </c>
      <c r="B6" s="133"/>
      <c r="C6" s="49">
        <v>539</v>
      </c>
      <c r="D6" s="585">
        <f t="shared" ref="D6:S6" si="9">D9*D61</f>
        <v>690.4</v>
      </c>
      <c r="E6" s="585">
        <f t="shared" si="9"/>
        <v>718.88</v>
      </c>
      <c r="F6" s="585">
        <f t="shared" si="9"/>
        <v>811.68000000000006</v>
      </c>
      <c r="G6" s="585">
        <f t="shared" si="9"/>
        <v>1005.8900000000001</v>
      </c>
      <c r="H6" s="585">
        <f t="shared" si="9"/>
        <v>988.38000000000011</v>
      </c>
      <c r="I6" s="585">
        <f t="shared" si="9"/>
        <v>1021.14</v>
      </c>
      <c r="J6" s="585">
        <f t="shared" si="9"/>
        <v>1008.7199999999999</v>
      </c>
      <c r="K6" s="585">
        <f t="shared" si="9"/>
        <v>1038.7</v>
      </c>
      <c r="L6" s="585">
        <f t="shared" si="9"/>
        <v>1120.8</v>
      </c>
      <c r="M6" s="585">
        <f t="shared" si="9"/>
        <v>1138.3499999999999</v>
      </c>
      <c r="N6" s="585">
        <f t="shared" si="9"/>
        <v>1222.95</v>
      </c>
      <c r="O6" s="585">
        <f t="shared" si="9"/>
        <v>1211.47</v>
      </c>
      <c r="P6" s="585">
        <f t="shared" si="9"/>
        <v>1033.01</v>
      </c>
      <c r="Q6" s="585">
        <f t="shared" si="9"/>
        <v>1071.51</v>
      </c>
      <c r="R6" s="585">
        <f t="shared" si="9"/>
        <v>1122.8399999999999</v>
      </c>
      <c r="S6" s="585">
        <f t="shared" si="9"/>
        <v>1149.72</v>
      </c>
      <c r="T6" s="585"/>
      <c r="U6" s="585">
        <f>U9*U61</f>
        <v>1204.5</v>
      </c>
      <c r="V6" s="585">
        <f>V9*V61</f>
        <v>1226.08</v>
      </c>
      <c r="W6" s="586">
        <f>W9*W61</f>
        <v>1190.24</v>
      </c>
      <c r="X6" s="587">
        <f>X9*X61</f>
        <v>1235.78</v>
      </c>
      <c r="Y6" s="585">
        <f>Y9*Y61</f>
        <v>325.68</v>
      </c>
      <c r="Z6" s="53">
        <f t="shared" ref="Z6:Z8" si="10">AC6-Y6</f>
        <v>355.56</v>
      </c>
      <c r="AA6" s="585">
        <f>AA9*AA61</f>
        <v>369.96</v>
      </c>
      <c r="AB6" s="762">
        <f>AD6-AA6</f>
        <v>255.15999999999991</v>
      </c>
      <c r="AC6" s="585">
        <f>AC9*AC61</f>
        <v>681.24</v>
      </c>
      <c r="AD6" s="53">
        <f t="shared" ref="AD6:AD8" si="11">AF6-AC6</f>
        <v>625.11999999999989</v>
      </c>
      <c r="AE6" s="53">
        <f>Y6+Z6+AA6</f>
        <v>1051.2</v>
      </c>
      <c r="AF6" s="1349">
        <f>AF9*AF61</f>
        <v>1306.3599999999999</v>
      </c>
      <c r="AG6" s="585">
        <f>AG9*AG61</f>
        <v>371.64</v>
      </c>
      <c r="AH6" s="53">
        <f t="shared" ref="AH6:AH8" si="12">AK6-AG6</f>
        <v>339.07000000000005</v>
      </c>
      <c r="AI6" s="585">
        <f>AI9*AI61</f>
        <v>333.90000000000003</v>
      </c>
      <c r="AJ6" s="762">
        <f>AL6-AI6</f>
        <v>320.58999999999997</v>
      </c>
      <c r="AK6" s="585">
        <f>AK9*AK61</f>
        <v>710.71</v>
      </c>
      <c r="AL6" s="53">
        <f t="shared" ref="AL6:AL8" si="13">AN6-AK6</f>
        <v>654.49</v>
      </c>
      <c r="AM6" s="53">
        <f>AG6+AH6+AI6</f>
        <v>1044.6100000000001</v>
      </c>
      <c r="AN6" s="1349">
        <f>AN9*AN61</f>
        <v>1365.2</v>
      </c>
      <c r="AO6" s="585">
        <f>AO9*AO61</f>
        <v>442.08</v>
      </c>
      <c r="AP6" s="53">
        <f t="shared" ref="AP6:AP8" si="14">AS6-AO6</f>
        <v>312.02000000000004</v>
      </c>
      <c r="AQ6" s="585">
        <f>AQ9*AQ61</f>
        <v>404.40000000000003</v>
      </c>
      <c r="AR6" s="762">
        <f>AT6-AQ6</f>
        <v>408.30000000000013</v>
      </c>
      <c r="AS6" s="585">
        <f>AS9*AS61</f>
        <v>754.1</v>
      </c>
      <c r="AT6" s="53">
        <f t="shared" ref="AT6:AT8" si="15">AV6-AS6</f>
        <v>812.70000000000016</v>
      </c>
      <c r="AU6" s="53">
        <f>AO6+AP6+AQ6</f>
        <v>1158.5</v>
      </c>
      <c r="AV6" s="1349">
        <f>AV9*AV61</f>
        <v>1566.8000000000002</v>
      </c>
      <c r="AW6" s="585">
        <f>AW9*AW61</f>
        <v>500.72</v>
      </c>
      <c r="AX6" s="53">
        <f t="shared" ref="AX6:AX8" si="16">BA6-AW6</f>
        <v>417.08000000000004</v>
      </c>
      <c r="AY6" s="106">
        <f t="shared" ref="AY6:BC6" si="17">AY211</f>
        <v>329.94687500000003</v>
      </c>
      <c r="AZ6" s="588">
        <f t="shared" si="17"/>
        <v>404.24787500000019</v>
      </c>
      <c r="BA6" s="585">
        <f>BA9*BA61</f>
        <v>917.80000000000007</v>
      </c>
      <c r="BB6" s="106">
        <f t="shared" si="17"/>
        <v>734.19475000000023</v>
      </c>
      <c r="BC6" s="106">
        <f t="shared" si="17"/>
        <v>1247.746875</v>
      </c>
      <c r="BD6" s="589">
        <f>BD211</f>
        <v>1651.9947500000003</v>
      </c>
      <c r="BE6" s="106">
        <f t="shared" ref="BE6:BK6" si="18">BE211</f>
        <v>435.7332003125</v>
      </c>
      <c r="BF6" s="106">
        <f t="shared" si="18"/>
        <v>435.7332003125</v>
      </c>
      <c r="BG6" s="106">
        <f t="shared" si="18"/>
        <v>435.7332003125</v>
      </c>
      <c r="BH6" s="588">
        <f t="shared" si="18"/>
        <v>435.7332003125</v>
      </c>
      <c r="BI6" s="106">
        <f t="shared" si="18"/>
        <v>871.46640062500001</v>
      </c>
      <c r="BJ6" s="106">
        <f t="shared" si="18"/>
        <v>871.46640062500001</v>
      </c>
      <c r="BK6" s="106">
        <f t="shared" si="18"/>
        <v>1307.1996009375</v>
      </c>
      <c r="BL6" s="589">
        <f>BL211</f>
        <v>1742.93280125</v>
      </c>
      <c r="BM6" s="106">
        <f t="shared" ref="BM6:BS6" si="19">BM211</f>
        <v>460.00799381093753</v>
      </c>
      <c r="BN6" s="106">
        <f t="shared" si="19"/>
        <v>460.00799381093753</v>
      </c>
      <c r="BO6" s="106">
        <f t="shared" si="19"/>
        <v>460.00799381093753</v>
      </c>
      <c r="BP6" s="588">
        <f t="shared" si="19"/>
        <v>460.00799381093753</v>
      </c>
      <c r="BQ6" s="106">
        <f t="shared" si="19"/>
        <v>920.01598762187507</v>
      </c>
      <c r="BR6" s="106">
        <f t="shared" si="19"/>
        <v>920.01598762187507</v>
      </c>
      <c r="BS6" s="106">
        <f t="shared" si="19"/>
        <v>1380.0239814328127</v>
      </c>
      <c r="BT6" s="589">
        <f>BT211</f>
        <v>1840.0319752437501</v>
      </c>
      <c r="BU6" s="106">
        <f t="shared" ref="BU6:CA6" si="20">BU211</f>
        <v>485.93529289125786</v>
      </c>
      <c r="BV6" s="106">
        <f t="shared" si="20"/>
        <v>485.93529289125786</v>
      </c>
      <c r="BW6" s="106">
        <f t="shared" si="20"/>
        <v>485.93529289125786</v>
      </c>
      <c r="BX6" s="588">
        <f t="shared" si="20"/>
        <v>485.93529289125786</v>
      </c>
      <c r="BY6" s="106">
        <f t="shared" si="20"/>
        <v>971.87058578251572</v>
      </c>
      <c r="BZ6" s="106">
        <f t="shared" si="20"/>
        <v>971.87058578251572</v>
      </c>
      <c r="CA6" s="106">
        <f t="shared" si="20"/>
        <v>1457.8058786737736</v>
      </c>
      <c r="CB6" s="589">
        <f>CB211</f>
        <v>1943.7411715650314</v>
      </c>
      <c r="CC6" s="106">
        <f t="shared" ref="CC6:CI6" si="21">CC211</f>
        <v>513.6356733934922</v>
      </c>
      <c r="CD6" s="106">
        <f t="shared" si="21"/>
        <v>513.6356733934922</v>
      </c>
      <c r="CE6" s="106">
        <f t="shared" si="21"/>
        <v>513.6356733934922</v>
      </c>
      <c r="CF6" s="588">
        <f t="shared" si="21"/>
        <v>513.6356733934922</v>
      </c>
      <c r="CG6" s="106">
        <f t="shared" si="21"/>
        <v>1027.2713467869844</v>
      </c>
      <c r="CH6" s="106">
        <f t="shared" si="21"/>
        <v>1027.2713467869844</v>
      </c>
      <c r="CI6" s="106">
        <f t="shared" si="21"/>
        <v>1540.9070201804766</v>
      </c>
      <c r="CJ6" s="589">
        <f>CJ211</f>
        <v>2054.5426935739688</v>
      </c>
    </row>
    <row r="7" spans="1:89" x14ac:dyDescent="0.2">
      <c r="A7" s="584" t="s">
        <v>725</v>
      </c>
      <c r="B7" s="133"/>
      <c r="C7" s="49">
        <v>870</v>
      </c>
      <c r="D7" s="585">
        <f t="shared" ref="D7:S7" si="22">D9*D62</f>
        <v>604.1</v>
      </c>
      <c r="E7" s="585">
        <f t="shared" si="22"/>
        <v>629.0200000000001</v>
      </c>
      <c r="F7" s="585">
        <f t="shared" si="22"/>
        <v>659.49</v>
      </c>
      <c r="G7" s="585">
        <f t="shared" si="22"/>
        <v>650.87</v>
      </c>
      <c r="H7" s="585">
        <f t="shared" si="22"/>
        <v>639.54</v>
      </c>
      <c r="I7" s="585">
        <f t="shared" si="22"/>
        <v>680.76</v>
      </c>
      <c r="J7" s="585">
        <f t="shared" si="22"/>
        <v>672.48</v>
      </c>
      <c r="K7" s="585">
        <f t="shared" si="22"/>
        <v>672.1</v>
      </c>
      <c r="L7" s="585">
        <f t="shared" si="22"/>
        <v>770.55</v>
      </c>
      <c r="M7" s="585">
        <f t="shared" si="22"/>
        <v>758.90000000000009</v>
      </c>
      <c r="N7" s="585">
        <f>N9*N62</f>
        <v>815.30000000000007</v>
      </c>
      <c r="O7" s="585">
        <f t="shared" si="22"/>
        <v>838.70999999999992</v>
      </c>
      <c r="P7" s="585">
        <f t="shared" si="22"/>
        <v>1126.9199999999998</v>
      </c>
      <c r="Q7" s="585">
        <f t="shared" si="22"/>
        <v>1168.9199999999998</v>
      </c>
      <c r="R7" s="585">
        <f t="shared" si="22"/>
        <v>1029.27</v>
      </c>
      <c r="S7" s="585">
        <f t="shared" si="22"/>
        <v>940.68</v>
      </c>
      <c r="T7" s="585"/>
      <c r="U7" s="585">
        <f>U9*U62</f>
        <v>1565.8500000000001</v>
      </c>
      <c r="V7" s="585">
        <f>V9*V62</f>
        <v>1379.34</v>
      </c>
      <c r="W7" s="586">
        <f>W9*W62</f>
        <v>1487.8000000000002</v>
      </c>
      <c r="X7" s="587">
        <f>X9*X62</f>
        <v>1330.8400000000001</v>
      </c>
      <c r="Y7" s="585">
        <f>Y9*Y62</f>
        <v>352.82</v>
      </c>
      <c r="Z7" s="53">
        <f t="shared" si="10"/>
        <v>385.19</v>
      </c>
      <c r="AA7" s="585">
        <f>AA9*AA62</f>
        <v>400.79</v>
      </c>
      <c r="AB7" s="762">
        <f>AD7-AA7</f>
        <v>167.55999999999989</v>
      </c>
      <c r="AC7" s="585">
        <f>AC9*AC62</f>
        <v>738.01</v>
      </c>
      <c r="AD7" s="53">
        <f t="shared" si="11"/>
        <v>568.34999999999991</v>
      </c>
      <c r="AE7" s="53">
        <f>Y7+Z7+AA7</f>
        <v>1138.8</v>
      </c>
      <c r="AF7" s="1349">
        <f>AF9*AF62</f>
        <v>1306.3599999999999</v>
      </c>
      <c r="AG7" s="585">
        <f>AG9*AG62</f>
        <v>340.67</v>
      </c>
      <c r="AH7" s="53">
        <f t="shared" si="12"/>
        <v>370.04</v>
      </c>
      <c r="AI7" s="585">
        <f>AI9*AI62</f>
        <v>367.29</v>
      </c>
      <c r="AJ7" s="762">
        <f>AL7-AI7</f>
        <v>423.71999999999997</v>
      </c>
      <c r="AK7" s="585">
        <f>AK9*AK62</f>
        <v>710.71</v>
      </c>
      <c r="AL7" s="53">
        <f t="shared" si="13"/>
        <v>791.01</v>
      </c>
      <c r="AM7" s="53">
        <f>AG7+AH7+AI7</f>
        <v>1078</v>
      </c>
      <c r="AN7" s="1349">
        <f>AN9*AN62</f>
        <v>1501.72</v>
      </c>
      <c r="AO7" s="585">
        <f>AO9*AO62</f>
        <v>405.24</v>
      </c>
      <c r="AP7" s="53">
        <f t="shared" si="14"/>
        <v>424.27</v>
      </c>
      <c r="AQ7" s="585">
        <f>AQ9*AQ62</f>
        <v>343.74</v>
      </c>
      <c r="AR7" s="762">
        <f>AT7-AQ7</f>
        <v>393.55000000000018</v>
      </c>
      <c r="AS7" s="585">
        <f>AS9*AS62</f>
        <v>829.51</v>
      </c>
      <c r="AT7" s="53">
        <f t="shared" si="15"/>
        <v>737.29000000000019</v>
      </c>
      <c r="AU7" s="53">
        <f>AO7+AP7+AQ7</f>
        <v>1173.25</v>
      </c>
      <c r="AV7" s="1349">
        <f>AV9*AV62</f>
        <v>1566.8000000000002</v>
      </c>
      <c r="AW7" s="585">
        <f>AW9*AW62</f>
        <v>500.72</v>
      </c>
      <c r="AX7" s="53">
        <f t="shared" si="16"/>
        <v>508.86</v>
      </c>
      <c r="AY7" s="106">
        <f t="shared" ref="AY7:BC7" si="23">AY234</f>
        <v>356.95000000000016</v>
      </c>
      <c r="AZ7" s="588">
        <f t="shared" si="23"/>
        <v>356.95000000000016</v>
      </c>
      <c r="BA7" s="585">
        <f>BA9*BA62</f>
        <v>1009.58</v>
      </c>
      <c r="BB7" s="106">
        <f t="shared" si="23"/>
        <v>713.90000000000032</v>
      </c>
      <c r="BC7" s="106">
        <f t="shared" si="23"/>
        <v>1366.5300000000002</v>
      </c>
      <c r="BD7" s="589">
        <f>BD234</f>
        <v>1723.4800000000005</v>
      </c>
      <c r="BE7" s="106">
        <f t="shared" ref="BE7:BK7" si="24">BE234</f>
        <v>473.95700000000016</v>
      </c>
      <c r="BF7" s="106">
        <f t="shared" si="24"/>
        <v>473.95700000000016</v>
      </c>
      <c r="BG7" s="106">
        <f t="shared" si="24"/>
        <v>473.95700000000016</v>
      </c>
      <c r="BH7" s="588">
        <f t="shared" si="24"/>
        <v>473.95700000000016</v>
      </c>
      <c r="BI7" s="106">
        <f t="shared" si="24"/>
        <v>947.91400000000033</v>
      </c>
      <c r="BJ7" s="106">
        <f t="shared" si="24"/>
        <v>947.91400000000033</v>
      </c>
      <c r="BK7" s="106">
        <f t="shared" si="24"/>
        <v>1421.8710000000005</v>
      </c>
      <c r="BL7" s="589">
        <f>BL234</f>
        <v>1895.8280000000007</v>
      </c>
      <c r="BM7" s="106">
        <f t="shared" ref="BM7:BS7" si="25">BM234</f>
        <v>521.35270000000014</v>
      </c>
      <c r="BN7" s="106">
        <f t="shared" si="25"/>
        <v>521.35270000000014</v>
      </c>
      <c r="BO7" s="106">
        <f t="shared" si="25"/>
        <v>521.35270000000014</v>
      </c>
      <c r="BP7" s="588">
        <f t="shared" si="25"/>
        <v>521.35270000000014</v>
      </c>
      <c r="BQ7" s="106">
        <f t="shared" si="25"/>
        <v>1042.7054000000003</v>
      </c>
      <c r="BR7" s="106">
        <f t="shared" si="25"/>
        <v>1042.7054000000003</v>
      </c>
      <c r="BS7" s="106">
        <f t="shared" si="25"/>
        <v>1564.0581000000006</v>
      </c>
      <c r="BT7" s="589">
        <f>BT234</f>
        <v>2085.4108000000006</v>
      </c>
      <c r="BU7" s="106">
        <f t="shared" ref="BU7:CA7" si="26">BU234</f>
        <v>573.48797000000025</v>
      </c>
      <c r="BV7" s="106">
        <f t="shared" si="26"/>
        <v>573.48797000000025</v>
      </c>
      <c r="BW7" s="106">
        <f t="shared" si="26"/>
        <v>573.48797000000025</v>
      </c>
      <c r="BX7" s="588">
        <f t="shared" si="26"/>
        <v>573.48797000000025</v>
      </c>
      <c r="BY7" s="106">
        <f t="shared" si="26"/>
        <v>1146.9759400000005</v>
      </c>
      <c r="BZ7" s="106">
        <f t="shared" si="26"/>
        <v>1146.9759400000005</v>
      </c>
      <c r="CA7" s="106">
        <f t="shared" si="26"/>
        <v>1720.4639100000006</v>
      </c>
      <c r="CB7" s="589">
        <f>CB234</f>
        <v>2293.951880000001</v>
      </c>
      <c r="CC7" s="106">
        <f t="shared" ref="CC7:CI7" si="27">CC234</f>
        <v>630.83676700000035</v>
      </c>
      <c r="CD7" s="106">
        <f t="shared" si="27"/>
        <v>630.83676700000035</v>
      </c>
      <c r="CE7" s="106">
        <f t="shared" si="27"/>
        <v>630.83676700000035</v>
      </c>
      <c r="CF7" s="588">
        <f t="shared" si="27"/>
        <v>630.83676700000035</v>
      </c>
      <c r="CG7" s="106">
        <f t="shared" si="27"/>
        <v>1261.6735340000007</v>
      </c>
      <c r="CH7" s="106">
        <f t="shared" si="27"/>
        <v>1261.6735340000007</v>
      </c>
      <c r="CI7" s="106">
        <f t="shared" si="27"/>
        <v>1892.5103010000009</v>
      </c>
      <c r="CJ7" s="589">
        <f>CJ234</f>
        <v>2523.3470680000014</v>
      </c>
    </row>
    <row r="8" spans="1:89" hidden="1" outlineLevel="1" x14ac:dyDescent="0.2">
      <c r="A8" s="4" t="s">
        <v>726</v>
      </c>
      <c r="B8" s="133"/>
      <c r="C8" s="49">
        <v>539</v>
      </c>
      <c r="D8" s="585">
        <f t="shared" ref="D8:S8" si="28">D9*D63</f>
        <v>517.80000000000018</v>
      </c>
      <c r="E8" s="585">
        <f t="shared" si="28"/>
        <v>539.16000000000031</v>
      </c>
      <c r="F8" s="585">
        <f t="shared" si="28"/>
        <v>507.30000000000018</v>
      </c>
      <c r="G8" s="585">
        <f t="shared" si="28"/>
        <v>532.52999999999975</v>
      </c>
      <c r="H8" s="585">
        <f t="shared" si="28"/>
        <v>639.54</v>
      </c>
      <c r="I8" s="585">
        <f t="shared" si="28"/>
        <v>567.30000000000018</v>
      </c>
      <c r="J8" s="585">
        <f t="shared" si="28"/>
        <v>616.44000000000096</v>
      </c>
      <c r="K8" s="585">
        <f t="shared" si="28"/>
        <v>733.19999999999982</v>
      </c>
      <c r="L8" s="585">
        <f t="shared" si="28"/>
        <v>840.59999999999945</v>
      </c>
      <c r="M8" s="585">
        <f t="shared" si="28"/>
        <v>758.90000000000009</v>
      </c>
      <c r="N8" s="585">
        <f t="shared" si="28"/>
        <v>733.77</v>
      </c>
      <c r="O8" s="585">
        <f t="shared" si="28"/>
        <v>745.52</v>
      </c>
      <c r="P8" s="585">
        <f t="shared" si="28"/>
        <v>375.64</v>
      </c>
      <c r="Q8" s="585">
        <f t="shared" si="28"/>
        <v>0</v>
      </c>
      <c r="R8" s="585">
        <f t="shared" si="28"/>
        <v>0</v>
      </c>
      <c r="S8" s="585">
        <f t="shared" si="28"/>
        <v>0</v>
      </c>
      <c r="T8" s="585"/>
      <c r="U8" s="585">
        <f>U9*U63</f>
        <v>0</v>
      </c>
      <c r="V8" s="585">
        <f>V9*V63</f>
        <v>0</v>
      </c>
      <c r="W8" s="586">
        <f>W9*W63</f>
        <v>0</v>
      </c>
      <c r="X8" s="587">
        <f>X9*X63</f>
        <v>0</v>
      </c>
      <c r="Y8" s="585">
        <f>Y9*Y63</f>
        <v>0</v>
      </c>
      <c r="Z8" s="53">
        <f t="shared" si="10"/>
        <v>0</v>
      </c>
      <c r="AA8" s="585">
        <f>AA9*AA63</f>
        <v>0</v>
      </c>
      <c r="AB8" s="762">
        <f>AD8-AA8</f>
        <v>0</v>
      </c>
      <c r="AC8" s="585">
        <f>AC9*AC63</f>
        <v>0</v>
      </c>
      <c r="AD8" s="53">
        <f t="shared" si="11"/>
        <v>0</v>
      </c>
      <c r="AE8" s="53">
        <f>Y8+Z8+AA8</f>
        <v>0</v>
      </c>
      <c r="AF8" s="1349">
        <f>AF9*AF63</f>
        <v>0</v>
      </c>
      <c r="AG8" s="585">
        <f>AG9*AG63</f>
        <v>0</v>
      </c>
      <c r="AH8" s="53">
        <f t="shared" si="12"/>
        <v>0</v>
      </c>
      <c r="AI8" s="585">
        <f>AI9*AI63</f>
        <v>0</v>
      </c>
      <c r="AJ8" s="762">
        <f>AL8-AI8</f>
        <v>0</v>
      </c>
      <c r="AK8" s="585">
        <f>AK9*AK63</f>
        <v>0</v>
      </c>
      <c r="AL8" s="53">
        <f t="shared" si="13"/>
        <v>0</v>
      </c>
      <c r="AM8" s="53">
        <f>AG8+AH8+AI8</f>
        <v>0</v>
      </c>
      <c r="AN8" s="1349">
        <f>AN9*AN63</f>
        <v>0</v>
      </c>
      <c r="AO8" s="585">
        <f>AO9*AO63</f>
        <v>0</v>
      </c>
      <c r="AP8" s="53">
        <f t="shared" si="14"/>
        <v>0</v>
      </c>
      <c r="AQ8" s="585">
        <f>AQ9*AQ63</f>
        <v>0</v>
      </c>
      <c r="AR8" s="762">
        <f>AT8-AQ8</f>
        <v>0</v>
      </c>
      <c r="AS8" s="585">
        <f>AS9*AS63</f>
        <v>0</v>
      </c>
      <c r="AT8" s="53">
        <f t="shared" si="15"/>
        <v>0</v>
      </c>
      <c r="AU8" s="53">
        <f>AO8+AP8+AQ8</f>
        <v>0</v>
      </c>
      <c r="AV8" s="1349">
        <f>AV9*AV63</f>
        <v>0</v>
      </c>
      <c r="AW8" s="585">
        <f t="shared" ref="AW8:CJ8" si="29">AW297</f>
        <v>0</v>
      </c>
      <c r="AX8" s="53">
        <f t="shared" si="16"/>
        <v>0</v>
      </c>
      <c r="AY8" s="106">
        <f t="shared" si="29"/>
        <v>0</v>
      </c>
      <c r="AZ8" s="588">
        <f t="shared" si="29"/>
        <v>0</v>
      </c>
      <c r="BA8" s="585">
        <v>0</v>
      </c>
      <c r="BB8" s="106">
        <f t="shared" si="29"/>
        <v>0</v>
      </c>
      <c r="BC8" s="106">
        <f t="shared" si="29"/>
        <v>0</v>
      </c>
      <c r="BD8" s="589">
        <f t="shared" si="29"/>
        <v>0</v>
      </c>
      <c r="BE8" s="106">
        <f t="shared" si="29"/>
        <v>0</v>
      </c>
      <c r="BF8" s="106">
        <f t="shared" si="29"/>
        <v>0</v>
      </c>
      <c r="BG8" s="106">
        <f t="shared" si="29"/>
        <v>0</v>
      </c>
      <c r="BH8" s="588">
        <f t="shared" si="29"/>
        <v>0</v>
      </c>
      <c r="BI8" s="106">
        <f t="shared" si="29"/>
        <v>0</v>
      </c>
      <c r="BJ8" s="106">
        <f t="shared" si="29"/>
        <v>0</v>
      </c>
      <c r="BK8" s="106">
        <f t="shared" si="29"/>
        <v>0</v>
      </c>
      <c r="BL8" s="589">
        <f t="shared" si="29"/>
        <v>0</v>
      </c>
      <c r="BM8" s="106">
        <f t="shared" si="29"/>
        <v>0</v>
      </c>
      <c r="BN8" s="106">
        <f t="shared" si="29"/>
        <v>0</v>
      </c>
      <c r="BO8" s="106">
        <f t="shared" si="29"/>
        <v>0</v>
      </c>
      <c r="BP8" s="588">
        <f t="shared" si="29"/>
        <v>0</v>
      </c>
      <c r="BQ8" s="106">
        <f t="shared" si="29"/>
        <v>0</v>
      </c>
      <c r="BR8" s="106">
        <f t="shared" si="29"/>
        <v>0</v>
      </c>
      <c r="BS8" s="106">
        <f t="shared" si="29"/>
        <v>0</v>
      </c>
      <c r="BT8" s="589">
        <f t="shared" si="29"/>
        <v>0</v>
      </c>
      <c r="BU8" s="106">
        <f t="shared" si="29"/>
        <v>0</v>
      </c>
      <c r="BV8" s="106">
        <f t="shared" si="29"/>
        <v>0</v>
      </c>
      <c r="BW8" s="106">
        <f t="shared" si="29"/>
        <v>0</v>
      </c>
      <c r="BX8" s="588">
        <f t="shared" si="29"/>
        <v>0</v>
      </c>
      <c r="BY8" s="106">
        <f t="shared" si="29"/>
        <v>0</v>
      </c>
      <c r="BZ8" s="106">
        <f t="shared" si="29"/>
        <v>0</v>
      </c>
      <c r="CA8" s="106">
        <f t="shared" si="29"/>
        <v>0</v>
      </c>
      <c r="CB8" s="589">
        <f t="shared" si="29"/>
        <v>0</v>
      </c>
      <c r="CC8" s="106">
        <f t="shared" si="29"/>
        <v>0</v>
      </c>
      <c r="CD8" s="106">
        <f t="shared" si="29"/>
        <v>0</v>
      </c>
      <c r="CE8" s="106">
        <f t="shared" si="29"/>
        <v>0</v>
      </c>
      <c r="CF8" s="588">
        <f t="shared" si="29"/>
        <v>0</v>
      </c>
      <c r="CG8" s="106">
        <f t="shared" si="29"/>
        <v>0</v>
      </c>
      <c r="CH8" s="106">
        <f t="shared" si="29"/>
        <v>0</v>
      </c>
      <c r="CI8" s="106">
        <f t="shared" si="29"/>
        <v>0</v>
      </c>
      <c r="CJ8" s="589">
        <f t="shared" si="29"/>
        <v>0</v>
      </c>
    </row>
    <row r="9" spans="1:89" collapsed="1" x14ac:dyDescent="0.2">
      <c r="A9" s="186" t="s">
        <v>727</v>
      </c>
      <c r="B9" s="144"/>
      <c r="C9" s="138">
        <v>4145</v>
      </c>
      <c r="D9" s="138">
        <f>+Divisional!B4</f>
        <v>4315</v>
      </c>
      <c r="E9" s="138">
        <f>+Divisional!C4</f>
        <v>4493</v>
      </c>
      <c r="F9" s="138">
        <f>+Divisional!D4</f>
        <v>5073</v>
      </c>
      <c r="G9" s="138">
        <f>+Divisional!E4</f>
        <v>5917</v>
      </c>
      <c r="H9" s="138">
        <f>Divisional!F4</f>
        <v>5814</v>
      </c>
      <c r="I9" s="138">
        <f>+Divisional!G4</f>
        <v>5673</v>
      </c>
      <c r="J9" s="138">
        <f>+Divisional!H4</f>
        <v>5604</v>
      </c>
      <c r="K9" s="138">
        <f>+Divisional!I4</f>
        <v>6110</v>
      </c>
      <c r="L9" s="138">
        <f>+Divisional!J4</f>
        <v>7005</v>
      </c>
      <c r="M9" s="138">
        <f>+Divisional!K4</f>
        <v>7589</v>
      </c>
      <c r="N9" s="138">
        <f>+Divisional!L4</f>
        <v>8153</v>
      </c>
      <c r="O9" s="138">
        <f>+Divisional!M4</f>
        <v>9319</v>
      </c>
      <c r="P9" s="138">
        <f>+Divisional!N4</f>
        <v>9391</v>
      </c>
      <c r="Q9" s="138">
        <f>+Divisional!O4</f>
        <v>9741</v>
      </c>
      <c r="R9" s="138">
        <f>+Divisional!P4</f>
        <v>9357</v>
      </c>
      <c r="S9" s="138">
        <f>+Divisional!Q4</f>
        <v>10452</v>
      </c>
      <c r="T9" s="138">
        <f>+Divisional!R4</f>
        <v>10579</v>
      </c>
      <c r="U9" s="138">
        <f>+Divisional!S4</f>
        <v>12045</v>
      </c>
      <c r="V9" s="138">
        <f>+Divisional!T4</f>
        <v>7663</v>
      </c>
      <c r="W9" s="138">
        <f>+Divisional!U4</f>
        <v>7439</v>
      </c>
      <c r="X9" s="154">
        <f>+Divisional!V4</f>
        <v>9506</v>
      </c>
      <c r="Y9" s="138">
        <v>2714</v>
      </c>
      <c r="Z9" s="138">
        <f>SUM(Z5:Z8)</f>
        <v>2963</v>
      </c>
      <c r="AA9" s="138">
        <v>3083</v>
      </c>
      <c r="AB9" s="607">
        <f t="shared" ref="AB9:AE9" si="30">SUM(AB8+AB7+AB6+AB5)</f>
        <v>3116.0000000000005</v>
      </c>
      <c r="AC9" s="138">
        <v>5677</v>
      </c>
      <c r="AD9" s="138">
        <f t="shared" si="30"/>
        <v>6199</v>
      </c>
      <c r="AE9" s="138">
        <f t="shared" si="30"/>
        <v>8760</v>
      </c>
      <c r="AF9" s="1350">
        <f>+Divisional!W4</f>
        <v>11876</v>
      </c>
      <c r="AG9" s="138">
        <v>3097</v>
      </c>
      <c r="AH9" s="138">
        <f>SUM(AH5:AH8)</f>
        <v>3364</v>
      </c>
      <c r="AI9" s="138">
        <v>3339</v>
      </c>
      <c r="AJ9" s="607">
        <f t="shared" ref="AJ9" si="31">SUM(AJ8+AJ7+AJ6+AJ5)</f>
        <v>3852</v>
      </c>
      <c r="AK9" s="138">
        <v>6461</v>
      </c>
      <c r="AL9" s="138">
        <f t="shared" ref="AL9" si="32">SUM(AL8+AL7+AL6+AL5)</f>
        <v>7191</v>
      </c>
      <c r="AM9" s="138">
        <f t="shared" ref="AM9" si="33">SUM(AM8+AM7+AM6+AM5)</f>
        <v>9800</v>
      </c>
      <c r="AN9" s="1350">
        <f>Divisional!X4</f>
        <v>13652</v>
      </c>
      <c r="AO9" s="138">
        <v>3684</v>
      </c>
      <c r="AP9" s="138">
        <f>SUM(AP5:AP8)</f>
        <v>3857</v>
      </c>
      <c r="AQ9" s="138">
        <v>4044</v>
      </c>
      <c r="AR9" s="607">
        <f t="shared" ref="AR9" si="34">SUM(AR8+AR7+AR6+AR5)</f>
        <v>4083.0000000000018</v>
      </c>
      <c r="AS9" s="138">
        <v>7541</v>
      </c>
      <c r="AT9" s="138">
        <f t="shared" ref="AT9" si="35">SUM(AT8+AT7+AT6+AT5)</f>
        <v>8127.0000000000018</v>
      </c>
      <c r="AU9" s="138">
        <f t="shared" ref="AU9" si="36">SUM(AU8+AU7+AU6+AU5)</f>
        <v>11585</v>
      </c>
      <c r="AV9" s="1350">
        <f>Divisional!Y4</f>
        <v>15668</v>
      </c>
      <c r="AW9" s="138">
        <v>4552</v>
      </c>
      <c r="AX9" s="138">
        <f>SUM(AX5:AX8)</f>
        <v>4626</v>
      </c>
      <c r="AY9" s="112">
        <f t="shared" ref="AY9:BC9" si="37">SUM(AY8+AY7+AY6+AY5)</f>
        <v>4441.5256560491998</v>
      </c>
      <c r="AZ9" s="590">
        <f t="shared" si="37"/>
        <v>5533.5642584716479</v>
      </c>
      <c r="BA9" s="138">
        <v>9178</v>
      </c>
      <c r="BB9" s="112">
        <f t="shared" si="37"/>
        <v>9975.0899145208477</v>
      </c>
      <c r="BC9" s="112">
        <f t="shared" si="37"/>
        <v>13622.949283281345</v>
      </c>
      <c r="BD9" s="591">
        <f>SUM(BD8+BD7+BD6+BD5)</f>
        <v>19156.513541752993</v>
      </c>
      <c r="BE9" s="112">
        <f t="shared" ref="BE9:BK9" si="38">SUM(BE8+BE7+BE6+BE5)</f>
        <v>4524.3769416844489</v>
      </c>
      <c r="BF9" s="112">
        <f t="shared" si="38"/>
        <v>5099.2897902052591</v>
      </c>
      <c r="BG9" s="112">
        <f t="shared" si="38"/>
        <v>5100.2177723481163</v>
      </c>
      <c r="BH9" s="590">
        <f t="shared" si="38"/>
        <v>6426.0221791147742</v>
      </c>
      <c r="BI9" s="112">
        <f t="shared" si="38"/>
        <v>9623.6667318897089</v>
      </c>
      <c r="BJ9" s="112">
        <f t="shared" si="38"/>
        <v>11526.239951462896</v>
      </c>
      <c r="BK9" s="112">
        <f t="shared" si="38"/>
        <v>14723.884504237825</v>
      </c>
      <c r="BL9" s="591">
        <f>SUM(BL8+BL7+BL6+BL5)</f>
        <v>21149.906683352601</v>
      </c>
      <c r="BM9" s="112">
        <f t="shared" ref="BM9:BS9" si="39">SUM(BM8+BM7+BM6+BM5)</f>
        <v>5014.8989649878149</v>
      </c>
      <c r="BN9" s="112">
        <f t="shared" si="39"/>
        <v>5642.0666780022466</v>
      </c>
      <c r="BO9" s="112">
        <f t="shared" si="39"/>
        <v>5644.904835645104</v>
      </c>
      <c r="BP9" s="590">
        <f t="shared" si="39"/>
        <v>7002.4432859267336</v>
      </c>
      <c r="BQ9" s="112">
        <f t="shared" si="39"/>
        <v>10656.965642990062</v>
      </c>
      <c r="BR9" s="112">
        <f t="shared" si="39"/>
        <v>12647.34812157184</v>
      </c>
      <c r="BS9" s="112">
        <f t="shared" si="39"/>
        <v>16301.870478635166</v>
      </c>
      <c r="BT9" s="591">
        <f>SUM(BT8+BT7+BT6+BT5)</f>
        <v>23304.313764561895</v>
      </c>
      <c r="BU9" s="112">
        <f t="shared" ref="BU9:CA9" si="40">SUM(BU8+BU7+BU6+BU5)</f>
        <v>5345.6899732330148</v>
      </c>
      <c r="BV9" s="112">
        <f t="shared" si="40"/>
        <v>5998.9234123795322</v>
      </c>
      <c r="BW9" s="112">
        <f t="shared" si="40"/>
        <v>6001.8876495755867</v>
      </c>
      <c r="BX9" s="590">
        <f t="shared" si="40"/>
        <v>7423.2555883037894</v>
      </c>
      <c r="BY9" s="112">
        <f t="shared" si="40"/>
        <v>11344.613385612549</v>
      </c>
      <c r="BZ9" s="112">
        <f t="shared" si="40"/>
        <v>13425.14323787938</v>
      </c>
      <c r="CA9" s="112">
        <f t="shared" si="40"/>
        <v>17346.501035188136</v>
      </c>
      <c r="CB9" s="591">
        <f>SUM(CB8+CB7+CB6+CB5)</f>
        <v>24769.756623491921</v>
      </c>
      <c r="CC9" s="112">
        <f t="shared" ref="CC9:CI9" si="41">SUM(CC8+CC7+CC6+CC5)</f>
        <v>5423.7584300610661</v>
      </c>
      <c r="CD9" s="112">
        <f t="shared" si="41"/>
        <v>6096.8571638051781</v>
      </c>
      <c r="CE9" s="112">
        <f t="shared" si="41"/>
        <v>6097.9816715199076</v>
      </c>
      <c r="CF9" s="590">
        <f t="shared" si="41"/>
        <v>7505.9099375880332</v>
      </c>
      <c r="CG9" s="112">
        <f t="shared" si="41"/>
        <v>11520.615593866245</v>
      </c>
      <c r="CH9" s="112">
        <f t="shared" si="41"/>
        <v>13603.891609107937</v>
      </c>
      <c r="CI9" s="112">
        <f t="shared" si="41"/>
        <v>17618.59726538615</v>
      </c>
      <c r="CJ9" s="591">
        <f>SUM(CJ8+CJ7+CJ6+CJ5)</f>
        <v>25124.507202974182</v>
      </c>
      <c r="CK9" s="1538">
        <f>(BT9/AN9)^(1/4)-1</f>
        <v>0.14303626603655384</v>
      </c>
    </row>
    <row r="10" spans="1:89" s="237" customFormat="1" x14ac:dyDescent="0.2">
      <c r="A10" s="236" t="s">
        <v>728</v>
      </c>
      <c r="B10" s="592"/>
      <c r="C10" s="593"/>
      <c r="D10" s="593"/>
      <c r="E10" s="593"/>
      <c r="F10" s="593"/>
      <c r="G10" s="593"/>
      <c r="H10" s="593"/>
      <c r="I10" s="261">
        <f t="shared" ref="I10:P10" si="42">I9/H9-1</f>
        <v>-2.42518059855521E-2</v>
      </c>
      <c r="J10" s="261">
        <f t="shared" si="42"/>
        <v>-1.2162876784770016E-2</v>
      </c>
      <c r="K10" s="261">
        <f t="shared" si="42"/>
        <v>9.0292648108494022E-2</v>
      </c>
      <c r="L10" s="261">
        <f t="shared" si="42"/>
        <v>0.146481178396072</v>
      </c>
      <c r="M10" s="261">
        <f t="shared" si="42"/>
        <v>8.3369022127051995E-2</v>
      </c>
      <c r="N10" s="261">
        <f t="shared" si="42"/>
        <v>7.4318091975227318E-2</v>
      </c>
      <c r="O10" s="261">
        <f t="shared" si="42"/>
        <v>0.14301484116276209</v>
      </c>
      <c r="P10" s="261">
        <f t="shared" si="42"/>
        <v>7.7261508745574137E-3</v>
      </c>
      <c r="Q10" s="261">
        <f>Q9/P9-1</f>
        <v>3.7269726333723829E-2</v>
      </c>
      <c r="R10" s="261"/>
      <c r="S10" s="261">
        <f>S9/R9-1</f>
        <v>0.11702468739980754</v>
      </c>
      <c r="T10" s="272"/>
      <c r="U10" s="261">
        <f>U9/T9-1</f>
        <v>0.13857642499291045</v>
      </c>
      <c r="V10" s="261">
        <f>V9/U9-1</f>
        <v>-0.36380240763802407</v>
      </c>
      <c r="W10" s="261">
        <f>W9/V9-1</f>
        <v>-2.9231371525512251E-2</v>
      </c>
      <c r="X10" s="594">
        <f>X9/W9-1</f>
        <v>0.27785992740959808</v>
      </c>
      <c r="Y10" s="261">
        <f>Y9/Quarterlies!CM3-1</f>
        <v>0.39752832131822857</v>
      </c>
      <c r="Z10" s="261">
        <f>Z9/Quarterlies!CN3-1</f>
        <v>0.32632050134288271</v>
      </c>
      <c r="AA10" s="261">
        <f>AA9/Quarterlies!CO3-1</f>
        <v>0.2317219336795846</v>
      </c>
      <c r="AB10" s="725">
        <f>AB9/Quarterlies!CP3-1</f>
        <v>0.10222851078882234</v>
      </c>
      <c r="AC10" s="261">
        <f>AC9/Quarterlies!CQ3-1</f>
        <v>0.3594348659003832</v>
      </c>
      <c r="AD10" s="261">
        <f>AD9/Quarterlies!CR3-1</f>
        <v>0.16303939962476544</v>
      </c>
      <c r="AE10" s="261">
        <f>AE9/Quarterlies!CS3-1</f>
        <v>0.31157358886060793</v>
      </c>
      <c r="AF10" s="1351">
        <f>AF9/X9-1</f>
        <v>0.24931622133389442</v>
      </c>
      <c r="AG10" s="261">
        <f t="shared" ref="AG10:CJ10" si="43">AG9/Y9-1</f>
        <v>0.14112011790714818</v>
      </c>
      <c r="AH10" s="261">
        <f t="shared" si="43"/>
        <v>0.13533580830239611</v>
      </c>
      <c r="AI10" s="261">
        <f t="shared" si="43"/>
        <v>8.3036003892312582E-2</v>
      </c>
      <c r="AJ10" s="725">
        <f t="shared" si="43"/>
        <v>0.23620025673940925</v>
      </c>
      <c r="AK10" s="261">
        <f t="shared" si="43"/>
        <v>0.13810110974106049</v>
      </c>
      <c r="AL10" s="261">
        <f t="shared" si="43"/>
        <v>0.16002581061461529</v>
      </c>
      <c r="AM10" s="261">
        <f t="shared" si="43"/>
        <v>0.11872146118721472</v>
      </c>
      <c r="AN10" s="1351">
        <f>AN9/AF9-1</f>
        <v>0.14954530144829903</v>
      </c>
      <c r="AO10" s="261">
        <f t="shared" si="43"/>
        <v>0.18953826283500153</v>
      </c>
      <c r="AP10" s="261">
        <f t="shared" si="43"/>
        <v>0.14655172413793105</v>
      </c>
      <c r="AQ10" s="261">
        <f t="shared" si="43"/>
        <v>0.21114106019766399</v>
      </c>
      <c r="AR10" s="725">
        <f t="shared" si="43"/>
        <v>5.9968847352025456E-2</v>
      </c>
      <c r="AS10" s="261">
        <f t="shared" si="43"/>
        <v>0.16715678687509672</v>
      </c>
      <c r="AT10" s="261">
        <f t="shared" si="43"/>
        <v>0.13016270337922431</v>
      </c>
      <c r="AU10" s="261">
        <f t="shared" si="43"/>
        <v>0.18214285714285716</v>
      </c>
      <c r="AV10" s="1351">
        <f>AV9/AN9-1</f>
        <v>0.14767067096396125</v>
      </c>
      <c r="AW10" s="261">
        <f t="shared" si="43"/>
        <v>0.23561346362649305</v>
      </c>
      <c r="AX10" s="261">
        <f t="shared" si="43"/>
        <v>0.19937775473165664</v>
      </c>
      <c r="AY10" s="596">
        <f t="shared" si="43"/>
        <v>9.8300112771809944E-2</v>
      </c>
      <c r="AZ10" s="595">
        <f t="shared" si="43"/>
        <v>0.35526922813412831</v>
      </c>
      <c r="BA10" s="261">
        <f t="shared" si="43"/>
        <v>0.21707996286964604</v>
      </c>
      <c r="BB10" s="596">
        <f t="shared" si="43"/>
        <v>0.22740124455775135</v>
      </c>
      <c r="BC10" s="596">
        <f t="shared" si="43"/>
        <v>0.17591275643343507</v>
      </c>
      <c r="BD10" s="597">
        <f t="shared" si="43"/>
        <v>0.22265212801589174</v>
      </c>
      <c r="BE10" s="596">
        <f t="shared" si="43"/>
        <v>-6.0683344278451568E-3</v>
      </c>
      <c r="BF10" s="596">
        <f t="shared" si="43"/>
        <v>0.10231080635651946</v>
      </c>
      <c r="BG10" s="596">
        <f t="shared" si="43"/>
        <v>0.14830312088860764</v>
      </c>
      <c r="BH10" s="595">
        <f t="shared" si="43"/>
        <v>0.1612808452123442</v>
      </c>
      <c r="BI10" s="596">
        <f t="shared" si="43"/>
        <v>4.8558153398312154E-2</v>
      </c>
      <c r="BJ10" s="596">
        <f t="shared" si="43"/>
        <v>0.15550236140568741</v>
      </c>
      <c r="BK10" s="596">
        <f t="shared" si="43"/>
        <v>8.0814748558712957E-2</v>
      </c>
      <c r="BL10" s="597">
        <f t="shared" si="43"/>
        <v>0.10405824302292088</v>
      </c>
      <c r="BM10" s="596">
        <f t="shared" si="43"/>
        <v>0.10841758536607293</v>
      </c>
      <c r="BN10" s="596">
        <f t="shared" si="43"/>
        <v>0.10644166347234396</v>
      </c>
      <c r="BO10" s="596">
        <f t="shared" si="43"/>
        <v>0.10679682468660867</v>
      </c>
      <c r="BP10" s="595">
        <f t="shared" si="43"/>
        <v>8.9701076458370554E-2</v>
      </c>
      <c r="BQ10" s="596">
        <f t="shared" si="43"/>
        <v>0.10737060414575006</v>
      </c>
      <c r="BR10" s="596">
        <f t="shared" si="43"/>
        <v>9.7265732348965628E-2</v>
      </c>
      <c r="BS10" s="596">
        <f t="shared" si="43"/>
        <v>0.10717185223391046</v>
      </c>
      <c r="BT10" s="597">
        <f t="shared" si="43"/>
        <v>0.10186366840592531</v>
      </c>
      <c r="BU10" s="596">
        <f t="shared" si="43"/>
        <v>6.5961649587491511E-2</v>
      </c>
      <c r="BV10" s="596">
        <f t="shared" si="43"/>
        <v>6.32492940518814E-2</v>
      </c>
      <c r="BW10" s="596">
        <f t="shared" si="43"/>
        <v>6.3239828539941367E-2</v>
      </c>
      <c r="BX10" s="595">
        <f t="shared" si="43"/>
        <v>6.0095067563458837E-2</v>
      </c>
      <c r="BY10" s="596">
        <f t="shared" si="43"/>
        <v>6.452566008550531E-2</v>
      </c>
      <c r="BZ10" s="596">
        <f t="shared" si="43"/>
        <v>6.1498672198395443E-2</v>
      </c>
      <c r="CA10" s="596">
        <f t="shared" si="43"/>
        <v>6.4080410767711316E-2</v>
      </c>
      <c r="CB10" s="597">
        <f t="shared" si="43"/>
        <v>6.2882901154484028E-2</v>
      </c>
      <c r="CC10" s="596">
        <f t="shared" si="43"/>
        <v>1.4604000085855384E-2</v>
      </c>
      <c r="CD10" s="596">
        <f t="shared" si="43"/>
        <v>1.632522115944135E-2</v>
      </c>
      <c r="CE10" s="596">
        <f t="shared" si="43"/>
        <v>1.6010633246544614E-2</v>
      </c>
      <c r="CF10" s="595">
        <f t="shared" si="43"/>
        <v>1.1134514809711726E-2</v>
      </c>
      <c r="CG10" s="596">
        <f t="shared" si="43"/>
        <v>1.5514165381510958E-2</v>
      </c>
      <c r="CH10" s="596">
        <f t="shared" si="43"/>
        <v>1.3314447977300858E-2</v>
      </c>
      <c r="CI10" s="596">
        <f t="shared" si="43"/>
        <v>1.5685943213911369E-2</v>
      </c>
      <c r="CJ10" s="597">
        <f t="shared" si="43"/>
        <v>1.4321924307718614E-2</v>
      </c>
    </row>
    <row r="11" spans="1:89" s="237" customFormat="1" x14ac:dyDescent="0.2">
      <c r="A11" s="598" t="s">
        <v>729</v>
      </c>
      <c r="B11" s="592"/>
      <c r="C11" s="593"/>
      <c r="D11" s="593"/>
      <c r="E11" s="593"/>
      <c r="F11" s="593"/>
      <c r="G11" s="593"/>
      <c r="H11" s="593"/>
      <c r="I11" s="272"/>
      <c r="J11" s="272">
        <v>-3.1E-2</v>
      </c>
      <c r="K11" s="272">
        <v>5.8000000000000003E-2</v>
      </c>
      <c r="L11" s="272"/>
      <c r="M11" s="272"/>
      <c r="N11" s="272">
        <v>6.2E-2</v>
      </c>
      <c r="O11" s="272">
        <v>0.06</v>
      </c>
      <c r="P11" s="272">
        <v>4.9000000000000002E-2</v>
      </c>
      <c r="Q11" s="272">
        <v>7.4999999999999997E-2</v>
      </c>
      <c r="R11" s="599" t="s">
        <v>730</v>
      </c>
      <c r="S11" s="272">
        <v>0.13600000000000001</v>
      </c>
      <c r="T11" s="599" t="s">
        <v>730</v>
      </c>
      <c r="U11" s="272">
        <v>0.108</v>
      </c>
      <c r="V11" s="272">
        <v>-0.36199999999999999</v>
      </c>
      <c r="W11" s="272">
        <v>-1.0999999999999999E-2</v>
      </c>
      <c r="X11" s="275">
        <v>0.183</v>
      </c>
      <c r="Y11" s="272">
        <v>0.34899999999999998</v>
      </c>
      <c r="Z11" s="272">
        <f t="shared" ref="Z11:AH11" si="44">Z10-Z12-Z13</f>
        <v>0.35310968785466523</v>
      </c>
      <c r="AA11" s="272">
        <v>0.28399999999999997</v>
      </c>
      <c r="AB11" s="248">
        <v>0.14399999999999999</v>
      </c>
      <c r="AC11" s="272">
        <v>0.34100000000000003</v>
      </c>
      <c r="AD11" s="272">
        <f t="shared" si="44"/>
        <v>0.20902176360225136</v>
      </c>
      <c r="AE11" s="272">
        <v>0.32</v>
      </c>
      <c r="AF11" s="602">
        <v>0.26700000000000002</v>
      </c>
      <c r="AG11" s="272">
        <v>0.154</v>
      </c>
      <c r="AH11" s="272">
        <f t="shared" si="44"/>
        <v>0.12717651029362118</v>
      </c>
      <c r="AI11" s="272">
        <v>9.1999999999999998E-2</v>
      </c>
      <c r="AJ11" s="248">
        <v>0.22700000000000001</v>
      </c>
      <c r="AK11" s="272">
        <v>0.14000000000000001</v>
      </c>
      <c r="AL11" s="272">
        <f t="shared" ref="AL11" si="45">AL10-AL12-AL13</f>
        <v>0.15915792869817733</v>
      </c>
      <c r="AM11" s="272">
        <v>0.123</v>
      </c>
      <c r="AN11" s="602">
        <v>0.15</v>
      </c>
      <c r="AO11" s="272">
        <v>0.16400000000000001</v>
      </c>
      <c r="AP11" s="272">
        <v>0.21299999999999999</v>
      </c>
      <c r="AQ11" s="272">
        <v>0.25600000000000001</v>
      </c>
      <c r="AR11" s="248">
        <v>0.11700000000000001</v>
      </c>
      <c r="AS11" s="272">
        <v>0.16900000000000001</v>
      </c>
      <c r="AT11" s="272">
        <f t="shared" ref="AT11" si="46">AT10-AT12-AT13</f>
        <v>0.1822893895146715</v>
      </c>
      <c r="AU11" s="272">
        <v>0.19900000000000001</v>
      </c>
      <c r="AV11" s="602">
        <v>0.17599999999999999</v>
      </c>
      <c r="AW11" s="272">
        <v>0.33100000000000002</v>
      </c>
      <c r="AX11" s="272">
        <v>0.219</v>
      </c>
      <c r="AY11" s="274">
        <f t="shared" ref="AY11:BC11" si="47">AY10-AY12-AY13</f>
        <v>9.8300112771809944E-2</v>
      </c>
      <c r="AZ11" s="273">
        <f t="shared" si="47"/>
        <v>0.30461643153142776</v>
      </c>
      <c r="BA11" s="272">
        <v>0.27700000000000002</v>
      </c>
      <c r="BB11" s="274">
        <f t="shared" si="47"/>
        <v>0.20195330946130413</v>
      </c>
      <c r="BC11" s="274">
        <f t="shared" si="47"/>
        <v>0.21277827218656412</v>
      </c>
      <c r="BD11" s="600">
        <f>BD10-BD12-BD13</f>
        <v>0.23829175218433524</v>
      </c>
      <c r="BE11" s="274">
        <f t="shared" ref="BE11:BK11" si="48">BE10-BE12-BE13</f>
        <v>-6.0683344278451568E-3</v>
      </c>
      <c r="BF11" s="274">
        <f t="shared" si="48"/>
        <v>0.11405469010995847</v>
      </c>
      <c r="BG11" s="274">
        <f t="shared" si="48"/>
        <v>0.14830312088860764</v>
      </c>
      <c r="BH11" s="273">
        <f t="shared" si="48"/>
        <v>0.17499667827101717</v>
      </c>
      <c r="BI11" s="274">
        <f t="shared" si="48"/>
        <v>5.4477439325900837E-2</v>
      </c>
      <c r="BJ11" s="274">
        <f t="shared" si="48"/>
        <v>0.16311105909553497</v>
      </c>
      <c r="BK11" s="274">
        <f t="shared" si="48"/>
        <v>8.4802666674952412E-2</v>
      </c>
      <c r="BL11" s="600">
        <f>BL10-BL12-BL13</f>
        <v>0.11085617363530563</v>
      </c>
      <c r="BM11" s="274">
        <f t="shared" ref="BM11:BS11" si="49">BM10-BM12-BM13</f>
        <v>0.10841758536607293</v>
      </c>
      <c r="BN11" s="274">
        <f t="shared" si="49"/>
        <v>0.11264539133366736</v>
      </c>
      <c r="BO11" s="274">
        <f t="shared" si="49"/>
        <v>0.10679682468660867</v>
      </c>
      <c r="BP11" s="273">
        <f t="shared" si="49"/>
        <v>9.5750969954901746E-2</v>
      </c>
      <c r="BQ11" s="274">
        <f t="shared" si="49"/>
        <v>0.1106577718153901</v>
      </c>
      <c r="BR11" s="274">
        <f t="shared" si="49"/>
        <v>0.10063862324432284</v>
      </c>
      <c r="BS11" s="274">
        <f t="shared" si="49"/>
        <v>0.10932037534514195</v>
      </c>
      <c r="BT11" s="600">
        <f>BT10-BT12-BT13</f>
        <v>0.10519755337242261</v>
      </c>
      <c r="BU11" s="274">
        <f t="shared" ref="BU11:CA11" si="50">BU10-BU12-BU13</f>
        <v>6.5961649587491511E-2</v>
      </c>
      <c r="BV11" s="274">
        <f t="shared" si="50"/>
        <v>8.3304028751299233E-2</v>
      </c>
      <c r="BW11" s="274">
        <f t="shared" si="50"/>
        <v>6.3239828539941367E-2</v>
      </c>
      <c r="BX11" s="273">
        <f t="shared" si="50"/>
        <v>7.9897723341619639E-2</v>
      </c>
      <c r="BY11" s="274">
        <f t="shared" si="50"/>
        <v>7.5143142976443283E-2</v>
      </c>
      <c r="BZ11" s="274">
        <f t="shared" si="50"/>
        <v>7.2462786783079353E-2</v>
      </c>
      <c r="CA11" s="274">
        <f t="shared" si="50"/>
        <v>7.1021341290503318E-2</v>
      </c>
      <c r="CB11" s="600">
        <f>CB10-CB12-CB13</f>
        <v>7.3688502509027712E-2</v>
      </c>
      <c r="CC11" s="274">
        <f t="shared" ref="CC11:CI11" si="51">CC10-CC12-CC13</f>
        <v>1.4604000085855384E-2</v>
      </c>
      <c r="CD11" s="274">
        <f t="shared" si="51"/>
        <v>9.00639795879766E-2</v>
      </c>
      <c r="CE11" s="274">
        <f t="shared" si="51"/>
        <v>1.6010633246544614E-2</v>
      </c>
      <c r="CF11" s="273">
        <f t="shared" si="51"/>
        <v>8.4172188630973005E-2</v>
      </c>
      <c r="CG11" s="274">
        <f t="shared" si="51"/>
        <v>5.4506517901671693E-2</v>
      </c>
      <c r="CH11" s="274">
        <f t="shared" si="51"/>
        <v>5.3699664786058636E-2</v>
      </c>
      <c r="CI11" s="274">
        <f t="shared" si="51"/>
        <v>4.1186945602773882E-2</v>
      </c>
      <c r="CJ11" s="600">
        <f>CJ10-CJ12-CJ13</f>
        <v>5.4069205625508626E-2</v>
      </c>
    </row>
    <row r="12" spans="1:89" s="237" customFormat="1" x14ac:dyDescent="0.2">
      <c r="A12" s="598" t="s">
        <v>94</v>
      </c>
      <c r="B12" s="592"/>
      <c r="C12" s="593"/>
      <c r="D12" s="593"/>
      <c r="E12" s="593"/>
      <c r="F12" s="593"/>
      <c r="G12" s="593"/>
      <c r="H12" s="593"/>
      <c r="I12" s="272"/>
      <c r="J12" s="599" t="s">
        <v>730</v>
      </c>
      <c r="K12" s="599" t="s">
        <v>730</v>
      </c>
      <c r="L12" s="272"/>
      <c r="M12" s="272"/>
      <c r="N12" s="599" t="s">
        <v>730</v>
      </c>
      <c r="O12" s="599" t="s">
        <v>730</v>
      </c>
      <c r="P12" s="272">
        <v>-4.3999999999999997E-2</v>
      </c>
      <c r="Q12" s="272">
        <v>-3.3000000000000002E-2</v>
      </c>
      <c r="R12" s="599" t="s">
        <v>730</v>
      </c>
      <c r="S12" s="272">
        <v>-1E-3</v>
      </c>
      <c r="T12" s="599" t="s">
        <v>730</v>
      </c>
      <c r="U12" s="272">
        <v>0</v>
      </c>
      <c r="V12" s="272">
        <v>0</v>
      </c>
      <c r="W12" s="272">
        <v>0</v>
      </c>
      <c r="X12" s="275">
        <v>0</v>
      </c>
      <c r="Y12" s="272">
        <v>0</v>
      </c>
      <c r="Z12" s="272">
        <f>(AC12*U9-Y12*Q9)/R9</f>
        <v>0</v>
      </c>
      <c r="AA12" s="272">
        <v>0</v>
      </c>
      <c r="AB12" s="248">
        <v>0</v>
      </c>
      <c r="AC12" s="272">
        <v>0</v>
      </c>
      <c r="AD12" s="272">
        <f>((AF12*X9)-(AC12*Quarterlies!CQ3))/Quarterlies!CR3</f>
        <v>0</v>
      </c>
      <c r="AE12" s="272">
        <v>0</v>
      </c>
      <c r="AF12" s="602">
        <v>0</v>
      </c>
      <c r="AG12" s="272">
        <v>0</v>
      </c>
      <c r="AH12" s="272">
        <f>(AK12*AC9-AG12*Y9)/Z9</f>
        <v>0</v>
      </c>
      <c r="AI12" s="272">
        <v>0</v>
      </c>
      <c r="AJ12" s="248">
        <v>0</v>
      </c>
      <c r="AK12" s="272">
        <v>0</v>
      </c>
      <c r="AL12" s="272">
        <f>((AN12*AF9)-(AK12*AC9))/AD9</f>
        <v>0</v>
      </c>
      <c r="AM12" s="272">
        <v>0</v>
      </c>
      <c r="AN12" s="602">
        <v>0</v>
      </c>
      <c r="AO12" s="272">
        <v>0</v>
      </c>
      <c r="AP12" s="272">
        <v>1.4999999999999999E-2</v>
      </c>
      <c r="AQ12" s="272">
        <v>7.0000000000000001E-3</v>
      </c>
      <c r="AR12" s="248">
        <v>6.0000000000000001E-3</v>
      </c>
      <c r="AS12" s="272">
        <v>8.0000000000000002E-3</v>
      </c>
      <c r="AT12" s="272">
        <f>((AV12*AN9)-(AS12*AK9))/AL9</f>
        <v>6.1015157836184124E-3</v>
      </c>
      <c r="AU12" s="272">
        <v>8.0000000000000002E-3</v>
      </c>
      <c r="AV12" s="602">
        <v>7.0000000000000001E-3</v>
      </c>
      <c r="AW12" s="272">
        <v>7.0000000000000001E-3</v>
      </c>
      <c r="AX12" s="272">
        <v>0</v>
      </c>
      <c r="AY12" s="277">
        <v>0</v>
      </c>
      <c r="AZ12" s="273">
        <f>(BB12*AT9-AY12*AQ9)/AR9</f>
        <v>0</v>
      </c>
      <c r="BA12" s="272">
        <v>0</v>
      </c>
      <c r="BB12" s="274">
        <f>((BD12*AV9)-(BA12*AS9))/AT9</f>
        <v>0</v>
      </c>
      <c r="BC12" s="274">
        <f>(AW12*AO9+AX12*AP9+AY12*AQ9)/AU9</f>
        <v>2.2259818731117827E-3</v>
      </c>
      <c r="BD12" s="601">
        <v>0</v>
      </c>
      <c r="BE12" s="277">
        <v>0</v>
      </c>
      <c r="BF12" s="274">
        <f>(BI12*BA9-BE12*AW9)/AX9</f>
        <v>0</v>
      </c>
      <c r="BG12" s="277">
        <v>0</v>
      </c>
      <c r="BH12" s="273">
        <f>(BJ12*BB9-BG12*AY9)/AZ9</f>
        <v>0</v>
      </c>
      <c r="BI12" s="277">
        <v>0</v>
      </c>
      <c r="BJ12" s="274">
        <f>((BL12*BD9)-(BI12*BA9))/BB9</f>
        <v>0</v>
      </c>
      <c r="BK12" s="274">
        <f>(BE12*AW9+BF12*AX9+BG12*AY9)/BC9</f>
        <v>0</v>
      </c>
      <c r="BL12" s="601">
        <v>0</v>
      </c>
      <c r="BM12" s="277">
        <v>0</v>
      </c>
      <c r="BN12" s="274">
        <f>(BQ12*BI9-BM12*BE9)/BF9</f>
        <v>0</v>
      </c>
      <c r="BO12" s="277">
        <v>0</v>
      </c>
      <c r="BP12" s="273">
        <f>(BR12*BJ9-BO12*BG9)/BH9</f>
        <v>0</v>
      </c>
      <c r="BQ12" s="277">
        <v>0</v>
      </c>
      <c r="BR12" s="274">
        <f>((BT12*BL9)-(BQ12*BI9))/BJ9</f>
        <v>0</v>
      </c>
      <c r="BS12" s="274">
        <f>(BM12*BE9+BN12*BF9+BO12*BG9)/BK9</f>
        <v>0</v>
      </c>
      <c r="BT12" s="601">
        <v>0</v>
      </c>
      <c r="BU12" s="277">
        <v>0</v>
      </c>
      <c r="BV12" s="274">
        <f>(BY12*BQ9-BU12*BM9)/BN9</f>
        <v>0</v>
      </c>
      <c r="BW12" s="277">
        <v>0</v>
      </c>
      <c r="BX12" s="273">
        <f>(BZ12*BR9-BW12*BO9)/BP9</f>
        <v>0</v>
      </c>
      <c r="BY12" s="277">
        <v>0</v>
      </c>
      <c r="BZ12" s="274">
        <f>((CB12*BT9)-(BY12*BQ9))/BR9</f>
        <v>0</v>
      </c>
      <c r="CA12" s="274">
        <f>(BU12*BM9+BV12*BN9+BW12*BO9)/BS9</f>
        <v>0</v>
      </c>
      <c r="CB12" s="601">
        <v>0</v>
      </c>
      <c r="CC12" s="277">
        <v>0</v>
      </c>
      <c r="CD12" s="274">
        <f>(CG12*BY9-CC12*BU9)/BV9</f>
        <v>0</v>
      </c>
      <c r="CE12" s="277">
        <v>0</v>
      </c>
      <c r="CF12" s="273">
        <f>(CH12*BZ9-CE12*BW9)/BX9</f>
        <v>0</v>
      </c>
      <c r="CG12" s="277">
        <v>0</v>
      </c>
      <c r="CH12" s="274">
        <f>((CJ12*CB9)-(CG12*BY9))/BZ9</f>
        <v>0</v>
      </c>
      <c r="CI12" s="274">
        <f>(CC12*BU9+CD12*BV9+CE12*BW9)/CA9</f>
        <v>0</v>
      </c>
      <c r="CJ12" s="601">
        <v>0</v>
      </c>
    </row>
    <row r="13" spans="1:89" s="237" customFormat="1" x14ac:dyDescent="0.2">
      <c r="A13" s="598" t="s">
        <v>275</v>
      </c>
      <c r="B13" s="592"/>
      <c r="C13" s="593"/>
      <c r="D13" s="593"/>
      <c r="E13" s="593"/>
      <c r="F13" s="593"/>
      <c r="G13" s="593"/>
      <c r="H13" s="593"/>
      <c r="I13" s="272"/>
      <c r="J13" s="599" t="s">
        <v>730</v>
      </c>
      <c r="K13" s="599" t="s">
        <v>730</v>
      </c>
      <c r="L13" s="272"/>
      <c r="M13" s="272"/>
      <c r="N13" s="599" t="s">
        <v>730</v>
      </c>
      <c r="O13" s="599" t="s">
        <v>730</v>
      </c>
      <c r="P13" s="272">
        <v>3.0000000000000001E-3</v>
      </c>
      <c r="Q13" s="272">
        <v>-5.0000000000000001E-3</v>
      </c>
      <c r="R13" s="599" t="s">
        <v>730</v>
      </c>
      <c r="S13" s="272">
        <v>-1.7999999999999999E-2</v>
      </c>
      <c r="T13" s="599" t="s">
        <v>730</v>
      </c>
      <c r="U13" s="272">
        <v>3.1E-2</v>
      </c>
      <c r="V13" s="272">
        <v>-2E-3</v>
      </c>
      <c r="W13" s="272">
        <v>-1.7999999999999999E-2</v>
      </c>
      <c r="X13" s="275">
        <v>9.5000000000000001E-2</v>
      </c>
      <c r="Y13" s="272">
        <f>Y10-Y11-Y12</f>
        <v>4.8528321318228596E-2</v>
      </c>
      <c r="Z13" s="272">
        <f>(AC13*U9-Y13*Q9)/R9</f>
        <v>-2.6789186511782553E-2</v>
      </c>
      <c r="AA13" s="272">
        <f>AA10-AA11-AA12</f>
        <v>-5.2278066320415373E-2</v>
      </c>
      <c r="AB13" s="248">
        <f>AB10-AB11-AB12</f>
        <v>-4.1771489211177654E-2</v>
      </c>
      <c r="AC13" s="272">
        <f>AC10-AC11-AC12</f>
        <v>1.8434865900383179E-2</v>
      </c>
      <c r="AD13" s="272">
        <f>((AF13*X9)-(AC13*Quarterlies!CQ3))/Quarterlies!CR3</f>
        <v>-4.5982363977485924E-2</v>
      </c>
      <c r="AE13" s="272">
        <f>AE10-AE11-AE12</f>
        <v>-8.426411139392076E-3</v>
      </c>
      <c r="AF13" s="602">
        <f>AF10-AF11-AF12</f>
        <v>-1.7683778666105598E-2</v>
      </c>
      <c r="AG13" s="272">
        <f>AG10-AG11-AG12</f>
        <v>-1.2879882092851819E-2</v>
      </c>
      <c r="AH13" s="272">
        <f>(AK13*AC9-AG13*Y9)/Z9</f>
        <v>8.1592980087749449E-3</v>
      </c>
      <c r="AI13" s="272">
        <f>AI10-AI11-AI12</f>
        <v>-8.9639961076874164E-3</v>
      </c>
      <c r="AJ13" s="248">
        <f>AJ10-AJ11-AJ12</f>
        <v>9.200256739409246E-3</v>
      </c>
      <c r="AK13" s="272">
        <f>AK10-AK11-AK12</f>
        <v>-1.8988902589395229E-3</v>
      </c>
      <c r="AL13" s="272">
        <f>((AN13*AF9)-(AK13*AC9))/AD9</f>
        <v>8.678819164379735E-4</v>
      </c>
      <c r="AM13" s="272">
        <f t="shared" ref="AM13:AS13" si="52">AM10-AM11-AM12</f>
        <v>-4.2785388127852819E-3</v>
      </c>
      <c r="AN13" s="602">
        <f t="shared" si="52"/>
        <v>-4.5469855170096607E-4</v>
      </c>
      <c r="AO13" s="272">
        <f t="shared" si="52"/>
        <v>2.5538262835001518E-2</v>
      </c>
      <c r="AP13" s="272">
        <f t="shared" si="52"/>
        <v>-8.1448275862068945E-2</v>
      </c>
      <c r="AQ13" s="272">
        <f t="shared" si="52"/>
        <v>-5.1858939802336017E-2</v>
      </c>
      <c r="AR13" s="248">
        <f t="shared" si="52"/>
        <v>-6.3031152647974556E-2</v>
      </c>
      <c r="AS13" s="272">
        <f t="shared" si="52"/>
        <v>-9.8432131249032925E-3</v>
      </c>
      <c r="AT13" s="272">
        <f>((AV13*AN9)-(AS13*AK9))/AL9</f>
        <v>-5.8228201919065602E-2</v>
      </c>
      <c r="AU13" s="272">
        <f>AU10-AU11-AU12</f>
        <v>-2.4857142857142848E-2</v>
      </c>
      <c r="AV13" s="602">
        <f>AV10-AV11-AV12</f>
        <v>-3.5329329036038741E-2</v>
      </c>
      <c r="AW13" s="272">
        <f t="shared" ref="AW13:AX13" si="53">AW10-AW11-AW12</f>
        <v>-0.10238653637350698</v>
      </c>
      <c r="AX13" s="272">
        <f t="shared" si="53"/>
        <v>-1.9622245268343358E-2</v>
      </c>
      <c r="AY13" s="274">
        <f>AY293/Quarterlies!DM3</f>
        <v>0</v>
      </c>
      <c r="AZ13" s="273">
        <f>(BB13*AT9-AY13*AQ9)/AR9</f>
        <v>5.065279660270057E-2</v>
      </c>
      <c r="BA13" s="272">
        <f t="shared" ref="BA13" si="54">BA10-BA11-BA12</f>
        <v>-5.9920037130353987E-2</v>
      </c>
      <c r="BB13" s="274">
        <f>((BD13*AV9)-(BA13*AS9))/AT9</f>
        <v>2.5447935096447209E-2</v>
      </c>
      <c r="BC13" s="274">
        <f>(AW13*AO9+AX13*AP9+AY13*AQ9)/AU9</f>
        <v>-3.9091497626240833E-2</v>
      </c>
      <c r="BD13" s="600">
        <f>BD293/AV9</f>
        <v>-1.5639624168443507E-2</v>
      </c>
      <c r="BE13" s="274">
        <f>BE293/AW9</f>
        <v>0</v>
      </c>
      <c r="BF13" s="274">
        <f>(BI13*BA9-BE13*AW9)/AX9</f>
        <v>-1.1743883753439021E-2</v>
      </c>
      <c r="BG13" s="274">
        <f>BG293/Quarterlies!DU3</f>
        <v>0</v>
      </c>
      <c r="BH13" s="273">
        <f>(BJ13*BB9-BG13*AY9)/AZ9</f>
        <v>-1.3715833058672975E-2</v>
      </c>
      <c r="BI13" s="274">
        <f>BI293/BA9</f>
        <v>-5.9192859275886802E-3</v>
      </c>
      <c r="BJ13" s="274">
        <f>((BL13*BD9)-(BI13*BA9))/BB9</f>
        <v>-7.6086976898475768E-3</v>
      </c>
      <c r="BK13" s="274">
        <f>(BE13*AW9+BF13*AX9+BG13*AY9)/BC9</f>
        <v>-3.9879181162394504E-3</v>
      </c>
      <c r="BL13" s="600">
        <f>BL293/BD9</f>
        <v>-6.7979306123847425E-3</v>
      </c>
      <c r="BM13" s="274">
        <f>BM293/BE9</f>
        <v>0</v>
      </c>
      <c r="BN13" s="274">
        <f>(BQ13*BI9-BM13*BE9)/BF9</f>
        <v>-6.2037278613233972E-3</v>
      </c>
      <c r="BO13" s="274">
        <f>BO293/Quarterlies!EC3</f>
        <v>0</v>
      </c>
      <c r="BP13" s="273">
        <f>(BR13*BJ9-BO13*BG9)/BH9</f>
        <v>-6.0498934965311909E-3</v>
      </c>
      <c r="BQ13" s="274">
        <f>BQ293/BI9</f>
        <v>-3.2871676696400432E-3</v>
      </c>
      <c r="BR13" s="274">
        <f>((BT13*BL9)-(BQ13*BI9))/BJ9</f>
        <v>-3.3728908953572041E-3</v>
      </c>
      <c r="BS13" s="274">
        <f>(BM13*BE9+BN13*BF9+BO13*BG9)/BK9</f>
        <v>-2.1485231112314987E-3</v>
      </c>
      <c r="BT13" s="600">
        <f>BT293/BL9</f>
        <v>-3.3338849664972981E-3</v>
      </c>
      <c r="BU13" s="274">
        <f>BU293/BM9</f>
        <v>0</v>
      </c>
      <c r="BV13" s="274">
        <f>(BY13*BQ9-BU13*BM9)/BN9</f>
        <v>-2.0054734699417837E-2</v>
      </c>
      <c r="BW13" s="274">
        <f>BW293/Quarterlies!EK3</f>
        <v>0</v>
      </c>
      <c r="BX13" s="273">
        <f>(BZ13*BR9-BW13*BO9)/BP9</f>
        <v>-1.9802655778160805E-2</v>
      </c>
      <c r="BY13" s="274">
        <f>BY293/BQ9</f>
        <v>-1.0617482890937972E-2</v>
      </c>
      <c r="BZ13" s="274">
        <f>((CB13*BT9)-(BY13*BQ9))/BR9</f>
        <v>-1.0964114584683902E-2</v>
      </c>
      <c r="CA13" s="274">
        <f>(BU13*BM9+BV13*BN9+BW13*BO9)/BS9</f>
        <v>-6.9409305227920073E-3</v>
      </c>
      <c r="CB13" s="600">
        <f>CB293/BT9</f>
        <v>-1.0805601354543689E-2</v>
      </c>
      <c r="CC13" s="274">
        <f>CC293/BU9</f>
        <v>0</v>
      </c>
      <c r="CD13" s="274">
        <f>(CG13*BY9-CC13*BU9)/BV9</f>
        <v>-7.373875842853525E-2</v>
      </c>
      <c r="CE13" s="274">
        <f>CE293/Quarterlies!ES3</f>
        <v>0</v>
      </c>
      <c r="CF13" s="273">
        <f>(CH13*BZ9-CE13*BW9)/BX9</f>
        <v>-7.3037673821261279E-2</v>
      </c>
      <c r="CG13" s="274">
        <f>CG293/BY9</f>
        <v>-3.8992352520160735E-2</v>
      </c>
      <c r="CH13" s="274">
        <f>((CJ13*CB9)-(CG13*BY9))/BZ9</f>
        <v>-4.0385216808757778E-2</v>
      </c>
      <c r="CI13" s="274">
        <f>(CC13*BU9+CD13*BV9+CE13*BW9)/CA9</f>
        <v>-2.5501002388862513E-2</v>
      </c>
      <c r="CJ13" s="600">
        <f>CJ293/CB9</f>
        <v>-3.9747281317790012E-2</v>
      </c>
    </row>
    <row r="14" spans="1:89" x14ac:dyDescent="0.2">
      <c r="A14" s="197"/>
      <c r="B14" s="284"/>
      <c r="C14" s="186"/>
      <c r="D14" s="186"/>
      <c r="E14" s="186"/>
      <c r="F14" s="186"/>
      <c r="G14" s="186"/>
      <c r="H14" s="186"/>
      <c r="I14" s="272"/>
      <c r="J14" s="272"/>
      <c r="K14" s="272"/>
      <c r="L14" s="272"/>
      <c r="M14" s="272"/>
      <c r="N14" s="272"/>
      <c r="O14" s="272"/>
      <c r="P14" s="272"/>
      <c r="Q14" s="272"/>
      <c r="R14" s="272"/>
      <c r="T14" s="510"/>
      <c r="U14" s="272"/>
      <c r="V14" s="272"/>
      <c r="W14" s="272"/>
      <c r="X14" s="275"/>
      <c r="Y14" s="272"/>
      <c r="Z14" s="272"/>
      <c r="AA14" s="272"/>
      <c r="AB14" s="248"/>
      <c r="AC14" s="272"/>
      <c r="AD14" s="272"/>
      <c r="AE14" s="272"/>
      <c r="AF14" s="602"/>
      <c r="AG14" s="272"/>
      <c r="AH14" s="272"/>
      <c r="AI14" s="272"/>
      <c r="AJ14" s="248"/>
      <c r="AK14" s="272"/>
      <c r="AL14" s="272"/>
      <c r="AM14" s="272"/>
      <c r="AN14" s="602"/>
      <c r="AO14" s="272"/>
      <c r="AP14" s="1588"/>
      <c r="AQ14" s="272"/>
      <c r="AR14" s="248"/>
      <c r="AS14" s="272"/>
      <c r="AT14" s="272"/>
      <c r="AU14" s="272"/>
      <c r="AV14" s="602"/>
      <c r="AW14" s="272"/>
      <c r="AX14" s="272"/>
      <c r="AY14" s="272"/>
      <c r="AZ14" s="248"/>
      <c r="BA14" s="272"/>
      <c r="BB14" s="272"/>
      <c r="BC14" s="272"/>
      <c r="BD14" s="602"/>
      <c r="BE14" s="272"/>
      <c r="BF14" s="272"/>
      <c r="BG14" s="272"/>
      <c r="BH14" s="248"/>
      <c r="BI14" s="272"/>
      <c r="BJ14" s="272"/>
      <c r="BK14" s="272"/>
      <c r="BL14" s="602"/>
      <c r="BM14" s="272"/>
      <c r="BN14" s="272"/>
      <c r="BO14" s="272"/>
      <c r="BP14" s="248"/>
      <c r="BQ14" s="272"/>
      <c r="BR14" s="272"/>
      <c r="BS14" s="272"/>
      <c r="BT14" s="602"/>
      <c r="BU14" s="272"/>
      <c r="BV14" s="272"/>
      <c r="BW14" s="272"/>
      <c r="BX14" s="248"/>
      <c r="BY14" s="272"/>
      <c r="BZ14" s="272"/>
      <c r="CA14" s="272"/>
      <c r="CB14" s="602"/>
      <c r="CC14" s="272"/>
      <c r="CD14" s="272"/>
      <c r="CE14" s="272"/>
      <c r="CF14" s="248"/>
      <c r="CG14" s="272"/>
      <c r="CH14" s="272"/>
      <c r="CI14" s="272"/>
      <c r="CJ14" s="602"/>
    </row>
    <row r="15" spans="1:89" x14ac:dyDescent="0.2">
      <c r="A15" s="197"/>
      <c r="B15" s="284"/>
      <c r="C15" s="186"/>
      <c r="D15" s="186"/>
      <c r="E15" s="186"/>
      <c r="F15" s="186"/>
      <c r="G15" s="186"/>
      <c r="H15" s="186"/>
      <c r="I15" s="272"/>
      <c r="J15" s="272"/>
      <c r="K15" s="272"/>
      <c r="L15" s="272"/>
      <c r="M15" s="272"/>
      <c r="N15" s="272"/>
      <c r="O15" s="272"/>
      <c r="P15" s="272"/>
      <c r="Q15" s="272"/>
      <c r="R15" s="272"/>
      <c r="U15" s="272"/>
      <c r="V15" s="272"/>
      <c r="W15" s="272"/>
      <c r="X15" s="275"/>
      <c r="Y15" s="272"/>
      <c r="Z15" s="272"/>
      <c r="AA15" s="272"/>
      <c r="AB15" s="248"/>
      <c r="AC15" s="272"/>
      <c r="AD15" s="272"/>
      <c r="AE15" s="272"/>
      <c r="AF15" s="602"/>
      <c r="AG15" s="272"/>
      <c r="AH15" s="272"/>
      <c r="AI15" s="272"/>
      <c r="AJ15" s="248"/>
      <c r="AK15" s="272"/>
      <c r="AL15" s="272"/>
      <c r="AM15" s="272"/>
      <c r="AN15" s="602"/>
      <c r="AO15" s="272"/>
      <c r="AP15" s="272"/>
      <c r="AQ15" s="272"/>
      <c r="AR15" s="248"/>
      <c r="AS15" s="272"/>
      <c r="AT15" s="272"/>
      <c r="AU15" s="272"/>
      <c r="AV15" s="602"/>
      <c r="AW15" s="272"/>
      <c r="AX15" s="272"/>
      <c r="AY15" s="272"/>
      <c r="AZ15" s="248"/>
      <c r="BA15" s="272"/>
      <c r="BB15" s="272"/>
      <c r="BC15" s="272"/>
      <c r="BD15" s="602"/>
      <c r="BE15" s="272"/>
      <c r="BF15" s="272"/>
      <c r="BG15" s="272"/>
      <c r="BH15" s="248"/>
      <c r="BI15" s="272"/>
      <c r="BJ15" s="272"/>
      <c r="BK15" s="272"/>
      <c r="BL15" s="602"/>
      <c r="BM15" s="272"/>
      <c r="BN15" s="272"/>
      <c r="BO15" s="272"/>
      <c r="BP15" s="248"/>
      <c r="BQ15" s="272"/>
      <c r="BR15" s="272"/>
      <c r="BS15" s="272"/>
      <c r="BT15" s="602"/>
      <c r="BU15" s="272"/>
      <c r="BV15" s="272"/>
      <c r="BW15" s="272"/>
      <c r="BX15" s="248"/>
      <c r="BY15" s="272"/>
      <c r="BZ15" s="272"/>
      <c r="CA15" s="272"/>
      <c r="CB15" s="602"/>
      <c r="CC15" s="272"/>
      <c r="CD15" s="272"/>
      <c r="CE15" s="272"/>
      <c r="CF15" s="248"/>
      <c r="CG15" s="272"/>
      <c r="CH15" s="272"/>
      <c r="CI15" s="272"/>
      <c r="CJ15" s="602"/>
    </row>
    <row r="16" spans="1:89" x14ac:dyDescent="0.2">
      <c r="A16" s="584" t="s">
        <v>723</v>
      </c>
      <c r="B16" s="284"/>
      <c r="C16" s="186"/>
      <c r="D16" s="186"/>
      <c r="E16" s="186"/>
      <c r="F16" s="186"/>
      <c r="G16" s="186"/>
      <c r="H16" s="186"/>
      <c r="I16" s="272"/>
      <c r="J16" s="272"/>
      <c r="K16" s="272"/>
      <c r="L16" s="272"/>
      <c r="M16" s="272"/>
      <c r="N16" s="4">
        <f t="shared" ref="N16:S16" si="55">+N22-SUM(N17:N21)</f>
        <v>1610.809</v>
      </c>
      <c r="O16" s="477">
        <f t="shared" si="55"/>
        <v>1910.3761999999999</v>
      </c>
      <c r="P16" s="4">
        <f t="shared" si="55"/>
        <v>1922.0105000000001</v>
      </c>
      <c r="Q16" s="4">
        <f t="shared" si="55"/>
        <v>1882.662</v>
      </c>
      <c r="R16" s="4">
        <f t="shared" si="55"/>
        <v>1629.662</v>
      </c>
      <c r="S16" s="4">
        <f t="shared" si="55"/>
        <v>1901.792666204203</v>
      </c>
      <c r="T16" s="477"/>
      <c r="U16" s="4">
        <f>+U22-SUM(U17:U21)</f>
        <v>2381.1305000000002</v>
      </c>
      <c r="V16" s="4">
        <f>+V22-SUM(V17:V21)</f>
        <v>1061.4477999999999</v>
      </c>
      <c r="W16" s="4">
        <f>+W22-SUM(W17:W21)</f>
        <v>1256.9767999999999</v>
      </c>
      <c r="X16" s="180">
        <f>+X22-SUM(X17:X21)</f>
        <v>1706.6972000000001</v>
      </c>
      <c r="AB16" s="179"/>
      <c r="AC16" s="4">
        <f>+AC22-SUM(AC17:AC21)</f>
        <v>1059.3148000000001</v>
      </c>
      <c r="AD16" s="4">
        <f>AF16-AC16</f>
        <v>1450.2860000000001</v>
      </c>
      <c r="AF16" s="314">
        <f>+AF22-SUM(AF17:AF21)</f>
        <v>2509.6008000000002</v>
      </c>
      <c r="AJ16" s="179"/>
      <c r="AK16" s="4">
        <f>+AK22-SUM(AK17:AK21)</f>
        <v>1342.6438000000001</v>
      </c>
      <c r="AL16" s="4">
        <f>AN16-AK16</f>
        <v>1632.9631333333334</v>
      </c>
      <c r="AN16" s="314">
        <f>+AN22-SUM(AN17:AN21)</f>
        <v>2975.6069333333335</v>
      </c>
      <c r="AR16" s="179"/>
      <c r="AS16" s="4">
        <f>+AS22-SUM(AS17:AS21)</f>
        <v>1785.0488</v>
      </c>
      <c r="AT16" s="4">
        <f>AV16-AS16</f>
        <v>1947.7532000000001</v>
      </c>
      <c r="AV16" s="314">
        <f>+AV22-SUM(AV17:AV21)</f>
        <v>3732.8020000000001</v>
      </c>
      <c r="AZ16" s="179"/>
      <c r="BA16" s="4">
        <f>+BA22-SUM(BA17:BA21)</f>
        <v>2304.0704000000001</v>
      </c>
      <c r="BB16" s="11">
        <f>BB108</f>
        <v>2578.7069735356758</v>
      </c>
      <c r="BD16" s="603">
        <f>BD108</f>
        <v>4882.7773735356759</v>
      </c>
      <c r="BH16" s="179"/>
      <c r="BI16" s="11">
        <f>BI108</f>
        <v>2407.6893095455362</v>
      </c>
      <c r="BJ16" s="11">
        <f>BJ108</f>
        <v>3035.1655965536761</v>
      </c>
      <c r="BL16" s="603">
        <f>BL108</f>
        <v>5442.8549060992118</v>
      </c>
      <c r="BP16" s="179"/>
      <c r="BQ16" s="11">
        <f>BQ108</f>
        <v>2680.4373291832931</v>
      </c>
      <c r="BR16" s="11">
        <f>BR108</f>
        <v>3143.7212751630623</v>
      </c>
      <c r="BT16" s="603">
        <f>BT108</f>
        <v>5824.1586043463549</v>
      </c>
      <c r="BX16" s="179"/>
      <c r="BY16" s="11">
        <f>BY108</f>
        <v>2944.1754951447538</v>
      </c>
      <c r="BZ16" s="11">
        <f>BZ108</f>
        <v>3177.8259387574576</v>
      </c>
      <c r="CB16" s="603">
        <f>CB108</f>
        <v>6122.0014339022109</v>
      </c>
      <c r="CF16" s="179"/>
      <c r="CG16" s="11">
        <f>CG108</f>
        <v>2973.8956798703443</v>
      </c>
      <c r="CH16" s="11">
        <f>CH108</f>
        <v>3335.4946613849838</v>
      </c>
      <c r="CJ16" s="603">
        <f>CJ108</f>
        <v>6309.3903412553282</v>
      </c>
    </row>
    <row r="17" spans="1:89" x14ac:dyDescent="0.2">
      <c r="A17" s="584" t="s">
        <v>724</v>
      </c>
      <c r="B17" s="284"/>
      <c r="C17" s="186"/>
      <c r="D17" s="186"/>
      <c r="E17" s="186"/>
      <c r="F17" s="186"/>
      <c r="G17" s="186"/>
      <c r="H17" s="186"/>
      <c r="I17" s="272"/>
      <c r="J17" s="272"/>
      <c r="K17" s="272"/>
      <c r="L17" s="272"/>
      <c r="M17" s="272"/>
      <c r="N17" s="4">
        <f t="shared" ref="N17:V17" si="56">N221</f>
        <v>183.4425</v>
      </c>
      <c r="O17" s="4">
        <f t="shared" si="56"/>
        <v>169.60580000000002</v>
      </c>
      <c r="P17" s="4">
        <f t="shared" si="56"/>
        <v>154.95149999999998</v>
      </c>
      <c r="Q17" s="4">
        <f t="shared" si="56"/>
        <v>100</v>
      </c>
      <c r="R17" s="604">
        <f t="shared" si="56"/>
        <v>140</v>
      </c>
      <c r="S17" s="4">
        <f>S221</f>
        <v>160.96080000000001</v>
      </c>
      <c r="U17" s="4">
        <f t="shared" si="56"/>
        <v>180.67499999999998</v>
      </c>
      <c r="V17" s="4">
        <f t="shared" si="56"/>
        <v>171.65120000000002</v>
      </c>
      <c r="W17" s="4">
        <f>W221</f>
        <v>154.7312</v>
      </c>
      <c r="X17" s="180">
        <f>X221</f>
        <v>148.2936</v>
      </c>
      <c r="AB17" s="179"/>
      <c r="AC17" s="4">
        <f>AC221</f>
        <v>68.124000000000009</v>
      </c>
      <c r="AD17" s="4">
        <f t="shared" ref="AD17:AD21" si="57">AF17-AC17</f>
        <v>62.511999999999986</v>
      </c>
      <c r="AF17" s="314">
        <f>AF221</f>
        <v>130.636</v>
      </c>
      <c r="AJ17" s="179"/>
      <c r="AK17" s="4">
        <f>AK221</f>
        <v>71.071000000000012</v>
      </c>
      <c r="AL17" s="4">
        <f t="shared" ref="AL17:AL21" si="58">AN17-AK17</f>
        <v>65.448999999999998</v>
      </c>
      <c r="AN17" s="314">
        <f>AN221</f>
        <v>136.52000000000001</v>
      </c>
      <c r="AR17" s="179"/>
      <c r="AS17" s="4">
        <f>AS221</f>
        <v>75.410000000000011</v>
      </c>
      <c r="AT17" s="4">
        <f t="shared" ref="AT17:AT21" si="59">AV17-AS17</f>
        <v>96.938000000000002</v>
      </c>
      <c r="AV17" s="314">
        <f>AV221</f>
        <v>172.34800000000001</v>
      </c>
      <c r="AZ17" s="179"/>
      <c r="BA17" s="4">
        <f>BA221</f>
        <v>91.780000000000015</v>
      </c>
      <c r="BB17" s="11">
        <f>BB221</f>
        <v>106.45937000000002</v>
      </c>
      <c r="BD17" s="603">
        <f>BD221</f>
        <v>198.23937000000004</v>
      </c>
      <c r="BH17" s="179"/>
      <c r="BI17" s="11">
        <f>BI221</f>
        <v>104.57596807499999</v>
      </c>
      <c r="BJ17" s="11">
        <f>BJ221</f>
        <v>104.57596807499999</v>
      </c>
      <c r="BL17" s="603">
        <f>BL221</f>
        <v>209.15193614999998</v>
      </c>
      <c r="BP17" s="179"/>
      <c r="BQ17" s="11">
        <f>BQ221</f>
        <v>110.40191851462501</v>
      </c>
      <c r="BR17" s="11">
        <f>BR221</f>
        <v>110.40191851462501</v>
      </c>
      <c r="BT17" s="603">
        <f>BT221</f>
        <v>220.80383702925002</v>
      </c>
      <c r="BX17" s="179"/>
      <c r="BY17" s="11">
        <f>BY221</f>
        <v>116.62447029390188</v>
      </c>
      <c r="BZ17" s="11">
        <f>BZ221</f>
        <v>116.62447029390188</v>
      </c>
      <c r="CB17" s="603">
        <f>CB221</f>
        <v>233.24894058780376</v>
      </c>
      <c r="CF17" s="179"/>
      <c r="CG17" s="11">
        <f>CG221</f>
        <v>123.27256161443812</v>
      </c>
      <c r="CH17" s="11">
        <f>CH221</f>
        <v>123.27256161443812</v>
      </c>
      <c r="CJ17" s="603">
        <f>CJ221</f>
        <v>246.54512322887624</v>
      </c>
    </row>
    <row r="18" spans="1:89" x14ac:dyDescent="0.2">
      <c r="A18" s="584" t="s">
        <v>725</v>
      </c>
      <c r="B18" s="284"/>
      <c r="C18" s="186"/>
      <c r="D18" s="186"/>
      <c r="E18" s="186"/>
      <c r="F18" s="186"/>
      <c r="G18" s="186"/>
      <c r="H18" s="186"/>
      <c r="I18" s="272"/>
      <c r="J18" s="272"/>
      <c r="K18" s="272"/>
      <c r="L18" s="272"/>
      <c r="M18" s="272"/>
      <c r="N18" s="4">
        <f t="shared" ref="N18:S18" si="60">N244</f>
        <v>163.06000000000003</v>
      </c>
      <c r="O18" s="4">
        <f t="shared" si="60"/>
        <v>167.74199999999999</v>
      </c>
      <c r="P18" s="4">
        <f t="shared" si="60"/>
        <v>169.03799999999998</v>
      </c>
      <c r="Q18" s="4">
        <f t="shared" si="60"/>
        <v>175.33799999999997</v>
      </c>
      <c r="R18" s="4">
        <f t="shared" si="60"/>
        <v>175.33799999999997</v>
      </c>
      <c r="S18" s="4">
        <f t="shared" si="60"/>
        <v>160.24653379579701</v>
      </c>
      <c r="U18" s="4">
        <f>U244</f>
        <v>266.19450000000006</v>
      </c>
      <c r="V18" s="4">
        <f>V244</f>
        <v>206.90099999999998</v>
      </c>
      <c r="W18" s="4">
        <f>W244</f>
        <v>208.29200000000006</v>
      </c>
      <c r="X18" s="180">
        <f>X244</f>
        <v>173.00920000000002</v>
      </c>
      <c r="AB18" s="179"/>
      <c r="AC18" s="4">
        <f>AC244</f>
        <v>88.561199999999999</v>
      </c>
      <c r="AD18" s="4">
        <f t="shared" si="57"/>
        <v>68.201999999999984</v>
      </c>
      <c r="AF18" s="314">
        <f>AF244</f>
        <v>156.76319999999998</v>
      </c>
      <c r="AJ18" s="179"/>
      <c r="AK18" s="4">
        <f>AK244</f>
        <v>85.285200000000003</v>
      </c>
      <c r="AL18" s="4">
        <f t="shared" si="58"/>
        <v>94.921199999999999</v>
      </c>
      <c r="AN18" s="314">
        <f>AN244</f>
        <v>180.2064</v>
      </c>
      <c r="AR18" s="179"/>
      <c r="AS18" s="4">
        <f>AS244</f>
        <v>99.541199999999989</v>
      </c>
      <c r="AT18" s="4">
        <f t="shared" si="59"/>
        <v>96.308800000000033</v>
      </c>
      <c r="AV18" s="314">
        <f>AV244</f>
        <v>195.85000000000002</v>
      </c>
      <c r="AZ18" s="179"/>
      <c r="BA18" s="4">
        <f>BA244</f>
        <v>121.14960000000001</v>
      </c>
      <c r="BB18" s="11">
        <f>BB244</f>
        <v>102.90280000000006</v>
      </c>
      <c r="BD18" s="603">
        <f>BD244</f>
        <v>224.05240000000006</v>
      </c>
      <c r="BH18" s="179"/>
      <c r="BI18" s="11">
        <f>BI244</f>
        <v>127.96839000000006</v>
      </c>
      <c r="BJ18" s="11">
        <f>BJ244</f>
        <v>127.96839000000006</v>
      </c>
      <c r="BL18" s="603">
        <f>BL244</f>
        <v>255.93678000000011</v>
      </c>
      <c r="BP18" s="179"/>
      <c r="BQ18" s="11">
        <f>BQ244</f>
        <v>156.40581000000003</v>
      </c>
      <c r="BR18" s="11">
        <f>BR244</f>
        <v>156.40581000000003</v>
      </c>
      <c r="BT18" s="603">
        <f>BT244</f>
        <v>312.81162000000006</v>
      </c>
      <c r="BX18" s="179"/>
      <c r="BY18" s="11">
        <f>BY244</f>
        <v>172.04639100000006</v>
      </c>
      <c r="BZ18" s="11">
        <f>BZ244</f>
        <v>172.04639100000006</v>
      </c>
      <c r="CB18" s="603">
        <f>CB244</f>
        <v>344.09278200000011</v>
      </c>
      <c r="CF18" s="179"/>
      <c r="CG18" s="11">
        <f>CG244</f>
        <v>189.25103010000009</v>
      </c>
      <c r="CH18" s="11">
        <f>CH244</f>
        <v>189.25103010000009</v>
      </c>
      <c r="CJ18" s="603">
        <f>CJ244</f>
        <v>378.50206020000019</v>
      </c>
    </row>
    <row r="19" spans="1:89" x14ac:dyDescent="0.2">
      <c r="A19" s="4" t="s">
        <v>731</v>
      </c>
      <c r="B19" s="284"/>
      <c r="C19" s="186"/>
      <c r="D19" s="186"/>
      <c r="E19" s="186"/>
      <c r="F19" s="186"/>
      <c r="G19" s="186"/>
      <c r="H19" s="186"/>
      <c r="I19" s="272"/>
      <c r="J19" s="272"/>
      <c r="K19" s="272"/>
      <c r="L19" s="272"/>
      <c r="M19" s="272"/>
      <c r="X19" s="180"/>
      <c r="AB19" s="179"/>
      <c r="AC19" s="4">
        <v>0</v>
      </c>
      <c r="AD19" s="4">
        <f t="shared" si="57"/>
        <v>0</v>
      </c>
      <c r="AF19" s="314"/>
      <c r="AJ19" s="179"/>
      <c r="AK19" s="4">
        <v>0</v>
      </c>
      <c r="AL19" s="4">
        <f t="shared" si="58"/>
        <v>-13.333333333333332</v>
      </c>
      <c r="AN19" s="314">
        <f>-40*(1/3)</f>
        <v>-13.333333333333332</v>
      </c>
      <c r="AR19" s="179"/>
      <c r="AS19" s="4">
        <v>0</v>
      </c>
      <c r="AT19" s="4">
        <f t="shared" si="59"/>
        <v>0</v>
      </c>
      <c r="AV19" s="314">
        <v>0</v>
      </c>
      <c r="AZ19" s="179"/>
      <c r="BA19" s="11">
        <f>BD19/2</f>
        <v>0</v>
      </c>
      <c r="BB19" s="11">
        <f>BD19-BA19</f>
        <v>0</v>
      </c>
      <c r="BD19" s="605">
        <f>0*(1/3)</f>
        <v>0</v>
      </c>
      <c r="BH19" s="179"/>
      <c r="BI19" s="11">
        <f>BL19/2</f>
        <v>3.333333333333333</v>
      </c>
      <c r="BJ19" s="11">
        <f>BL19-BI19</f>
        <v>3.333333333333333</v>
      </c>
      <c r="BL19" s="605">
        <f>20*(1/3)</f>
        <v>6.6666666666666661</v>
      </c>
      <c r="BP19" s="179"/>
      <c r="BQ19" s="11">
        <f>BT19/2</f>
        <v>6.6666666666666661</v>
      </c>
      <c r="BR19" s="11">
        <f>BT19-BQ19</f>
        <v>6.6666666666666661</v>
      </c>
      <c r="BT19" s="605">
        <f>40*(1/3)</f>
        <v>13.333333333333332</v>
      </c>
      <c r="BX19" s="179"/>
      <c r="BY19" s="11">
        <f>CB19/2</f>
        <v>10</v>
      </c>
      <c r="BZ19" s="11">
        <f>CB19-BY19</f>
        <v>10</v>
      </c>
      <c r="CB19" s="605">
        <f>60*(1/3)</f>
        <v>20</v>
      </c>
      <c r="CF19" s="179"/>
      <c r="CG19" s="11">
        <f>CJ19/2</f>
        <v>13.333333333333332</v>
      </c>
      <c r="CH19" s="11">
        <f>CJ19-CG19</f>
        <v>13.333333333333332</v>
      </c>
      <c r="CJ19" s="605">
        <f>80*(1/3)</f>
        <v>26.666666666666664</v>
      </c>
    </row>
    <row r="20" spans="1:89" hidden="1" outlineLevel="1" x14ac:dyDescent="0.2">
      <c r="A20" s="4" t="s">
        <v>726</v>
      </c>
      <c r="B20" s="284"/>
      <c r="C20" s="186"/>
      <c r="D20" s="186"/>
      <c r="E20" s="186"/>
      <c r="F20" s="186"/>
      <c r="G20" s="186"/>
      <c r="H20" s="186"/>
      <c r="I20" s="272"/>
      <c r="J20" s="272"/>
      <c r="K20" s="272"/>
      <c r="L20" s="272"/>
      <c r="M20" s="272"/>
      <c r="N20" s="4">
        <f>N300</f>
        <v>36.688499999999998</v>
      </c>
      <c r="O20" s="4">
        <f>O300</f>
        <v>37.276000000000003</v>
      </c>
      <c r="P20" s="4">
        <f>P300</f>
        <v>38</v>
      </c>
      <c r="Q20" s="4">
        <f>Q300</f>
        <v>86</v>
      </c>
      <c r="R20" s="4">
        <f>+R300</f>
        <v>86</v>
      </c>
      <c r="S20" s="4">
        <f>S300</f>
        <v>83</v>
      </c>
      <c r="U20" s="4">
        <f>U300</f>
        <v>69</v>
      </c>
      <c r="V20" s="4">
        <f>V300</f>
        <v>-33</v>
      </c>
      <c r="W20" s="4">
        <f>W300</f>
        <v>-47</v>
      </c>
      <c r="X20" s="180">
        <f>X300</f>
        <v>-10</v>
      </c>
      <c r="AB20" s="179"/>
      <c r="AC20" s="4">
        <f>AC300</f>
        <v>0</v>
      </c>
      <c r="AD20" s="4">
        <f t="shared" si="57"/>
        <v>0</v>
      </c>
      <c r="AF20" s="314">
        <f>AF300</f>
        <v>0</v>
      </c>
      <c r="AJ20" s="179"/>
      <c r="AK20" s="4">
        <f>AK300</f>
        <v>0</v>
      </c>
      <c r="AL20" s="4">
        <f t="shared" si="58"/>
        <v>0</v>
      </c>
      <c r="AN20" s="314">
        <f>AN300</f>
        <v>0</v>
      </c>
      <c r="AR20" s="179"/>
      <c r="AS20" s="4">
        <f>AS300</f>
        <v>0</v>
      </c>
      <c r="AT20" s="4">
        <f t="shared" si="59"/>
        <v>0</v>
      </c>
      <c r="AV20" s="314">
        <f>AV300</f>
        <v>0</v>
      </c>
      <c r="AZ20" s="179"/>
      <c r="BA20" s="4">
        <f>BA300</f>
        <v>0</v>
      </c>
      <c r="BB20" s="11">
        <f>BB300</f>
        <v>0</v>
      </c>
      <c r="BD20" s="603">
        <f>BD300</f>
        <v>0</v>
      </c>
      <c r="BH20" s="179"/>
      <c r="BI20" s="11">
        <f>BI300</f>
        <v>0</v>
      </c>
      <c r="BJ20" s="11">
        <f>BJ300</f>
        <v>0</v>
      </c>
      <c r="BL20" s="603">
        <f>BL300</f>
        <v>0</v>
      </c>
      <c r="BP20" s="179"/>
      <c r="BQ20" s="11">
        <f>BQ300</f>
        <v>0</v>
      </c>
      <c r="BR20" s="11">
        <f>BR300</f>
        <v>0</v>
      </c>
      <c r="BT20" s="603">
        <f>BT300</f>
        <v>0</v>
      </c>
      <c r="BX20" s="179"/>
      <c r="BY20" s="11">
        <f>BY300</f>
        <v>0</v>
      </c>
      <c r="BZ20" s="11">
        <f>BZ300</f>
        <v>0</v>
      </c>
      <c r="CB20" s="603">
        <f>CB300</f>
        <v>0</v>
      </c>
      <c r="CF20" s="179"/>
      <c r="CG20" s="11">
        <f>CG300</f>
        <v>0</v>
      </c>
      <c r="CH20" s="11">
        <f>CH300</f>
        <v>0</v>
      </c>
      <c r="CJ20" s="603">
        <f>CJ300</f>
        <v>0</v>
      </c>
    </row>
    <row r="21" spans="1:89" collapsed="1" x14ac:dyDescent="0.2">
      <c r="A21" s="4" t="s">
        <v>377</v>
      </c>
      <c r="B21" s="284"/>
      <c r="C21" s="606"/>
      <c r="D21" s="433"/>
      <c r="E21" s="433"/>
      <c r="F21" s="433"/>
      <c r="G21" s="433"/>
      <c r="H21" s="433"/>
      <c r="I21" s="560"/>
      <c r="J21" s="560"/>
      <c r="K21" s="560"/>
      <c r="L21" s="560"/>
      <c r="M21" s="560"/>
      <c r="N21" s="4">
        <f t="shared" ref="N21:S21" si="61">-N54</f>
        <v>-361</v>
      </c>
      <c r="O21" s="4">
        <f t="shared" si="61"/>
        <v>-452</v>
      </c>
      <c r="P21" s="4">
        <f t="shared" si="61"/>
        <v>-498</v>
      </c>
      <c r="Q21" s="4">
        <f t="shared" si="61"/>
        <v>-515</v>
      </c>
      <c r="R21" s="4">
        <f t="shared" si="61"/>
        <v>-515</v>
      </c>
      <c r="S21" s="4">
        <f t="shared" si="61"/>
        <v>-377</v>
      </c>
      <c r="U21" s="4">
        <f>-U54</f>
        <v>-412</v>
      </c>
      <c r="V21" s="4">
        <f>-V54</f>
        <v>-215</v>
      </c>
      <c r="W21" s="4">
        <f>-W54</f>
        <v>-231</v>
      </c>
      <c r="X21" s="180">
        <f>-X54</f>
        <v>-308</v>
      </c>
      <c r="AB21" s="179"/>
      <c r="AC21" s="4">
        <f>-AC54</f>
        <v>-165</v>
      </c>
      <c r="AD21" s="4">
        <f t="shared" si="57"/>
        <v>-242</v>
      </c>
      <c r="AF21" s="314">
        <f>-AF54</f>
        <v>-407</v>
      </c>
      <c r="AJ21" s="179"/>
      <c r="AK21" s="4">
        <f>-AK54</f>
        <v>-214</v>
      </c>
      <c r="AL21" s="4">
        <f t="shared" si="58"/>
        <v>-246</v>
      </c>
      <c r="AN21" s="314">
        <f>-AN54</f>
        <v>-460</v>
      </c>
      <c r="AR21" s="179"/>
      <c r="AS21" s="4">
        <f>-AS54</f>
        <v>-202</v>
      </c>
      <c r="AT21" s="4">
        <f t="shared" si="59"/>
        <v>-299</v>
      </c>
      <c r="AV21" s="314">
        <f>-AV54</f>
        <v>-501</v>
      </c>
      <c r="AZ21" s="179"/>
      <c r="BA21" s="4">
        <f>-BA54</f>
        <v>-264</v>
      </c>
      <c r="BB21" s="11">
        <f>-BB54</f>
        <v>-379.47182395352843</v>
      </c>
      <c r="BD21" s="603">
        <f>-BD54</f>
        <v>-643.47182395352843</v>
      </c>
      <c r="BH21" s="179"/>
      <c r="BI21" s="11">
        <f>-BI54</f>
        <v>-318.82847287010628</v>
      </c>
      <c r="BJ21" s="11">
        <f>-BJ54</f>
        <v>-391.60189851878062</v>
      </c>
      <c r="BL21" s="603">
        <f>-BL54</f>
        <v>-710.4303713888869</v>
      </c>
      <c r="BP21" s="179"/>
      <c r="BQ21" s="11">
        <f>-BQ54</f>
        <v>-353.33264267989506</v>
      </c>
      <c r="BR21" s="11">
        <f>-BR54</f>
        <v>-429.46477248564764</v>
      </c>
      <c r="BT21" s="603">
        <f>-BT54</f>
        <v>-782.7974151655427</v>
      </c>
      <c r="BX21" s="179"/>
      <c r="BY21" s="11">
        <f>-BY54</f>
        <v>-376.22086039908862</v>
      </c>
      <c r="BZ21" s="11">
        <f>-BZ54</f>
        <v>-455.80112724829479</v>
      </c>
      <c r="CB21" s="603">
        <f>-CB54</f>
        <v>-832.0219876473833</v>
      </c>
      <c r="CF21" s="179"/>
      <c r="CG21" s="11">
        <f>-CG54</f>
        <v>-382.12641799691596</v>
      </c>
      <c r="CH21" s="11">
        <f>-CH54</f>
        <v>-461.81172557991056</v>
      </c>
      <c r="CJ21" s="603">
        <f>-CJ54</f>
        <v>-843.93814357682652</v>
      </c>
    </row>
    <row r="22" spans="1:89" x14ac:dyDescent="0.2">
      <c r="A22" s="186" t="s">
        <v>732</v>
      </c>
      <c r="B22" s="180"/>
      <c r="D22" s="186">
        <f>Divisional!B38</f>
        <v>392</v>
      </c>
      <c r="E22" s="186">
        <f>Divisional!C38</f>
        <v>456</v>
      </c>
      <c r="F22" s="186">
        <f>Divisional!D38</f>
        <v>577</v>
      </c>
      <c r="G22" s="186">
        <f>Divisional!E38</f>
        <v>636</v>
      </c>
      <c r="H22" s="186">
        <f>Divisional!F38</f>
        <v>594</v>
      </c>
      <c r="I22" s="186">
        <f>Divisional!G38</f>
        <v>628</v>
      </c>
      <c r="J22" s="186">
        <f>Divisional!H38</f>
        <v>663</v>
      </c>
      <c r="K22" s="186">
        <f>Divisional!I38</f>
        <v>909</v>
      </c>
      <c r="L22" s="141">
        <f>Divisional!J38</f>
        <v>1076</v>
      </c>
      <c r="M22" s="141">
        <f>Divisional!K38</f>
        <v>1358</v>
      </c>
      <c r="N22" s="138">
        <f>Divisional!L38</f>
        <v>1633</v>
      </c>
      <c r="O22" s="138">
        <f>Divisional!M38</f>
        <v>1833</v>
      </c>
      <c r="P22" s="138">
        <f>Divisional!N38</f>
        <v>1786</v>
      </c>
      <c r="Q22" s="138">
        <f>Divisional!O38</f>
        <v>1729</v>
      </c>
      <c r="R22" s="138">
        <f>Divisional!P38</f>
        <v>1516</v>
      </c>
      <c r="S22" s="138">
        <f>Divisional!Q38</f>
        <v>1929</v>
      </c>
      <c r="T22" s="138">
        <f>Divisional!R38</f>
        <v>2030</v>
      </c>
      <c r="U22" s="138">
        <f>Divisional!S38</f>
        <v>2485</v>
      </c>
      <c r="V22" s="138">
        <f>Divisional!T38</f>
        <v>1192</v>
      </c>
      <c r="W22" s="138">
        <f>Divisional!U38</f>
        <v>1342</v>
      </c>
      <c r="X22" s="154">
        <f>Divisional!V38</f>
        <v>1710</v>
      </c>
      <c r="Y22" s="138"/>
      <c r="Z22" s="138"/>
      <c r="AA22" s="138"/>
      <c r="AB22" s="607"/>
      <c r="AC22" s="138">
        <v>1051</v>
      </c>
      <c r="AD22" s="138">
        <f>SUM(AD16:AD21)</f>
        <v>1339</v>
      </c>
      <c r="AE22" s="138"/>
      <c r="AF22" s="1350">
        <f>Divisional!W38</f>
        <v>2390</v>
      </c>
      <c r="AG22" s="138"/>
      <c r="AH22" s="138"/>
      <c r="AI22" s="138"/>
      <c r="AJ22" s="607"/>
      <c r="AK22" s="138">
        <v>1285</v>
      </c>
      <c r="AL22" s="138">
        <f>SUM(AL16:AL21)</f>
        <v>1534.0000000000002</v>
      </c>
      <c r="AM22" s="138"/>
      <c r="AN22" s="1350">
        <f>Divisional!X38</f>
        <v>2819</v>
      </c>
      <c r="AO22" s="138"/>
      <c r="AP22" s="138"/>
      <c r="AQ22" s="138"/>
      <c r="AR22" s="607"/>
      <c r="AS22" s="138">
        <v>1758</v>
      </c>
      <c r="AT22" s="138">
        <f>SUM(AT16:AT21)</f>
        <v>1842.0000000000005</v>
      </c>
      <c r="AU22" s="138"/>
      <c r="AV22" s="1350">
        <f>Divisional!Y38</f>
        <v>3600</v>
      </c>
      <c r="AW22" s="138"/>
      <c r="AX22" s="138"/>
      <c r="AY22" s="138"/>
      <c r="AZ22" s="607"/>
      <c r="BA22" s="138">
        <v>2253</v>
      </c>
      <c r="BB22" s="112">
        <f>SUM(BB16:BB21)</f>
        <v>2408.5973195821471</v>
      </c>
      <c r="BC22" s="138"/>
      <c r="BD22" s="591">
        <f>SUM(BD16:BD21)</f>
        <v>4661.597319582148</v>
      </c>
      <c r="BE22" s="138"/>
      <c r="BF22" s="138"/>
      <c r="BG22" s="138"/>
      <c r="BH22" s="607"/>
      <c r="BI22" s="112">
        <f>SUM(BI16:BI21)</f>
        <v>2324.738528083763</v>
      </c>
      <c r="BJ22" s="112">
        <f>SUM(BJ16:BJ21)</f>
        <v>2879.4413894432291</v>
      </c>
      <c r="BK22" s="138"/>
      <c r="BL22" s="591">
        <f>SUM(BL16:BL21)</f>
        <v>5204.1799175269916</v>
      </c>
      <c r="BM22" s="138"/>
      <c r="BN22" s="138"/>
      <c r="BO22" s="138"/>
      <c r="BP22" s="607"/>
      <c r="BQ22" s="112">
        <f>SUM(BQ16:BQ21)</f>
        <v>2600.5790816846898</v>
      </c>
      <c r="BR22" s="112">
        <f>SUM(BR16:BR21)</f>
        <v>2987.7308978587062</v>
      </c>
      <c r="BS22" s="138"/>
      <c r="BT22" s="591">
        <f>SUM(BT16:BT21)</f>
        <v>5588.3099795433955</v>
      </c>
      <c r="BU22" s="138"/>
      <c r="BV22" s="138"/>
      <c r="BW22" s="138"/>
      <c r="BX22" s="607"/>
      <c r="BY22" s="112">
        <f>SUM(BY16:BY21)</f>
        <v>2866.6254960395672</v>
      </c>
      <c r="BZ22" s="112">
        <f>SUM(BZ16:BZ21)</f>
        <v>3020.6956728030646</v>
      </c>
      <c r="CA22" s="138"/>
      <c r="CB22" s="591">
        <f>SUM(CB16:CB21)</f>
        <v>5887.3211688426318</v>
      </c>
      <c r="CC22" s="138"/>
      <c r="CD22" s="138"/>
      <c r="CE22" s="138"/>
      <c r="CF22" s="607"/>
      <c r="CG22" s="112">
        <f>SUM(CG16:CG21)</f>
        <v>2917.6261869212003</v>
      </c>
      <c r="CH22" s="112">
        <f>SUM(CH16:CH21)</f>
        <v>3199.5398608528449</v>
      </c>
      <c r="CI22" s="138"/>
      <c r="CJ22" s="591">
        <f>SUM(CJ16:CJ21)</f>
        <v>6117.1660477740452</v>
      </c>
    </row>
    <row r="23" spans="1:89" x14ac:dyDescent="0.2">
      <c r="A23" s="197" t="s">
        <v>461</v>
      </c>
      <c r="B23" s="180"/>
      <c r="D23" s="272">
        <f t="shared" ref="D23:L23" si="62">D22/D77</f>
        <v>9.0845886442641952E-2</v>
      </c>
      <c r="E23" s="272">
        <f t="shared" si="62"/>
        <v>0.10149120854662809</v>
      </c>
      <c r="F23" s="272">
        <f t="shared" si="62"/>
        <v>0.11373940469150404</v>
      </c>
      <c r="G23" s="272">
        <f t="shared" si="62"/>
        <v>0.10748690214635795</v>
      </c>
      <c r="H23" s="272">
        <f t="shared" si="62"/>
        <v>0.1021671826625387</v>
      </c>
      <c r="I23" s="272">
        <f t="shared" si="62"/>
        <v>0.11069980609906575</v>
      </c>
      <c r="J23" s="272">
        <f t="shared" si="62"/>
        <v>0.1183083511777302</v>
      </c>
      <c r="K23" s="272">
        <f t="shared" si="62"/>
        <v>0.14877250409165302</v>
      </c>
      <c r="L23" s="272">
        <f t="shared" si="62"/>
        <v>0.15360456816559601</v>
      </c>
      <c r="M23" s="272">
        <f t="shared" ref="M23:X23" si="63">M22/M9</f>
        <v>0.17894320727368559</v>
      </c>
      <c r="N23" s="272">
        <f t="shared" si="63"/>
        <v>0.2002943701704894</v>
      </c>
      <c r="O23" s="272">
        <f t="shared" si="63"/>
        <v>0.19669492434810601</v>
      </c>
      <c r="P23" s="272">
        <f t="shared" si="63"/>
        <v>0.19018208923437332</v>
      </c>
      <c r="Q23" s="272">
        <f t="shared" si="63"/>
        <v>0.17749717688122368</v>
      </c>
      <c r="R23" s="272">
        <f t="shared" si="63"/>
        <v>0.1620177407288661</v>
      </c>
      <c r="S23" s="272">
        <f t="shared" si="63"/>
        <v>0.18455797933409873</v>
      </c>
      <c r="T23" s="272">
        <f t="shared" si="63"/>
        <v>0.19188959258909161</v>
      </c>
      <c r="U23" s="272">
        <f t="shared" si="63"/>
        <v>0.20630967206309672</v>
      </c>
      <c r="V23" s="272">
        <f t="shared" si="63"/>
        <v>0.15555265561790421</v>
      </c>
      <c r="W23" s="272">
        <f t="shared" si="63"/>
        <v>0.1804005914773491</v>
      </c>
      <c r="X23" s="275">
        <f t="shared" si="63"/>
        <v>0.17988638754470859</v>
      </c>
      <c r="Y23" s="272"/>
      <c r="Z23" s="272"/>
      <c r="AA23" s="272"/>
      <c r="AB23" s="248"/>
      <c r="AC23" s="272">
        <f t="shared" ref="AC23" si="64">AC22/AC9</f>
        <v>0.18513299277787565</v>
      </c>
      <c r="AD23" s="272">
        <f>AD22/AD9</f>
        <v>0.21600258106146153</v>
      </c>
      <c r="AE23" s="272"/>
      <c r="AF23" s="602">
        <f t="shared" ref="AF23" si="65">AF22/AF9</f>
        <v>0.20124621084540248</v>
      </c>
      <c r="AG23" s="272"/>
      <c r="AH23" s="272"/>
      <c r="AI23" s="272"/>
      <c r="AJ23" s="248"/>
      <c r="AK23" s="272">
        <f t="shared" ref="AK23" si="66">AK22/AK9</f>
        <v>0.19888562142083269</v>
      </c>
      <c r="AL23" s="272">
        <f>AL22/AL9</f>
        <v>0.21332220831595053</v>
      </c>
      <c r="AM23" s="272"/>
      <c r="AN23" s="602">
        <f t="shared" ref="AN23" si="67">AN22/AN9</f>
        <v>0.20648989159097569</v>
      </c>
      <c r="AO23" s="272"/>
      <c r="AP23" s="272"/>
      <c r="AQ23" s="272"/>
      <c r="AR23" s="248"/>
      <c r="AS23" s="272">
        <f t="shared" ref="AS23" si="68">AS22/AS9</f>
        <v>0.23312558016178225</v>
      </c>
      <c r="AT23" s="272">
        <f>AT22/AT9</f>
        <v>0.22665190107050573</v>
      </c>
      <c r="AU23" s="272"/>
      <c r="AV23" s="602">
        <f t="shared" ref="AV23" si="69">AV22/AV9</f>
        <v>0.2297676793464386</v>
      </c>
      <c r="AW23" s="272"/>
      <c r="AX23" s="272"/>
      <c r="AY23" s="272"/>
      <c r="AZ23" s="248"/>
      <c r="BA23" s="272">
        <f t="shared" ref="BA23" si="70">BA22/BA9</f>
        <v>0.24547831771627807</v>
      </c>
      <c r="BB23" s="274">
        <f>BB22/BB9</f>
        <v>0.24146121390604466</v>
      </c>
      <c r="BC23" s="272"/>
      <c r="BD23" s="600">
        <f>BD22/BD9</f>
        <v>0.24334267868847131</v>
      </c>
      <c r="BE23" s="272"/>
      <c r="BF23" s="272"/>
      <c r="BG23" s="272"/>
      <c r="BH23" s="248"/>
      <c r="BI23" s="274">
        <f>BI22/BI9</f>
        <v>0.24156473752154506</v>
      </c>
      <c r="BJ23" s="274">
        <f>BJ22/BJ9</f>
        <v>0.24981619344804409</v>
      </c>
      <c r="BK23" s="272"/>
      <c r="BL23" s="600">
        <f>BL22/BL9</f>
        <v>0.24606160185204398</v>
      </c>
      <c r="BM23" s="272"/>
      <c r="BN23" s="272"/>
      <c r="BO23" s="272"/>
      <c r="BP23" s="248"/>
      <c r="BQ23" s="274">
        <f>BQ22/BQ9</f>
        <v>0.24402622367421239</v>
      </c>
      <c r="BR23" s="274">
        <f>BR22/BR9</f>
        <v>0.23623378348878599</v>
      </c>
      <c r="BS23" s="272"/>
      <c r="BT23" s="600">
        <f>BT22/BT9</f>
        <v>0.23979723393706426</v>
      </c>
      <c r="BU23" s="272"/>
      <c r="BV23" s="272"/>
      <c r="BW23" s="272"/>
      <c r="BX23" s="248"/>
      <c r="BY23" s="274">
        <f>BY22/BY9</f>
        <v>0.25268604566772412</v>
      </c>
      <c r="BZ23" s="274">
        <f>BZ22/BZ9</f>
        <v>0.22500286360298158</v>
      </c>
      <c r="CA23" s="272"/>
      <c r="CB23" s="600">
        <f>CB22/CB9</f>
        <v>0.23768183346860294</v>
      </c>
      <c r="CC23" s="272"/>
      <c r="CD23" s="272"/>
      <c r="CE23" s="272"/>
      <c r="CF23" s="248"/>
      <c r="CG23" s="274">
        <f>CG22/CG9</f>
        <v>0.25325262900661227</v>
      </c>
      <c r="CH23" s="274">
        <f>CH22/CH9</f>
        <v>0.23519298394811686</v>
      </c>
      <c r="CI23" s="272"/>
      <c r="CJ23" s="600">
        <f>CJ22/CJ9</f>
        <v>0.2434740708884395</v>
      </c>
      <c r="CK23" s="11" t="s">
        <v>1158</v>
      </c>
    </row>
    <row r="24" spans="1:89" x14ac:dyDescent="0.2">
      <c r="B24" s="180"/>
      <c r="E24" s="580"/>
      <c r="F24" s="141"/>
      <c r="G24" s="580"/>
      <c r="H24" s="580"/>
      <c r="I24" s="580"/>
      <c r="J24" s="580"/>
      <c r="K24" s="580"/>
      <c r="L24" s="580"/>
      <c r="M24" s="580"/>
      <c r="N24" s="580"/>
      <c r="Q24" s="197"/>
      <c r="R24" s="197"/>
      <c r="X24" s="180"/>
      <c r="AB24" s="179"/>
      <c r="AF24" s="314"/>
      <c r="AJ24" s="179"/>
      <c r="AN24" s="314"/>
      <c r="AR24" s="179"/>
      <c r="AV24" s="314"/>
      <c r="AZ24" s="179"/>
      <c r="BD24" s="314"/>
      <c r="BH24" s="179"/>
      <c r="BL24" s="314"/>
      <c r="BP24" s="179"/>
      <c r="BT24" s="314"/>
      <c r="BX24" s="179"/>
      <c r="CB24" s="314"/>
      <c r="CF24" s="179"/>
      <c r="CJ24" s="314"/>
    </row>
    <row r="25" spans="1:89" x14ac:dyDescent="0.2">
      <c r="A25" s="4" t="s">
        <v>733</v>
      </c>
      <c r="B25" s="180"/>
      <c r="C25" s="435"/>
      <c r="D25" s="608">
        <v>0</v>
      </c>
      <c r="E25" s="608">
        <v>0</v>
      </c>
      <c r="F25" s="608">
        <v>0</v>
      </c>
      <c r="G25" s="608">
        <v>0</v>
      </c>
      <c r="H25" s="608">
        <v>0</v>
      </c>
      <c r="I25" s="135">
        <v>29</v>
      </c>
      <c r="J25" s="608">
        <v>0</v>
      </c>
      <c r="K25" s="608">
        <v>0</v>
      </c>
      <c r="L25" s="608">
        <v>0</v>
      </c>
      <c r="M25" s="608">
        <v>0</v>
      </c>
      <c r="N25" s="608">
        <v>-9</v>
      </c>
      <c r="O25" s="608">
        <v>-619</v>
      </c>
      <c r="P25" s="608">
        <v>3</v>
      </c>
      <c r="Q25" s="608">
        <v>-40</v>
      </c>
      <c r="R25" s="608">
        <f>+Q25</f>
        <v>-40</v>
      </c>
      <c r="S25" s="608">
        <v>-31</v>
      </c>
      <c r="T25" s="608">
        <v>-31</v>
      </c>
      <c r="U25" s="608">
        <v>-7</v>
      </c>
      <c r="V25" s="608">
        <v>-157</v>
      </c>
      <c r="W25" s="608">
        <v>-310</v>
      </c>
      <c r="X25" s="609">
        <v>-144</v>
      </c>
      <c r="Y25" s="608"/>
      <c r="Z25" s="608"/>
      <c r="AA25" s="608"/>
      <c r="AB25" s="610"/>
      <c r="AC25" s="608">
        <v>-5</v>
      </c>
      <c r="AD25" s="608">
        <f>AF25-AC25</f>
        <v>-47</v>
      </c>
      <c r="AE25" s="608"/>
      <c r="AF25" s="1352">
        <v>-52</v>
      </c>
      <c r="AG25" s="608"/>
      <c r="AH25" s="608"/>
      <c r="AI25" s="608"/>
      <c r="AJ25" s="610"/>
      <c r="AK25" s="608">
        <v>1</v>
      </c>
      <c r="AL25" s="608">
        <f>AN25-AK25</f>
        <v>-27</v>
      </c>
      <c r="AM25" s="608"/>
      <c r="AN25" s="1352">
        <v>-26</v>
      </c>
      <c r="AO25" s="608"/>
      <c r="AP25" s="608"/>
      <c r="AQ25" s="608"/>
      <c r="AR25" s="610"/>
      <c r="AS25" s="608">
        <v>0</v>
      </c>
      <c r="AT25" s="608">
        <f>AV25-AS25</f>
        <v>-37</v>
      </c>
      <c r="AU25" s="608"/>
      <c r="AV25" s="1352">
        <v>-37</v>
      </c>
      <c r="AW25" s="608"/>
      <c r="AX25" s="608"/>
      <c r="AY25" s="608"/>
      <c r="AZ25" s="610"/>
      <c r="BA25" s="608">
        <v>-134</v>
      </c>
      <c r="BB25" s="611">
        <f>BD25-BA25</f>
        <v>0</v>
      </c>
      <c r="BC25" s="608"/>
      <c r="BD25" s="612">
        <v>-134</v>
      </c>
      <c r="BE25" s="608"/>
      <c r="BF25" s="608"/>
      <c r="BG25" s="608"/>
      <c r="BH25" s="610"/>
      <c r="BI25" s="611">
        <f>BL25/2</f>
        <v>0</v>
      </c>
      <c r="BJ25" s="611">
        <f>BL25-BI25</f>
        <v>0</v>
      </c>
      <c r="BK25" s="608"/>
      <c r="BL25" s="612">
        <v>0</v>
      </c>
      <c r="BM25" s="608"/>
      <c r="BN25" s="608"/>
      <c r="BO25" s="608"/>
      <c r="BP25" s="610"/>
      <c r="BQ25" s="611">
        <f>BT25/2</f>
        <v>0</v>
      </c>
      <c r="BR25" s="611">
        <f>BT25-BQ25</f>
        <v>0</v>
      </c>
      <c r="BS25" s="608"/>
      <c r="BT25" s="612">
        <v>0</v>
      </c>
      <c r="BU25" s="608"/>
      <c r="BV25" s="608"/>
      <c r="BW25" s="608"/>
      <c r="BX25" s="610"/>
      <c r="BY25" s="611">
        <f>CB25/2</f>
        <v>0</v>
      </c>
      <c r="BZ25" s="611">
        <f>CB25-BY25</f>
        <v>0</v>
      </c>
      <c r="CA25" s="608"/>
      <c r="CB25" s="612">
        <v>0</v>
      </c>
      <c r="CC25" s="608"/>
      <c r="CD25" s="608"/>
      <c r="CE25" s="608"/>
      <c r="CF25" s="610"/>
      <c r="CG25" s="611">
        <f>CJ25/2</f>
        <v>0</v>
      </c>
      <c r="CH25" s="611">
        <f>CJ25-CG25</f>
        <v>0</v>
      </c>
      <c r="CI25" s="608"/>
      <c r="CJ25" s="612">
        <v>0</v>
      </c>
    </row>
    <row r="26" spans="1:89" x14ac:dyDescent="0.2">
      <c r="A26" s="4" t="s">
        <v>734</v>
      </c>
      <c r="B26" s="180"/>
      <c r="D26" s="49">
        <f t="shared" ref="D26:V26" si="71">D25+D22</f>
        <v>392</v>
      </c>
      <c r="E26" s="49">
        <f t="shared" si="71"/>
        <v>456</v>
      </c>
      <c r="F26" s="49">
        <f t="shared" si="71"/>
        <v>577</v>
      </c>
      <c r="G26" s="49">
        <f t="shared" si="71"/>
        <v>636</v>
      </c>
      <c r="H26" s="49">
        <f t="shared" si="71"/>
        <v>594</v>
      </c>
      <c r="I26" s="49">
        <f t="shared" si="71"/>
        <v>657</v>
      </c>
      <c r="J26" s="49">
        <f t="shared" si="71"/>
        <v>663</v>
      </c>
      <c r="K26" s="49">
        <f t="shared" si="71"/>
        <v>909</v>
      </c>
      <c r="L26" s="49">
        <f t="shared" si="71"/>
        <v>1076</v>
      </c>
      <c r="M26" s="49">
        <f t="shared" si="71"/>
        <v>1358</v>
      </c>
      <c r="N26" s="49">
        <f t="shared" si="71"/>
        <v>1624</v>
      </c>
      <c r="O26" s="49">
        <f t="shared" si="71"/>
        <v>1214</v>
      </c>
      <c r="P26" s="49">
        <f t="shared" si="71"/>
        <v>1789</v>
      </c>
      <c r="Q26" s="49">
        <f t="shared" si="71"/>
        <v>1689</v>
      </c>
      <c r="R26" s="49">
        <f t="shared" si="71"/>
        <v>1476</v>
      </c>
      <c r="S26" s="49">
        <f>S25+S22</f>
        <v>1898</v>
      </c>
      <c r="T26" s="49">
        <f>T25+T22</f>
        <v>1999</v>
      </c>
      <c r="U26" s="49">
        <f>U25+U22</f>
        <v>2478</v>
      </c>
      <c r="V26" s="49">
        <f t="shared" si="71"/>
        <v>1035</v>
      </c>
      <c r="W26" s="49">
        <f>W25+W22</f>
        <v>1032</v>
      </c>
      <c r="X26" s="613">
        <f>X25+X22</f>
        <v>1566</v>
      </c>
      <c r="Y26" s="49"/>
      <c r="Z26" s="49"/>
      <c r="AA26" s="49"/>
      <c r="AB26" s="614"/>
      <c r="AC26" s="49">
        <f>AC25+AC22</f>
        <v>1046</v>
      </c>
      <c r="AD26" s="49">
        <f>AD25+AD22</f>
        <v>1292</v>
      </c>
      <c r="AE26" s="49"/>
      <c r="AF26" s="832">
        <f>AF25+AF22</f>
        <v>2338</v>
      </c>
      <c r="AG26" s="49"/>
      <c r="AH26" s="49"/>
      <c r="AI26" s="49"/>
      <c r="AJ26" s="614"/>
      <c r="AK26" s="49">
        <f>AK25+AK22</f>
        <v>1286</v>
      </c>
      <c r="AL26" s="49">
        <f>AL25+AL22</f>
        <v>1507.0000000000002</v>
      </c>
      <c r="AM26" s="49"/>
      <c r="AN26" s="832">
        <f>AN25+AN22</f>
        <v>2793</v>
      </c>
      <c r="AO26" s="49"/>
      <c r="AP26" s="49"/>
      <c r="AQ26" s="49"/>
      <c r="AR26" s="614"/>
      <c r="AS26" s="49">
        <f>AS25+AS22</f>
        <v>1758</v>
      </c>
      <c r="AT26" s="49">
        <f>AT25+AT22</f>
        <v>1805.0000000000005</v>
      </c>
      <c r="AU26" s="49"/>
      <c r="AV26" s="832">
        <f>AV25+AV22</f>
        <v>3563</v>
      </c>
      <c r="AW26" s="49"/>
      <c r="AX26" s="49"/>
      <c r="AY26" s="49"/>
      <c r="AZ26" s="614"/>
      <c r="BA26" s="49">
        <f>BA25+BA22</f>
        <v>2119</v>
      </c>
      <c r="BB26" s="146">
        <f>BB25+BB22</f>
        <v>2408.5973195821471</v>
      </c>
      <c r="BC26" s="49"/>
      <c r="BD26" s="615">
        <f>BD25+BD22</f>
        <v>4527.597319582148</v>
      </c>
      <c r="BE26" s="49"/>
      <c r="BF26" s="49"/>
      <c r="BG26" s="49"/>
      <c r="BH26" s="614"/>
      <c r="BI26" s="146">
        <f>BI25+BI22</f>
        <v>2324.738528083763</v>
      </c>
      <c r="BJ26" s="146">
        <f>BJ25+BJ22</f>
        <v>2879.4413894432291</v>
      </c>
      <c r="BK26" s="49"/>
      <c r="BL26" s="615">
        <f>BL25+BL22</f>
        <v>5204.1799175269916</v>
      </c>
      <c r="BM26" s="49"/>
      <c r="BN26" s="49"/>
      <c r="BO26" s="49"/>
      <c r="BP26" s="614"/>
      <c r="BQ26" s="146">
        <f>BQ25+BQ22</f>
        <v>2600.5790816846898</v>
      </c>
      <c r="BR26" s="146">
        <f>BR25+BR22</f>
        <v>2987.7308978587062</v>
      </c>
      <c r="BS26" s="49"/>
      <c r="BT26" s="615">
        <f>BT25+BT22</f>
        <v>5588.3099795433955</v>
      </c>
      <c r="BU26" s="49"/>
      <c r="BV26" s="49"/>
      <c r="BW26" s="49"/>
      <c r="BX26" s="614"/>
      <c r="BY26" s="146">
        <f>BY25+BY22</f>
        <v>2866.6254960395672</v>
      </c>
      <c r="BZ26" s="146">
        <f>BZ25+BZ22</f>
        <v>3020.6956728030646</v>
      </c>
      <c r="CA26" s="49"/>
      <c r="CB26" s="615">
        <f>CB25+CB22</f>
        <v>5887.3211688426318</v>
      </c>
      <c r="CC26" s="49"/>
      <c r="CD26" s="49"/>
      <c r="CE26" s="49"/>
      <c r="CF26" s="614"/>
      <c r="CG26" s="146">
        <f>CG25+CG22</f>
        <v>2917.6261869212003</v>
      </c>
      <c r="CH26" s="146">
        <f>CH25+CH22</f>
        <v>3199.5398608528449</v>
      </c>
      <c r="CI26" s="49"/>
      <c r="CJ26" s="615">
        <f>CJ25+CJ22</f>
        <v>6117.1660477740452</v>
      </c>
    </row>
    <row r="27" spans="1:89" x14ac:dyDescent="0.2">
      <c r="B27" s="180"/>
      <c r="E27" s="580"/>
      <c r="F27" s="141"/>
      <c r="G27" s="580"/>
      <c r="H27" s="580"/>
      <c r="I27" s="580"/>
      <c r="J27" s="580"/>
      <c r="K27" s="580"/>
      <c r="L27" s="580"/>
      <c r="M27" s="580"/>
      <c r="N27" s="580"/>
      <c r="X27" s="180"/>
      <c r="AB27" s="179"/>
      <c r="AF27" s="314"/>
      <c r="AJ27" s="179"/>
      <c r="AN27" s="314"/>
      <c r="AR27" s="179"/>
      <c r="AV27" s="314"/>
      <c r="AZ27" s="179"/>
      <c r="BD27" s="314"/>
      <c r="BH27" s="179"/>
      <c r="BL27" s="314"/>
      <c r="BP27" s="179"/>
      <c r="BT27" s="314"/>
      <c r="BX27" s="179"/>
      <c r="CB27" s="314"/>
      <c r="CF27" s="179"/>
      <c r="CJ27" s="314"/>
    </row>
    <row r="28" spans="1:89" x14ac:dyDescent="0.2">
      <c r="A28" s="616" t="s">
        <v>388</v>
      </c>
      <c r="B28" s="180"/>
      <c r="E28" s="186">
        <f>Divisional!C107</f>
        <v>230</v>
      </c>
      <c r="F28" s="186">
        <f>Divisional!D107</f>
        <v>287</v>
      </c>
      <c r="G28" s="186">
        <f>Divisional!E107</f>
        <v>454</v>
      </c>
      <c r="H28" s="186">
        <f>Divisional!F107</f>
        <v>214</v>
      </c>
      <c r="I28" s="186">
        <f>Divisional!G107</f>
        <v>172</v>
      </c>
      <c r="J28" s="451">
        <f>Divisional!H107</f>
        <v>154</v>
      </c>
      <c r="K28" s="451">
        <f>Divisional!I107</f>
        <v>130</v>
      </c>
      <c r="L28" s="141">
        <f>Divisional!J107</f>
        <v>285</v>
      </c>
      <c r="M28" s="141">
        <f>Divisional!K107</f>
        <v>217</v>
      </c>
      <c r="N28" s="141">
        <f>Divisional!L107</f>
        <v>338</v>
      </c>
      <c r="O28" s="141">
        <f>Divisional!M107</f>
        <v>372</v>
      </c>
      <c r="P28" s="141">
        <f>Divisional!N107</f>
        <v>248</v>
      </c>
      <c r="Q28" s="141">
        <f>Divisional!O107</f>
        <v>639</v>
      </c>
      <c r="R28" s="141">
        <f>Divisional!P107</f>
        <v>583</v>
      </c>
      <c r="S28" s="141">
        <f>Divisional!Q107</f>
        <v>413</v>
      </c>
      <c r="T28" s="141">
        <f>Divisional!R107</f>
        <v>454</v>
      </c>
      <c r="U28" s="141">
        <f>Divisional!S107</f>
        <v>709</v>
      </c>
      <c r="V28" s="141">
        <f>Divisional!T107</f>
        <v>390</v>
      </c>
      <c r="W28" s="141">
        <f>Divisional!U107</f>
        <v>548</v>
      </c>
      <c r="X28" s="144">
        <f>Divisional!V107</f>
        <v>385</v>
      </c>
      <c r="Y28" s="141"/>
      <c r="Z28" s="141"/>
      <c r="AA28" s="141"/>
      <c r="AB28" s="617"/>
      <c r="AC28" s="141">
        <f>653-'Equipment &amp; Defense'!AA27-Interiors!L26</f>
        <v>407.29500000000002</v>
      </c>
      <c r="AD28" s="141">
        <f>AF28-AC28</f>
        <v>-46.295000000000016</v>
      </c>
      <c r="AE28" s="141"/>
      <c r="AF28" s="1353">
        <f>Divisional!W107</f>
        <v>361</v>
      </c>
      <c r="AG28" s="141"/>
      <c r="AH28" s="141"/>
      <c r="AI28" s="141"/>
      <c r="AJ28" s="617"/>
      <c r="AK28" s="141">
        <f>692-'Equipment &amp; Defense'!AI27-Interiors!T26</f>
        <v>362.95</v>
      </c>
      <c r="AL28" s="141">
        <f>AN28-AK28</f>
        <v>245.05</v>
      </c>
      <c r="AM28" s="141"/>
      <c r="AN28" s="1353">
        <f>Divisional!X107</f>
        <v>608</v>
      </c>
      <c r="AO28" s="141"/>
      <c r="AP28" s="141"/>
      <c r="AQ28" s="141"/>
      <c r="AR28" s="617"/>
      <c r="AS28" s="141">
        <f>719-'Equipment &amp; Defense'!AQ27-Interiors!AB26</f>
        <v>357.75</v>
      </c>
      <c r="AT28" s="141">
        <f>AV28-AS28</f>
        <v>109.25</v>
      </c>
      <c r="AU28" s="141"/>
      <c r="AV28" s="1353">
        <f>Divisional!Y107</f>
        <v>467</v>
      </c>
      <c r="AW28" s="141"/>
      <c r="AX28" s="141"/>
      <c r="AY28" s="141"/>
      <c r="AZ28" s="617"/>
      <c r="BA28" s="141">
        <f>835-'Equipment &amp; Defense'!AY27-Interiors!AJ26</f>
        <v>534.21499999999992</v>
      </c>
      <c r="BB28" s="149">
        <f>BD28-BA28</f>
        <v>232.04554167011986</v>
      </c>
      <c r="BC28" s="141"/>
      <c r="BD28" s="618">
        <f>BD29*BD9</f>
        <v>766.26054167011978</v>
      </c>
      <c r="BE28" s="141"/>
      <c r="BF28" s="141"/>
      <c r="BG28" s="141"/>
      <c r="BH28" s="617"/>
      <c r="BI28" s="149">
        <f>BI29*BI9</f>
        <v>384.94666927558836</v>
      </c>
      <c r="BJ28" s="149">
        <f>BL28-BI28</f>
        <v>461.04959805851576</v>
      </c>
      <c r="BK28" s="141"/>
      <c r="BL28" s="618">
        <f>BL29*BL9</f>
        <v>845.99626733410412</v>
      </c>
      <c r="BM28" s="141"/>
      <c r="BN28" s="141"/>
      <c r="BO28" s="141"/>
      <c r="BP28" s="617"/>
      <c r="BQ28" s="149">
        <f>BQ29*BQ9</f>
        <v>426.27862571960253</v>
      </c>
      <c r="BR28" s="149">
        <f>BT28-BQ28</f>
        <v>505.89392486287335</v>
      </c>
      <c r="BS28" s="141"/>
      <c r="BT28" s="618">
        <f>BT29*BT9</f>
        <v>932.17255058247588</v>
      </c>
      <c r="BU28" s="141"/>
      <c r="BV28" s="141"/>
      <c r="BW28" s="141"/>
      <c r="BX28" s="617"/>
      <c r="BY28" s="149">
        <f>BY29*BY9</f>
        <v>453.78453542450194</v>
      </c>
      <c r="BZ28" s="149">
        <f>CB28-BY28</f>
        <v>537.00572951517483</v>
      </c>
      <c r="CA28" s="141"/>
      <c r="CB28" s="618">
        <f>CB29*CB9</f>
        <v>990.79026493967683</v>
      </c>
      <c r="CC28" s="141"/>
      <c r="CD28" s="141"/>
      <c r="CE28" s="141"/>
      <c r="CF28" s="617"/>
      <c r="CG28" s="149">
        <f>CG29*CG9</f>
        <v>460.82462375464979</v>
      </c>
      <c r="CH28" s="149">
        <f>CJ28-CG28</f>
        <v>544.15566436431754</v>
      </c>
      <c r="CI28" s="141"/>
      <c r="CJ28" s="618">
        <f>CJ29*CJ9</f>
        <v>1004.9802881189673</v>
      </c>
    </row>
    <row r="29" spans="1:89" x14ac:dyDescent="0.2">
      <c r="A29" s="619" t="s">
        <v>735</v>
      </c>
      <c r="B29" s="180"/>
      <c r="D29" s="197"/>
      <c r="E29" s="272">
        <f t="shared" ref="E29:R29" si="72">E28/E77</f>
        <v>5.119074115290452E-2</v>
      </c>
      <c r="F29" s="272">
        <f t="shared" si="72"/>
        <v>5.6574019317957816E-2</v>
      </c>
      <c r="G29" s="272">
        <f t="shared" si="72"/>
        <v>7.6728071657934771E-2</v>
      </c>
      <c r="H29" s="272">
        <f t="shared" si="72"/>
        <v>3.6807705538355696E-2</v>
      </c>
      <c r="I29" s="272">
        <f t="shared" si="72"/>
        <v>3.0319055173629473E-2</v>
      </c>
      <c r="J29" s="272">
        <f t="shared" si="72"/>
        <v>2.7480371163454677E-2</v>
      </c>
      <c r="K29" s="272">
        <f t="shared" si="72"/>
        <v>2.1276595744680851E-2</v>
      </c>
      <c r="L29" s="272">
        <f t="shared" si="72"/>
        <v>4.068522483940043E-2</v>
      </c>
      <c r="M29" s="272">
        <f t="shared" si="72"/>
        <v>2.8594017657135328E-2</v>
      </c>
      <c r="N29" s="272">
        <f t="shared" si="72"/>
        <v>4.1457132343922481E-2</v>
      </c>
      <c r="O29" s="272">
        <f t="shared" si="72"/>
        <v>3.9918446185213008E-2</v>
      </c>
      <c r="P29" s="272">
        <f t="shared" si="72"/>
        <v>2.6408263230752849E-2</v>
      </c>
      <c r="Q29" s="272">
        <f t="shared" si="72"/>
        <v>6.5599014474899908E-2</v>
      </c>
      <c r="R29" s="272">
        <f t="shared" si="72"/>
        <v>6.230629475259164E-2</v>
      </c>
      <c r="S29" s="272">
        <f t="shared" ref="S29:X29" si="73">S28/S9</f>
        <v>3.9513968618446228E-2</v>
      </c>
      <c r="T29" s="272">
        <f t="shared" si="73"/>
        <v>4.2915209377067776E-2</v>
      </c>
      <c r="U29" s="272">
        <f t="shared" si="73"/>
        <v>5.8862598588625983E-2</v>
      </c>
      <c r="V29" s="272">
        <f t="shared" si="73"/>
        <v>5.0893905781025706E-2</v>
      </c>
      <c r="W29" s="272">
        <f t="shared" si="73"/>
        <v>7.366581529775508E-2</v>
      </c>
      <c r="X29" s="275">
        <f t="shared" si="73"/>
        <v>4.0500736377025039E-2</v>
      </c>
      <c r="Y29" s="272"/>
      <c r="Z29" s="272"/>
      <c r="AA29" s="272"/>
      <c r="AB29" s="248"/>
      <c r="AC29" s="272">
        <f t="shared" ref="AC29" si="74">AC28/AC9</f>
        <v>7.1744759556103585E-2</v>
      </c>
      <c r="AD29" s="272">
        <f>AD28/AD9</f>
        <v>-7.4681400225842902E-3</v>
      </c>
      <c r="AE29" s="272"/>
      <c r="AF29" s="602">
        <f t="shared" ref="AF29" si="75">AF28/AF9</f>
        <v>3.0397440215560796E-2</v>
      </c>
      <c r="AG29" s="272"/>
      <c r="AH29" s="272"/>
      <c r="AI29" s="272"/>
      <c r="AJ29" s="248"/>
      <c r="AK29" s="272">
        <f t="shared" ref="AK29" si="76">AK28/AK9</f>
        <v>5.617551462621885E-2</v>
      </c>
      <c r="AL29" s="272">
        <f>AL28/AL9</f>
        <v>3.4077318870810738E-2</v>
      </c>
      <c r="AM29" s="272"/>
      <c r="AN29" s="602">
        <f t="shared" ref="AN29" si="77">AN28/AN9</f>
        <v>4.4535599179607387E-2</v>
      </c>
      <c r="AO29" s="274"/>
      <c r="AP29" s="274"/>
      <c r="AQ29" s="272"/>
      <c r="AR29" s="248"/>
      <c r="AS29" s="272">
        <f t="shared" ref="AS29" si="78">AS28/AS9</f>
        <v>4.7440657737700571E-2</v>
      </c>
      <c r="AT29" s="272">
        <f>AT28/AT9</f>
        <v>1.3442844838193673E-2</v>
      </c>
      <c r="AU29" s="272"/>
      <c r="AV29" s="602">
        <f t="shared" ref="AV29" si="79">AV28/AV9</f>
        <v>2.9805973959663008E-2</v>
      </c>
      <c r="AW29" s="274"/>
      <c r="AX29" s="274"/>
      <c r="AY29" s="274"/>
      <c r="AZ29" s="273"/>
      <c r="BA29" s="272">
        <f t="shared" ref="BA29" si="80">BA28/BA9</f>
        <v>5.8206036173458264E-2</v>
      </c>
      <c r="BB29" s="274">
        <f>BB28/BB9</f>
        <v>2.3262501256487787E-2</v>
      </c>
      <c r="BC29" s="274"/>
      <c r="BD29" s="601">
        <v>0.04</v>
      </c>
      <c r="BE29" s="274"/>
      <c r="BF29" s="274"/>
      <c r="BG29" s="274"/>
      <c r="BH29" s="273"/>
      <c r="BI29" s="274">
        <f>BL29</f>
        <v>0.04</v>
      </c>
      <c r="BJ29" s="274">
        <f>BJ28/BJ9</f>
        <v>3.9999999999999994E-2</v>
      </c>
      <c r="BK29" s="274"/>
      <c r="BL29" s="600">
        <f>+BD29</f>
        <v>0.04</v>
      </c>
      <c r="BM29" s="274"/>
      <c r="BN29" s="274"/>
      <c r="BO29" s="274"/>
      <c r="BP29" s="273"/>
      <c r="BQ29" s="274">
        <f>BT29</f>
        <v>0.04</v>
      </c>
      <c r="BR29" s="274">
        <f>BR28/BR9</f>
        <v>3.999999999999998E-2</v>
      </c>
      <c r="BS29" s="274"/>
      <c r="BT29" s="600">
        <f>+BL29</f>
        <v>0.04</v>
      </c>
      <c r="BU29" s="274"/>
      <c r="BV29" s="274"/>
      <c r="BW29" s="274"/>
      <c r="BX29" s="273"/>
      <c r="BY29" s="274">
        <f>CB29</f>
        <v>0.04</v>
      </c>
      <c r="BZ29" s="274">
        <f>BZ28/BZ9</f>
        <v>3.9999999999999973E-2</v>
      </c>
      <c r="CA29" s="274"/>
      <c r="CB29" s="600">
        <f>+BT29</f>
        <v>0.04</v>
      </c>
      <c r="CC29" s="274"/>
      <c r="CD29" s="274"/>
      <c r="CE29" s="274"/>
      <c r="CF29" s="273"/>
      <c r="CG29" s="274">
        <f>CJ29</f>
        <v>0.04</v>
      </c>
      <c r="CH29" s="274">
        <f>CH28/CH9</f>
        <v>0.04</v>
      </c>
      <c r="CI29" s="274"/>
      <c r="CJ29" s="600">
        <f>+CB29</f>
        <v>0.04</v>
      </c>
    </row>
    <row r="30" spans="1:89" x14ac:dyDescent="0.2">
      <c r="A30" s="620"/>
      <c r="B30" s="180"/>
      <c r="E30" s="580"/>
      <c r="F30" s="141"/>
      <c r="G30" s="580"/>
      <c r="H30" s="580"/>
      <c r="I30" s="580"/>
      <c r="J30" s="580"/>
      <c r="K30" s="580"/>
      <c r="L30" s="580"/>
      <c r="M30" s="580"/>
      <c r="N30" s="580"/>
      <c r="O30" s="580"/>
      <c r="P30" s="580"/>
      <c r="Q30" s="580"/>
      <c r="R30" s="580"/>
      <c r="S30" s="580"/>
      <c r="T30" s="580"/>
      <c r="U30" s="580"/>
      <c r="V30" s="580"/>
      <c r="W30" s="580"/>
      <c r="X30" s="581"/>
      <c r="Y30" s="580"/>
      <c r="Z30" s="580"/>
      <c r="AA30" s="580"/>
      <c r="AB30" s="582"/>
      <c r="AC30" s="580"/>
      <c r="AD30" s="580"/>
      <c r="AE30" s="580"/>
      <c r="AF30" s="583"/>
      <c r="AG30" s="580"/>
      <c r="AH30" s="580"/>
      <c r="AI30" s="580"/>
      <c r="AJ30" s="582"/>
      <c r="AK30" s="580"/>
      <c r="AL30" s="580"/>
      <c r="AM30" s="580"/>
      <c r="AN30" s="583"/>
      <c r="AO30" s="580"/>
      <c r="AP30" s="580"/>
      <c r="AQ30" s="580"/>
      <c r="AR30" s="582"/>
      <c r="AS30" s="580"/>
      <c r="AT30" s="580"/>
      <c r="AU30" s="580"/>
      <c r="AV30" s="583"/>
      <c r="AW30" s="580"/>
      <c r="AX30" s="580"/>
      <c r="AY30" s="580"/>
      <c r="AZ30" s="582"/>
      <c r="BA30" s="580"/>
      <c r="BB30" s="580"/>
      <c r="BC30" s="580"/>
      <c r="BD30" s="583"/>
      <c r="BE30" s="580"/>
      <c r="BF30" s="580"/>
      <c r="BG30" s="580"/>
      <c r="BH30" s="582"/>
      <c r="BI30" s="580"/>
      <c r="BJ30" s="580"/>
      <c r="BK30" s="580"/>
      <c r="BL30" s="583"/>
      <c r="BM30" s="580"/>
      <c r="BN30" s="580"/>
      <c r="BO30" s="580"/>
      <c r="BP30" s="582"/>
      <c r="BQ30" s="580"/>
      <c r="BR30" s="580"/>
      <c r="BS30" s="580"/>
      <c r="BT30" s="583"/>
      <c r="BU30" s="580"/>
      <c r="BV30" s="580"/>
      <c r="BW30" s="580"/>
      <c r="BX30" s="582"/>
      <c r="BY30" s="580"/>
      <c r="BZ30" s="580"/>
      <c r="CA30" s="580"/>
      <c r="CB30" s="583"/>
      <c r="CC30" s="580"/>
      <c r="CD30" s="580"/>
      <c r="CE30" s="580"/>
      <c r="CF30" s="582"/>
      <c r="CG30" s="580"/>
      <c r="CH30" s="580"/>
      <c r="CI30" s="580"/>
      <c r="CJ30" s="583"/>
    </row>
    <row r="31" spans="1:89" x14ac:dyDescent="0.2">
      <c r="A31" s="616" t="s">
        <v>502</v>
      </c>
      <c r="B31" s="180"/>
      <c r="E31" s="141">
        <f t="shared" ref="E31:X31" si="81">E28+E22</f>
        <v>686</v>
      </c>
      <c r="F31" s="141">
        <f t="shared" si="81"/>
        <v>864</v>
      </c>
      <c r="G31" s="141">
        <f t="shared" si="81"/>
        <v>1090</v>
      </c>
      <c r="H31" s="141">
        <f t="shared" si="81"/>
        <v>808</v>
      </c>
      <c r="I31" s="141">
        <f t="shared" si="81"/>
        <v>800</v>
      </c>
      <c r="J31" s="141">
        <f t="shared" si="81"/>
        <v>817</v>
      </c>
      <c r="K31" s="141">
        <f t="shared" si="81"/>
        <v>1039</v>
      </c>
      <c r="L31" s="141">
        <f t="shared" si="81"/>
        <v>1361</v>
      </c>
      <c r="M31" s="141">
        <f t="shared" si="81"/>
        <v>1575</v>
      </c>
      <c r="N31" s="141">
        <f t="shared" si="81"/>
        <v>1971</v>
      </c>
      <c r="O31" s="141">
        <f t="shared" si="81"/>
        <v>2205</v>
      </c>
      <c r="P31" s="141">
        <f t="shared" si="81"/>
        <v>2034</v>
      </c>
      <c r="Q31" s="141">
        <f t="shared" si="81"/>
        <v>2368</v>
      </c>
      <c r="R31" s="141">
        <f t="shared" si="81"/>
        <v>2099</v>
      </c>
      <c r="S31" s="141">
        <f t="shared" si="81"/>
        <v>2342</v>
      </c>
      <c r="T31" s="141">
        <f t="shared" si="81"/>
        <v>2484</v>
      </c>
      <c r="U31" s="141">
        <f t="shared" si="81"/>
        <v>3194</v>
      </c>
      <c r="V31" s="141">
        <f t="shared" si="81"/>
        <v>1582</v>
      </c>
      <c r="W31" s="141">
        <f t="shared" si="81"/>
        <v>1890</v>
      </c>
      <c r="X31" s="144">
        <f t="shared" si="81"/>
        <v>2095</v>
      </c>
      <c r="Y31" s="141"/>
      <c r="Z31" s="141"/>
      <c r="AA31" s="141"/>
      <c r="AB31" s="617"/>
      <c r="AC31" s="141">
        <f>AC28+AC22</f>
        <v>1458.2950000000001</v>
      </c>
      <c r="AD31" s="141">
        <f>AF31-AC31</f>
        <v>1292.7049999999999</v>
      </c>
      <c r="AE31" s="141"/>
      <c r="AF31" s="1353">
        <f t="shared" ref="AF31" si="82">AF28+AF22</f>
        <v>2751</v>
      </c>
      <c r="AG31" s="141"/>
      <c r="AH31" s="141"/>
      <c r="AI31" s="141"/>
      <c r="AJ31" s="617"/>
      <c r="AK31" s="141">
        <f>AK28+AK22</f>
        <v>1647.95</v>
      </c>
      <c r="AL31" s="141">
        <f>AN31-AK31</f>
        <v>1779.05</v>
      </c>
      <c r="AM31" s="141"/>
      <c r="AN31" s="1353">
        <f t="shared" ref="AN31" si="83">AN28+AN22</f>
        <v>3427</v>
      </c>
      <c r="AO31" s="141"/>
      <c r="AP31" s="141"/>
      <c r="AQ31" s="141"/>
      <c r="AR31" s="617"/>
      <c r="AS31" s="141">
        <f>AS28+AS22</f>
        <v>2115.75</v>
      </c>
      <c r="AT31" s="141">
        <f>AV31-AS31</f>
        <v>1951.25</v>
      </c>
      <c r="AU31" s="141"/>
      <c r="AV31" s="1353">
        <f t="shared" ref="AV31" si="84">AV28+AV22</f>
        <v>4067</v>
      </c>
      <c r="AW31" s="141"/>
      <c r="AX31" s="141"/>
      <c r="AY31" s="141"/>
      <c r="AZ31" s="617"/>
      <c r="BA31" s="141">
        <f>BA28+BA22</f>
        <v>2787.2150000000001</v>
      </c>
      <c r="BB31" s="149">
        <f>BD31-BA31</f>
        <v>2640.6428612522677</v>
      </c>
      <c r="BC31" s="141"/>
      <c r="BD31" s="618">
        <f>BD28+BD22</f>
        <v>5427.8578612522679</v>
      </c>
      <c r="BE31" s="141"/>
      <c r="BF31" s="141"/>
      <c r="BG31" s="141"/>
      <c r="BH31" s="617"/>
      <c r="BI31" s="149">
        <f>BI28+BI22</f>
        <v>2709.6851973593512</v>
      </c>
      <c r="BJ31" s="149">
        <f>BL31-BI31</f>
        <v>3340.4909875017447</v>
      </c>
      <c r="BK31" s="141"/>
      <c r="BL31" s="618">
        <f>BL28+BL22</f>
        <v>6050.1761848610959</v>
      </c>
      <c r="BM31" s="141"/>
      <c r="BN31" s="141"/>
      <c r="BO31" s="141"/>
      <c r="BP31" s="617"/>
      <c r="BQ31" s="149">
        <f>BQ28+BQ22</f>
        <v>3026.8577074042923</v>
      </c>
      <c r="BR31" s="149">
        <f>BT31-BQ31</f>
        <v>3493.6248227215792</v>
      </c>
      <c r="BS31" s="141"/>
      <c r="BT31" s="618">
        <f>BT28+BT22</f>
        <v>6520.4825301258716</v>
      </c>
      <c r="BU31" s="141"/>
      <c r="BV31" s="141"/>
      <c r="BW31" s="141"/>
      <c r="BX31" s="617"/>
      <c r="BY31" s="149">
        <f>BY28+BY22</f>
        <v>3320.4100314640691</v>
      </c>
      <c r="BZ31" s="149">
        <f>CB31-BY31</f>
        <v>3557.7014023182392</v>
      </c>
      <c r="CA31" s="141"/>
      <c r="CB31" s="618">
        <f>CB28+CB22</f>
        <v>6878.1114337823083</v>
      </c>
      <c r="CC31" s="141"/>
      <c r="CD31" s="141"/>
      <c r="CE31" s="141"/>
      <c r="CF31" s="617"/>
      <c r="CG31" s="149">
        <f>CG28+CG22</f>
        <v>3378.4508106758503</v>
      </c>
      <c r="CH31" s="149">
        <f>CJ31-CG31</f>
        <v>3743.695525217162</v>
      </c>
      <c r="CI31" s="141"/>
      <c r="CJ31" s="618">
        <f>CJ28+CJ22</f>
        <v>7122.1463358930123</v>
      </c>
    </row>
    <row r="32" spans="1:89" x14ac:dyDescent="0.2">
      <c r="A32" s="621" t="s">
        <v>461</v>
      </c>
      <c r="B32" s="180"/>
      <c r="E32" s="272">
        <f>E31/E77</f>
        <v>0.15268194969953261</v>
      </c>
      <c r="F32" s="272">
        <f>F31/F77</f>
        <v>0.17031342400946187</v>
      </c>
      <c r="G32" s="272">
        <f>G31/G77</f>
        <v>0.18421497380429272</v>
      </c>
      <c r="H32" s="272">
        <f>H31/H77</f>
        <v>0.1389748882008944</v>
      </c>
      <c r="I32" s="272">
        <f>I31/I77</f>
        <v>0.14101886127269522</v>
      </c>
      <c r="J32" s="272">
        <f t="shared" ref="J32:X32" si="85">J31/J9</f>
        <v>0.14578872234118487</v>
      </c>
      <c r="K32" s="272">
        <f t="shared" si="85"/>
        <v>0.17004909983633387</v>
      </c>
      <c r="L32" s="272">
        <f t="shared" si="85"/>
        <v>0.19428979300499644</v>
      </c>
      <c r="M32" s="272">
        <f t="shared" si="85"/>
        <v>0.20753722493082091</v>
      </c>
      <c r="N32" s="272">
        <f t="shared" si="85"/>
        <v>0.24175150251441188</v>
      </c>
      <c r="O32" s="272">
        <f t="shared" si="85"/>
        <v>0.23661337053331902</v>
      </c>
      <c r="P32" s="272">
        <f t="shared" si="85"/>
        <v>0.21659035246512617</v>
      </c>
      <c r="Q32" s="272">
        <f t="shared" si="85"/>
        <v>0.24309619135612359</v>
      </c>
      <c r="R32" s="272">
        <f t="shared" si="85"/>
        <v>0.22432403548145774</v>
      </c>
      <c r="S32" s="272">
        <f t="shared" si="85"/>
        <v>0.22407194795254498</v>
      </c>
      <c r="T32" s="272">
        <f t="shared" si="85"/>
        <v>0.23480480196615938</v>
      </c>
      <c r="U32" s="272">
        <f t="shared" si="85"/>
        <v>0.26517227065172272</v>
      </c>
      <c r="V32" s="272">
        <f t="shared" si="85"/>
        <v>0.20644656139892992</v>
      </c>
      <c r="W32" s="272">
        <f t="shared" si="85"/>
        <v>0.25406640677510417</v>
      </c>
      <c r="X32" s="275">
        <f t="shared" si="85"/>
        <v>0.22038712392173365</v>
      </c>
      <c r="Y32" s="272"/>
      <c r="Z32" s="272"/>
      <c r="AA32" s="272"/>
      <c r="AB32" s="248"/>
      <c r="AC32" s="272">
        <f>AC31/AC9</f>
        <v>0.25687775233397925</v>
      </c>
      <c r="AD32" s="272">
        <f>AD31/AD9</f>
        <v>0.20853444103887722</v>
      </c>
      <c r="AE32" s="272"/>
      <c r="AF32" s="602">
        <f t="shared" ref="AF32" si="86">AF31/AF9</f>
        <v>0.2316436510609633</v>
      </c>
      <c r="AG32" s="272"/>
      <c r="AH32" s="272"/>
      <c r="AI32" s="272"/>
      <c r="AJ32" s="248"/>
      <c r="AK32" s="272">
        <f>AK31/AK9</f>
        <v>0.25506113604705155</v>
      </c>
      <c r="AL32" s="272">
        <f>AL31/AL9</f>
        <v>0.24739952718676123</v>
      </c>
      <c r="AM32" s="272"/>
      <c r="AN32" s="602">
        <f t="shared" ref="AN32" si="87">AN31/AN9</f>
        <v>0.25102549077058306</v>
      </c>
      <c r="AO32" s="272"/>
      <c r="AP32" s="272"/>
      <c r="AQ32" s="272"/>
      <c r="AR32" s="248"/>
      <c r="AS32" s="272">
        <f>AS31/AS9</f>
        <v>0.28056623789948282</v>
      </c>
      <c r="AT32" s="272">
        <f>AT31/AT9</f>
        <v>0.24009474590869934</v>
      </c>
      <c r="AU32" s="272"/>
      <c r="AV32" s="602">
        <f t="shared" ref="AV32" si="88">AV31/AV9</f>
        <v>0.2595736533061016</v>
      </c>
      <c r="AW32" s="272"/>
      <c r="AX32" s="272"/>
      <c r="AY32" s="272"/>
      <c r="AZ32" s="248"/>
      <c r="BA32" s="272">
        <f>BA31/BA9</f>
        <v>0.30368435388973636</v>
      </c>
      <c r="BB32" s="274">
        <f>BB31/BB9</f>
        <v>0.26472371516253251</v>
      </c>
      <c r="BC32" s="272"/>
      <c r="BD32" s="600">
        <f>BD31/BD9</f>
        <v>0.28334267868847129</v>
      </c>
      <c r="BE32" s="272"/>
      <c r="BF32" s="272"/>
      <c r="BG32" s="272"/>
      <c r="BH32" s="248"/>
      <c r="BI32" s="274">
        <f>BI31/BI9</f>
        <v>0.28156473752154504</v>
      </c>
      <c r="BJ32" s="274">
        <f>BJ31/BJ9</f>
        <v>0.28981619344804405</v>
      </c>
      <c r="BK32" s="272"/>
      <c r="BL32" s="600">
        <f>BL31/BL9</f>
        <v>0.28606160185204399</v>
      </c>
      <c r="BM32" s="272"/>
      <c r="BN32" s="272"/>
      <c r="BO32" s="272"/>
      <c r="BP32" s="248"/>
      <c r="BQ32" s="274">
        <f>BQ31/BQ9</f>
        <v>0.28402622367421243</v>
      </c>
      <c r="BR32" s="274">
        <f>BR31/BR9</f>
        <v>0.27623378348878591</v>
      </c>
      <c r="BS32" s="272"/>
      <c r="BT32" s="600">
        <f>BT31/BT9</f>
        <v>0.27979723393706429</v>
      </c>
      <c r="BU32" s="272"/>
      <c r="BV32" s="272"/>
      <c r="BW32" s="272"/>
      <c r="BX32" s="248"/>
      <c r="BY32" s="274">
        <f>BY31/BY9</f>
        <v>0.29268604566772416</v>
      </c>
      <c r="BZ32" s="274">
        <f>BZ31/BZ9</f>
        <v>0.26500286360298153</v>
      </c>
      <c r="CA32" s="272"/>
      <c r="CB32" s="600">
        <f>CB31/CB9</f>
        <v>0.27768183346860292</v>
      </c>
      <c r="CC32" s="272"/>
      <c r="CD32" s="272"/>
      <c r="CE32" s="272"/>
      <c r="CF32" s="248"/>
      <c r="CG32" s="274">
        <f>CG31/CG9</f>
        <v>0.29325262900661231</v>
      </c>
      <c r="CH32" s="274">
        <f>CH31/CH9</f>
        <v>0.27519298394811686</v>
      </c>
      <c r="CI32" s="272"/>
      <c r="CJ32" s="600">
        <f>CJ31/CJ9</f>
        <v>0.28347407088843951</v>
      </c>
    </row>
    <row r="33" spans="1:88" x14ac:dyDescent="0.2">
      <c r="A33" s="621"/>
      <c r="B33" s="180"/>
      <c r="E33" s="272"/>
      <c r="F33" s="272"/>
      <c r="G33" s="272"/>
      <c r="H33" s="272"/>
      <c r="I33" s="272"/>
      <c r="J33" s="272"/>
      <c r="K33" s="272"/>
      <c r="L33" s="272"/>
      <c r="M33" s="272"/>
      <c r="N33" s="272"/>
      <c r="O33" s="272"/>
      <c r="P33" s="272"/>
      <c r="Q33" s="272"/>
      <c r="R33" s="272"/>
      <c r="S33" s="272"/>
      <c r="T33" s="272"/>
      <c r="U33" s="272"/>
      <c r="V33" s="272"/>
      <c r="W33" s="272"/>
      <c r="X33" s="275"/>
      <c r="Y33" s="272"/>
      <c r="Z33" s="272"/>
      <c r="AA33" s="272"/>
      <c r="AB33" s="248"/>
      <c r="AC33" s="272"/>
      <c r="AD33" s="272"/>
      <c r="AE33" s="272"/>
      <c r="AF33" s="602"/>
      <c r="AG33" s="272"/>
      <c r="AH33" s="272"/>
      <c r="AI33" s="272"/>
      <c r="AJ33" s="248"/>
      <c r="AK33" s="272"/>
      <c r="AL33" s="272"/>
      <c r="AM33" s="272"/>
      <c r="AN33" s="602"/>
      <c r="AO33" s="272"/>
      <c r="AP33" s="272"/>
      <c r="AQ33" s="272"/>
      <c r="AR33" s="248"/>
      <c r="AS33" s="272"/>
      <c r="AT33" s="272"/>
      <c r="AU33" s="272"/>
      <c r="AV33" s="602"/>
      <c r="AW33" s="272"/>
      <c r="AX33" s="272"/>
      <c r="AY33" s="272"/>
      <c r="AZ33" s="248"/>
      <c r="BA33" s="272"/>
      <c r="BB33" s="272"/>
      <c r="BC33" s="272"/>
      <c r="BD33" s="602"/>
      <c r="BE33" s="272"/>
      <c r="BF33" s="272"/>
      <c r="BG33" s="272"/>
      <c r="BH33" s="248"/>
      <c r="BI33" s="272"/>
      <c r="BJ33" s="272"/>
      <c r="BK33" s="272"/>
      <c r="BL33" s="602"/>
      <c r="BM33" s="272"/>
      <c r="BN33" s="272"/>
      <c r="BO33" s="272"/>
      <c r="BP33" s="248"/>
      <c r="BQ33" s="272"/>
      <c r="BR33" s="272"/>
      <c r="BS33" s="272"/>
      <c r="BT33" s="602"/>
      <c r="BU33" s="272"/>
      <c r="BV33" s="272"/>
      <c r="BW33" s="272"/>
      <c r="BX33" s="248"/>
      <c r="BY33" s="272"/>
      <c r="BZ33" s="272"/>
      <c r="CA33" s="272"/>
      <c r="CB33" s="602"/>
      <c r="CC33" s="272"/>
      <c r="CD33" s="272"/>
      <c r="CE33" s="272"/>
      <c r="CF33" s="248"/>
      <c r="CG33" s="272"/>
      <c r="CH33" s="272"/>
      <c r="CI33" s="272"/>
      <c r="CJ33" s="602"/>
    </row>
    <row r="34" spans="1:88" x14ac:dyDescent="0.2">
      <c r="A34" s="616" t="s">
        <v>736</v>
      </c>
      <c r="B34" s="180"/>
      <c r="D34" s="186">
        <f>Divisional!B96</f>
        <v>94</v>
      </c>
      <c r="E34" s="186">
        <f>Divisional!C96</f>
        <v>146</v>
      </c>
      <c r="F34" s="186">
        <f>Divisional!D96</f>
        <v>181</v>
      </c>
      <c r="G34" s="186">
        <f>Divisional!E96</f>
        <v>194</v>
      </c>
      <c r="H34" s="186">
        <f>Divisional!F96</f>
        <v>238</v>
      </c>
      <c r="I34" s="186">
        <f>Divisional!G96</f>
        <v>145</v>
      </c>
      <c r="J34" s="451">
        <f>Divisional!H96</f>
        <v>102</v>
      </c>
      <c r="K34" s="451">
        <f>Divisional!I96</f>
        <v>112</v>
      </c>
      <c r="L34" s="141">
        <f>Divisional!J96</f>
        <v>168</v>
      </c>
      <c r="M34" s="141">
        <f>Divisional!K96</f>
        <v>215</v>
      </c>
      <c r="N34" s="141">
        <f>Divisional!L96</f>
        <v>362</v>
      </c>
      <c r="O34" s="141">
        <f>Divisional!M96</f>
        <v>433</v>
      </c>
      <c r="P34" s="141">
        <f>Divisional!N96</f>
        <v>401</v>
      </c>
      <c r="Q34" s="141">
        <f>Divisional!O96</f>
        <v>439</v>
      </c>
      <c r="R34" s="141">
        <f>+Q34</f>
        <v>439</v>
      </c>
      <c r="S34" s="141">
        <f>Divisional!Q96</f>
        <v>385</v>
      </c>
      <c r="T34" s="141">
        <f>Divisional!R96</f>
        <v>420</v>
      </c>
      <c r="U34" s="141">
        <f>Divisional!S96</f>
        <v>376</v>
      </c>
      <c r="V34" s="141">
        <f>Divisional!T96</f>
        <v>219</v>
      </c>
      <c r="W34" s="141">
        <f>Divisional!U96</f>
        <v>175</v>
      </c>
      <c r="X34" s="144">
        <f>Divisional!V96</f>
        <v>239</v>
      </c>
      <c r="Y34" s="141"/>
      <c r="Z34" s="141"/>
      <c r="AA34" s="141"/>
      <c r="AB34" s="617"/>
      <c r="AC34" s="141">
        <f>AC35*AC9</f>
        <v>141.92500000000001</v>
      </c>
      <c r="AD34" s="141">
        <f>AF34-AC34</f>
        <v>269.07499999999999</v>
      </c>
      <c r="AE34" s="141"/>
      <c r="AF34" s="1353">
        <f>Divisional!W96</f>
        <v>411</v>
      </c>
      <c r="AG34" s="141"/>
      <c r="AH34" s="141"/>
      <c r="AI34" s="141"/>
      <c r="AJ34" s="617"/>
      <c r="AK34" s="141">
        <f>AK35*AK9</f>
        <v>161.52500000000001</v>
      </c>
      <c r="AL34" s="141">
        <f>AN34-AK34</f>
        <v>407.47500000000002</v>
      </c>
      <c r="AM34" s="141"/>
      <c r="AN34" s="1353">
        <f>Divisional!X96</f>
        <v>569</v>
      </c>
      <c r="AO34" s="141"/>
      <c r="AP34" s="141"/>
      <c r="AQ34" s="141"/>
      <c r="AR34" s="617"/>
      <c r="AS34" s="141">
        <f>AS35*AS9</f>
        <v>301.64</v>
      </c>
      <c r="AT34" s="141">
        <f>AV34-AS34</f>
        <v>416.36</v>
      </c>
      <c r="AU34" s="141"/>
      <c r="AV34" s="1353">
        <f>Divisional!Y96</f>
        <v>718</v>
      </c>
      <c r="AW34" s="141"/>
      <c r="AX34" s="141"/>
      <c r="AY34" s="141"/>
      <c r="AZ34" s="617"/>
      <c r="BA34" s="141">
        <f>BA35*BA9</f>
        <v>367.12</v>
      </c>
      <c r="BB34" s="149">
        <f>BD34-BA34</f>
        <v>494.92310937888465</v>
      </c>
      <c r="BC34" s="141"/>
      <c r="BD34" s="618">
        <f>BD35*BD9</f>
        <v>862.04310937888465</v>
      </c>
      <c r="BE34" s="141"/>
      <c r="BF34" s="141"/>
      <c r="BG34" s="141"/>
      <c r="BH34" s="617"/>
      <c r="BI34" s="149">
        <f>BI35*BI9</f>
        <v>409.00583610531265</v>
      </c>
      <c r="BJ34" s="149">
        <f>BL34-BI34</f>
        <v>489.86519793717292</v>
      </c>
      <c r="BK34" s="141"/>
      <c r="BL34" s="618">
        <f>BL35*BL9</f>
        <v>898.87103404248558</v>
      </c>
      <c r="BM34" s="141"/>
      <c r="BN34" s="141"/>
      <c r="BO34" s="141"/>
      <c r="BP34" s="617"/>
      <c r="BQ34" s="149">
        <f>BQ35*BQ9</f>
        <v>426.27862571960253</v>
      </c>
      <c r="BR34" s="149">
        <f>BT34-BQ34</f>
        <v>505.89392486287335</v>
      </c>
      <c r="BS34" s="141"/>
      <c r="BT34" s="618">
        <f>BT35*BT9</f>
        <v>932.17255058247588</v>
      </c>
      <c r="BU34" s="141"/>
      <c r="BV34" s="141"/>
      <c r="BW34" s="141"/>
      <c r="BX34" s="617"/>
      <c r="BY34" s="149">
        <f>BY35*BY9</f>
        <v>453.78453542450194</v>
      </c>
      <c r="BZ34" s="149">
        <f>CB34-BY34</f>
        <v>537.00572951517483</v>
      </c>
      <c r="CA34" s="141"/>
      <c r="CB34" s="618">
        <f>CB35*CB9</f>
        <v>990.79026493967683</v>
      </c>
      <c r="CC34" s="141"/>
      <c r="CD34" s="141"/>
      <c r="CE34" s="141"/>
      <c r="CF34" s="617"/>
      <c r="CG34" s="149">
        <f>CG35*CG9</f>
        <v>460.82462375464979</v>
      </c>
      <c r="CH34" s="149">
        <f>CJ34-CG34</f>
        <v>544.15566436431754</v>
      </c>
      <c r="CI34" s="141"/>
      <c r="CJ34" s="618">
        <f>CJ35*CJ9</f>
        <v>1004.9802881189673</v>
      </c>
    </row>
    <row r="35" spans="1:88" x14ac:dyDescent="0.2">
      <c r="A35" s="619" t="str">
        <f>A29</f>
        <v>As % of adjusted revenue</v>
      </c>
      <c r="B35" s="180"/>
      <c r="D35" s="272">
        <f t="shared" ref="D35:X35" si="89">D34/D77</f>
        <v>2.1784472769409039E-2</v>
      </c>
      <c r="E35" s="272">
        <f t="shared" si="89"/>
        <v>3.2494992210104608E-2</v>
      </c>
      <c r="F35" s="272">
        <f t="shared" si="89"/>
        <v>3.5679085353834024E-2</v>
      </c>
      <c r="G35" s="272">
        <f t="shared" si="89"/>
        <v>3.2786885245901641E-2</v>
      </c>
      <c r="H35" s="272">
        <f t="shared" si="89"/>
        <v>4.0935672514619881E-2</v>
      </c>
      <c r="I35" s="272">
        <f t="shared" si="89"/>
        <v>2.555966860567601E-2</v>
      </c>
      <c r="J35" s="272">
        <f t="shared" si="89"/>
        <v>1.8201284796573874E-2</v>
      </c>
      <c r="K35" s="272">
        <f t="shared" si="89"/>
        <v>1.8330605564648116E-2</v>
      </c>
      <c r="L35" s="272">
        <f t="shared" si="89"/>
        <v>2.398286937901499E-2</v>
      </c>
      <c r="M35" s="272">
        <f t="shared" si="89"/>
        <v>2.8330478323889841E-2</v>
      </c>
      <c r="N35" s="272">
        <f t="shared" si="89"/>
        <v>4.4400834048816389E-2</v>
      </c>
      <c r="O35" s="272">
        <f t="shared" si="89"/>
        <v>4.6464212898379653E-2</v>
      </c>
      <c r="P35" s="272">
        <f t="shared" si="89"/>
        <v>4.2700457885209243E-2</v>
      </c>
      <c r="Q35" s="272">
        <f t="shared" si="89"/>
        <v>4.5067241556308389E-2</v>
      </c>
      <c r="R35" s="272">
        <f t="shared" si="89"/>
        <v>4.6916746820562148E-2</v>
      </c>
      <c r="S35" s="272">
        <f t="shared" si="89"/>
        <v>3.6835055491771906E-2</v>
      </c>
      <c r="T35" s="272">
        <f t="shared" si="89"/>
        <v>3.9701295018432746E-2</v>
      </c>
      <c r="U35" s="272">
        <f t="shared" si="89"/>
        <v>3.1216272312162723E-2</v>
      </c>
      <c r="V35" s="272">
        <f t="shared" si="89"/>
        <v>2.8578885553960591E-2</v>
      </c>
      <c r="W35" s="272">
        <f t="shared" si="89"/>
        <v>2.3524667293991129E-2</v>
      </c>
      <c r="X35" s="275">
        <f t="shared" si="89"/>
        <v>2.5142015569114242E-2</v>
      </c>
      <c r="Y35" s="272"/>
      <c r="Z35" s="272"/>
      <c r="AA35" s="272"/>
      <c r="AB35" s="248"/>
      <c r="AC35" s="272">
        <v>2.5000000000000001E-2</v>
      </c>
      <c r="AD35" s="272">
        <f>AD34/AD77</f>
        <v>4.3406194547507659E-2</v>
      </c>
      <c r="AE35" s="272"/>
      <c r="AF35" s="602">
        <f t="shared" ref="AF35" si="90">AF34/AF77</f>
        <v>3.4607611990569213E-2</v>
      </c>
      <c r="AG35" s="272"/>
      <c r="AH35" s="272"/>
      <c r="AI35" s="272"/>
      <c r="AJ35" s="248"/>
      <c r="AK35" s="272">
        <v>2.5000000000000001E-2</v>
      </c>
      <c r="AL35" s="272">
        <f>AL34/AL77</f>
        <v>5.6664580725907389E-2</v>
      </c>
      <c r="AM35" s="272"/>
      <c r="AN35" s="602">
        <f t="shared" ref="AN35" si="91">AN34/AN77</f>
        <v>4.1678874890125991E-2</v>
      </c>
      <c r="AO35" s="272"/>
      <c r="AP35" s="272"/>
      <c r="AQ35" s="272"/>
      <c r="AR35" s="248"/>
      <c r="AS35" s="272">
        <v>0.04</v>
      </c>
      <c r="AT35" s="272">
        <f>AT34/AT77</f>
        <v>5.1231696813092149E-2</v>
      </c>
      <c r="AU35" s="272"/>
      <c r="AV35" s="602">
        <f t="shared" ref="AV35" si="92">AV34/AV77</f>
        <v>4.5825887158539698E-2</v>
      </c>
      <c r="AW35" s="272"/>
      <c r="AX35" s="272"/>
      <c r="AY35" s="272"/>
      <c r="AZ35" s="248"/>
      <c r="BA35" s="272">
        <v>0.04</v>
      </c>
      <c r="BB35" s="274">
        <f>BB34/BB77</f>
        <v>4.9615904580310566E-2</v>
      </c>
      <c r="BC35" s="272"/>
      <c r="BD35" s="601">
        <v>4.4999999999999998E-2</v>
      </c>
      <c r="BE35" s="272"/>
      <c r="BF35" s="272"/>
      <c r="BG35" s="272"/>
      <c r="BH35" s="248"/>
      <c r="BI35" s="274">
        <f>BL35</f>
        <v>4.2500000000000003E-2</v>
      </c>
      <c r="BJ35" s="274">
        <f>BJ34/BJ77</f>
        <v>4.2499999999999989E-2</v>
      </c>
      <c r="BK35" s="272"/>
      <c r="BL35" s="601">
        <v>4.2500000000000003E-2</v>
      </c>
      <c r="BM35" s="272"/>
      <c r="BN35" s="272"/>
      <c r="BO35" s="272"/>
      <c r="BP35" s="248"/>
      <c r="BQ35" s="274">
        <f>BT35</f>
        <v>0.04</v>
      </c>
      <c r="BR35" s="274">
        <f>BR34/BR77</f>
        <v>3.999999999999998E-2</v>
      </c>
      <c r="BS35" s="272"/>
      <c r="BT35" s="601">
        <v>0.04</v>
      </c>
      <c r="BU35" s="272"/>
      <c r="BV35" s="272"/>
      <c r="BW35" s="272"/>
      <c r="BX35" s="248"/>
      <c r="BY35" s="274">
        <f>CB35</f>
        <v>0.04</v>
      </c>
      <c r="BZ35" s="274">
        <f>BZ34/BZ77</f>
        <v>3.9999999999999973E-2</v>
      </c>
      <c r="CA35" s="272"/>
      <c r="CB35" s="601">
        <v>0.04</v>
      </c>
      <c r="CC35" s="272"/>
      <c r="CD35" s="272"/>
      <c r="CE35" s="272"/>
      <c r="CF35" s="248"/>
      <c r="CG35" s="274">
        <f>CJ35</f>
        <v>0.04</v>
      </c>
      <c r="CH35" s="274">
        <f>CH34/CH77</f>
        <v>0.04</v>
      </c>
      <c r="CI35" s="272"/>
      <c r="CJ35" s="601">
        <v>0.04</v>
      </c>
    </row>
    <row r="36" spans="1:88" x14ac:dyDescent="0.2">
      <c r="A36" s="619"/>
      <c r="B36" s="180"/>
      <c r="E36" s="580"/>
      <c r="F36" s="141"/>
      <c r="G36" s="580"/>
      <c r="H36" s="580"/>
      <c r="I36" s="580"/>
      <c r="J36" s="580"/>
      <c r="K36" s="580"/>
      <c r="L36" s="580"/>
      <c r="M36" s="580"/>
      <c r="N36" s="580"/>
      <c r="O36" s="580"/>
      <c r="P36" s="580"/>
      <c r="Q36" s="580"/>
      <c r="R36" s="580"/>
      <c r="S36" s="580"/>
      <c r="T36" s="580"/>
      <c r="U36" s="580"/>
      <c r="V36" s="580"/>
      <c r="W36" s="580"/>
      <c r="X36" s="581"/>
      <c r="Y36" s="580"/>
      <c r="Z36" s="580"/>
      <c r="AA36" s="580"/>
      <c r="AB36" s="582"/>
      <c r="AC36" s="580"/>
      <c r="AD36" s="580"/>
      <c r="AE36" s="580"/>
      <c r="AF36" s="583"/>
      <c r="AG36" s="580"/>
      <c r="AH36" s="580"/>
      <c r="AI36" s="580"/>
      <c r="AJ36" s="582"/>
      <c r="AK36" s="580"/>
      <c r="AL36" s="580"/>
      <c r="AM36" s="580"/>
      <c r="AN36" s="583"/>
      <c r="AO36" s="580"/>
      <c r="AP36" s="580"/>
      <c r="AQ36" s="580"/>
      <c r="AR36" s="582"/>
      <c r="AS36" s="580"/>
      <c r="AT36" s="580"/>
      <c r="AU36" s="580"/>
      <c r="AV36" s="583"/>
      <c r="AW36" s="580"/>
      <c r="AX36" s="580"/>
      <c r="AY36" s="580"/>
      <c r="AZ36" s="582"/>
      <c r="BA36" s="580"/>
      <c r="BB36" s="580"/>
      <c r="BC36" s="580"/>
      <c r="BD36" s="583"/>
      <c r="BE36" s="580"/>
      <c r="BF36" s="580"/>
      <c r="BG36" s="580"/>
      <c r="BH36" s="582"/>
      <c r="BI36" s="580"/>
      <c r="BJ36" s="580"/>
      <c r="BK36" s="580"/>
      <c r="BL36" s="583"/>
      <c r="BM36" s="580"/>
      <c r="BN36" s="580"/>
      <c r="BO36" s="580"/>
      <c r="BP36" s="582"/>
      <c r="BQ36" s="580"/>
      <c r="BR36" s="580"/>
      <c r="BS36" s="580"/>
      <c r="BT36" s="583"/>
      <c r="BU36" s="580"/>
      <c r="BV36" s="580"/>
      <c r="BW36" s="580"/>
      <c r="BX36" s="582"/>
      <c r="BY36" s="580"/>
      <c r="BZ36" s="580"/>
      <c r="CA36" s="580"/>
      <c r="CB36" s="583"/>
      <c r="CC36" s="580"/>
      <c r="CD36" s="580"/>
      <c r="CE36" s="580"/>
      <c r="CF36" s="582"/>
      <c r="CG36" s="580"/>
      <c r="CH36" s="580"/>
      <c r="CI36" s="580"/>
      <c r="CJ36" s="583"/>
    </row>
    <row r="37" spans="1:88" x14ac:dyDescent="0.2">
      <c r="A37" s="616" t="s">
        <v>112</v>
      </c>
      <c r="B37" s="180"/>
      <c r="E37" s="580"/>
      <c r="F37" s="141"/>
      <c r="G37" s="580"/>
      <c r="H37" s="580"/>
      <c r="I37" s="580"/>
      <c r="J37" s="580"/>
      <c r="K37" s="580"/>
      <c r="L37" s="580"/>
      <c r="M37" s="622">
        <f>Divisional!K124</f>
        <v>493</v>
      </c>
      <c r="N37" s="622">
        <f>Divisional!L124</f>
        <v>380</v>
      </c>
      <c r="O37" s="622">
        <f>Divisional!M124</f>
        <v>727</v>
      </c>
      <c r="P37" s="622">
        <f>Divisional!N124</f>
        <v>929</v>
      </c>
      <c r="Q37" s="622">
        <f>Divisional!O124</f>
        <v>1158</v>
      </c>
      <c r="R37" s="622">
        <f>+Q37</f>
        <v>1158</v>
      </c>
      <c r="S37" s="622">
        <f>Divisional!Q124</f>
        <v>1331</v>
      </c>
      <c r="T37" s="622">
        <f>Divisional!R124</f>
        <v>1418</v>
      </c>
      <c r="U37" s="622">
        <f>Divisional!S124</f>
        <v>1125</v>
      </c>
      <c r="V37" s="622">
        <f>Divisional!T124</f>
        <v>796</v>
      </c>
      <c r="W37" s="622">
        <f>Divisional!U124</f>
        <v>1331</v>
      </c>
      <c r="X37" s="623">
        <f>Divisional!V124</f>
        <v>2448</v>
      </c>
      <c r="Y37" s="622"/>
      <c r="Z37" s="622"/>
      <c r="AA37" s="622"/>
      <c r="AB37" s="624"/>
      <c r="AC37" s="622">
        <v>1498</v>
      </c>
      <c r="AD37" s="141">
        <f>AF37-AC37</f>
        <v>1202</v>
      </c>
      <c r="AE37" s="622"/>
      <c r="AF37" s="1354">
        <f>Divisional!W124</f>
        <v>2700</v>
      </c>
      <c r="AG37" s="622"/>
      <c r="AH37" s="622"/>
      <c r="AI37" s="622"/>
      <c r="AJ37" s="624"/>
      <c r="AK37" s="622">
        <v>1355</v>
      </c>
      <c r="AL37" s="141">
        <f>AN37-AK37</f>
        <v>1261</v>
      </c>
      <c r="AM37" s="622"/>
      <c r="AN37" s="1354">
        <f>Divisional!X124</f>
        <v>2616</v>
      </c>
      <c r="AO37" s="622"/>
      <c r="AP37" s="622"/>
      <c r="AQ37" s="622"/>
      <c r="AR37" s="624"/>
      <c r="AS37" s="622">
        <v>1785</v>
      </c>
      <c r="AT37" s="141">
        <f>AV37-AS37</f>
        <v>1008</v>
      </c>
      <c r="AU37" s="622"/>
      <c r="AV37" s="1354">
        <f>Divisional!Y124</f>
        <v>2793</v>
      </c>
      <c r="AW37" s="622"/>
      <c r="AX37" s="622"/>
      <c r="AY37" s="622"/>
      <c r="AZ37" s="624"/>
      <c r="BA37" s="622">
        <v>2348</v>
      </c>
      <c r="BB37" s="622"/>
      <c r="BC37" s="622"/>
      <c r="BD37" s="583"/>
      <c r="BE37" s="622"/>
      <c r="BF37" s="622"/>
      <c r="BG37" s="622"/>
      <c r="BH37" s="624"/>
      <c r="BI37" s="622"/>
      <c r="BJ37" s="622"/>
      <c r="BK37" s="622"/>
      <c r="BL37" s="583"/>
      <c r="BM37" s="622"/>
      <c r="BN37" s="622"/>
      <c r="BO37" s="622"/>
      <c r="BP37" s="624"/>
      <c r="BQ37" s="622"/>
      <c r="BR37" s="622"/>
      <c r="BS37" s="622"/>
      <c r="BT37" s="583"/>
      <c r="BU37" s="622"/>
      <c r="BV37" s="622"/>
      <c r="BW37" s="622"/>
      <c r="BX37" s="624"/>
      <c r="BY37" s="622"/>
      <c r="BZ37" s="622"/>
      <c r="CA37" s="622"/>
      <c r="CB37" s="583"/>
      <c r="CC37" s="622"/>
      <c r="CD37" s="622"/>
      <c r="CE37" s="622"/>
      <c r="CF37" s="624"/>
      <c r="CG37" s="622"/>
      <c r="CH37" s="622"/>
      <c r="CI37" s="622"/>
      <c r="CJ37" s="583"/>
    </row>
    <row r="38" spans="1:88" x14ac:dyDescent="0.2">
      <c r="A38" s="621" t="s">
        <v>737</v>
      </c>
      <c r="B38" s="180"/>
      <c r="E38" s="580"/>
      <c r="F38" s="141"/>
      <c r="G38" s="580"/>
      <c r="H38" s="580"/>
      <c r="I38" s="580"/>
      <c r="J38" s="580"/>
      <c r="K38" s="580"/>
      <c r="L38" s="462">
        <f>+SUM(M37:P37)/SUM(M22:P22)</f>
        <v>0.38260211800302574</v>
      </c>
      <c r="M38" s="272">
        <f t="shared" ref="M38:X38" si="93">M37/M22</f>
        <v>0.36303387334315168</v>
      </c>
      <c r="N38" s="272">
        <f t="shared" si="93"/>
        <v>0.23270055113288426</v>
      </c>
      <c r="O38" s="272">
        <f t="shared" si="93"/>
        <v>0.39661756683033278</v>
      </c>
      <c r="P38" s="272">
        <f t="shared" si="93"/>
        <v>0.52015677491601342</v>
      </c>
      <c r="Q38" s="272">
        <f t="shared" si="93"/>
        <v>0.66975130133024874</v>
      </c>
      <c r="R38" s="272">
        <f t="shared" si="93"/>
        <v>0.76385224274406327</v>
      </c>
      <c r="S38" s="272">
        <f t="shared" si="93"/>
        <v>0.68999481596682222</v>
      </c>
      <c r="T38" s="272">
        <f t="shared" si="93"/>
        <v>0.6985221674876847</v>
      </c>
      <c r="U38" s="272">
        <f t="shared" si="93"/>
        <v>0.45271629778672035</v>
      </c>
      <c r="V38" s="272">
        <f t="shared" si="93"/>
        <v>0.66778523489932884</v>
      </c>
      <c r="W38" s="272">
        <f t="shared" si="93"/>
        <v>0.99180327868852458</v>
      </c>
      <c r="X38" s="275">
        <f t="shared" si="93"/>
        <v>1.4315789473684211</v>
      </c>
      <c r="Y38" s="272"/>
      <c r="Z38" s="272"/>
      <c r="AA38" s="272"/>
      <c r="AB38" s="248"/>
      <c r="AC38" s="272">
        <f t="shared" ref="AC38:AD38" si="94">AC37/AC22</f>
        <v>1.4253092293054235</v>
      </c>
      <c r="AD38" s="272">
        <f t="shared" si="94"/>
        <v>0.89768483943241228</v>
      </c>
      <c r="AE38" s="272"/>
      <c r="AF38" s="602">
        <f t="shared" ref="AF38" si="95">AF37/AF22</f>
        <v>1.1297071129707112</v>
      </c>
      <c r="AG38" s="272"/>
      <c r="AH38" s="272"/>
      <c r="AI38" s="272"/>
      <c r="AJ38" s="248"/>
      <c r="AK38" s="272">
        <f t="shared" ref="AK38:AL38" si="96">AK37/AK22</f>
        <v>1.0544747081712063</v>
      </c>
      <c r="AL38" s="272">
        <f t="shared" si="96"/>
        <v>0.82203389830508466</v>
      </c>
      <c r="AM38" s="272"/>
      <c r="AN38" s="602">
        <f t="shared" ref="AN38" si="97">AN37/AN22</f>
        <v>0.92798864845689966</v>
      </c>
      <c r="AO38" s="272"/>
      <c r="AP38" s="272"/>
      <c r="AQ38" s="272"/>
      <c r="AR38" s="248"/>
      <c r="AS38" s="272">
        <f t="shared" ref="AS38:AT38" si="98">AS37/AS22</f>
        <v>1.0153583617747439</v>
      </c>
      <c r="AT38" s="272">
        <f t="shared" si="98"/>
        <v>0.5472312703583061</v>
      </c>
      <c r="AU38" s="272"/>
      <c r="AV38" s="602">
        <f t="shared" ref="AV38" si="99">AV37/AV22</f>
        <v>0.77583333333333337</v>
      </c>
      <c r="AW38" s="272"/>
      <c r="AX38" s="272"/>
      <c r="AY38" s="272"/>
      <c r="AZ38" s="248"/>
      <c r="BA38" s="272">
        <f t="shared" ref="BA38" si="100">BA37/BA22</f>
        <v>1.0421660008877054</v>
      </c>
      <c r="BB38" s="272"/>
      <c r="BC38" s="272"/>
      <c r="BD38" s="625"/>
      <c r="BE38" s="272"/>
      <c r="BF38" s="272"/>
      <c r="BG38" s="272"/>
      <c r="BH38" s="248"/>
      <c r="BI38" s="272"/>
      <c r="BJ38" s="272"/>
      <c r="BK38" s="272"/>
      <c r="BL38" s="625"/>
      <c r="BM38" s="272"/>
      <c r="BN38" s="272"/>
      <c r="BO38" s="272"/>
      <c r="BP38" s="248"/>
      <c r="BQ38" s="272"/>
      <c r="BR38" s="272"/>
      <c r="BS38" s="272"/>
      <c r="BT38" s="625"/>
      <c r="BU38" s="272"/>
      <c r="BV38" s="272"/>
      <c r="BW38" s="272"/>
      <c r="BX38" s="248"/>
      <c r="BY38" s="272"/>
      <c r="BZ38" s="272"/>
      <c r="CA38" s="272"/>
      <c r="CB38" s="625"/>
      <c r="CC38" s="272"/>
      <c r="CD38" s="272"/>
      <c r="CE38" s="272"/>
      <c r="CF38" s="248"/>
      <c r="CG38" s="272"/>
      <c r="CH38" s="272"/>
      <c r="CI38" s="272"/>
      <c r="CJ38" s="625"/>
    </row>
    <row r="39" spans="1:88" x14ac:dyDescent="0.2">
      <c r="A39" s="621"/>
      <c r="B39" s="180"/>
      <c r="E39" s="580"/>
      <c r="F39" s="141"/>
      <c r="G39" s="580"/>
      <c r="H39" s="580"/>
      <c r="I39" s="580"/>
      <c r="J39" s="580"/>
      <c r="K39" s="580"/>
      <c r="L39" s="580"/>
      <c r="M39" s="272"/>
      <c r="N39" s="272"/>
      <c r="O39" s="580"/>
      <c r="P39" s="580"/>
      <c r="Q39" s="580"/>
      <c r="R39" s="580"/>
      <c r="S39" s="580"/>
      <c r="T39" s="580"/>
      <c r="U39" s="580"/>
      <c r="V39" s="580"/>
      <c r="W39" s="580"/>
      <c r="X39" s="581"/>
      <c r="Y39" s="580"/>
      <c r="Z39" s="580"/>
      <c r="AA39" s="580"/>
      <c r="AB39" s="582"/>
      <c r="AC39" s="580"/>
      <c r="AD39" s="580"/>
      <c r="AE39" s="580"/>
      <c r="AF39" s="583"/>
      <c r="AG39" s="580"/>
      <c r="AH39" s="580"/>
      <c r="AI39" s="580"/>
      <c r="AJ39" s="582"/>
      <c r="AK39" s="580"/>
      <c r="AL39" s="580"/>
      <c r="AM39" s="580"/>
      <c r="AN39" s="583"/>
      <c r="AO39" s="580"/>
      <c r="AP39" s="580"/>
      <c r="AQ39" s="580"/>
      <c r="AR39" s="582"/>
      <c r="AS39" s="580"/>
      <c r="AT39" s="580"/>
      <c r="AU39" s="580"/>
      <c r="AV39" s="583"/>
      <c r="AW39" s="580"/>
      <c r="AX39" s="580"/>
      <c r="AY39" s="580"/>
      <c r="AZ39" s="582"/>
      <c r="BA39" s="580"/>
      <c r="BB39" s="580"/>
      <c r="BC39" s="580"/>
      <c r="BD39" s="583"/>
      <c r="BE39" s="580"/>
      <c r="BF39" s="580"/>
      <c r="BG39" s="580"/>
      <c r="BH39" s="582"/>
      <c r="BI39" s="580"/>
      <c r="BJ39" s="580"/>
      <c r="BK39" s="580"/>
      <c r="BL39" s="583"/>
      <c r="BM39" s="580"/>
      <c r="BN39" s="580"/>
      <c r="BO39" s="580"/>
      <c r="BP39" s="582"/>
      <c r="BQ39" s="580"/>
      <c r="BR39" s="580"/>
      <c r="BS39" s="580"/>
      <c r="BT39" s="583"/>
      <c r="BU39" s="580"/>
      <c r="BV39" s="580"/>
      <c r="BW39" s="580"/>
      <c r="BX39" s="582"/>
      <c r="BY39" s="580"/>
      <c r="BZ39" s="580"/>
      <c r="CA39" s="580"/>
      <c r="CB39" s="583"/>
      <c r="CC39" s="580"/>
      <c r="CD39" s="580"/>
      <c r="CE39" s="580"/>
      <c r="CF39" s="582"/>
      <c r="CG39" s="580"/>
      <c r="CH39" s="580"/>
      <c r="CI39" s="580"/>
      <c r="CJ39" s="583"/>
    </row>
    <row r="40" spans="1:88" x14ac:dyDescent="0.2">
      <c r="A40" s="619" t="s">
        <v>738</v>
      </c>
      <c r="B40" s="284"/>
      <c r="C40" s="186"/>
      <c r="D40" s="186"/>
      <c r="E40" s="186"/>
      <c r="F40" s="186"/>
      <c r="G40" s="186"/>
      <c r="H40" s="186"/>
      <c r="I40" s="186"/>
      <c r="J40" s="462"/>
      <c r="K40" s="580"/>
      <c r="L40" s="272"/>
      <c r="M40" s="585">
        <v>11200</v>
      </c>
      <c r="N40" s="585">
        <v>14187</v>
      </c>
      <c r="O40" s="585">
        <v>10072</v>
      </c>
      <c r="P40" s="585">
        <v>11127</v>
      </c>
      <c r="Q40" s="580"/>
      <c r="R40" s="580"/>
      <c r="S40" s="580"/>
      <c r="T40" s="580"/>
      <c r="U40" s="580"/>
      <c r="V40" s="580"/>
      <c r="W40" s="580"/>
      <c r="X40" s="581"/>
      <c r="Y40" s="580"/>
      <c r="Z40" s="580"/>
      <c r="AA40" s="580"/>
      <c r="AB40" s="582"/>
      <c r="AC40" s="580"/>
      <c r="AD40" s="580"/>
      <c r="AE40" s="580"/>
      <c r="AF40" s="583"/>
      <c r="AG40" s="580"/>
      <c r="AH40" s="580"/>
      <c r="AI40" s="580"/>
      <c r="AJ40" s="582"/>
      <c r="AK40" s="580"/>
      <c r="AL40" s="580"/>
      <c r="AM40" s="580"/>
      <c r="AN40" s="583"/>
      <c r="AO40" s="580"/>
      <c r="AP40" s="580"/>
      <c r="AQ40" s="580"/>
      <c r="AR40" s="582"/>
      <c r="AS40" s="580"/>
      <c r="AT40" s="580"/>
      <c r="AU40" s="580"/>
      <c r="AV40" s="583"/>
      <c r="AW40" s="580"/>
      <c r="AX40" s="580"/>
      <c r="AY40" s="580"/>
      <c r="AZ40" s="582"/>
      <c r="BA40" s="580"/>
      <c r="BB40" s="580"/>
      <c r="BC40" s="580"/>
      <c r="BD40" s="583"/>
      <c r="BE40" s="580"/>
      <c r="BF40" s="580"/>
      <c r="BG40" s="580"/>
      <c r="BH40" s="582"/>
      <c r="BI40" s="580"/>
      <c r="BJ40" s="580"/>
      <c r="BK40" s="580"/>
      <c r="BL40" s="583"/>
      <c r="BM40" s="580"/>
      <c r="BN40" s="580"/>
      <c r="BO40" s="580"/>
      <c r="BP40" s="582"/>
      <c r="BQ40" s="580"/>
      <c r="BR40" s="580"/>
      <c r="BS40" s="580"/>
      <c r="BT40" s="583"/>
      <c r="BU40" s="580"/>
      <c r="BV40" s="580"/>
      <c r="BW40" s="580"/>
      <c r="BX40" s="582"/>
      <c r="BY40" s="580"/>
      <c r="BZ40" s="580"/>
      <c r="CA40" s="580"/>
      <c r="CB40" s="583"/>
      <c r="CC40" s="580"/>
      <c r="CD40" s="580"/>
      <c r="CE40" s="580"/>
      <c r="CF40" s="582"/>
      <c r="CG40" s="580"/>
      <c r="CH40" s="580"/>
      <c r="CI40" s="580"/>
      <c r="CJ40" s="583"/>
    </row>
    <row r="41" spans="1:88" x14ac:dyDescent="0.2">
      <c r="A41" s="619" t="s">
        <v>739</v>
      </c>
      <c r="B41" s="284"/>
      <c r="C41" s="186"/>
      <c r="D41" s="186"/>
      <c r="E41" s="186"/>
      <c r="F41" s="186"/>
      <c r="G41" s="186"/>
      <c r="H41" s="186"/>
      <c r="I41" s="186"/>
      <c r="J41" s="462"/>
      <c r="K41" s="580"/>
      <c r="L41" s="272"/>
      <c r="M41" s="626">
        <f>M40/M9</f>
        <v>1.4758202661747266</v>
      </c>
      <c r="N41" s="626">
        <f>N40/N9</f>
        <v>1.7400956703054091</v>
      </c>
      <c r="O41" s="626">
        <f>O40/O9</f>
        <v>1.0808026612297457</v>
      </c>
      <c r="P41" s="626">
        <f>P40/P9</f>
        <v>1.1848578426152698</v>
      </c>
      <c r="Q41" s="580"/>
      <c r="R41" s="580"/>
      <c r="S41" s="580"/>
      <c r="T41" s="580"/>
      <c r="U41" s="580"/>
      <c r="V41" s="580"/>
      <c r="W41" s="580"/>
      <c r="X41" s="581"/>
      <c r="Y41" s="580"/>
      <c r="Z41" s="580"/>
      <c r="AA41" s="580"/>
      <c r="AB41" s="582"/>
      <c r="AC41" s="580"/>
      <c r="AD41" s="580"/>
      <c r="AE41" s="580"/>
      <c r="AF41" s="583"/>
      <c r="AG41" s="580"/>
      <c r="AH41" s="580"/>
      <c r="AI41" s="580"/>
      <c r="AJ41" s="582"/>
      <c r="AK41" s="580"/>
      <c r="AL41" s="580"/>
      <c r="AM41" s="580"/>
      <c r="AN41" s="583"/>
      <c r="AO41" s="580"/>
      <c r="AP41" s="580"/>
      <c r="AQ41" s="580"/>
      <c r="AR41" s="582"/>
      <c r="AS41" s="580"/>
      <c r="AT41" s="580"/>
      <c r="AU41" s="580"/>
      <c r="AV41" s="583"/>
      <c r="AW41" s="580"/>
      <c r="AX41" s="580"/>
      <c r="AY41" s="580"/>
      <c r="AZ41" s="582"/>
      <c r="BA41" s="580"/>
      <c r="BB41" s="580"/>
      <c r="BC41" s="580"/>
      <c r="BD41" s="583"/>
      <c r="BE41" s="580"/>
      <c r="BF41" s="580"/>
      <c r="BG41" s="580"/>
      <c r="BH41" s="582"/>
      <c r="BI41" s="580"/>
      <c r="BJ41" s="580"/>
      <c r="BK41" s="580"/>
      <c r="BL41" s="583"/>
      <c r="BM41" s="580"/>
      <c r="BN41" s="580"/>
      <c r="BO41" s="580"/>
      <c r="BP41" s="582"/>
      <c r="BQ41" s="580"/>
      <c r="BR41" s="580"/>
      <c r="BS41" s="580"/>
      <c r="BT41" s="583"/>
      <c r="BU41" s="580"/>
      <c r="BV41" s="580"/>
      <c r="BW41" s="580"/>
      <c r="BX41" s="582"/>
      <c r="BY41" s="580"/>
      <c r="BZ41" s="580"/>
      <c r="CA41" s="580"/>
      <c r="CB41" s="583"/>
      <c r="CC41" s="580"/>
      <c r="CD41" s="580"/>
      <c r="CE41" s="580"/>
      <c r="CF41" s="582"/>
      <c r="CG41" s="580"/>
      <c r="CH41" s="580"/>
      <c r="CI41" s="580"/>
      <c r="CJ41" s="583"/>
    </row>
    <row r="42" spans="1:88" x14ac:dyDescent="0.2">
      <c r="A42" s="619" t="s">
        <v>740</v>
      </c>
      <c r="B42" s="284"/>
      <c r="C42" s="186"/>
      <c r="D42" s="186"/>
      <c r="E42" s="186"/>
      <c r="F42" s="186"/>
      <c r="G42" s="186"/>
      <c r="H42" s="186"/>
      <c r="I42" s="186"/>
      <c r="J42" s="462"/>
      <c r="K42" s="580"/>
      <c r="L42" s="272"/>
      <c r="M42" s="585">
        <v>35261</v>
      </c>
      <c r="N42" s="585">
        <v>41532</v>
      </c>
      <c r="O42" s="585">
        <v>44181</v>
      </c>
      <c r="P42" s="585">
        <v>39169</v>
      </c>
      <c r="Q42" s="580"/>
      <c r="R42" s="580"/>
      <c r="S42" s="462"/>
      <c r="T42" s="462"/>
      <c r="U42" s="462"/>
      <c r="V42" s="462"/>
      <c r="W42" s="462"/>
      <c r="X42" s="99"/>
      <c r="Y42" s="462"/>
      <c r="Z42" s="462"/>
      <c r="AA42" s="462"/>
      <c r="AB42" s="627"/>
      <c r="AC42" s="462"/>
      <c r="AD42" s="462"/>
      <c r="AE42" s="462"/>
      <c r="AF42" s="583"/>
      <c r="AG42" s="462"/>
      <c r="AH42" s="462"/>
      <c r="AI42" s="462"/>
      <c r="AJ42" s="627"/>
      <c r="AK42" s="462"/>
      <c r="AL42" s="462"/>
      <c r="AM42" s="462"/>
      <c r="AN42" s="583"/>
      <c r="AO42" s="462"/>
      <c r="AP42" s="462"/>
      <c r="AQ42" s="462"/>
      <c r="AR42" s="627"/>
      <c r="AS42" s="462"/>
      <c r="AT42" s="462"/>
      <c r="AU42" s="462"/>
      <c r="AV42" s="583"/>
      <c r="AW42" s="462"/>
      <c r="AX42" s="462"/>
      <c r="AY42" s="462"/>
      <c r="AZ42" s="627"/>
      <c r="BA42" s="462"/>
      <c r="BB42" s="462"/>
      <c r="BC42" s="462"/>
      <c r="BD42" s="583"/>
      <c r="BE42" s="462"/>
      <c r="BF42" s="462"/>
      <c r="BG42" s="462"/>
      <c r="BH42" s="627"/>
      <c r="BI42" s="462"/>
      <c r="BJ42" s="462"/>
      <c r="BK42" s="462"/>
      <c r="BL42" s="583"/>
      <c r="BM42" s="462"/>
      <c r="BN42" s="462"/>
      <c r="BO42" s="462"/>
      <c r="BP42" s="627"/>
      <c r="BQ42" s="462"/>
      <c r="BR42" s="462"/>
      <c r="BS42" s="462"/>
      <c r="BT42" s="583"/>
      <c r="BU42" s="462"/>
      <c r="BV42" s="462"/>
      <c r="BW42" s="462"/>
      <c r="BX42" s="627"/>
      <c r="BY42" s="462"/>
      <c r="BZ42" s="462"/>
      <c r="CA42" s="462"/>
      <c r="CB42" s="583"/>
      <c r="CC42" s="462"/>
      <c r="CD42" s="462"/>
      <c r="CE42" s="462"/>
      <c r="CF42" s="627"/>
      <c r="CG42" s="462"/>
      <c r="CH42" s="462"/>
      <c r="CI42" s="462"/>
      <c r="CJ42" s="583"/>
    </row>
    <row r="43" spans="1:88" x14ac:dyDescent="0.2">
      <c r="A43" s="619"/>
      <c r="B43" s="180"/>
      <c r="E43" s="580"/>
      <c r="F43" s="141"/>
      <c r="G43" s="580"/>
      <c r="H43" s="580"/>
      <c r="I43" s="580"/>
      <c r="J43" s="580"/>
      <c r="K43" s="580"/>
      <c r="L43" s="580"/>
      <c r="M43" s="580"/>
      <c r="N43" s="580"/>
      <c r="O43" s="580"/>
      <c r="P43" s="580"/>
      <c r="Q43" s="580"/>
      <c r="R43" s="580"/>
      <c r="S43" s="580"/>
      <c r="T43" s="580"/>
      <c r="U43" s="580"/>
      <c r="V43" s="580"/>
      <c r="W43" s="580"/>
      <c r="X43" s="581"/>
      <c r="Y43" s="580"/>
      <c r="Z43" s="580"/>
      <c r="AA43" s="580"/>
      <c r="AB43" s="582"/>
      <c r="AC43" s="580"/>
      <c r="AD43" s="580"/>
      <c r="AE43" s="580"/>
      <c r="AF43" s="583"/>
      <c r="AG43" s="580"/>
      <c r="AH43" s="580"/>
      <c r="AI43" s="580"/>
      <c r="AJ43" s="582"/>
      <c r="AK43" s="580"/>
      <c r="AL43" s="580"/>
      <c r="AM43" s="580"/>
      <c r="AN43" s="583"/>
      <c r="AO43" s="580"/>
      <c r="AP43" s="580"/>
      <c r="AQ43" s="580"/>
      <c r="AR43" s="582"/>
      <c r="AS43" s="580"/>
      <c r="AT43" s="580"/>
      <c r="AU43" s="580"/>
      <c r="AV43" s="583"/>
      <c r="AW43" s="580"/>
      <c r="AX43" s="580"/>
      <c r="AY43" s="580"/>
      <c r="AZ43" s="582"/>
      <c r="BA43" s="580"/>
      <c r="BB43" s="580"/>
      <c r="BC43" s="580"/>
      <c r="BD43" s="583"/>
      <c r="BE43" s="580"/>
      <c r="BF43" s="580"/>
      <c r="BG43" s="580"/>
      <c r="BH43" s="582"/>
      <c r="BI43" s="580"/>
      <c r="BJ43" s="580"/>
      <c r="BK43" s="580"/>
      <c r="BL43" s="583"/>
      <c r="BM43" s="580"/>
      <c r="BN43" s="580"/>
      <c r="BO43" s="580"/>
      <c r="BP43" s="582"/>
      <c r="BQ43" s="580"/>
      <c r="BR43" s="580"/>
      <c r="BS43" s="580"/>
      <c r="BT43" s="583"/>
      <c r="BU43" s="580"/>
      <c r="BV43" s="580"/>
      <c r="BW43" s="580"/>
      <c r="BX43" s="582"/>
      <c r="BY43" s="580"/>
      <c r="BZ43" s="580"/>
      <c r="CA43" s="580"/>
      <c r="CB43" s="583"/>
      <c r="CC43" s="580"/>
      <c r="CD43" s="580"/>
      <c r="CE43" s="580"/>
      <c r="CF43" s="582"/>
      <c r="CG43" s="580"/>
      <c r="CH43" s="580"/>
      <c r="CI43" s="580"/>
      <c r="CJ43" s="583"/>
    </row>
    <row r="44" spans="1:88" x14ac:dyDescent="0.2">
      <c r="A44" s="628" t="s">
        <v>741</v>
      </c>
      <c r="B44" s="629"/>
      <c r="C44" s="454"/>
      <c r="D44" s="454"/>
      <c r="E44" s="454"/>
      <c r="F44" s="454"/>
      <c r="G44" s="454"/>
      <c r="H44" s="454"/>
      <c r="I44" s="454"/>
      <c r="J44" s="630"/>
      <c r="K44" s="631"/>
      <c r="L44" s="632"/>
      <c r="M44" s="631"/>
      <c r="N44" s="631"/>
      <c r="O44" s="631"/>
      <c r="P44" s="631"/>
      <c r="Q44" s="631"/>
      <c r="R44" s="631"/>
      <c r="S44" s="631"/>
      <c r="T44" s="631"/>
      <c r="U44" s="631"/>
      <c r="V44" s="631"/>
      <c r="W44" s="631"/>
      <c r="X44" s="633"/>
      <c r="Y44" s="631"/>
      <c r="Z44" s="631"/>
      <c r="AA44" s="631"/>
      <c r="AB44" s="634"/>
      <c r="AC44" s="631"/>
      <c r="AD44" s="631"/>
      <c r="AE44" s="631"/>
      <c r="AF44" s="635"/>
      <c r="AG44" s="631"/>
      <c r="AH44" s="631"/>
      <c r="AI44" s="631"/>
      <c r="AJ44" s="634"/>
      <c r="AK44" s="631"/>
      <c r="AL44" s="631"/>
      <c r="AM44" s="631"/>
      <c r="AN44" s="635"/>
      <c r="AO44" s="631"/>
      <c r="AP44" s="631"/>
      <c r="AQ44" s="631"/>
      <c r="AR44" s="634"/>
      <c r="AS44" s="631"/>
      <c r="AT44" s="631"/>
      <c r="AU44" s="631"/>
      <c r="AV44" s="635"/>
      <c r="AW44" s="631"/>
      <c r="AX44" s="631"/>
      <c r="AY44" s="631"/>
      <c r="AZ44" s="634"/>
      <c r="BA44" s="631"/>
      <c r="BB44" s="631"/>
      <c r="BC44" s="631"/>
      <c r="BD44" s="635"/>
      <c r="BE44" s="631"/>
      <c r="BF44" s="631"/>
      <c r="BG44" s="631"/>
      <c r="BH44" s="634"/>
      <c r="BI44" s="631"/>
      <c r="BJ44" s="631"/>
      <c r="BK44" s="631"/>
      <c r="BL44" s="635"/>
      <c r="BM44" s="631"/>
      <c r="BN44" s="631"/>
      <c r="BO44" s="631"/>
      <c r="BP44" s="634"/>
      <c r="BQ44" s="631"/>
      <c r="BR44" s="631"/>
      <c r="BS44" s="631"/>
      <c r="BT44" s="635"/>
      <c r="BU44" s="631"/>
      <c r="BV44" s="631"/>
      <c r="BW44" s="631"/>
      <c r="BX44" s="634"/>
      <c r="BY44" s="631"/>
      <c r="BZ44" s="631"/>
      <c r="CA44" s="631"/>
      <c r="CB44" s="635"/>
      <c r="CC44" s="631"/>
      <c r="CD44" s="631"/>
      <c r="CE44" s="631"/>
      <c r="CF44" s="634"/>
      <c r="CG44" s="631"/>
      <c r="CH44" s="631"/>
      <c r="CI44" s="631"/>
      <c r="CJ44" s="635"/>
    </row>
    <row r="45" spans="1:88" x14ac:dyDescent="0.2">
      <c r="A45" s="636"/>
      <c r="B45" s="284"/>
      <c r="C45" s="186"/>
      <c r="D45" s="186"/>
      <c r="E45" s="186"/>
      <c r="F45" s="186"/>
      <c r="G45" s="186"/>
      <c r="H45" s="186"/>
      <c r="I45" s="186"/>
      <c r="J45" s="462"/>
      <c r="K45" s="580"/>
      <c r="L45" s="272"/>
      <c r="M45" s="580"/>
      <c r="N45" s="580"/>
      <c r="O45" s="580"/>
      <c r="P45" s="580"/>
      <c r="Q45" s="580"/>
      <c r="R45" s="580"/>
      <c r="S45" s="580"/>
      <c r="T45" s="580"/>
      <c r="U45" s="580"/>
      <c r="V45" s="580"/>
      <c r="W45" s="580"/>
      <c r="X45" s="581"/>
      <c r="Y45" s="580"/>
      <c r="Z45" s="580"/>
      <c r="AA45" s="580"/>
      <c r="AB45" s="582"/>
      <c r="AC45" s="580"/>
      <c r="AD45" s="580"/>
      <c r="AE45" s="580"/>
      <c r="AF45" s="583"/>
      <c r="AG45" s="580"/>
      <c r="AH45" s="580"/>
      <c r="AI45" s="580"/>
      <c r="AJ45" s="582"/>
      <c r="AK45" s="580"/>
      <c r="AL45" s="580"/>
      <c r="AM45" s="580"/>
      <c r="AN45" s="583"/>
      <c r="AO45" s="580"/>
      <c r="AP45" s="580"/>
      <c r="AQ45" s="580"/>
      <c r="AR45" s="582"/>
      <c r="AS45" s="580"/>
      <c r="AT45" s="580"/>
      <c r="AU45" s="580"/>
      <c r="AV45" s="583"/>
      <c r="AW45" s="580"/>
      <c r="AX45" s="580"/>
      <c r="AY45" s="580"/>
      <c r="AZ45" s="582"/>
      <c r="BA45" s="580"/>
      <c r="BB45" s="580"/>
      <c r="BC45" s="580"/>
      <c r="BD45" s="583"/>
      <c r="BE45" s="580"/>
      <c r="BF45" s="580"/>
      <c r="BG45" s="580"/>
      <c r="BH45" s="582"/>
      <c r="BI45" s="580"/>
      <c r="BJ45" s="580"/>
      <c r="BK45" s="580"/>
      <c r="BL45" s="583"/>
      <c r="BM45" s="580"/>
      <c r="BN45" s="580"/>
      <c r="BO45" s="580"/>
      <c r="BP45" s="582"/>
      <c r="BQ45" s="580"/>
      <c r="BR45" s="580"/>
      <c r="BS45" s="580"/>
      <c r="BT45" s="583"/>
      <c r="BU45" s="580"/>
      <c r="BV45" s="580"/>
      <c r="BW45" s="580"/>
      <c r="BX45" s="582"/>
      <c r="BY45" s="580"/>
      <c r="BZ45" s="580"/>
      <c r="CA45" s="580"/>
      <c r="CB45" s="583"/>
      <c r="CC45" s="580"/>
      <c r="CD45" s="580"/>
      <c r="CE45" s="580"/>
      <c r="CF45" s="582"/>
      <c r="CG45" s="580"/>
      <c r="CH45" s="580"/>
      <c r="CI45" s="580"/>
      <c r="CJ45" s="583"/>
    </row>
    <row r="46" spans="1:88" x14ac:dyDescent="0.2">
      <c r="A46" s="616" t="s">
        <v>742</v>
      </c>
      <c r="B46" s="180"/>
      <c r="D46" s="186">
        <f>Divisional!B65</f>
        <v>287</v>
      </c>
      <c r="E46" s="186">
        <f>Divisional!C65</f>
        <v>319</v>
      </c>
      <c r="F46" s="186">
        <f>Divisional!D65</f>
        <v>334</v>
      </c>
      <c r="G46" s="186">
        <f>Divisional!E65</f>
        <v>401</v>
      </c>
      <c r="H46" s="186">
        <f>Divisional!F65</f>
        <v>383</v>
      </c>
      <c r="I46" s="186">
        <f>Divisional!G65</f>
        <v>336</v>
      </c>
      <c r="J46" s="637">
        <f>Divisional!H65</f>
        <v>331</v>
      </c>
      <c r="K46" s="637">
        <f>Divisional!I65</f>
        <v>420</v>
      </c>
      <c r="L46" s="141">
        <f>Divisional!J65</f>
        <v>649</v>
      </c>
      <c r="M46" s="141">
        <f>Divisional!K65</f>
        <v>789</v>
      </c>
      <c r="N46" s="141">
        <f>Divisional!L65</f>
        <v>894</v>
      </c>
      <c r="O46" s="141">
        <f>Divisional!M65</f>
        <v>875</v>
      </c>
      <c r="P46" s="141">
        <f>Divisional!N65</f>
        <v>775</v>
      </c>
      <c r="Q46" s="141">
        <f>Divisional!O65</f>
        <v>748</v>
      </c>
      <c r="R46" s="141">
        <f>Divisional!P65</f>
        <v>754</v>
      </c>
      <c r="S46" s="141">
        <f>Divisional!Q65</f>
        <v>537</v>
      </c>
      <c r="T46" s="141">
        <f>Divisional!R65</f>
        <v>546</v>
      </c>
      <c r="U46" s="141">
        <f>Divisional!S65</f>
        <v>573</v>
      </c>
      <c r="V46" s="141">
        <f>Divisional!T65</f>
        <v>334</v>
      </c>
      <c r="W46" s="141">
        <f>Divisional!U65</f>
        <v>397</v>
      </c>
      <c r="X46" s="144">
        <f>Divisional!V65</f>
        <v>457</v>
      </c>
      <c r="Y46" s="141"/>
      <c r="Z46" s="141"/>
      <c r="AA46" s="141"/>
      <c r="AB46" s="617"/>
      <c r="AC46" s="141">
        <v>241</v>
      </c>
      <c r="AD46" s="141">
        <f>AF46-AC46</f>
        <v>329</v>
      </c>
      <c r="AE46" s="141"/>
      <c r="AF46" s="1353">
        <f>Divisional!W65</f>
        <v>570</v>
      </c>
      <c r="AG46" s="141"/>
      <c r="AH46" s="141"/>
      <c r="AI46" s="141"/>
      <c r="AJ46" s="617"/>
      <c r="AK46" s="141">
        <v>296</v>
      </c>
      <c r="AL46" s="141">
        <f>AN46-AK46</f>
        <v>348</v>
      </c>
      <c r="AM46" s="141"/>
      <c r="AN46" s="1353">
        <f>Divisional!X65</f>
        <v>644</v>
      </c>
      <c r="AO46" s="141"/>
      <c r="AP46" s="141"/>
      <c r="AQ46" s="141"/>
      <c r="AR46" s="617"/>
      <c r="AS46" s="141">
        <v>291</v>
      </c>
      <c r="AT46" s="141">
        <f>AV46-AS46</f>
        <v>385</v>
      </c>
      <c r="AU46" s="141"/>
      <c r="AV46" s="1353">
        <f>Divisional!Y65</f>
        <v>676</v>
      </c>
      <c r="AW46" s="141"/>
      <c r="AX46" s="141"/>
      <c r="AY46" s="141"/>
      <c r="AZ46" s="617"/>
      <c r="BA46" s="141">
        <v>345</v>
      </c>
      <c r="BB46" s="149">
        <f>BD46-BA46</f>
        <v>517.04310937888465</v>
      </c>
      <c r="BC46" s="141"/>
      <c r="BD46" s="618">
        <f>BD47*BD9</f>
        <v>862.04310937888465</v>
      </c>
      <c r="BE46" s="141"/>
      <c r="BF46" s="141"/>
      <c r="BG46" s="141"/>
      <c r="BH46" s="617"/>
      <c r="BI46" s="149">
        <f>BI47*BI9</f>
        <v>433.06500293503689</v>
      </c>
      <c r="BJ46" s="149">
        <f>BL46-BI46</f>
        <v>518.68079781583015</v>
      </c>
      <c r="BK46" s="141"/>
      <c r="BL46" s="618">
        <f>BL47*BL9</f>
        <v>951.74580075086703</v>
      </c>
      <c r="BM46" s="141"/>
      <c r="BN46" s="141"/>
      <c r="BO46" s="141"/>
      <c r="BP46" s="617"/>
      <c r="BQ46" s="149">
        <f>BQ47*BQ9</f>
        <v>479.5634539345528</v>
      </c>
      <c r="BR46" s="149">
        <f>BT46-BQ46</f>
        <v>569.13066547073231</v>
      </c>
      <c r="BS46" s="141"/>
      <c r="BT46" s="618">
        <f>BT47*BT9</f>
        <v>1048.6941194052852</v>
      </c>
      <c r="BU46" s="141"/>
      <c r="BV46" s="141"/>
      <c r="BW46" s="141"/>
      <c r="BX46" s="617"/>
      <c r="BY46" s="149">
        <f>BY47*BY9</f>
        <v>510.50760235256467</v>
      </c>
      <c r="BZ46" s="149">
        <f>CB46-BY46</f>
        <v>604.13144570457189</v>
      </c>
      <c r="CA46" s="141"/>
      <c r="CB46" s="618">
        <f>CB47*CB9</f>
        <v>1114.6390480571365</v>
      </c>
      <c r="CC46" s="141"/>
      <c r="CD46" s="141"/>
      <c r="CE46" s="141"/>
      <c r="CF46" s="617"/>
      <c r="CG46" s="149">
        <f>CG47*CG9</f>
        <v>518.42770172398104</v>
      </c>
      <c r="CH46" s="149">
        <f>CJ46-CG46</f>
        <v>612.17512240985707</v>
      </c>
      <c r="CI46" s="141"/>
      <c r="CJ46" s="618">
        <f>CJ47*CJ9</f>
        <v>1130.6028241338381</v>
      </c>
    </row>
    <row r="47" spans="1:88" x14ac:dyDescent="0.2">
      <c r="A47" s="619" t="str">
        <f>A35</f>
        <v>As % of adjusted revenue</v>
      </c>
      <c r="B47" s="180"/>
      <c r="D47" s="272">
        <f t="shared" ref="D47:R47" si="101">D46/D77</f>
        <v>6.651216685979143E-2</v>
      </c>
      <c r="E47" s="272">
        <f t="shared" si="101"/>
        <v>7.0999332294680612E-2</v>
      </c>
      <c r="F47" s="272">
        <f t="shared" si="101"/>
        <v>6.5838754188842899E-2</v>
      </c>
      <c r="G47" s="272">
        <f t="shared" si="101"/>
        <v>6.777082981240494E-2</v>
      </c>
      <c r="H47" s="272">
        <f t="shared" si="101"/>
        <v>6.5875472996216031E-2</v>
      </c>
      <c r="I47" s="272">
        <f t="shared" si="101"/>
        <v>5.9227921734531994E-2</v>
      </c>
      <c r="J47" s="272">
        <f t="shared" si="101"/>
        <v>5.9064953604568163E-2</v>
      </c>
      <c r="K47" s="272">
        <f t="shared" si="101"/>
        <v>6.8739770867430439E-2</v>
      </c>
      <c r="L47" s="272">
        <f t="shared" si="101"/>
        <v>9.2648108493932901E-2</v>
      </c>
      <c r="M47" s="272">
        <f t="shared" si="101"/>
        <v>0.10396626696534458</v>
      </c>
      <c r="N47" s="272">
        <f t="shared" si="101"/>
        <v>0.10965288850729793</v>
      </c>
      <c r="O47" s="272">
        <f t="shared" si="101"/>
        <v>9.3894194656078983E-2</v>
      </c>
      <c r="P47" s="272">
        <f t="shared" si="101"/>
        <v>8.2525822596102652E-2</v>
      </c>
      <c r="Q47" s="272">
        <f t="shared" si="101"/>
        <v>7.6788830715532289E-2</v>
      </c>
      <c r="R47" s="272">
        <f t="shared" si="101"/>
        <v>8.0581382921876665E-2</v>
      </c>
      <c r="S47" s="272">
        <f t="shared" ref="S47:X47" si="102">S46/S9</f>
        <v>5.137772675086108E-2</v>
      </c>
      <c r="T47" s="272">
        <f t="shared" si="102"/>
        <v>5.1611683523962566E-2</v>
      </c>
      <c r="U47" s="272">
        <f t="shared" si="102"/>
        <v>4.7571606475716066E-2</v>
      </c>
      <c r="V47" s="272">
        <f t="shared" si="102"/>
        <v>4.3586062899647657E-2</v>
      </c>
      <c r="W47" s="272">
        <f t="shared" si="102"/>
        <v>5.3367388089797019E-2</v>
      </c>
      <c r="X47" s="275">
        <f t="shared" si="102"/>
        <v>4.8074900063118028E-2</v>
      </c>
      <c r="Y47" s="272"/>
      <c r="Z47" s="272"/>
      <c r="AA47" s="272"/>
      <c r="AB47" s="248"/>
      <c r="AC47" s="272">
        <f t="shared" ref="AC47" si="103">AC46/AC9</f>
        <v>4.2451999295402498E-2</v>
      </c>
      <c r="AD47" s="272">
        <f>AD46/AD9</f>
        <v>5.3073076302629453E-2</v>
      </c>
      <c r="AE47" s="272"/>
      <c r="AF47" s="602">
        <f t="shared" ref="AF47" si="104">AF46/AF9</f>
        <v>4.799595823509599E-2</v>
      </c>
      <c r="AG47" s="272"/>
      <c r="AH47" s="272"/>
      <c r="AI47" s="272"/>
      <c r="AJ47" s="248"/>
      <c r="AK47" s="272">
        <f t="shared" ref="AK47" si="105">AK46/AK9</f>
        <v>4.5813341587989477E-2</v>
      </c>
      <c r="AL47" s="272">
        <f>AL46/AL9</f>
        <v>4.8393825615352527E-2</v>
      </c>
      <c r="AM47" s="272"/>
      <c r="AN47" s="602">
        <f t="shared" ref="AN47" si="106">AN46/AN9</f>
        <v>4.7172575446820977E-2</v>
      </c>
      <c r="AO47" s="272"/>
      <c r="AP47" s="272"/>
      <c r="AQ47" s="272"/>
      <c r="AR47" s="248"/>
      <c r="AS47" s="272">
        <f t="shared" ref="AS47" si="107">AS46/AS9</f>
        <v>3.8589046545550988E-2</v>
      </c>
      <c r="AT47" s="272">
        <f>AT46/AT9</f>
        <v>4.7372954349698522E-2</v>
      </c>
      <c r="AU47" s="272"/>
      <c r="AV47" s="602">
        <f t="shared" ref="AV47" si="108">AV46/AV9</f>
        <v>4.314526423283125E-2</v>
      </c>
      <c r="AW47" s="274"/>
      <c r="AX47" s="274"/>
      <c r="AY47" s="274"/>
      <c r="AZ47" s="273"/>
      <c r="BA47" s="272">
        <f t="shared" ref="BA47" si="109">BA46/BA9</f>
        <v>3.7589888864676402E-2</v>
      </c>
      <c r="BB47" s="274">
        <f>BB46/BB9</f>
        <v>5.1833428451228229E-2</v>
      </c>
      <c r="BC47" s="274"/>
      <c r="BD47" s="601">
        <v>4.4999999999999998E-2</v>
      </c>
      <c r="BE47" s="274"/>
      <c r="BF47" s="274"/>
      <c r="BG47" s="274"/>
      <c r="BH47" s="273"/>
      <c r="BI47" s="274">
        <f>BL47</f>
        <v>4.4999999999999998E-2</v>
      </c>
      <c r="BJ47" s="274">
        <f>BJ46/BJ9</f>
        <v>4.4999999999999984E-2</v>
      </c>
      <c r="BK47" s="274"/>
      <c r="BL47" s="600">
        <f>BD47</f>
        <v>4.4999999999999998E-2</v>
      </c>
      <c r="BM47" s="274"/>
      <c r="BN47" s="274"/>
      <c r="BO47" s="274"/>
      <c r="BP47" s="273"/>
      <c r="BQ47" s="274">
        <f>BT47</f>
        <v>4.4999999999999998E-2</v>
      </c>
      <c r="BR47" s="274">
        <f>BR46/BR9</f>
        <v>4.4999999999999964E-2</v>
      </c>
      <c r="BS47" s="274"/>
      <c r="BT47" s="600">
        <f>BL47</f>
        <v>4.4999999999999998E-2</v>
      </c>
      <c r="BU47" s="274"/>
      <c r="BV47" s="274"/>
      <c r="BW47" s="274"/>
      <c r="BX47" s="273"/>
      <c r="BY47" s="274">
        <f>CB47</f>
        <v>4.4999999999999998E-2</v>
      </c>
      <c r="BZ47" s="274">
        <f>BZ46/BZ9</f>
        <v>4.4999999999999984E-2</v>
      </c>
      <c r="CA47" s="274"/>
      <c r="CB47" s="600">
        <f>BT47</f>
        <v>4.4999999999999998E-2</v>
      </c>
      <c r="CC47" s="274"/>
      <c r="CD47" s="274"/>
      <c r="CE47" s="274"/>
      <c r="CF47" s="273"/>
      <c r="CG47" s="274">
        <f>CJ47</f>
        <v>4.4999999999999998E-2</v>
      </c>
      <c r="CH47" s="274">
        <f>CH46/CH9</f>
        <v>4.4999999999999991E-2</v>
      </c>
      <c r="CI47" s="274"/>
      <c r="CJ47" s="600">
        <f>CB47</f>
        <v>4.4999999999999998E-2</v>
      </c>
    </row>
    <row r="48" spans="1:88" x14ac:dyDescent="0.2">
      <c r="A48" s="619"/>
      <c r="B48" s="180"/>
      <c r="D48" s="272"/>
      <c r="E48" s="272"/>
      <c r="F48" s="272"/>
      <c r="G48" s="272"/>
      <c r="H48" s="272"/>
      <c r="I48" s="272"/>
      <c r="J48" s="272"/>
      <c r="K48" s="272"/>
      <c r="L48" s="272"/>
      <c r="M48" s="272"/>
      <c r="N48" s="272"/>
      <c r="O48" s="580"/>
      <c r="P48" s="580"/>
      <c r="Q48" s="580"/>
      <c r="R48" s="580"/>
      <c r="S48" s="580"/>
      <c r="T48" s="580"/>
      <c r="U48" s="580"/>
      <c r="V48" s="580"/>
      <c r="W48" s="580"/>
      <c r="X48" s="581"/>
      <c r="Y48" s="580"/>
      <c r="Z48" s="580"/>
      <c r="AA48" s="580"/>
      <c r="AB48" s="582"/>
      <c r="AC48" s="580"/>
      <c r="AD48" s="580"/>
      <c r="AE48" s="580"/>
      <c r="AF48" s="583"/>
      <c r="AG48" s="580"/>
      <c r="AH48" s="580"/>
      <c r="AI48" s="580"/>
      <c r="AJ48" s="582"/>
      <c r="AK48" s="580"/>
      <c r="AL48" s="580"/>
      <c r="AM48" s="580"/>
      <c r="AN48" s="583"/>
      <c r="AO48" s="580"/>
      <c r="AP48" s="580"/>
      <c r="AQ48" s="580"/>
      <c r="AR48" s="582"/>
      <c r="AS48" s="580"/>
      <c r="AT48" s="580"/>
      <c r="AU48" s="580"/>
      <c r="AV48" s="583"/>
      <c r="AW48" s="580"/>
      <c r="AX48" s="580"/>
      <c r="AY48" s="580"/>
      <c r="AZ48" s="582"/>
      <c r="BA48" s="580"/>
      <c r="BB48" s="580"/>
      <c r="BC48" s="580"/>
      <c r="BD48" s="583"/>
      <c r="BE48" s="580"/>
      <c r="BF48" s="580"/>
      <c r="BG48" s="580"/>
      <c r="BH48" s="582"/>
      <c r="BI48" s="580"/>
      <c r="BJ48" s="580"/>
      <c r="BK48" s="580"/>
      <c r="BL48" s="583"/>
      <c r="BM48" s="580"/>
      <c r="BN48" s="580"/>
      <c r="BO48" s="580"/>
      <c r="BP48" s="582"/>
      <c r="BQ48" s="580"/>
      <c r="BR48" s="580"/>
      <c r="BS48" s="580"/>
      <c r="BT48" s="583"/>
      <c r="BU48" s="580"/>
      <c r="BV48" s="580"/>
      <c r="BW48" s="580"/>
      <c r="BX48" s="582"/>
      <c r="BY48" s="580"/>
      <c r="BZ48" s="580"/>
      <c r="CA48" s="580"/>
      <c r="CB48" s="583"/>
      <c r="CC48" s="580"/>
      <c r="CD48" s="580"/>
      <c r="CE48" s="580"/>
      <c r="CF48" s="582"/>
      <c r="CG48" s="580"/>
      <c r="CH48" s="580"/>
      <c r="CI48" s="580"/>
      <c r="CJ48" s="583"/>
    </row>
    <row r="49" spans="1:88" x14ac:dyDescent="0.2">
      <c r="A49" s="616" t="s">
        <v>743</v>
      </c>
      <c r="B49" s="284"/>
      <c r="C49" s="186"/>
      <c r="D49" s="638"/>
      <c r="E49" s="638"/>
      <c r="F49" s="638"/>
      <c r="G49" s="638"/>
      <c r="H49" s="638"/>
      <c r="I49" s="638"/>
      <c r="J49" s="638"/>
      <c r="K49" s="638"/>
      <c r="L49" s="638"/>
      <c r="M49" s="638"/>
      <c r="N49" s="141">
        <v>58</v>
      </c>
      <c r="O49" s="141">
        <v>66</v>
      </c>
      <c r="P49" s="141">
        <v>59</v>
      </c>
      <c r="Q49" s="141">
        <v>58</v>
      </c>
      <c r="R49" s="141">
        <f>+Q49</f>
        <v>58</v>
      </c>
      <c r="S49" s="141">
        <v>58</v>
      </c>
      <c r="T49" s="141">
        <v>62</v>
      </c>
      <c r="U49" s="141">
        <v>65</v>
      </c>
      <c r="V49" s="141">
        <v>57</v>
      </c>
      <c r="W49" s="141">
        <v>61</v>
      </c>
      <c r="X49" s="144">
        <v>57</v>
      </c>
      <c r="Y49" s="141"/>
      <c r="Z49" s="141"/>
      <c r="AA49" s="141"/>
      <c r="AB49" s="617"/>
      <c r="AC49" s="141">
        <v>34</v>
      </c>
      <c r="AD49" s="141">
        <f>AF49-AC49</f>
        <v>33</v>
      </c>
      <c r="AE49" s="141"/>
      <c r="AF49" s="1353">
        <v>67</v>
      </c>
      <c r="AG49" s="141"/>
      <c r="AH49" s="141"/>
      <c r="AI49" s="141"/>
      <c r="AJ49" s="617"/>
      <c r="AK49" s="141">
        <v>37</v>
      </c>
      <c r="AL49" s="141">
        <f>AN49-AK49</f>
        <v>37</v>
      </c>
      <c r="AM49" s="141"/>
      <c r="AN49" s="1353">
        <v>74</v>
      </c>
      <c r="AO49" s="141"/>
      <c r="AP49" s="141"/>
      <c r="AQ49" s="141"/>
      <c r="AR49" s="617"/>
      <c r="AS49" s="141">
        <v>39</v>
      </c>
      <c r="AT49" s="141">
        <f>AV49-AS49</f>
        <v>31</v>
      </c>
      <c r="AU49" s="141"/>
      <c r="AV49" s="1718">
        <v>70</v>
      </c>
      <c r="AW49" s="141"/>
      <c r="AX49" s="141"/>
      <c r="AY49" s="141"/>
      <c r="AZ49" s="617"/>
      <c r="BA49" s="141">
        <v>37</v>
      </c>
      <c r="BB49" s="149">
        <f>BD49-BA49</f>
        <v>52.264819018523553</v>
      </c>
      <c r="BC49" s="141"/>
      <c r="BD49" s="639">
        <f>AV49/AV46*BD46</f>
        <v>89.264819018523553</v>
      </c>
      <c r="BE49" s="141"/>
      <c r="BF49" s="141"/>
      <c r="BG49" s="141"/>
      <c r="BH49" s="617"/>
      <c r="BI49" s="640">
        <f>BL49/2</f>
        <v>49.276779624675065</v>
      </c>
      <c r="BJ49" s="149">
        <f>BL49-BI49</f>
        <v>49.276779624675065</v>
      </c>
      <c r="BK49" s="141"/>
      <c r="BL49" s="639">
        <f>BD49/BD46*BL46</f>
        <v>98.55355924935013</v>
      </c>
      <c r="BM49" s="141"/>
      <c r="BN49" s="141"/>
      <c r="BO49" s="141"/>
      <c r="BP49" s="617"/>
      <c r="BQ49" s="640">
        <f>BT49/2</f>
        <v>54.296293164474818</v>
      </c>
      <c r="BR49" s="149">
        <f>BT49-BQ49</f>
        <v>54.296293164474818</v>
      </c>
      <c r="BS49" s="141"/>
      <c r="BT49" s="639">
        <f>BL49/BL46*BT46</f>
        <v>108.59258632894964</v>
      </c>
      <c r="BU49" s="141"/>
      <c r="BV49" s="141"/>
      <c r="BW49" s="141"/>
      <c r="BX49" s="617"/>
      <c r="BY49" s="640">
        <f>CB49/2</f>
        <v>57.710601600591382</v>
      </c>
      <c r="BZ49" s="149">
        <f>CB49-BY49</f>
        <v>57.710601600591382</v>
      </c>
      <c r="CA49" s="141"/>
      <c r="CB49" s="639">
        <f>BT49/BT46*CB46</f>
        <v>115.42120320118276</v>
      </c>
      <c r="CC49" s="141"/>
      <c r="CD49" s="141"/>
      <c r="CE49" s="141"/>
      <c r="CF49" s="617"/>
      <c r="CG49" s="640">
        <f>CJ49/2</f>
        <v>58.537128468467941</v>
      </c>
      <c r="CH49" s="149">
        <f>CJ49-CG49</f>
        <v>58.537128468467941</v>
      </c>
      <c r="CI49" s="141"/>
      <c r="CJ49" s="639">
        <f>CB49/CB46*CJ46</f>
        <v>117.07425693693588</v>
      </c>
    </row>
    <row r="50" spans="1:88" x14ac:dyDescent="0.2">
      <c r="A50" s="619"/>
      <c r="B50" s="180"/>
      <c r="E50" s="580"/>
      <c r="F50" s="141"/>
      <c r="G50" s="580"/>
      <c r="H50" s="580"/>
      <c r="I50" s="580"/>
      <c r="J50" s="580"/>
      <c r="K50" s="580"/>
      <c r="L50" s="580"/>
      <c r="M50" s="580"/>
      <c r="N50" s="580"/>
      <c r="O50" s="580"/>
      <c r="P50" s="580"/>
      <c r="Q50" s="580"/>
      <c r="R50" s="580"/>
      <c r="S50" s="580"/>
      <c r="T50" s="580"/>
      <c r="U50" s="580"/>
      <c r="V50" s="580"/>
      <c r="W50" s="580"/>
      <c r="X50" s="581"/>
      <c r="Y50" s="580"/>
      <c r="Z50" s="580"/>
      <c r="AA50" s="580"/>
      <c r="AB50" s="582"/>
      <c r="AC50" s="580"/>
      <c r="AD50" s="580"/>
      <c r="AE50" s="580"/>
      <c r="AF50" s="583"/>
      <c r="AG50" s="580"/>
      <c r="AH50" s="580"/>
      <c r="AI50" s="580"/>
      <c r="AJ50" s="582"/>
      <c r="AK50" s="580"/>
      <c r="AL50" s="580"/>
      <c r="AM50" s="580"/>
      <c r="AN50" s="583"/>
      <c r="AO50" s="580"/>
      <c r="AP50" s="580"/>
      <c r="AQ50" s="580"/>
      <c r="AR50" s="582"/>
      <c r="AS50" s="580"/>
      <c r="AT50" s="580"/>
      <c r="AU50" s="580"/>
      <c r="AV50" s="583"/>
      <c r="AW50" s="580"/>
      <c r="AX50" s="580"/>
      <c r="AY50" s="580"/>
      <c r="AZ50" s="582"/>
      <c r="BA50" s="580"/>
      <c r="BB50" s="580"/>
      <c r="BC50" s="580"/>
      <c r="BD50" s="641"/>
      <c r="BE50" s="580"/>
      <c r="BF50" s="580"/>
      <c r="BG50" s="580"/>
      <c r="BH50" s="582"/>
      <c r="BI50" s="642"/>
      <c r="BJ50" s="580"/>
      <c r="BK50" s="580"/>
      <c r="BL50" s="641"/>
      <c r="BM50" s="580"/>
      <c r="BN50" s="580"/>
      <c r="BO50" s="580"/>
      <c r="BP50" s="582"/>
      <c r="BQ50" s="642"/>
      <c r="BR50" s="580"/>
      <c r="BS50" s="580"/>
      <c r="BT50" s="641"/>
      <c r="BU50" s="580"/>
      <c r="BV50" s="580"/>
      <c r="BW50" s="580"/>
      <c r="BX50" s="582"/>
      <c r="BY50" s="642"/>
      <c r="BZ50" s="580"/>
      <c r="CA50" s="580"/>
      <c r="CB50" s="641"/>
      <c r="CC50" s="580"/>
      <c r="CD50" s="580"/>
      <c r="CE50" s="580"/>
      <c r="CF50" s="582"/>
      <c r="CG50" s="642"/>
      <c r="CH50" s="580"/>
      <c r="CI50" s="580"/>
      <c r="CJ50" s="641"/>
    </row>
    <row r="51" spans="1:88" x14ac:dyDescent="0.2">
      <c r="A51" s="616" t="s">
        <v>382</v>
      </c>
      <c r="B51" s="180"/>
      <c r="D51" s="186">
        <f>Divisional!B76</f>
        <v>67</v>
      </c>
      <c r="E51" s="186">
        <f>Divisional!C76</f>
        <v>112</v>
      </c>
      <c r="F51" s="186">
        <f>Divisional!D76</f>
        <v>74</v>
      </c>
      <c r="G51" s="186">
        <f>Divisional!E76</f>
        <v>5</v>
      </c>
      <c r="H51" s="186">
        <f>Divisional!F76</f>
        <v>126</v>
      </c>
      <c r="I51" s="186">
        <f>Divisional!G76</f>
        <v>84</v>
      </c>
      <c r="J51" s="451">
        <f>Divisional!H76</f>
        <v>98</v>
      </c>
      <c r="K51" s="451">
        <f>Divisional!I76</f>
        <v>161</v>
      </c>
      <c r="L51" s="141">
        <f>Divisional!J76</f>
        <v>342</v>
      </c>
      <c r="M51" s="141">
        <f>Divisional!K76</f>
        <v>516</v>
      </c>
      <c r="N51" s="141">
        <f>Divisional!L76</f>
        <v>475</v>
      </c>
      <c r="O51" s="141">
        <f>Divisional!M76</f>
        <v>357</v>
      </c>
      <c r="P51" s="141">
        <f>Divisional!N76</f>
        <v>218</v>
      </c>
      <c r="Q51" s="141">
        <f>Divisional!O76</f>
        <v>175</v>
      </c>
      <c r="R51" s="141">
        <f>Divisional!P76</f>
        <v>181</v>
      </c>
      <c r="S51" s="141">
        <f>Divisional!Q76</f>
        <v>102</v>
      </c>
      <c r="T51" s="141">
        <f>Divisional!R76</f>
        <v>103</v>
      </c>
      <c r="U51" s="141">
        <f>Divisional!S76</f>
        <v>96</v>
      </c>
      <c r="V51" s="141">
        <f>Divisional!T76</f>
        <v>62</v>
      </c>
      <c r="W51" s="141">
        <f>Divisional!U76</f>
        <v>105</v>
      </c>
      <c r="X51" s="144">
        <f>Divisional!V76</f>
        <v>92</v>
      </c>
      <c r="Y51" s="141"/>
      <c r="Z51" s="141"/>
      <c r="AA51" s="141"/>
      <c r="AB51" s="617"/>
      <c r="AC51" s="141">
        <v>42</v>
      </c>
      <c r="AD51" s="141">
        <f>AF51-AC51</f>
        <v>54</v>
      </c>
      <c r="AE51" s="141"/>
      <c r="AF51" s="1353">
        <f>Divisional!W76</f>
        <v>96</v>
      </c>
      <c r="AG51" s="141"/>
      <c r="AH51" s="141"/>
      <c r="AI51" s="141"/>
      <c r="AJ51" s="617"/>
      <c r="AK51" s="141">
        <v>45</v>
      </c>
      <c r="AL51" s="141">
        <f>AN51-AK51</f>
        <v>65</v>
      </c>
      <c r="AM51" s="141"/>
      <c r="AN51" s="1353">
        <f>Divisional!X76</f>
        <v>110</v>
      </c>
      <c r="AO51" s="141"/>
      <c r="AP51" s="141"/>
      <c r="AQ51" s="141"/>
      <c r="AR51" s="617"/>
      <c r="AS51" s="141">
        <v>50</v>
      </c>
      <c r="AT51" s="141">
        <f>AV51-AS51</f>
        <v>55</v>
      </c>
      <c r="AU51" s="141"/>
      <c r="AV51" s="1353">
        <f>Divisional!Y76</f>
        <v>105</v>
      </c>
      <c r="AW51" s="141"/>
      <c r="AX51" s="141"/>
      <c r="AY51" s="141"/>
      <c r="AZ51" s="617"/>
      <c r="BA51" s="141">
        <v>44</v>
      </c>
      <c r="BB51" s="149">
        <f>BD51-BA51</f>
        <v>85.306466406832698</v>
      </c>
      <c r="BC51" s="141"/>
      <c r="BD51" s="618">
        <f>BD52*BD46</f>
        <v>129.3064664068327</v>
      </c>
      <c r="BE51" s="141"/>
      <c r="BF51" s="141"/>
      <c r="BG51" s="141"/>
      <c r="BH51" s="617"/>
      <c r="BI51" s="149">
        <f>BI52*BI46</f>
        <v>64.959750440255533</v>
      </c>
      <c r="BJ51" s="149">
        <f>BL51-BI51</f>
        <v>77.802119672374516</v>
      </c>
      <c r="BK51" s="141"/>
      <c r="BL51" s="618">
        <f>BL52*BL46</f>
        <v>142.76187011263005</v>
      </c>
      <c r="BM51" s="141"/>
      <c r="BN51" s="141"/>
      <c r="BO51" s="141"/>
      <c r="BP51" s="617"/>
      <c r="BQ51" s="149">
        <f>BQ52*BQ46</f>
        <v>71.93451809018292</v>
      </c>
      <c r="BR51" s="149">
        <f>BT51-BQ51</f>
        <v>85.369599820609849</v>
      </c>
      <c r="BS51" s="141"/>
      <c r="BT51" s="618">
        <f>BT52*BT46</f>
        <v>157.30411791079277</v>
      </c>
      <c r="BU51" s="141"/>
      <c r="BV51" s="141"/>
      <c r="BW51" s="141"/>
      <c r="BX51" s="617"/>
      <c r="BY51" s="149">
        <f>BY52*BY46</f>
        <v>76.576140352884693</v>
      </c>
      <c r="BZ51" s="149">
        <f>CB51-BY51</f>
        <v>90.619716855685766</v>
      </c>
      <c r="CA51" s="141"/>
      <c r="CB51" s="618">
        <f>CB52*CB46</f>
        <v>167.19585720857046</v>
      </c>
      <c r="CC51" s="141"/>
      <c r="CD51" s="141"/>
      <c r="CE51" s="141"/>
      <c r="CF51" s="617"/>
      <c r="CG51" s="149">
        <f>CG52*CG46</f>
        <v>77.764155258597157</v>
      </c>
      <c r="CH51" s="149">
        <f>CJ51-CG51</f>
        <v>91.826268361478554</v>
      </c>
      <c r="CI51" s="141"/>
      <c r="CJ51" s="618">
        <f>CJ52*CJ46</f>
        <v>169.59042362007571</v>
      </c>
    </row>
    <row r="52" spans="1:88" x14ac:dyDescent="0.2">
      <c r="A52" s="619" t="s">
        <v>105</v>
      </c>
      <c r="B52" s="180"/>
      <c r="D52" s="19">
        <f t="shared" ref="D52:S52" si="110">D51/D46</f>
        <v>0.23344947735191637</v>
      </c>
      <c r="E52" s="19">
        <f t="shared" si="110"/>
        <v>0.35109717868338558</v>
      </c>
      <c r="F52" s="19">
        <f t="shared" si="110"/>
        <v>0.22155688622754491</v>
      </c>
      <c r="G52" s="19">
        <f t="shared" si="110"/>
        <v>1.2468827930174564E-2</v>
      </c>
      <c r="H52" s="19">
        <f t="shared" si="110"/>
        <v>0.32898172323759789</v>
      </c>
      <c r="I52" s="19">
        <f t="shared" si="110"/>
        <v>0.25</v>
      </c>
      <c r="J52" s="19">
        <f t="shared" si="110"/>
        <v>0.29607250755287007</v>
      </c>
      <c r="K52" s="19">
        <f t="shared" si="110"/>
        <v>0.38333333333333336</v>
      </c>
      <c r="L52" s="19">
        <f t="shared" si="110"/>
        <v>0.52696456086286592</v>
      </c>
      <c r="M52" s="19">
        <f t="shared" si="110"/>
        <v>0.6539923954372624</v>
      </c>
      <c r="N52" s="19">
        <f t="shared" si="110"/>
        <v>0.53131991051454142</v>
      </c>
      <c r="O52" s="19">
        <f t="shared" si="110"/>
        <v>0.40799999999999997</v>
      </c>
      <c r="P52" s="19">
        <f t="shared" si="110"/>
        <v>0.28129032258064518</v>
      </c>
      <c r="Q52" s="19">
        <f t="shared" si="110"/>
        <v>0.23395721925133689</v>
      </c>
      <c r="R52" s="19">
        <f t="shared" si="110"/>
        <v>0.24005305039787797</v>
      </c>
      <c r="S52" s="19">
        <f t="shared" si="110"/>
        <v>0.18994413407821228</v>
      </c>
      <c r="T52" s="19">
        <f>T51/T46</f>
        <v>0.18864468864468864</v>
      </c>
      <c r="U52" s="19">
        <f>U51/U46</f>
        <v>0.16753926701570682</v>
      </c>
      <c r="V52" s="19">
        <f>V51/V46</f>
        <v>0.18562874251497005</v>
      </c>
      <c r="W52" s="19">
        <f>W51/W46</f>
        <v>0.26448362720403024</v>
      </c>
      <c r="X52" s="494">
        <f>X51/X46</f>
        <v>0.20131291028446391</v>
      </c>
      <c r="Y52" s="19"/>
      <c r="Z52" s="19"/>
      <c r="AA52" s="19"/>
      <c r="AB52" s="643"/>
      <c r="AC52" s="19">
        <f>AC51/AC46</f>
        <v>0.17427385892116182</v>
      </c>
      <c r="AD52" s="19">
        <f>AD51/AD46</f>
        <v>0.1641337386018237</v>
      </c>
      <c r="AE52" s="19"/>
      <c r="AF52" s="668">
        <f>AF51/AF46</f>
        <v>0.16842105263157894</v>
      </c>
      <c r="AG52" s="19"/>
      <c r="AH52" s="19"/>
      <c r="AI52" s="19"/>
      <c r="AJ52" s="643"/>
      <c r="AK52" s="19">
        <f>AK51/AK46</f>
        <v>0.15202702702702703</v>
      </c>
      <c r="AL52" s="19">
        <f>AL51/AL46</f>
        <v>0.18678160919540229</v>
      </c>
      <c r="AM52" s="19"/>
      <c r="AN52" s="668">
        <f>AN51/AN46</f>
        <v>0.17080745341614906</v>
      </c>
      <c r="AO52" s="19"/>
      <c r="AP52" s="19"/>
      <c r="AQ52" s="19"/>
      <c r="AR52" s="643"/>
      <c r="AS52" s="19">
        <f>AS51/AS46</f>
        <v>0.1718213058419244</v>
      </c>
      <c r="AT52" s="19">
        <f>AT51/AT46</f>
        <v>0.14285714285714285</v>
      </c>
      <c r="AU52" s="19"/>
      <c r="AV52" s="668">
        <f>AV51/AV46</f>
        <v>0.15532544378698224</v>
      </c>
      <c r="AW52" s="495"/>
      <c r="AX52" s="495"/>
      <c r="AY52" s="495"/>
      <c r="AZ52" s="647"/>
      <c r="BA52" s="19">
        <f>BA51/BA46</f>
        <v>0.12753623188405797</v>
      </c>
      <c r="BB52" s="495">
        <f>BB51/BB46</f>
        <v>0.164989078975078</v>
      </c>
      <c r="BC52" s="495"/>
      <c r="BD52" s="644">
        <v>0.15</v>
      </c>
      <c r="BE52" s="495"/>
      <c r="BF52" s="495"/>
      <c r="BG52" s="495"/>
      <c r="BH52" s="647"/>
      <c r="BI52" s="495">
        <f>BL52</f>
        <v>0.15</v>
      </c>
      <c r="BJ52" s="495">
        <f>BJ51/BJ46</f>
        <v>0.15</v>
      </c>
      <c r="BK52" s="495"/>
      <c r="BL52" s="648">
        <f>+BD52</f>
        <v>0.15</v>
      </c>
      <c r="BM52" s="495"/>
      <c r="BN52" s="495"/>
      <c r="BO52" s="495"/>
      <c r="BP52" s="647"/>
      <c r="BQ52" s="495">
        <f>BT52</f>
        <v>0.15</v>
      </c>
      <c r="BR52" s="495">
        <f>BR51/BR46</f>
        <v>0.15</v>
      </c>
      <c r="BS52" s="495"/>
      <c r="BT52" s="648">
        <f>+BL52</f>
        <v>0.15</v>
      </c>
      <c r="BU52" s="495"/>
      <c r="BV52" s="495"/>
      <c r="BW52" s="495"/>
      <c r="BX52" s="647"/>
      <c r="BY52" s="495">
        <f>CB52</f>
        <v>0.15</v>
      </c>
      <c r="BZ52" s="495">
        <f>BZ51/BZ46</f>
        <v>0.14999999999999997</v>
      </c>
      <c r="CA52" s="495"/>
      <c r="CB52" s="648">
        <f>+BT52</f>
        <v>0.15</v>
      </c>
      <c r="CC52" s="495"/>
      <c r="CD52" s="495"/>
      <c r="CE52" s="495"/>
      <c r="CF52" s="647"/>
      <c r="CG52" s="495">
        <f>CJ52</f>
        <v>0.15</v>
      </c>
      <c r="CH52" s="495">
        <f>CH51/CH46</f>
        <v>0.15</v>
      </c>
      <c r="CI52" s="495"/>
      <c r="CJ52" s="648">
        <f>+CB52</f>
        <v>0.15</v>
      </c>
    </row>
    <row r="53" spans="1:88" x14ac:dyDescent="0.2">
      <c r="A53" s="619"/>
      <c r="B53" s="180"/>
      <c r="D53" s="19"/>
      <c r="E53" s="19"/>
      <c r="F53" s="19"/>
      <c r="G53" s="19"/>
      <c r="H53" s="19"/>
      <c r="I53" s="19"/>
      <c r="J53" s="19"/>
      <c r="K53" s="19"/>
      <c r="L53" s="19"/>
      <c r="M53" s="19"/>
      <c r="N53" s="19"/>
      <c r="O53" s="19"/>
      <c r="P53" s="19"/>
      <c r="Q53" s="19"/>
      <c r="R53" s="19"/>
      <c r="S53" s="19"/>
      <c r="T53" s="19"/>
      <c r="U53" s="19"/>
      <c r="V53" s="19"/>
      <c r="W53" s="19"/>
      <c r="X53" s="494"/>
      <c r="Y53" s="19"/>
      <c r="Z53" s="19"/>
      <c r="AA53" s="19"/>
      <c r="AB53" s="643"/>
      <c r="AC53" s="19"/>
      <c r="AD53" s="19"/>
      <c r="AE53" s="19"/>
      <c r="AF53" s="668"/>
      <c r="AG53" s="19"/>
      <c r="AH53" s="19"/>
      <c r="AI53" s="19"/>
      <c r="AJ53" s="643"/>
      <c r="AK53" s="19"/>
      <c r="AL53" s="19"/>
      <c r="AM53" s="19"/>
      <c r="AN53" s="668"/>
      <c r="AO53" s="19"/>
      <c r="AP53" s="19"/>
      <c r="AQ53" s="19"/>
      <c r="AR53" s="643"/>
      <c r="AS53" s="19"/>
      <c r="AT53" s="19"/>
      <c r="AU53" s="19"/>
      <c r="AV53" s="668"/>
      <c r="AW53" s="19"/>
      <c r="AX53" s="19"/>
      <c r="AY53" s="19"/>
      <c r="AZ53" s="643"/>
      <c r="BA53" s="19"/>
      <c r="BB53" s="19"/>
      <c r="BC53" s="19"/>
      <c r="BD53" s="645"/>
      <c r="BE53" s="19"/>
      <c r="BF53" s="19"/>
      <c r="BG53" s="19"/>
      <c r="BH53" s="643"/>
      <c r="BI53" s="646"/>
      <c r="BJ53" s="19"/>
      <c r="BK53" s="19"/>
      <c r="BL53" s="645"/>
      <c r="BM53" s="19"/>
      <c r="BN53" s="19"/>
      <c r="BO53" s="19"/>
      <c r="BP53" s="643"/>
      <c r="BQ53" s="646"/>
      <c r="BR53" s="19"/>
      <c r="BS53" s="19"/>
      <c r="BT53" s="645"/>
      <c r="BU53" s="19"/>
      <c r="BV53" s="19"/>
      <c r="BW53" s="19"/>
      <c r="BX53" s="643"/>
      <c r="BY53" s="646"/>
      <c r="BZ53" s="19"/>
      <c r="CA53" s="19"/>
      <c r="CB53" s="645"/>
      <c r="CC53" s="19"/>
      <c r="CD53" s="19"/>
      <c r="CE53" s="19"/>
      <c r="CF53" s="643"/>
      <c r="CG53" s="646"/>
      <c r="CH53" s="19"/>
      <c r="CI53" s="19"/>
      <c r="CJ53" s="645"/>
    </row>
    <row r="54" spans="1:88" x14ac:dyDescent="0.2">
      <c r="A54" s="616" t="s">
        <v>744</v>
      </c>
      <c r="B54" s="180"/>
      <c r="D54" s="186">
        <f t="shared" ref="D54:M54" si="111">D46-D51</f>
        <v>220</v>
      </c>
      <c r="E54" s="186">
        <f t="shared" si="111"/>
        <v>207</v>
      </c>
      <c r="F54" s="186">
        <f t="shared" si="111"/>
        <v>260</v>
      </c>
      <c r="G54" s="186">
        <f t="shared" si="111"/>
        <v>396</v>
      </c>
      <c r="H54" s="186">
        <f t="shared" si="111"/>
        <v>257</v>
      </c>
      <c r="I54" s="186">
        <f t="shared" si="111"/>
        <v>252</v>
      </c>
      <c r="J54" s="451">
        <f t="shared" si="111"/>
        <v>233</v>
      </c>
      <c r="K54" s="451">
        <f t="shared" si="111"/>
        <v>259</v>
      </c>
      <c r="L54" s="141">
        <f t="shared" si="111"/>
        <v>307</v>
      </c>
      <c r="M54" s="141">
        <f t="shared" si="111"/>
        <v>273</v>
      </c>
      <c r="N54" s="141">
        <f t="shared" ref="N54:X54" si="112">N46-N51-N49</f>
        <v>361</v>
      </c>
      <c r="O54" s="141">
        <f t="shared" si="112"/>
        <v>452</v>
      </c>
      <c r="P54" s="141">
        <f t="shared" si="112"/>
        <v>498</v>
      </c>
      <c r="Q54" s="141">
        <f t="shared" si="112"/>
        <v>515</v>
      </c>
      <c r="R54" s="141">
        <f t="shared" si="112"/>
        <v>515</v>
      </c>
      <c r="S54" s="141">
        <f t="shared" si="112"/>
        <v>377</v>
      </c>
      <c r="T54" s="141">
        <f t="shared" si="112"/>
        <v>381</v>
      </c>
      <c r="U54" s="141">
        <f t="shared" si="112"/>
        <v>412</v>
      </c>
      <c r="V54" s="141">
        <f t="shared" si="112"/>
        <v>215</v>
      </c>
      <c r="W54" s="141">
        <f t="shared" si="112"/>
        <v>231</v>
      </c>
      <c r="X54" s="144">
        <f t="shared" si="112"/>
        <v>308</v>
      </c>
      <c r="Y54" s="141"/>
      <c r="Z54" s="141"/>
      <c r="AA54" s="141"/>
      <c r="AB54" s="617"/>
      <c r="AC54" s="141">
        <f t="shared" ref="AC54" si="113">AC46-AC51-AC49</f>
        <v>165</v>
      </c>
      <c r="AD54" s="141">
        <f>AD46-AD51-AD49</f>
        <v>242</v>
      </c>
      <c r="AE54" s="141"/>
      <c r="AF54" s="1353">
        <f t="shared" ref="AF54" si="114">AF46-AF51-AF49</f>
        <v>407</v>
      </c>
      <c r="AG54" s="141"/>
      <c r="AH54" s="141"/>
      <c r="AI54" s="141"/>
      <c r="AJ54" s="617"/>
      <c r="AK54" s="141">
        <f t="shared" ref="AK54" si="115">AK46-AK51-AK49</f>
        <v>214</v>
      </c>
      <c r="AL54" s="141">
        <f>AL46-AL51-AL49</f>
        <v>246</v>
      </c>
      <c r="AM54" s="141"/>
      <c r="AN54" s="1353">
        <f t="shared" ref="AN54" si="116">AN46-AN51-AN49</f>
        <v>460</v>
      </c>
      <c r="AO54" s="141"/>
      <c r="AP54" s="141"/>
      <c r="AQ54" s="141"/>
      <c r="AR54" s="617"/>
      <c r="AS54" s="141">
        <f t="shared" ref="AS54" si="117">AS46-AS51-AS49</f>
        <v>202</v>
      </c>
      <c r="AT54" s="141">
        <f>AT46-AT51-AT49</f>
        <v>299</v>
      </c>
      <c r="AU54" s="141"/>
      <c r="AV54" s="1353">
        <f t="shared" ref="AV54" si="118">AV46-AV51-AV49</f>
        <v>501</v>
      </c>
      <c r="AW54" s="141"/>
      <c r="AX54" s="141"/>
      <c r="AY54" s="141"/>
      <c r="AZ54" s="617"/>
      <c r="BA54" s="141">
        <f t="shared" ref="BA54" si="119">BA46-BA51-BA49</f>
        <v>264</v>
      </c>
      <c r="BB54" s="149">
        <f>BB46-BB51-BB49</f>
        <v>379.47182395352843</v>
      </c>
      <c r="BC54" s="141"/>
      <c r="BD54" s="618">
        <f>BD46-BD51-BD49</f>
        <v>643.47182395352843</v>
      </c>
      <c r="BE54" s="141"/>
      <c r="BF54" s="141"/>
      <c r="BG54" s="141"/>
      <c r="BH54" s="617"/>
      <c r="BI54" s="149">
        <f>BI46-BI51-BI49</f>
        <v>318.82847287010628</v>
      </c>
      <c r="BJ54" s="149">
        <f>BJ46-BJ51-BJ49</f>
        <v>391.60189851878062</v>
      </c>
      <c r="BK54" s="141"/>
      <c r="BL54" s="618">
        <f>BL46-BL51-BL49</f>
        <v>710.4303713888869</v>
      </c>
      <c r="BM54" s="141"/>
      <c r="BN54" s="141"/>
      <c r="BO54" s="141"/>
      <c r="BP54" s="617"/>
      <c r="BQ54" s="149">
        <f>BQ46-BQ51-BQ49</f>
        <v>353.33264267989506</v>
      </c>
      <c r="BR54" s="149">
        <f>BR46-BR51-BR49</f>
        <v>429.46477248564764</v>
      </c>
      <c r="BS54" s="141"/>
      <c r="BT54" s="618">
        <f>BT46-BT51-BT49</f>
        <v>782.7974151655427</v>
      </c>
      <c r="BU54" s="141"/>
      <c r="BV54" s="141"/>
      <c r="BW54" s="141"/>
      <c r="BX54" s="617"/>
      <c r="BY54" s="149">
        <f>BY46-BY51-BY49</f>
        <v>376.22086039908862</v>
      </c>
      <c r="BZ54" s="149">
        <f>BZ46-BZ51-BZ49</f>
        <v>455.80112724829479</v>
      </c>
      <c r="CA54" s="141"/>
      <c r="CB54" s="618">
        <f>CB46-CB51-CB49</f>
        <v>832.0219876473833</v>
      </c>
      <c r="CC54" s="141"/>
      <c r="CD54" s="141"/>
      <c r="CE54" s="141"/>
      <c r="CF54" s="617"/>
      <c r="CG54" s="149">
        <f>CG46-CG51-CG49</f>
        <v>382.12641799691596</v>
      </c>
      <c r="CH54" s="149">
        <f>CH46-CH51-CH49</f>
        <v>461.81172557991056</v>
      </c>
      <c r="CI54" s="141"/>
      <c r="CJ54" s="618">
        <f>CJ46-CJ51-CJ49</f>
        <v>843.93814357682652</v>
      </c>
    </row>
    <row r="55" spans="1:88" x14ac:dyDescent="0.2">
      <c r="A55" s="619" t="str">
        <f>A47</f>
        <v>As % of adjusted revenue</v>
      </c>
      <c r="B55" s="180"/>
      <c r="D55" s="272">
        <f t="shared" ref="D55:I55" si="120">D54/D77</f>
        <v>5.0984936268829661E-2</v>
      </c>
      <c r="E55" s="272">
        <f t="shared" si="120"/>
        <v>4.6071667037614068E-2</v>
      </c>
      <c r="F55" s="272">
        <f t="shared" si="120"/>
        <v>5.1251724817662131E-2</v>
      </c>
      <c r="G55" s="272">
        <f t="shared" si="120"/>
        <v>6.692580699678892E-2</v>
      </c>
      <c r="H55" s="272">
        <f t="shared" si="120"/>
        <v>4.4203646370829033E-2</v>
      </c>
      <c r="I55" s="272">
        <f t="shared" si="120"/>
        <v>4.4420941300898999E-2</v>
      </c>
      <c r="J55" s="272">
        <f t="shared" ref="J55:X55" si="121">J54/J9</f>
        <v>4.1577444682369735E-2</v>
      </c>
      <c r="K55" s="272">
        <f t="shared" si="121"/>
        <v>4.2389525368248769E-2</v>
      </c>
      <c r="L55" s="272">
        <f t="shared" si="121"/>
        <v>4.3825838686652394E-2</v>
      </c>
      <c r="M55" s="272">
        <f t="shared" si="121"/>
        <v>3.5973118988008958E-2</v>
      </c>
      <c r="N55" s="272">
        <f t="shared" si="121"/>
        <v>4.4278179811112477E-2</v>
      </c>
      <c r="O55" s="272">
        <f t="shared" si="121"/>
        <v>4.8503058268054511E-2</v>
      </c>
      <c r="P55" s="272">
        <f t="shared" si="121"/>
        <v>5.3029496326269833E-2</v>
      </c>
      <c r="Q55" s="272">
        <f t="shared" si="121"/>
        <v>5.2869315265373168E-2</v>
      </c>
      <c r="R55" s="272">
        <f t="shared" si="121"/>
        <v>5.5039008229133268E-2</v>
      </c>
      <c r="S55" s="272">
        <f t="shared" si="121"/>
        <v>3.6069651741293535E-2</v>
      </c>
      <c r="T55" s="272">
        <f t="shared" si="121"/>
        <v>3.601474619529256E-2</v>
      </c>
      <c r="U55" s="272">
        <f t="shared" si="121"/>
        <v>3.4205064342050645E-2</v>
      </c>
      <c r="V55" s="272">
        <f t="shared" si="121"/>
        <v>2.8056896776719301E-2</v>
      </c>
      <c r="W55" s="272">
        <f t="shared" si="121"/>
        <v>3.1052560828068287E-2</v>
      </c>
      <c r="X55" s="275">
        <f t="shared" si="121"/>
        <v>3.2400589101620032E-2</v>
      </c>
      <c r="Y55" s="272"/>
      <c r="Z55" s="272"/>
      <c r="AA55" s="272"/>
      <c r="AB55" s="248"/>
      <c r="AC55" s="272">
        <f t="shared" ref="AC55" si="122">AC54/AC9</f>
        <v>2.9064646820503786E-2</v>
      </c>
      <c r="AD55" s="272">
        <f>AD54/AD9</f>
        <v>3.9038554605581546E-2</v>
      </c>
      <c r="AE55" s="272"/>
      <c r="AF55" s="602">
        <f t="shared" ref="AF55" si="123">AF54/AF9</f>
        <v>3.4270798248568539E-2</v>
      </c>
      <c r="AG55" s="272"/>
      <c r="AH55" s="272"/>
      <c r="AI55" s="272"/>
      <c r="AJ55" s="248"/>
      <c r="AK55" s="272">
        <f t="shared" ref="AK55" si="124">AK54/AK9</f>
        <v>3.3121807769695095E-2</v>
      </c>
      <c r="AL55" s="272">
        <f>AL54/AL9</f>
        <v>3.4209428452231953E-2</v>
      </c>
      <c r="AM55" s="272"/>
      <c r="AN55" s="602">
        <f t="shared" ref="AN55" si="125">AN54/AN9</f>
        <v>3.3694696747729271E-2</v>
      </c>
      <c r="AO55" s="272"/>
      <c r="AP55" s="272"/>
      <c r="AQ55" s="272"/>
      <c r="AR55" s="248"/>
      <c r="AS55" s="272">
        <f t="shared" ref="AS55" si="126">AS54/AS9</f>
        <v>2.6786898289351546E-2</v>
      </c>
      <c r="AT55" s="272">
        <f>AT54/AT9</f>
        <v>3.6790943767687947E-2</v>
      </c>
      <c r="AU55" s="272"/>
      <c r="AV55" s="602">
        <f t="shared" ref="AV55" si="127">AV54/AV9</f>
        <v>3.1976002042379374E-2</v>
      </c>
      <c r="AW55" s="272"/>
      <c r="AX55" s="272"/>
      <c r="AY55" s="272"/>
      <c r="AZ55" s="248"/>
      <c r="BA55" s="272">
        <f t="shared" ref="BA55" si="128">BA54/BA9</f>
        <v>2.8764436696448029E-2</v>
      </c>
      <c r="BB55" s="274">
        <f>BB54/BB9</f>
        <v>3.8041945206040415E-2</v>
      </c>
      <c r="BC55" s="272"/>
      <c r="BD55" s="600">
        <f>BD54/BD9</f>
        <v>3.359023668639053E-2</v>
      </c>
      <c r="BE55" s="272"/>
      <c r="BF55" s="272"/>
      <c r="BG55" s="272"/>
      <c r="BH55" s="248"/>
      <c r="BI55" s="274">
        <f>BI54/BI9</f>
        <v>3.3129625303171831E-2</v>
      </c>
      <c r="BJ55" s="274">
        <f>BJ54/BJ9</f>
        <v>3.397481747454676E-2</v>
      </c>
      <c r="BK55" s="272"/>
      <c r="BL55" s="600">
        <f>BL54/BL9</f>
        <v>3.3590236686390537E-2</v>
      </c>
      <c r="BM55" s="272"/>
      <c r="BN55" s="272"/>
      <c r="BO55" s="272"/>
      <c r="BP55" s="248"/>
      <c r="BQ55" s="274">
        <f>BQ54/BQ9</f>
        <v>3.3155088842039215E-2</v>
      </c>
      <c r="BR55" s="274">
        <f>BR54/BR9</f>
        <v>3.395690292996164E-2</v>
      </c>
      <c r="BS55" s="272"/>
      <c r="BT55" s="600">
        <f>BT54/BT9</f>
        <v>3.3590236686390523E-2</v>
      </c>
      <c r="BU55" s="272"/>
      <c r="BV55" s="272"/>
      <c r="BW55" s="272"/>
      <c r="BX55" s="248"/>
      <c r="BY55" s="274">
        <f>BY54/BY9</f>
        <v>3.3162951227251075E-2</v>
      </c>
      <c r="BZ55" s="274">
        <f>BZ54/BZ9</f>
        <v>3.3951304591092961E-2</v>
      </c>
      <c r="CA55" s="272"/>
      <c r="CB55" s="600">
        <f>CB54/CB9</f>
        <v>3.3590236686390537E-2</v>
      </c>
      <c r="CC55" s="272"/>
      <c r="CD55" s="272"/>
      <c r="CE55" s="272"/>
      <c r="CF55" s="248"/>
      <c r="CG55" s="274">
        <f>CG54/CG9</f>
        <v>3.3168923559984589E-2</v>
      </c>
      <c r="CH55" s="274">
        <f>CH54/CH9</f>
        <v>3.3947030662220441E-2</v>
      </c>
      <c r="CI55" s="272"/>
      <c r="CJ55" s="600">
        <f>CJ54/CJ9</f>
        <v>3.359023668639053E-2</v>
      </c>
    </row>
    <row r="56" spans="1:88" x14ac:dyDescent="0.2">
      <c r="A56" s="202"/>
      <c r="B56" s="284"/>
      <c r="C56" s="186"/>
      <c r="D56" s="186"/>
      <c r="E56" s="186"/>
      <c r="F56" s="186"/>
      <c r="G56" s="186"/>
      <c r="H56" s="186"/>
      <c r="I56" s="186"/>
      <c r="J56" s="462"/>
      <c r="K56" s="580"/>
      <c r="L56" s="272"/>
      <c r="M56" s="580"/>
      <c r="N56" s="580"/>
      <c r="O56" s="580"/>
      <c r="P56" s="580"/>
      <c r="Q56" s="580"/>
      <c r="R56" s="580"/>
      <c r="S56" s="580"/>
      <c r="T56" s="580"/>
      <c r="U56" s="580"/>
      <c r="V56" s="580"/>
      <c r="W56" s="580"/>
      <c r="X56" s="581"/>
      <c r="Y56" s="580"/>
      <c r="Z56" s="580"/>
      <c r="AA56" s="580"/>
      <c r="AB56" s="582"/>
      <c r="AC56" s="580"/>
      <c r="AD56" s="580"/>
      <c r="AE56" s="580"/>
      <c r="AF56" s="583"/>
      <c r="AG56" s="580"/>
      <c r="AH56" s="580"/>
      <c r="AI56" s="580"/>
      <c r="AJ56" s="582"/>
      <c r="AK56" s="580"/>
      <c r="AL56" s="580"/>
      <c r="AM56" s="580"/>
      <c r="AN56" s="583"/>
      <c r="AO56" s="580"/>
      <c r="AP56" s="580"/>
      <c r="AQ56" s="580"/>
      <c r="AR56" s="582"/>
      <c r="AS56" s="580"/>
      <c r="AT56" s="580"/>
      <c r="AU56" s="580"/>
      <c r="AV56" s="583"/>
      <c r="AW56" s="580"/>
      <c r="AX56" s="580"/>
      <c r="AY56" s="580"/>
      <c r="AZ56" s="582"/>
      <c r="BA56" s="580"/>
      <c r="BB56" s="580"/>
      <c r="BC56" s="580"/>
      <c r="BD56" s="583"/>
      <c r="BE56" s="580"/>
      <c r="BF56" s="580"/>
      <c r="BG56" s="580"/>
      <c r="BH56" s="582"/>
      <c r="BI56" s="580"/>
      <c r="BJ56" s="580"/>
      <c r="BK56" s="580"/>
      <c r="BL56" s="583"/>
      <c r="BM56" s="580"/>
      <c r="BN56" s="580"/>
      <c r="BO56" s="580"/>
      <c r="BP56" s="582"/>
      <c r="BQ56" s="580"/>
      <c r="BR56" s="580"/>
      <c r="BS56" s="580"/>
      <c r="BT56" s="583"/>
      <c r="BU56" s="580"/>
      <c r="BV56" s="580"/>
      <c r="BW56" s="580"/>
      <c r="BX56" s="582"/>
      <c r="BY56" s="580"/>
      <c r="BZ56" s="580"/>
      <c r="CA56" s="580"/>
      <c r="CB56" s="583"/>
      <c r="CC56" s="580"/>
      <c r="CD56" s="580"/>
      <c r="CE56" s="580"/>
      <c r="CF56" s="582"/>
      <c r="CG56" s="580"/>
      <c r="CH56" s="580"/>
      <c r="CI56" s="580"/>
      <c r="CJ56" s="583"/>
    </row>
    <row r="57" spans="1:88" x14ac:dyDescent="0.2">
      <c r="A57" s="628" t="s">
        <v>745</v>
      </c>
      <c r="B57" s="629"/>
      <c r="C57" s="454"/>
      <c r="D57" s="454"/>
      <c r="E57" s="454"/>
      <c r="F57" s="454"/>
      <c r="G57" s="454"/>
      <c r="H57" s="454"/>
      <c r="I57" s="454"/>
      <c r="J57" s="630"/>
      <c r="K57" s="631"/>
      <c r="L57" s="632"/>
      <c r="M57" s="631"/>
      <c r="N57" s="631"/>
      <c r="O57" s="631"/>
      <c r="P57" s="631"/>
      <c r="Q57" s="631"/>
      <c r="R57" s="631"/>
      <c r="S57" s="631"/>
      <c r="T57" s="631"/>
      <c r="U57" s="631"/>
      <c r="V57" s="631"/>
      <c r="W57" s="631"/>
      <c r="X57" s="633"/>
      <c r="Y57" s="631"/>
      <c r="Z57" s="631"/>
      <c r="AA57" s="631"/>
      <c r="AB57" s="634"/>
      <c r="AC57" s="631"/>
      <c r="AD57" s="631"/>
      <c r="AE57" s="631"/>
      <c r="AF57" s="635"/>
      <c r="AG57" s="631"/>
      <c r="AH57" s="631"/>
      <c r="AI57" s="631"/>
      <c r="AJ57" s="634"/>
      <c r="AK57" s="631"/>
      <c r="AL57" s="631"/>
      <c r="AM57" s="631"/>
      <c r="AN57" s="635"/>
      <c r="AO57" s="631"/>
      <c r="AP57" s="631"/>
      <c r="AQ57" s="631"/>
      <c r="AR57" s="634"/>
      <c r="AS57" s="631"/>
      <c r="AT57" s="631"/>
      <c r="AU57" s="631"/>
      <c r="AV57" s="635"/>
      <c r="AW57" s="631"/>
      <c r="AX57" s="631"/>
      <c r="AY57" s="631"/>
      <c r="AZ57" s="634"/>
      <c r="BA57" s="631"/>
      <c r="BB57" s="631"/>
      <c r="BC57" s="631"/>
      <c r="BD57" s="635"/>
      <c r="BE57" s="631"/>
      <c r="BF57" s="631"/>
      <c r="BG57" s="631"/>
      <c r="BH57" s="634"/>
      <c r="BI57" s="631"/>
      <c r="BJ57" s="631"/>
      <c r="BK57" s="631"/>
      <c r="BL57" s="635"/>
      <c r="BM57" s="631"/>
      <c r="BN57" s="631"/>
      <c r="BO57" s="631"/>
      <c r="BP57" s="634"/>
      <c r="BQ57" s="631"/>
      <c r="BR57" s="631"/>
      <c r="BS57" s="631"/>
      <c r="BT57" s="635"/>
      <c r="BU57" s="631"/>
      <c r="BV57" s="631"/>
      <c r="BW57" s="631"/>
      <c r="BX57" s="634"/>
      <c r="BY57" s="631"/>
      <c r="BZ57" s="631"/>
      <c r="CA57" s="631"/>
      <c r="CB57" s="635"/>
      <c r="CC57" s="631"/>
      <c r="CD57" s="631"/>
      <c r="CE57" s="631"/>
      <c r="CF57" s="634"/>
      <c r="CG57" s="631"/>
      <c r="CH57" s="631"/>
      <c r="CI57" s="631"/>
      <c r="CJ57" s="635"/>
    </row>
    <row r="58" spans="1:88" x14ac:dyDescent="0.2">
      <c r="A58" s="636"/>
      <c r="B58" s="284"/>
      <c r="C58" s="186"/>
      <c r="D58" s="186"/>
      <c r="E58" s="186"/>
      <c r="F58" s="186"/>
      <c r="G58" s="186"/>
      <c r="H58" s="186"/>
      <c r="I58" s="186"/>
      <c r="J58" s="462"/>
      <c r="K58" s="580"/>
      <c r="L58" s="272"/>
      <c r="M58" s="580"/>
      <c r="N58" s="580"/>
      <c r="O58" s="580"/>
      <c r="P58" s="580"/>
      <c r="Q58" s="580"/>
      <c r="R58" s="580"/>
      <c r="S58" s="580"/>
      <c r="T58" s="580"/>
      <c r="U58" s="580"/>
      <c r="V58" s="580"/>
      <c r="W58" s="580"/>
      <c r="X58" s="581"/>
      <c r="Y58" s="580"/>
      <c r="Z58" s="580"/>
      <c r="AA58" s="580"/>
      <c r="AB58" s="582"/>
      <c r="AC58" s="580"/>
      <c r="AD58" s="580"/>
      <c r="AE58" s="580"/>
      <c r="AF58" s="583"/>
      <c r="AG58" s="580"/>
      <c r="AH58" s="580"/>
      <c r="AI58" s="580"/>
      <c r="AJ58" s="582"/>
      <c r="AK58" s="580"/>
      <c r="AL58" s="580"/>
      <c r="AM58" s="580"/>
      <c r="AN58" s="583"/>
      <c r="AO58" s="580"/>
      <c r="AP58" s="580"/>
      <c r="AQ58" s="580"/>
      <c r="AR58" s="582"/>
      <c r="AS58" s="580"/>
      <c r="AT58" s="580"/>
      <c r="AU58" s="580"/>
      <c r="AV58" s="583"/>
      <c r="AW58" s="580"/>
      <c r="AX58" s="580"/>
      <c r="AY58" s="580"/>
      <c r="AZ58" s="582"/>
      <c r="BA58" s="580"/>
      <c r="BB58" s="580"/>
      <c r="BC58" s="580"/>
      <c r="BD58" s="583"/>
      <c r="BE58" s="580"/>
      <c r="BF58" s="580"/>
      <c r="BG58" s="580"/>
      <c r="BH58" s="582"/>
      <c r="BI58" s="580"/>
      <c r="BJ58" s="580"/>
      <c r="BK58" s="580"/>
      <c r="BL58" s="583"/>
      <c r="BM58" s="580"/>
      <c r="BN58" s="580"/>
      <c r="BO58" s="580"/>
      <c r="BP58" s="582"/>
      <c r="BQ58" s="580"/>
      <c r="BR58" s="580"/>
      <c r="BS58" s="580"/>
      <c r="BT58" s="583"/>
      <c r="BU58" s="580"/>
      <c r="BV58" s="580"/>
      <c r="BW58" s="580"/>
      <c r="BX58" s="582"/>
      <c r="BY58" s="580"/>
      <c r="BZ58" s="580"/>
      <c r="CA58" s="580"/>
      <c r="CB58" s="583"/>
      <c r="CC58" s="580"/>
      <c r="CD58" s="580"/>
      <c r="CE58" s="580"/>
      <c r="CF58" s="582"/>
      <c r="CG58" s="580"/>
      <c r="CH58" s="580"/>
      <c r="CI58" s="580"/>
      <c r="CJ58" s="583"/>
    </row>
    <row r="59" spans="1:88" x14ac:dyDescent="0.2">
      <c r="A59" s="219" t="s">
        <v>746</v>
      </c>
      <c r="B59" s="284"/>
      <c r="C59" s="186"/>
      <c r="D59" s="186"/>
      <c r="E59" s="186"/>
      <c r="F59" s="186"/>
      <c r="G59" s="186"/>
      <c r="H59" s="186"/>
      <c r="I59" s="186"/>
      <c r="J59" s="462"/>
      <c r="K59" s="580"/>
      <c r="L59" s="272"/>
      <c r="M59" s="580"/>
      <c r="N59" s="580"/>
      <c r="O59" s="580"/>
      <c r="P59" s="580"/>
      <c r="Q59" s="580"/>
      <c r="R59" s="580"/>
      <c r="S59" s="580"/>
      <c r="T59" s="580"/>
      <c r="U59" s="580"/>
      <c r="V59" s="580"/>
      <c r="W59" s="580"/>
      <c r="X59" s="581"/>
      <c r="Y59" s="580"/>
      <c r="Z59" s="580"/>
      <c r="AA59" s="580"/>
      <c r="AB59" s="582"/>
      <c r="AC59" s="580"/>
      <c r="AD59" s="580"/>
      <c r="AE59" s="580"/>
      <c r="AF59" s="583"/>
      <c r="AG59" s="580"/>
      <c r="AH59" s="580"/>
      <c r="AI59" s="580"/>
      <c r="AJ59" s="582"/>
      <c r="AK59" s="580"/>
      <c r="AL59" s="580"/>
      <c r="AM59" s="580"/>
      <c r="AN59" s="583"/>
      <c r="AO59" s="580"/>
      <c r="AP59" s="580"/>
      <c r="AQ59" s="580"/>
      <c r="AR59" s="582"/>
      <c r="AS59" s="580"/>
      <c r="AT59" s="580"/>
      <c r="AU59" s="580"/>
      <c r="AV59" s="583"/>
      <c r="AW59" s="580"/>
      <c r="AX59" s="580"/>
      <c r="AY59" s="580"/>
      <c r="AZ59" s="582"/>
      <c r="BA59" s="580"/>
      <c r="BB59" s="580"/>
      <c r="BC59" s="580"/>
      <c r="BD59" s="583"/>
      <c r="BE59" s="580"/>
      <c r="BF59" s="580"/>
      <c r="BG59" s="580"/>
      <c r="BH59" s="582"/>
      <c r="BI59" s="580"/>
      <c r="BJ59" s="580"/>
      <c r="BK59" s="580"/>
      <c r="BL59" s="583"/>
      <c r="BM59" s="580"/>
      <c r="BN59" s="580"/>
      <c r="BO59" s="580"/>
      <c r="BP59" s="582"/>
      <c r="BQ59" s="580"/>
      <c r="BR59" s="580"/>
      <c r="BS59" s="580"/>
      <c r="BT59" s="583"/>
      <c r="BU59" s="580"/>
      <c r="BV59" s="580"/>
      <c r="BW59" s="580"/>
      <c r="BX59" s="582"/>
      <c r="BY59" s="580"/>
      <c r="BZ59" s="580"/>
      <c r="CA59" s="580"/>
      <c r="CB59" s="583"/>
      <c r="CC59" s="580"/>
      <c r="CD59" s="580"/>
      <c r="CE59" s="580"/>
      <c r="CF59" s="582"/>
      <c r="CG59" s="580"/>
      <c r="CH59" s="580"/>
      <c r="CI59" s="580"/>
      <c r="CJ59" s="583"/>
    </row>
    <row r="60" spans="1:88" x14ac:dyDescent="0.2">
      <c r="A60" s="584" t="s">
        <v>747</v>
      </c>
      <c r="B60" s="284"/>
      <c r="C60" s="19">
        <f>C5/C9</f>
        <v>0.70373944511459585</v>
      </c>
      <c r="D60" s="19">
        <v>0.57999999999999996</v>
      </c>
      <c r="E60" s="19">
        <v>0.57999999999999996</v>
      </c>
      <c r="F60" s="19">
        <v>0.61</v>
      </c>
      <c r="G60" s="19">
        <v>0.63</v>
      </c>
      <c r="H60" s="19">
        <v>0.61</v>
      </c>
      <c r="I60" s="19">
        <v>0.6</v>
      </c>
      <c r="J60" s="19">
        <v>0.59</v>
      </c>
      <c r="K60" s="19">
        <v>0.6</v>
      </c>
      <c r="L60" s="19">
        <v>0.61</v>
      </c>
      <c r="M60" s="19">
        <v>0.65</v>
      </c>
      <c r="N60" s="19">
        <v>0.66</v>
      </c>
      <c r="O60" s="19">
        <v>0.7</v>
      </c>
      <c r="P60" s="19">
        <v>0.73</v>
      </c>
      <c r="Q60" s="19">
        <v>0.77</v>
      </c>
      <c r="R60" s="19">
        <v>0.77</v>
      </c>
      <c r="S60" s="19">
        <v>0.8</v>
      </c>
      <c r="T60" s="19"/>
      <c r="U60" s="19">
        <v>0.77</v>
      </c>
      <c r="V60" s="19">
        <v>0.66</v>
      </c>
      <c r="W60" s="20">
        <v>0.64</v>
      </c>
      <c r="X60" s="494">
        <v>0.73</v>
      </c>
      <c r="Y60" s="19">
        <v>0.75</v>
      </c>
      <c r="Z60" s="19">
        <f t="shared" ref="Z60:AU60" si="129">Z5/Z9</f>
        <v>0.75</v>
      </c>
      <c r="AA60" s="19">
        <v>0.75</v>
      </c>
      <c r="AB60" s="643">
        <f t="shared" si="129"/>
        <v>0.86433889602053926</v>
      </c>
      <c r="AC60" s="19">
        <v>0.75</v>
      </c>
      <c r="AD60" s="19">
        <f t="shared" si="129"/>
        <v>0.80747378609453146</v>
      </c>
      <c r="AE60" s="19">
        <f t="shared" si="129"/>
        <v>0.75</v>
      </c>
      <c r="AF60" s="668">
        <v>0.78</v>
      </c>
      <c r="AG60" s="19">
        <v>0.77</v>
      </c>
      <c r="AH60" s="19">
        <f t="shared" si="129"/>
        <v>0.78920630202140307</v>
      </c>
      <c r="AI60" s="19">
        <v>0.79</v>
      </c>
      <c r="AJ60" s="643">
        <f t="shared" ref="AJ60" si="130">AJ5/AJ9</f>
        <v>0.80677310488058152</v>
      </c>
      <c r="AK60" s="19">
        <v>0.78</v>
      </c>
      <c r="AL60" s="19">
        <f t="shared" ref="AL60" si="131">AL5/AL9</f>
        <v>0.79898484216381593</v>
      </c>
      <c r="AM60" s="19">
        <f t="shared" ref="AM60" si="132">AM5/AM9</f>
        <v>0.78340714285714275</v>
      </c>
      <c r="AN60" s="668">
        <v>0.79</v>
      </c>
      <c r="AO60" s="19">
        <v>0.77</v>
      </c>
      <c r="AP60" s="19">
        <f t="shared" ref="AP60" si="133">AP5/AP9</f>
        <v>0.80910292973813847</v>
      </c>
      <c r="AQ60" s="19">
        <v>0.81499999999999995</v>
      </c>
      <c r="AR60" s="643">
        <f t="shared" ref="AR60" si="134">AR5/AR9</f>
        <v>0.80361253979916725</v>
      </c>
      <c r="AS60" s="19">
        <v>0.79</v>
      </c>
      <c r="AT60" s="19">
        <f t="shared" ref="AT60" si="135">AT5/AT9</f>
        <v>0.80927894672080714</v>
      </c>
      <c r="AU60" s="19">
        <f t="shared" si="129"/>
        <v>0.79872680189900735</v>
      </c>
      <c r="AV60" s="668">
        <v>0.8</v>
      </c>
      <c r="AW60" s="19">
        <v>0.78</v>
      </c>
      <c r="AX60" s="19">
        <f t="shared" ref="AX60:BC60" si="136">AX5/AX9</f>
        <v>0.79984003458711628</v>
      </c>
      <c r="AY60" s="495">
        <f t="shared" si="136"/>
        <v>0.84534663802640186</v>
      </c>
      <c r="AZ60" s="647">
        <f t="shared" si="136"/>
        <v>0.86243985983633609</v>
      </c>
      <c r="BA60" s="19">
        <v>0.79</v>
      </c>
      <c r="BB60" s="495">
        <f t="shared" si="136"/>
        <v>0.85482890255535515</v>
      </c>
      <c r="BC60" s="495">
        <f t="shared" si="136"/>
        <v>0.80809758440425594</v>
      </c>
      <c r="BD60" s="648">
        <f>BD5/BD9</f>
        <v>0.82379493311019714</v>
      </c>
      <c r="BE60" s="495">
        <f t="shared" ref="BE60:BK60" si="137">BE5/BE9</f>
        <v>0.79893580662317276</v>
      </c>
      <c r="BF60" s="495">
        <f t="shared" si="137"/>
        <v>0.8216045297014033</v>
      </c>
      <c r="BG60" s="495">
        <f t="shared" si="137"/>
        <v>0.82163698867044976</v>
      </c>
      <c r="BH60" s="647">
        <f t="shared" si="137"/>
        <v>0.85843649851239456</v>
      </c>
      <c r="BI60" s="495">
        <f t="shared" si="137"/>
        <v>0.81094727702943359</v>
      </c>
      <c r="BJ60" s="495">
        <f t="shared" si="137"/>
        <v>0.84215317325628936</v>
      </c>
      <c r="BK60" s="495">
        <f t="shared" si="137"/>
        <v>0.81465009453503789</v>
      </c>
      <c r="BL60" s="648">
        <f>BL5/BL9</f>
        <v>0.82795381295397752</v>
      </c>
      <c r="BM60" s="495">
        <f t="shared" ref="BM60:BS60" si="138">BM5/BM9</f>
        <v>0.80431097402710638</v>
      </c>
      <c r="BN60" s="495">
        <f t="shared" si="138"/>
        <v>0.82606361288902386</v>
      </c>
      <c r="BO60" s="495">
        <f t="shared" si="138"/>
        <v>0.82615106500749591</v>
      </c>
      <c r="BP60" s="647">
        <f t="shared" si="138"/>
        <v>0.85985453166279224</v>
      </c>
      <c r="BQ60" s="495">
        <f t="shared" si="138"/>
        <v>0.81582737025028185</v>
      </c>
      <c r="BR60" s="495">
        <f t="shared" si="138"/>
        <v>0.84481162621955685</v>
      </c>
      <c r="BS60" s="495">
        <f t="shared" si="138"/>
        <v>0.8194021915895322</v>
      </c>
      <c r="BT60" s="648">
        <f>BT5/BT9</f>
        <v>0.83155724665821129</v>
      </c>
      <c r="BU60" s="495">
        <f t="shared" ref="BU60:CA60" si="139">BU5/BU9</f>
        <v>0.80181730175225063</v>
      </c>
      <c r="BV60" s="495">
        <f t="shared" si="139"/>
        <v>0.8233977682220438</v>
      </c>
      <c r="BW60" s="495">
        <f t="shared" si="139"/>
        <v>0.82348498926563996</v>
      </c>
      <c r="BX60" s="647">
        <f t="shared" si="139"/>
        <v>0.85728320272839542</v>
      </c>
      <c r="BY60" s="495">
        <f t="shared" si="139"/>
        <v>0.81322884669920281</v>
      </c>
      <c r="BZ60" s="495">
        <f t="shared" si="139"/>
        <v>0.84217326487778998</v>
      </c>
      <c r="CA60" s="495">
        <f t="shared" si="139"/>
        <v>0.8167774710169784</v>
      </c>
      <c r="CB60" s="648">
        <f>CB5/CB9</f>
        <v>0.82891664556986588</v>
      </c>
      <c r="CC60" s="495">
        <f t="shared" ref="CC60:CI60" si="140">CC5/CC9</f>
        <v>0.78898904603673381</v>
      </c>
      <c r="CD60" s="495">
        <f t="shared" si="140"/>
        <v>0.81228485272907347</v>
      </c>
      <c r="CE60" s="495">
        <f t="shared" si="140"/>
        <v>0.81231946863030902</v>
      </c>
      <c r="CF60" s="647">
        <f t="shared" si="140"/>
        <v>0.84752382457159348</v>
      </c>
      <c r="CG60" s="495">
        <f t="shared" si="140"/>
        <v>0.80131748497835009</v>
      </c>
      <c r="CH60" s="495">
        <f t="shared" si="140"/>
        <v>0.83174337560477807</v>
      </c>
      <c r="CI60" s="495">
        <f t="shared" si="140"/>
        <v>0.80512538714271886</v>
      </c>
      <c r="CJ60" s="648">
        <f>CJ5/CJ9</f>
        <v>0.81779185857893966</v>
      </c>
    </row>
    <row r="61" spans="1:88" x14ac:dyDescent="0.2">
      <c r="A61" s="584" t="s">
        <v>748</v>
      </c>
      <c r="B61" s="284"/>
      <c r="C61" s="19">
        <f>C6/C9</f>
        <v>0.13003618817852836</v>
      </c>
      <c r="D61" s="19">
        <v>0.16</v>
      </c>
      <c r="E61" s="19">
        <v>0.16</v>
      </c>
      <c r="F61" s="19">
        <v>0.16</v>
      </c>
      <c r="G61" s="19">
        <v>0.17</v>
      </c>
      <c r="H61" s="19">
        <v>0.17</v>
      </c>
      <c r="I61" s="19">
        <v>0.18</v>
      </c>
      <c r="J61" s="19">
        <v>0.18</v>
      </c>
      <c r="K61" s="19">
        <v>0.17</v>
      </c>
      <c r="L61" s="19">
        <v>0.16</v>
      </c>
      <c r="M61" s="19">
        <v>0.15</v>
      </c>
      <c r="N61" s="19">
        <v>0.15</v>
      </c>
      <c r="O61" s="19">
        <v>0.13</v>
      </c>
      <c r="P61" s="19">
        <v>0.11</v>
      </c>
      <c r="Q61" s="19">
        <v>0.11</v>
      </c>
      <c r="R61" s="19">
        <v>0.12</v>
      </c>
      <c r="S61" s="19">
        <v>0.11</v>
      </c>
      <c r="T61" s="19"/>
      <c r="U61" s="19">
        <v>0.1</v>
      </c>
      <c r="V61" s="19">
        <v>0.16</v>
      </c>
      <c r="W61" s="20">
        <v>0.16</v>
      </c>
      <c r="X61" s="494">
        <v>0.13</v>
      </c>
      <c r="Y61" s="19">
        <v>0.12</v>
      </c>
      <c r="Z61" s="19">
        <f t="shared" ref="Z61:AU61" si="141">Z6/Z9</f>
        <v>0.12</v>
      </c>
      <c r="AA61" s="19">
        <v>0.12</v>
      </c>
      <c r="AB61" s="643">
        <f t="shared" si="141"/>
        <v>8.1887034659820238E-2</v>
      </c>
      <c r="AC61" s="19">
        <v>0.12</v>
      </c>
      <c r="AD61" s="19">
        <f t="shared" si="141"/>
        <v>0.10084207130182286</v>
      </c>
      <c r="AE61" s="19">
        <f t="shared" si="141"/>
        <v>0.12000000000000001</v>
      </c>
      <c r="AF61" s="668">
        <v>0.11</v>
      </c>
      <c r="AG61" s="19">
        <v>0.12</v>
      </c>
      <c r="AH61" s="19">
        <f t="shared" si="141"/>
        <v>0.10079369797859693</v>
      </c>
      <c r="AI61" s="19">
        <v>0.1</v>
      </c>
      <c r="AJ61" s="643">
        <f t="shared" ref="AJ61" si="142">AJ6/AJ9</f>
        <v>8.3226895119418484E-2</v>
      </c>
      <c r="AK61" s="19">
        <v>0.11</v>
      </c>
      <c r="AL61" s="19">
        <f t="shared" ref="AL61" si="143">AL6/AL9</f>
        <v>9.1015157836184121E-2</v>
      </c>
      <c r="AM61" s="19">
        <f t="shared" ref="AM61" si="144">AM6/AM9</f>
        <v>0.10659285714285716</v>
      </c>
      <c r="AN61" s="668">
        <v>0.1</v>
      </c>
      <c r="AO61" s="19">
        <v>0.12</v>
      </c>
      <c r="AP61" s="19">
        <f t="shared" ref="AP61" si="145">AP6/AP9</f>
        <v>8.0897070261861562E-2</v>
      </c>
      <c r="AQ61" s="19">
        <v>0.1</v>
      </c>
      <c r="AR61" s="643">
        <f t="shared" ref="AR61" si="146">AR6/AR9</f>
        <v>9.9999999999999992E-2</v>
      </c>
      <c r="AS61" s="19">
        <v>0.1</v>
      </c>
      <c r="AT61" s="19">
        <f t="shared" ref="AT61" si="147">AT6/AT9</f>
        <v>9.9999999999999992E-2</v>
      </c>
      <c r="AU61" s="19">
        <f t="shared" si="141"/>
        <v>0.1</v>
      </c>
      <c r="AV61" s="668">
        <v>0.1</v>
      </c>
      <c r="AW61" s="19">
        <v>0.11</v>
      </c>
      <c r="AX61" s="19">
        <f t="shared" ref="AX61:BC61" si="148">AX6/AX9</f>
        <v>9.0159965412883708E-2</v>
      </c>
      <c r="AY61" s="495">
        <f t="shared" si="148"/>
        <v>7.4286833072915864E-2</v>
      </c>
      <c r="AZ61" s="647">
        <f t="shared" si="148"/>
        <v>7.3053796091933715E-2</v>
      </c>
      <c r="BA61" s="19">
        <v>0.1</v>
      </c>
      <c r="BB61" s="495">
        <f t="shared" si="148"/>
        <v>7.3602820254404414E-2</v>
      </c>
      <c r="BC61" s="495">
        <f t="shared" si="148"/>
        <v>9.1591537856731756E-2</v>
      </c>
      <c r="BD61" s="648">
        <f>BD6/BD9</f>
        <v>8.6236712458107753E-2</v>
      </c>
      <c r="BE61" s="495">
        <f t="shared" ref="BE61:BK61" si="149">BE6/BE9</f>
        <v>9.630789077230914E-2</v>
      </c>
      <c r="BF61" s="495">
        <f t="shared" si="149"/>
        <v>8.5449781879323367E-2</v>
      </c>
      <c r="BG61" s="495">
        <f t="shared" si="149"/>
        <v>8.5434234333074469E-2</v>
      </c>
      <c r="BH61" s="647">
        <f t="shared" si="149"/>
        <v>6.7807609150288536E-2</v>
      </c>
      <c r="BI61" s="495">
        <f t="shared" si="149"/>
        <v>9.0554507435013629E-2</v>
      </c>
      <c r="BJ61" s="495">
        <f t="shared" si="149"/>
        <v>7.56071714882523E-2</v>
      </c>
      <c r="BK61" s="495">
        <f t="shared" si="149"/>
        <v>8.878089206426891E-2</v>
      </c>
      <c r="BL61" s="648">
        <f>BL6/BL9</f>
        <v>8.2408533869413603E-2</v>
      </c>
      <c r="BM61" s="495">
        <f t="shared" ref="BM61:BS61" si="150">BM6/BM9</f>
        <v>9.1728267512973763E-2</v>
      </c>
      <c r="BN61" s="495">
        <f t="shared" si="150"/>
        <v>8.153182513855331E-2</v>
      </c>
      <c r="BO61" s="495">
        <f t="shared" si="150"/>
        <v>8.1490832388561862E-2</v>
      </c>
      <c r="BP61" s="647">
        <f t="shared" si="150"/>
        <v>6.5692498322042187E-2</v>
      </c>
      <c r="BQ61" s="495">
        <f t="shared" si="150"/>
        <v>8.6330013480623635E-2</v>
      </c>
      <c r="BR61" s="495">
        <f t="shared" si="150"/>
        <v>7.2743786189664358E-2</v>
      </c>
      <c r="BS61" s="495">
        <f t="shared" si="150"/>
        <v>8.4654333577330182E-2</v>
      </c>
      <c r="BT61" s="648">
        <f>BT6/BT9</f>
        <v>7.8956711355381182E-2</v>
      </c>
      <c r="BU61" s="495">
        <f t="shared" ref="BU61:CA61" si="151">BU6/BU9</f>
        <v>9.0902258702700175E-2</v>
      </c>
      <c r="BV61" s="495">
        <f t="shared" si="151"/>
        <v>8.1003750087635606E-2</v>
      </c>
      <c r="BW61" s="495">
        <f t="shared" si="151"/>
        <v>8.0963743619162878E-2</v>
      </c>
      <c r="BX61" s="647">
        <f t="shared" si="151"/>
        <v>6.5461209992136865E-2</v>
      </c>
      <c r="BY61" s="495">
        <f t="shared" si="151"/>
        <v>8.5668021707558606E-2</v>
      </c>
      <c r="BZ61" s="495">
        <f t="shared" si="151"/>
        <v>7.2391822460438141E-2</v>
      </c>
      <c r="CA61" s="495">
        <f t="shared" si="151"/>
        <v>8.40403419523367E-2</v>
      </c>
      <c r="CB61" s="648">
        <f>CB6/CB9</f>
        <v>7.8472356475297989E-2</v>
      </c>
      <c r="CC61" s="495">
        <f t="shared" ref="CC61:CI61" si="152">CC6/CC9</f>
        <v>9.4701060162760448E-2</v>
      </c>
      <c r="CD61" s="495">
        <f t="shared" si="152"/>
        <v>8.4245974539597257E-2</v>
      </c>
      <c r="CE61" s="495">
        <f t="shared" si="152"/>
        <v>8.4230439030734197E-2</v>
      </c>
      <c r="CF61" s="647">
        <f t="shared" si="152"/>
        <v>6.843083352510157E-2</v>
      </c>
      <c r="CG61" s="495">
        <f t="shared" si="152"/>
        <v>8.9168095091543512E-2</v>
      </c>
      <c r="CH61" s="495">
        <f t="shared" si="152"/>
        <v>7.5513049964262891E-2</v>
      </c>
      <c r="CI61" s="495">
        <f t="shared" si="152"/>
        <v>8.7459120437912125E-2</v>
      </c>
      <c r="CJ61" s="648">
        <f>CJ6/CJ9</f>
        <v>8.177444743396825E-2</v>
      </c>
    </row>
    <row r="62" spans="1:88" x14ac:dyDescent="0.2">
      <c r="A62" s="584" t="s">
        <v>749</v>
      </c>
      <c r="B62" s="284"/>
      <c r="C62" s="19">
        <f>C7/C9</f>
        <v>0.20989143546441497</v>
      </c>
      <c r="D62" s="19">
        <v>0.14000000000000001</v>
      </c>
      <c r="E62" s="19">
        <v>0.14000000000000001</v>
      </c>
      <c r="F62" s="19">
        <v>0.13</v>
      </c>
      <c r="G62" s="19">
        <v>0.11</v>
      </c>
      <c r="H62" s="19">
        <v>0.11</v>
      </c>
      <c r="I62" s="19">
        <v>0.12</v>
      </c>
      <c r="J62" s="19">
        <v>0.12000000000000001</v>
      </c>
      <c r="K62" s="19">
        <v>0.11</v>
      </c>
      <c r="L62" s="19">
        <v>0.10999999999999999</v>
      </c>
      <c r="M62" s="19">
        <v>0.1</v>
      </c>
      <c r="N62" s="19">
        <v>0.1</v>
      </c>
      <c r="O62" s="19">
        <v>0.09</v>
      </c>
      <c r="P62" s="19">
        <v>0.12</v>
      </c>
      <c r="Q62" s="19">
        <v>0.12</v>
      </c>
      <c r="R62" s="19">
        <v>0.11</v>
      </c>
      <c r="S62" s="19">
        <v>0.09</v>
      </c>
      <c r="T62" s="19"/>
      <c r="U62" s="19">
        <v>0.13</v>
      </c>
      <c r="V62" s="19">
        <v>0.18</v>
      </c>
      <c r="W62" s="20">
        <v>0.2</v>
      </c>
      <c r="X62" s="494">
        <v>0.14000000000000001</v>
      </c>
      <c r="Y62" s="19">
        <v>0.13</v>
      </c>
      <c r="Z62" s="19">
        <f t="shared" ref="Z62:AU62" si="153">Z7/Z9</f>
        <v>0.13</v>
      </c>
      <c r="AA62" s="19">
        <v>0.13</v>
      </c>
      <c r="AB62" s="643">
        <f t="shared" si="153"/>
        <v>5.3774069319640523E-2</v>
      </c>
      <c r="AC62" s="19">
        <v>0.13</v>
      </c>
      <c r="AD62" s="19">
        <f t="shared" si="153"/>
        <v>9.1684142603645741E-2</v>
      </c>
      <c r="AE62" s="19">
        <f t="shared" si="153"/>
        <v>0.13</v>
      </c>
      <c r="AF62" s="668">
        <v>0.11</v>
      </c>
      <c r="AG62" s="19">
        <v>0.11</v>
      </c>
      <c r="AH62" s="19">
        <f t="shared" si="153"/>
        <v>0.11</v>
      </c>
      <c r="AI62" s="19">
        <v>0.11</v>
      </c>
      <c r="AJ62" s="643">
        <f t="shared" ref="AJ62" si="154">AJ7/AJ9</f>
        <v>0.10999999999999999</v>
      </c>
      <c r="AK62" s="19">
        <v>0.11</v>
      </c>
      <c r="AL62" s="19">
        <f t="shared" ref="AL62" si="155">AL7/AL9</f>
        <v>0.11</v>
      </c>
      <c r="AM62" s="19">
        <f t="shared" ref="AM62" si="156">AM7/AM9</f>
        <v>0.11</v>
      </c>
      <c r="AN62" s="668">
        <v>0.11</v>
      </c>
      <c r="AO62" s="19">
        <v>0.11</v>
      </c>
      <c r="AP62" s="19">
        <f t="shared" ref="AP62" si="157">AP7/AP9</f>
        <v>0.11</v>
      </c>
      <c r="AQ62" s="19">
        <v>8.5000000000000006E-2</v>
      </c>
      <c r="AR62" s="643">
        <f t="shared" ref="AR62" si="158">AR7/AR9</f>
        <v>9.638746020083272E-2</v>
      </c>
      <c r="AS62" s="19">
        <v>0.11</v>
      </c>
      <c r="AT62" s="19">
        <f t="shared" ref="AT62" si="159">AT7/AT9</f>
        <v>9.0721053279192818E-2</v>
      </c>
      <c r="AU62" s="19">
        <f t="shared" si="153"/>
        <v>0.10127319810099267</v>
      </c>
      <c r="AV62" s="668">
        <v>0.1</v>
      </c>
      <c r="AW62" s="19">
        <v>0.11</v>
      </c>
      <c r="AX62" s="19">
        <f t="shared" ref="AX62:BC62" si="160">AX7/AX9</f>
        <v>0.11</v>
      </c>
      <c r="AY62" s="495">
        <f t="shared" si="160"/>
        <v>8.0366528900682355E-2</v>
      </c>
      <c r="AZ62" s="647">
        <f t="shared" si="160"/>
        <v>6.4506344071730101E-2</v>
      </c>
      <c r="BA62" s="19">
        <v>0.11</v>
      </c>
      <c r="BB62" s="495">
        <f t="shared" si="160"/>
        <v>7.156827719024049E-2</v>
      </c>
      <c r="BC62" s="495">
        <f t="shared" si="160"/>
        <v>0.1003108777390123</v>
      </c>
      <c r="BD62" s="648">
        <f>BD7/BD9</f>
        <v>8.9968354431695124E-2</v>
      </c>
      <c r="BE62" s="495">
        <f t="shared" ref="BE62:BK62" si="161">BE7/BE9</f>
        <v>0.10475630260451808</v>
      </c>
      <c r="BF62" s="495">
        <f t="shared" si="161"/>
        <v>9.294568841927342E-2</v>
      </c>
      <c r="BG62" s="495">
        <f t="shared" si="161"/>
        <v>9.2928776996475698E-2</v>
      </c>
      <c r="BH62" s="647">
        <f t="shared" si="161"/>
        <v>7.3755892337316956E-2</v>
      </c>
      <c r="BI62" s="495">
        <f t="shared" si="161"/>
        <v>9.8498215535552672E-2</v>
      </c>
      <c r="BJ62" s="495">
        <f t="shared" si="161"/>
        <v>8.2239655255458413E-2</v>
      </c>
      <c r="BK62" s="495">
        <f t="shared" si="161"/>
        <v>9.6569013400693141E-2</v>
      </c>
      <c r="BL62" s="648">
        <f>BL7/BL9</f>
        <v>8.9637653176608781E-2</v>
      </c>
      <c r="BM62" s="495">
        <f t="shared" ref="BM62:BS62" si="162">BM7/BM9</f>
        <v>0.10396075845991982</v>
      </c>
      <c r="BN62" s="495">
        <f t="shared" si="162"/>
        <v>9.2404561972422777E-2</v>
      </c>
      <c r="BO62" s="495">
        <f t="shared" si="162"/>
        <v>9.2358102603942227E-2</v>
      </c>
      <c r="BP62" s="647">
        <f t="shared" si="162"/>
        <v>7.4452970015165515E-2</v>
      </c>
      <c r="BQ62" s="495">
        <f t="shared" si="162"/>
        <v>9.7842616269094476E-2</v>
      </c>
      <c r="BR62" s="495">
        <f t="shared" si="162"/>
        <v>8.2444587590778717E-2</v>
      </c>
      <c r="BS62" s="495">
        <f t="shared" si="162"/>
        <v>9.5943474833137518E-2</v>
      </c>
      <c r="BT62" s="648">
        <f>BT7/BT9</f>
        <v>8.9486041986407527E-2</v>
      </c>
      <c r="BU62" s="495">
        <f t="shared" ref="BU62:CA62" si="163">BU7/BU9</f>
        <v>0.10728043954504922</v>
      </c>
      <c r="BV62" s="495">
        <f t="shared" si="163"/>
        <v>9.5598481690320591E-2</v>
      </c>
      <c r="BW62" s="495">
        <f t="shared" si="163"/>
        <v>9.555126711519725E-2</v>
      </c>
      <c r="BX62" s="647">
        <f t="shared" si="163"/>
        <v>7.7255587279467769E-2</v>
      </c>
      <c r="BY62" s="495">
        <f t="shared" si="163"/>
        <v>0.1011031315932385</v>
      </c>
      <c r="BZ62" s="495">
        <f t="shared" si="163"/>
        <v>8.543491266177175E-2</v>
      </c>
      <c r="CA62" s="495">
        <f t="shared" si="163"/>
        <v>9.9182187030685001E-2</v>
      </c>
      <c r="CB62" s="648">
        <f>CB7/CB9</f>
        <v>9.2610997954836211E-2</v>
      </c>
      <c r="CC62" s="495">
        <f t="shared" ref="CC62:CI62" si="164">CC7/CC9</f>
        <v>0.11630989380050574</v>
      </c>
      <c r="CD62" s="495">
        <f t="shared" si="164"/>
        <v>0.10346917273132929</v>
      </c>
      <c r="CE62" s="495">
        <f t="shared" si="164"/>
        <v>0.10345009233895676</v>
      </c>
      <c r="CF62" s="647">
        <f t="shared" si="164"/>
        <v>8.4045341903304926E-2</v>
      </c>
      <c r="CG62" s="495">
        <f t="shared" si="164"/>
        <v>0.10951441993010645</v>
      </c>
      <c r="CH62" s="495">
        <f t="shared" si="164"/>
        <v>9.2743574430959014E-2</v>
      </c>
      <c r="CI62" s="495">
        <f t="shared" si="164"/>
        <v>0.10741549241936897</v>
      </c>
      <c r="CJ62" s="648">
        <f>CJ7/CJ9</f>
        <v>0.10043369398709215</v>
      </c>
    </row>
    <row r="63" spans="1:88" hidden="1" outlineLevel="1" x14ac:dyDescent="0.2">
      <c r="A63" s="4" t="s">
        <v>726</v>
      </c>
      <c r="B63" s="284"/>
      <c r="C63" s="19">
        <f>C8/C9</f>
        <v>0.13003618817852836</v>
      </c>
      <c r="D63" s="19">
        <v>0.12000000000000004</v>
      </c>
      <c r="E63" s="19">
        <v>0.12000000000000006</v>
      </c>
      <c r="F63" s="19">
        <v>0.10000000000000003</v>
      </c>
      <c r="G63" s="19">
        <v>8.9999999999999955E-2</v>
      </c>
      <c r="H63" s="19">
        <v>0.11</v>
      </c>
      <c r="I63" s="19">
        <v>0.10000000000000003</v>
      </c>
      <c r="J63" s="19">
        <v>0.11000000000000017</v>
      </c>
      <c r="K63" s="19">
        <v>0.11999999999999997</v>
      </c>
      <c r="L63" s="19">
        <v>0.11999999999999993</v>
      </c>
      <c r="M63" s="19">
        <v>0.1</v>
      </c>
      <c r="N63" s="19">
        <v>0.09</v>
      </c>
      <c r="O63" s="19">
        <v>0.08</v>
      </c>
      <c r="P63" s="19">
        <v>0.04</v>
      </c>
      <c r="Q63" s="19"/>
      <c r="R63" s="19"/>
      <c r="S63" s="19"/>
      <c r="T63" s="19"/>
      <c r="U63" s="19"/>
      <c r="V63" s="19"/>
      <c r="W63" s="20"/>
      <c r="X63" s="494"/>
      <c r="Y63" s="19"/>
      <c r="Z63" s="19"/>
      <c r="AA63" s="19"/>
      <c r="AB63" s="643"/>
      <c r="AC63" s="19"/>
      <c r="AD63" s="19"/>
      <c r="AE63" s="19"/>
      <c r="AF63" s="668"/>
      <c r="AG63" s="19"/>
      <c r="AH63" s="19"/>
      <c r="AI63" s="19"/>
      <c r="AJ63" s="643"/>
      <c r="AK63" s="19"/>
      <c r="AL63" s="19"/>
      <c r="AM63" s="19"/>
      <c r="AN63" s="668"/>
      <c r="AO63" s="19"/>
      <c r="AP63" s="19"/>
      <c r="AQ63" s="19"/>
      <c r="AR63" s="643"/>
      <c r="AS63" s="19"/>
      <c r="AT63" s="19"/>
      <c r="AU63" s="19"/>
      <c r="AV63" s="668"/>
      <c r="AW63" s="19"/>
      <c r="AX63" s="19"/>
      <c r="AY63" s="495"/>
      <c r="AZ63" s="647"/>
      <c r="BA63" s="1696"/>
      <c r="BB63" s="495"/>
      <c r="BC63" s="495"/>
      <c r="BD63" s="648"/>
      <c r="BE63" s="495"/>
      <c r="BF63" s="495"/>
      <c r="BG63" s="495"/>
      <c r="BH63" s="647"/>
      <c r="BI63" s="495"/>
      <c r="BJ63" s="495"/>
      <c r="BK63" s="495"/>
      <c r="BL63" s="648"/>
      <c r="BM63" s="495"/>
      <c r="BN63" s="495"/>
      <c r="BO63" s="495"/>
      <c r="BP63" s="647"/>
      <c r="BQ63" s="495"/>
      <c r="BR63" s="495"/>
      <c r="BS63" s="495"/>
      <c r="BT63" s="648"/>
      <c r="BU63" s="495"/>
      <c r="BV63" s="495"/>
      <c r="BW63" s="495"/>
      <c r="BX63" s="647"/>
      <c r="BY63" s="495"/>
      <c r="BZ63" s="495"/>
      <c r="CA63" s="495"/>
      <c r="CB63" s="648"/>
      <c r="CC63" s="495"/>
      <c r="CD63" s="495"/>
      <c r="CE63" s="495"/>
      <c r="CF63" s="647"/>
      <c r="CG63" s="495"/>
      <c r="CH63" s="495"/>
      <c r="CI63" s="495"/>
      <c r="CJ63" s="648"/>
    </row>
    <row r="64" spans="1:88" collapsed="1" x14ac:dyDescent="0.2">
      <c r="A64" s="186" t="s">
        <v>100</v>
      </c>
      <c r="B64" s="284"/>
      <c r="C64" s="638">
        <f t="shared" ref="C64:S64" si="165">SUM(C60:C63)</f>
        <v>1.1737032569360675</v>
      </c>
      <c r="D64" s="261">
        <f t="shared" si="165"/>
        <v>1</v>
      </c>
      <c r="E64" s="261">
        <f t="shared" si="165"/>
        <v>1</v>
      </c>
      <c r="F64" s="261">
        <f t="shared" si="165"/>
        <v>1</v>
      </c>
      <c r="G64" s="261">
        <f t="shared" si="165"/>
        <v>1</v>
      </c>
      <c r="H64" s="261">
        <f t="shared" si="165"/>
        <v>1</v>
      </c>
      <c r="I64" s="261">
        <f t="shared" si="165"/>
        <v>1</v>
      </c>
      <c r="J64" s="261">
        <f t="shared" si="165"/>
        <v>1.0000000000000002</v>
      </c>
      <c r="K64" s="638">
        <f t="shared" si="165"/>
        <v>1</v>
      </c>
      <c r="L64" s="638">
        <f t="shared" si="165"/>
        <v>0.99999999999999989</v>
      </c>
      <c r="M64" s="638">
        <f t="shared" si="165"/>
        <v>1</v>
      </c>
      <c r="N64" s="638">
        <f t="shared" si="165"/>
        <v>1</v>
      </c>
      <c r="O64" s="638">
        <f t="shared" si="165"/>
        <v>0.99999999999999989</v>
      </c>
      <c r="P64" s="638">
        <f t="shared" si="165"/>
        <v>1</v>
      </c>
      <c r="Q64" s="638">
        <f t="shared" si="165"/>
        <v>1</v>
      </c>
      <c r="R64" s="638">
        <f t="shared" si="165"/>
        <v>1</v>
      </c>
      <c r="S64" s="638">
        <f t="shared" si="165"/>
        <v>1</v>
      </c>
      <c r="T64" s="638"/>
      <c r="U64" s="638">
        <f t="shared" ref="U64:CJ64" si="166">SUM(U60:U63)</f>
        <v>1</v>
      </c>
      <c r="V64" s="638">
        <f t="shared" si="166"/>
        <v>1</v>
      </c>
      <c r="W64" s="638">
        <f t="shared" si="166"/>
        <v>1</v>
      </c>
      <c r="X64" s="649">
        <f t="shared" si="166"/>
        <v>1</v>
      </c>
      <c r="Y64" s="638">
        <f t="shared" si="166"/>
        <v>1</v>
      </c>
      <c r="Z64" s="638">
        <f t="shared" si="166"/>
        <v>1</v>
      </c>
      <c r="AA64" s="638">
        <f t="shared" si="166"/>
        <v>1</v>
      </c>
      <c r="AB64" s="657">
        <f t="shared" si="166"/>
        <v>1</v>
      </c>
      <c r="AC64" s="638">
        <f t="shared" si="166"/>
        <v>1</v>
      </c>
      <c r="AD64" s="638">
        <f>SUM(AD60:AD63)</f>
        <v>1</v>
      </c>
      <c r="AE64" s="638">
        <f>SUM(AE60:AE63)</f>
        <v>1</v>
      </c>
      <c r="AF64" s="748">
        <f t="shared" ref="AF64" si="167">SUM(AF60:AF63)</f>
        <v>1</v>
      </c>
      <c r="AG64" s="638">
        <f t="shared" si="166"/>
        <v>1</v>
      </c>
      <c r="AH64" s="638">
        <f t="shared" si="166"/>
        <v>1</v>
      </c>
      <c r="AI64" s="638">
        <f t="shared" si="166"/>
        <v>1</v>
      </c>
      <c r="AJ64" s="657">
        <f t="shared" ref="AJ64" si="168">SUM(AJ60:AJ63)</f>
        <v>1</v>
      </c>
      <c r="AK64" s="638">
        <f t="shared" si="166"/>
        <v>1</v>
      </c>
      <c r="AL64" s="638">
        <f>SUM(AL60:AL63)</f>
        <v>1</v>
      </c>
      <c r="AM64" s="638">
        <f>SUM(AM60:AM63)</f>
        <v>0.99999999999999989</v>
      </c>
      <c r="AN64" s="748">
        <f t="shared" si="166"/>
        <v>1</v>
      </c>
      <c r="AO64" s="638">
        <f t="shared" si="166"/>
        <v>1</v>
      </c>
      <c r="AP64" s="638">
        <f t="shared" ref="AP64:AR64" si="169">SUM(AP60:AP63)</f>
        <v>1</v>
      </c>
      <c r="AQ64" s="638">
        <f t="shared" si="169"/>
        <v>0.99999999999999989</v>
      </c>
      <c r="AR64" s="657">
        <f t="shared" si="169"/>
        <v>1</v>
      </c>
      <c r="AS64" s="638">
        <f t="shared" si="166"/>
        <v>1</v>
      </c>
      <c r="AT64" s="638">
        <f>SUM(AT60:AT63)</f>
        <v>0.99999999999999989</v>
      </c>
      <c r="AU64" s="638">
        <f>SUM(AU60:AU63)</f>
        <v>1</v>
      </c>
      <c r="AV64" s="748">
        <f t="shared" ref="AV64" si="170">SUM(AV60:AV63)</f>
        <v>1</v>
      </c>
      <c r="AW64" s="638">
        <f t="shared" si="166"/>
        <v>1</v>
      </c>
      <c r="AX64" s="638">
        <f t="shared" si="166"/>
        <v>1</v>
      </c>
      <c r="AY64" s="651">
        <f t="shared" si="166"/>
        <v>1</v>
      </c>
      <c r="AZ64" s="650">
        <f t="shared" si="166"/>
        <v>0.99999999999999989</v>
      </c>
      <c r="BA64" s="1697">
        <f t="shared" si="166"/>
        <v>1</v>
      </c>
      <c r="BB64" s="651">
        <f t="shared" si="166"/>
        <v>1</v>
      </c>
      <c r="BC64" s="651">
        <f t="shared" si="166"/>
        <v>1</v>
      </c>
      <c r="BD64" s="652">
        <f t="shared" si="166"/>
        <v>1</v>
      </c>
      <c r="BE64" s="651">
        <f t="shared" si="166"/>
        <v>1</v>
      </c>
      <c r="BF64" s="651">
        <f t="shared" si="166"/>
        <v>1</v>
      </c>
      <c r="BG64" s="651">
        <f t="shared" si="166"/>
        <v>1</v>
      </c>
      <c r="BH64" s="650">
        <f t="shared" si="166"/>
        <v>1</v>
      </c>
      <c r="BI64" s="651">
        <f t="shared" si="166"/>
        <v>0.99999999999999989</v>
      </c>
      <c r="BJ64" s="651">
        <f t="shared" si="166"/>
        <v>1.0000000000000002</v>
      </c>
      <c r="BK64" s="651">
        <f t="shared" si="166"/>
        <v>0.99999999999999989</v>
      </c>
      <c r="BL64" s="652">
        <f t="shared" si="166"/>
        <v>0.99999999999999989</v>
      </c>
      <c r="BM64" s="651">
        <f t="shared" si="166"/>
        <v>1</v>
      </c>
      <c r="BN64" s="651">
        <f t="shared" si="166"/>
        <v>0.99999999999999989</v>
      </c>
      <c r="BO64" s="651">
        <f t="shared" si="166"/>
        <v>1</v>
      </c>
      <c r="BP64" s="650">
        <f t="shared" si="166"/>
        <v>0.99999999999999989</v>
      </c>
      <c r="BQ64" s="651">
        <f t="shared" si="166"/>
        <v>1</v>
      </c>
      <c r="BR64" s="651">
        <f t="shared" si="166"/>
        <v>1</v>
      </c>
      <c r="BS64" s="651">
        <f t="shared" si="166"/>
        <v>0.99999999999999989</v>
      </c>
      <c r="BT64" s="652">
        <f t="shared" si="166"/>
        <v>1</v>
      </c>
      <c r="BU64" s="651">
        <f t="shared" si="166"/>
        <v>1</v>
      </c>
      <c r="BV64" s="651">
        <f t="shared" si="166"/>
        <v>1</v>
      </c>
      <c r="BW64" s="651">
        <f t="shared" si="166"/>
        <v>1.0000000000000002</v>
      </c>
      <c r="BX64" s="650">
        <f t="shared" si="166"/>
        <v>1</v>
      </c>
      <c r="BY64" s="651">
        <f t="shared" si="166"/>
        <v>0.99999999999999989</v>
      </c>
      <c r="BZ64" s="651">
        <f t="shared" si="166"/>
        <v>0.99999999999999989</v>
      </c>
      <c r="CA64" s="651">
        <f t="shared" si="166"/>
        <v>1</v>
      </c>
      <c r="CB64" s="652">
        <f t="shared" si="166"/>
        <v>1</v>
      </c>
      <c r="CC64" s="651">
        <f t="shared" si="166"/>
        <v>1</v>
      </c>
      <c r="CD64" s="651">
        <f t="shared" si="166"/>
        <v>1</v>
      </c>
      <c r="CE64" s="651">
        <f t="shared" si="166"/>
        <v>1</v>
      </c>
      <c r="CF64" s="650">
        <f t="shared" si="166"/>
        <v>1</v>
      </c>
      <c r="CG64" s="651">
        <f t="shared" si="166"/>
        <v>1</v>
      </c>
      <c r="CH64" s="651">
        <f t="shared" si="166"/>
        <v>1</v>
      </c>
      <c r="CI64" s="651">
        <f t="shared" si="166"/>
        <v>1</v>
      </c>
      <c r="CJ64" s="652">
        <f t="shared" si="166"/>
        <v>1</v>
      </c>
    </row>
    <row r="65" spans="1:88" x14ac:dyDescent="0.2">
      <c r="A65" s="186"/>
      <c r="B65" s="284"/>
      <c r="C65" s="462"/>
      <c r="D65" s="653"/>
      <c r="E65" s="653"/>
      <c r="F65" s="653"/>
      <c r="G65" s="653"/>
      <c r="H65" s="653"/>
      <c r="I65" s="653"/>
      <c r="J65" s="653"/>
      <c r="K65" s="653"/>
      <c r="L65" s="653"/>
      <c r="M65" s="653"/>
      <c r="N65" s="653"/>
      <c r="O65" s="653"/>
      <c r="P65" s="653"/>
      <c r="Q65" s="653"/>
      <c r="R65" s="653"/>
      <c r="S65" s="653"/>
      <c r="T65" s="653"/>
      <c r="U65" s="653"/>
      <c r="V65" s="653"/>
      <c r="W65" s="653"/>
      <c r="X65" s="100"/>
      <c r="Y65" s="653"/>
      <c r="Z65" s="653"/>
      <c r="AA65" s="653"/>
      <c r="AB65" s="654"/>
      <c r="AC65" s="655"/>
      <c r="AD65" s="655"/>
      <c r="AE65" s="653"/>
      <c r="AF65" s="656"/>
      <c r="AG65" s="653"/>
      <c r="AH65" s="653"/>
      <c r="AI65" s="653"/>
      <c r="AJ65" s="654"/>
      <c r="AK65" s="655"/>
      <c r="AL65" s="655"/>
      <c r="AM65" s="653"/>
      <c r="AN65" s="656"/>
      <c r="AO65" s="653"/>
      <c r="AP65" s="653"/>
      <c r="AQ65" s="653"/>
      <c r="AR65" s="654"/>
      <c r="AS65" s="655"/>
      <c r="AT65" s="655"/>
      <c r="AU65" s="653"/>
      <c r="AV65" s="656"/>
      <c r="AW65" s="653"/>
      <c r="AX65" s="653"/>
      <c r="AY65" s="653"/>
      <c r="AZ65" s="654"/>
      <c r="BA65" s="1698"/>
      <c r="BB65" s="655"/>
      <c r="BC65" s="653"/>
      <c r="BD65" s="656"/>
      <c r="BE65" s="653"/>
      <c r="BF65" s="653"/>
      <c r="BG65" s="653"/>
      <c r="BH65" s="654"/>
      <c r="BI65" s="655"/>
      <c r="BJ65" s="655"/>
      <c r="BK65" s="653"/>
      <c r="BL65" s="656"/>
      <c r="BM65" s="653"/>
      <c r="BN65" s="653"/>
      <c r="BO65" s="653"/>
      <c r="BP65" s="654"/>
      <c r="BQ65" s="655"/>
      <c r="BR65" s="655"/>
      <c r="BS65" s="653"/>
      <c r="BT65" s="656"/>
      <c r="BU65" s="653"/>
      <c r="BV65" s="653"/>
      <c r="BW65" s="653"/>
      <c r="BX65" s="654"/>
      <c r="BY65" s="655"/>
      <c r="BZ65" s="655"/>
      <c r="CA65" s="653"/>
      <c r="CB65" s="656"/>
      <c r="CC65" s="653"/>
      <c r="CD65" s="653"/>
      <c r="CE65" s="653"/>
      <c r="CF65" s="654"/>
      <c r="CG65" s="655"/>
      <c r="CH65" s="655"/>
      <c r="CI65" s="653"/>
      <c r="CJ65" s="656"/>
    </row>
    <row r="66" spans="1:88" x14ac:dyDescent="0.2">
      <c r="A66" s="219" t="s">
        <v>750</v>
      </c>
      <c r="B66" s="284"/>
      <c r="C66" s="462"/>
      <c r="D66" s="653"/>
      <c r="E66" s="653"/>
      <c r="F66" s="653"/>
      <c r="G66" s="653"/>
      <c r="H66" s="653"/>
      <c r="I66" s="653"/>
      <c r="J66" s="653"/>
      <c r="K66" s="653"/>
      <c r="L66" s="653"/>
      <c r="M66" s="653"/>
      <c r="N66" s="653"/>
      <c r="O66" s="653"/>
      <c r="P66" s="653"/>
      <c r="Q66" s="653"/>
      <c r="R66" s="653"/>
      <c r="S66" s="653"/>
      <c r="T66" s="653"/>
      <c r="U66" s="653"/>
      <c r="V66" s="653"/>
      <c r="W66" s="653"/>
      <c r="X66" s="100"/>
      <c r="Y66" s="653"/>
      <c r="Z66" s="653"/>
      <c r="AA66" s="653"/>
      <c r="AB66" s="654"/>
      <c r="AC66" s="655"/>
      <c r="AD66" s="655"/>
      <c r="AE66" s="653"/>
      <c r="AF66" s="656"/>
      <c r="AG66" s="653"/>
      <c r="AH66" s="653"/>
      <c r="AI66" s="653"/>
      <c r="AJ66" s="654"/>
      <c r="AK66" s="655"/>
      <c r="AL66" s="655"/>
      <c r="AM66" s="653"/>
      <c r="AN66" s="656"/>
      <c r="AO66" s="653"/>
      <c r="AP66" s="653"/>
      <c r="AQ66" s="653"/>
      <c r="AR66" s="654"/>
      <c r="AS66" s="655"/>
      <c r="AT66" s="655"/>
      <c r="AU66" s="653"/>
      <c r="AV66" s="656"/>
      <c r="AW66" s="653"/>
      <c r="AX66" s="653"/>
      <c r="AY66" s="653"/>
      <c r="AZ66" s="654"/>
      <c r="BA66" s="1698"/>
      <c r="BB66" s="655"/>
      <c r="BC66" s="653"/>
      <c r="BD66" s="656"/>
      <c r="BE66" s="653"/>
      <c r="BF66" s="653"/>
      <c r="BG66" s="653"/>
      <c r="BH66" s="654"/>
      <c r="BI66" s="655"/>
      <c r="BJ66" s="655"/>
      <c r="BK66" s="653"/>
      <c r="BL66" s="656"/>
      <c r="BM66" s="653"/>
      <c r="BN66" s="653"/>
      <c r="BO66" s="653"/>
      <c r="BP66" s="654"/>
      <c r="BQ66" s="655"/>
      <c r="BR66" s="655"/>
      <c r="BS66" s="653"/>
      <c r="BT66" s="656"/>
      <c r="BU66" s="653"/>
      <c r="BV66" s="653"/>
      <c r="BW66" s="653"/>
      <c r="BX66" s="654"/>
      <c r="BY66" s="655"/>
      <c r="BZ66" s="655"/>
      <c r="CA66" s="653"/>
      <c r="CB66" s="656"/>
      <c r="CC66" s="653"/>
      <c r="CD66" s="653"/>
      <c r="CE66" s="653"/>
      <c r="CF66" s="654"/>
      <c r="CG66" s="655"/>
      <c r="CH66" s="655"/>
      <c r="CI66" s="653"/>
      <c r="CJ66" s="656"/>
    </row>
    <row r="67" spans="1:88" x14ac:dyDescent="0.2">
      <c r="A67" s="584" t="s">
        <v>723</v>
      </c>
      <c r="B67" s="284"/>
      <c r="C67" s="462"/>
      <c r="D67" s="653"/>
      <c r="E67" s="19">
        <f t="shared" ref="E67:Q71" si="171">E5/D5-1</f>
        <v>4.1251448435689397E-2</v>
      </c>
      <c r="F67" s="19">
        <f t="shared" si="171"/>
        <v>0.18749088620612908</v>
      </c>
      <c r="G67" s="19">
        <f t="shared" si="171"/>
        <v>0.20461265523358962</v>
      </c>
      <c r="H67" s="19">
        <f t="shared" si="171"/>
        <v>-4.8600883652430094E-2</v>
      </c>
      <c r="I67" s="19">
        <f t="shared" si="171"/>
        <v>-4.0247678018575872E-2</v>
      </c>
      <c r="J67" s="19">
        <f t="shared" si="171"/>
        <v>-2.8626828838357099E-2</v>
      </c>
      <c r="K67" s="19">
        <f t="shared" si="171"/>
        <v>0.10877218451711257</v>
      </c>
      <c r="L67" s="19">
        <f t="shared" si="171"/>
        <v>0.16558919803600669</v>
      </c>
      <c r="M67" s="19">
        <f t="shared" si="171"/>
        <v>0.15440961374194084</v>
      </c>
      <c r="N67" s="19">
        <f t="shared" si="171"/>
        <v>9.0846062621000145E-2</v>
      </c>
      <c r="O67" s="19">
        <f t="shared" si="171"/>
        <v>0.21228846789989908</v>
      </c>
      <c r="P67" s="19">
        <f t="shared" si="171"/>
        <v>5.0914414483467008E-2</v>
      </c>
      <c r="Q67" s="19">
        <f t="shared" si="171"/>
        <v>9.4106423667078776E-2</v>
      </c>
      <c r="R67" s="19"/>
      <c r="S67" s="19">
        <f>S5/Q5-1</f>
        <v>0.11479527555905755</v>
      </c>
      <c r="T67" s="19"/>
      <c r="U67" s="19">
        <f>U5/S5-1</f>
        <v>0.10919560849598153</v>
      </c>
      <c r="V67" s="19">
        <f t="shared" ref="V67:X69" si="172">V5/U5-1</f>
        <v>-0.45468777797544924</v>
      </c>
      <c r="W67" s="19">
        <f t="shared" si="172"/>
        <v>-5.8648602691405705E-2</v>
      </c>
      <c r="X67" s="494">
        <f t="shared" si="172"/>
        <v>0.45755897970157289</v>
      </c>
      <c r="Y67" s="19"/>
      <c r="Z67" s="19"/>
      <c r="AA67" s="19"/>
      <c r="AB67" s="643"/>
      <c r="AC67" s="495"/>
      <c r="AD67" s="495"/>
      <c r="AE67" s="19"/>
      <c r="AF67" s="668">
        <f>AF5/X5-1</f>
        <v>0.33488582553484614</v>
      </c>
      <c r="AG67" s="19">
        <f t="shared" ref="AG67:CJ69" si="173">AG5/Y5-1</f>
        <v>0.17154998771800534</v>
      </c>
      <c r="AH67" s="19">
        <f t="shared" si="173"/>
        <v>0.19468556643041945</v>
      </c>
      <c r="AI67" s="19">
        <f t="shared" si="173"/>
        <v>0.14079792409990266</v>
      </c>
      <c r="AJ67" s="643">
        <f t="shared" si="173"/>
        <v>0.15386814590387909</v>
      </c>
      <c r="AK67" s="19">
        <f t="shared" si="173"/>
        <v>0.18362515413070279</v>
      </c>
      <c r="AL67" s="19">
        <f t="shared" si="173"/>
        <v>0.14783049946758875</v>
      </c>
      <c r="AM67" s="19">
        <f t="shared" si="173"/>
        <v>0.16855251141552507</v>
      </c>
      <c r="AN67" s="668">
        <f t="shared" si="173"/>
        <v>0.16428306172327711</v>
      </c>
      <c r="AO67" s="19">
        <f t="shared" si="173"/>
        <v>0.18953826283500175</v>
      </c>
      <c r="AP67" s="19">
        <f t="shared" si="173"/>
        <v>0.17545736358191877</v>
      </c>
      <c r="AQ67" s="19">
        <f t="shared" si="173"/>
        <v>0.24946830893809624</v>
      </c>
      <c r="AR67" s="643">
        <f t="shared" si="173"/>
        <v>5.5816378081469331E-2</v>
      </c>
      <c r="AS67" s="19">
        <f t="shared" si="173"/>
        <v>0.18212033542477757</v>
      </c>
      <c r="AT67" s="19">
        <f t="shared" si="173"/>
        <v>0.14472369680619646</v>
      </c>
      <c r="AU67" s="19">
        <f t="shared" si="173"/>
        <v>0.20525986044736566</v>
      </c>
      <c r="AV67" s="668">
        <f t="shared" si="173"/>
        <v>0.16219814781160657</v>
      </c>
      <c r="AW67" s="19">
        <f t="shared" si="173"/>
        <v>0.25166039172553822</v>
      </c>
      <c r="AX67" s="19">
        <f t="shared" si="173"/>
        <v>0.18564685600392217</v>
      </c>
      <c r="AY67" s="495">
        <f t="shared" si="173"/>
        <v>0.13919546978609532</v>
      </c>
      <c r="AZ67" s="647">
        <f t="shared" si="173"/>
        <v>0.45447979625181567</v>
      </c>
      <c r="BA67" s="1696">
        <f t="shared" si="173"/>
        <v>0.21707996286964582</v>
      </c>
      <c r="BB67" s="495">
        <f t="shared" si="173"/>
        <v>0.29648505392584878</v>
      </c>
      <c r="BC67" s="495">
        <f t="shared" si="173"/>
        <v>0.18970874106733793</v>
      </c>
      <c r="BD67" s="648">
        <f t="shared" si="173"/>
        <v>0.25901828501986457</v>
      </c>
      <c r="BE67" s="495">
        <f t="shared" si="173"/>
        <v>1.806102174641433E-2</v>
      </c>
      <c r="BF67" s="495">
        <f t="shared" si="173"/>
        <v>0.13230585176801446</v>
      </c>
      <c r="BG67" s="495">
        <f t="shared" si="173"/>
        <v>0.11609637500957093</v>
      </c>
      <c r="BH67" s="647">
        <f t="shared" si="173"/>
        <v>0.15589029331596116</v>
      </c>
      <c r="BI67" s="495">
        <f t="shared" si="173"/>
        <v>7.6361239627053656E-2</v>
      </c>
      <c r="BJ67" s="495">
        <f t="shared" si="173"/>
        <v>0.13836813127632963</v>
      </c>
      <c r="BK67" s="495">
        <f t="shared" si="173"/>
        <v>8.9578602981877031E-2</v>
      </c>
      <c r="BL67" s="648">
        <f t="shared" si="173"/>
        <v>0.10963201555868074</v>
      </c>
      <c r="BM67" s="495">
        <f t="shared" si="173"/>
        <v>0.11587491801459793</v>
      </c>
      <c r="BN67" s="495">
        <f t="shared" si="173"/>
        <v>0.11244663939605926</v>
      </c>
      <c r="BO67" s="495">
        <f t="shared" si="173"/>
        <v>0.11287757010718691</v>
      </c>
      <c r="BP67" s="647">
        <f t="shared" si="173"/>
        <v>9.1501130688496746E-2</v>
      </c>
      <c r="BQ67" s="495">
        <f t="shared" si="173"/>
        <v>0.11403450441563412</v>
      </c>
      <c r="BR67" s="495">
        <f t="shared" si="173"/>
        <v>0.1007295076220267</v>
      </c>
      <c r="BS67" s="495">
        <f t="shared" si="173"/>
        <v>0.11363031597572437</v>
      </c>
      <c r="BT67" s="648">
        <f t="shared" si="173"/>
        <v>0.10665921692334646</v>
      </c>
      <c r="BU67" s="495">
        <f t="shared" si="173"/>
        <v>6.2656759939739182E-2</v>
      </c>
      <c r="BV67" s="495">
        <f t="shared" si="173"/>
        <v>5.9818011743845378E-2</v>
      </c>
      <c r="BW67" s="495">
        <f t="shared" si="173"/>
        <v>5.9808642604691542E-2</v>
      </c>
      <c r="BX67" s="647">
        <f t="shared" si="173"/>
        <v>5.6924934686254591E-2</v>
      </c>
      <c r="BY67" s="495">
        <f t="shared" si="173"/>
        <v>6.1134997919302769E-2</v>
      </c>
      <c r="BZ67" s="495">
        <f t="shared" si="173"/>
        <v>5.8183593458774441E-2</v>
      </c>
      <c r="CA67" s="495">
        <f t="shared" si="173"/>
        <v>6.0671933497745023E-2</v>
      </c>
      <c r="CB67" s="648">
        <f t="shared" si="173"/>
        <v>5.9507727939589472E-2</v>
      </c>
      <c r="CC67" s="495">
        <f t="shared" si="173"/>
        <v>-1.6286248957257943E-3</v>
      </c>
      <c r="CD67" s="495">
        <f t="shared" si="173"/>
        <v>2.6084772818046886E-3</v>
      </c>
      <c r="CE67" s="495">
        <f t="shared" si="173"/>
        <v>2.2346836674924653E-3</v>
      </c>
      <c r="CF67" s="647">
        <f t="shared" si="173"/>
        <v>-3.7631856019015864E-4</v>
      </c>
      <c r="CG67" s="495">
        <f t="shared" si="173"/>
        <v>6.3993089560221428E-4</v>
      </c>
      <c r="CH67" s="495">
        <f t="shared" si="173"/>
        <v>7.6506184512514785E-4</v>
      </c>
      <c r="CI67" s="495">
        <f t="shared" si="173"/>
        <v>1.1962465459816052E-3</v>
      </c>
      <c r="CJ67" s="648">
        <f t="shared" si="173"/>
        <v>7.0883617822126155E-4</v>
      </c>
    </row>
    <row r="68" spans="1:88" x14ac:dyDescent="0.2">
      <c r="A68" s="584" t="s">
        <v>724</v>
      </c>
      <c r="B68" s="284"/>
      <c r="C68" s="462"/>
      <c r="D68" s="653"/>
      <c r="E68" s="19">
        <f t="shared" si="171"/>
        <v>4.1251448435689397E-2</v>
      </c>
      <c r="F68" s="19">
        <f t="shared" si="171"/>
        <v>0.12908969508123747</v>
      </c>
      <c r="G68" s="19">
        <f t="shared" si="171"/>
        <v>0.23926917011630211</v>
      </c>
      <c r="H68" s="19">
        <f t="shared" si="171"/>
        <v>-1.7407470001690073E-2</v>
      </c>
      <c r="I68" s="19">
        <f t="shared" si="171"/>
        <v>3.3145146603532849E-2</v>
      </c>
      <c r="J68" s="19">
        <f t="shared" si="171"/>
        <v>-1.2162876784770016E-2</v>
      </c>
      <c r="K68" s="19">
        <f t="shared" si="171"/>
        <v>2.9720834324688861E-2</v>
      </c>
      <c r="L68" s="19">
        <f t="shared" si="171"/>
        <v>7.9041109078656024E-2</v>
      </c>
      <c r="M68" s="19">
        <f t="shared" si="171"/>
        <v>1.5658458244111273E-2</v>
      </c>
      <c r="N68" s="19">
        <f t="shared" si="171"/>
        <v>7.4318091975227318E-2</v>
      </c>
      <c r="O68" s="19">
        <f t="shared" si="171"/>
        <v>-9.3871376589395039E-3</v>
      </c>
      <c r="P68" s="19">
        <f t="shared" si="171"/>
        <v>-0.14730864156768231</v>
      </c>
      <c r="Q68" s="19">
        <f t="shared" si="171"/>
        <v>3.7269726333723829E-2</v>
      </c>
      <c r="R68" s="19"/>
      <c r="S68" s="19">
        <f>S6/Q6-1</f>
        <v>7.2990452725592903E-2</v>
      </c>
      <c r="T68" s="19"/>
      <c r="U68" s="19">
        <f>U6/S6-1</f>
        <v>4.7646383467278897E-2</v>
      </c>
      <c r="V68" s="19">
        <f t="shared" si="172"/>
        <v>1.7916147779161395E-2</v>
      </c>
      <c r="W68" s="19">
        <f t="shared" si="172"/>
        <v>-2.923137152551214E-2</v>
      </c>
      <c r="X68" s="494">
        <f t="shared" si="172"/>
        <v>3.8261191020298346E-2</v>
      </c>
      <c r="Y68" s="19"/>
      <c r="Z68" s="19"/>
      <c r="AA68" s="19"/>
      <c r="AB68" s="643"/>
      <c r="AC68" s="495"/>
      <c r="AD68" s="495"/>
      <c r="AE68" s="19"/>
      <c r="AF68" s="668">
        <f>AF6/X6-1</f>
        <v>5.711372574406437E-2</v>
      </c>
      <c r="AG68" s="19">
        <f t="shared" si="173"/>
        <v>0.14112011790714796</v>
      </c>
      <c r="AH68" s="19">
        <f t="shared" si="173"/>
        <v>-4.637754528068383E-2</v>
      </c>
      <c r="AI68" s="19">
        <f t="shared" si="173"/>
        <v>-9.7469996756405997E-2</v>
      </c>
      <c r="AJ68" s="643">
        <f t="shared" si="173"/>
        <v>0.25642733970841869</v>
      </c>
      <c r="AK68" s="19">
        <f t="shared" si="173"/>
        <v>4.325935059597219E-2</v>
      </c>
      <c r="AL68" s="19">
        <f t="shared" si="173"/>
        <v>4.6982979267980784E-2</v>
      </c>
      <c r="AM68" s="19">
        <f t="shared" si="173"/>
        <v>-6.2690258751901817E-3</v>
      </c>
      <c r="AN68" s="668">
        <f t="shared" si="173"/>
        <v>4.504118313481742E-2</v>
      </c>
      <c r="AO68" s="19">
        <f t="shared" si="173"/>
        <v>0.18953826283500153</v>
      </c>
      <c r="AP68" s="19">
        <f t="shared" si="173"/>
        <v>-7.9777037189960764E-2</v>
      </c>
      <c r="AQ68" s="19">
        <f t="shared" si="173"/>
        <v>0.21114106019766399</v>
      </c>
      <c r="AR68" s="643">
        <f t="shared" si="173"/>
        <v>0.27358931969181866</v>
      </c>
      <c r="AS68" s="19">
        <f t="shared" si="173"/>
        <v>6.1051624431906149E-2</v>
      </c>
      <c r="AT68" s="19">
        <f t="shared" si="173"/>
        <v>0.24173020214212615</v>
      </c>
      <c r="AU68" s="19">
        <f t="shared" si="173"/>
        <v>0.10902633518729465</v>
      </c>
      <c r="AV68" s="668">
        <f t="shared" si="173"/>
        <v>0.14767067096396147</v>
      </c>
      <c r="AW68" s="19">
        <f t="shared" si="173"/>
        <v>0.13264567499095192</v>
      </c>
      <c r="AX68" s="19">
        <f t="shared" si="173"/>
        <v>0.33670918530863392</v>
      </c>
      <c r="AY68" s="495">
        <f t="shared" si="173"/>
        <v>-0.18410762858555885</v>
      </c>
      <c r="AZ68" s="647">
        <f t="shared" si="173"/>
        <v>-9.9243815821697945E-3</v>
      </c>
      <c r="BA68" s="1696">
        <f t="shared" si="173"/>
        <v>0.21707996286964604</v>
      </c>
      <c r="BB68" s="495">
        <f t="shared" si="173"/>
        <v>-9.659806816783556E-2</v>
      </c>
      <c r="BC68" s="495">
        <f t="shared" si="173"/>
        <v>7.7036577470867451E-2</v>
      </c>
      <c r="BD68" s="648">
        <f t="shared" si="173"/>
        <v>5.4375000000000062E-2</v>
      </c>
      <c r="BE68" s="495">
        <f t="shared" si="173"/>
        <v>-0.1297867065176147</v>
      </c>
      <c r="BF68" s="495">
        <f t="shared" si="173"/>
        <v>4.4723315221300464E-2</v>
      </c>
      <c r="BG68" s="495">
        <f t="shared" si="173"/>
        <v>0.32061623651534799</v>
      </c>
      <c r="BH68" s="647">
        <f t="shared" si="173"/>
        <v>7.7886186321943773E-2</v>
      </c>
      <c r="BI68" s="495">
        <f t="shared" si="173"/>
        <v>-5.0483329020483803E-2</v>
      </c>
      <c r="BJ68" s="495">
        <f t="shared" si="173"/>
        <v>0.18696898966520759</v>
      </c>
      <c r="BK68" s="495">
        <f t="shared" si="173"/>
        <v>4.7648066389667454E-2</v>
      </c>
      <c r="BL68" s="648">
        <f t="shared" si="173"/>
        <v>5.5047421458209733E-2</v>
      </c>
      <c r="BM68" s="495">
        <f t="shared" si="173"/>
        <v>5.5710222404508292E-2</v>
      </c>
      <c r="BN68" s="495">
        <f t="shared" si="173"/>
        <v>5.5710222404508292E-2</v>
      </c>
      <c r="BO68" s="495">
        <f t="shared" si="173"/>
        <v>5.5710222404508292E-2</v>
      </c>
      <c r="BP68" s="647">
        <f t="shared" si="173"/>
        <v>5.5710222404508292E-2</v>
      </c>
      <c r="BQ68" s="495">
        <f t="shared" si="173"/>
        <v>5.5710222404508292E-2</v>
      </c>
      <c r="BR68" s="495">
        <f t="shared" si="173"/>
        <v>5.5710222404508292E-2</v>
      </c>
      <c r="BS68" s="495">
        <f t="shared" si="173"/>
        <v>5.5710222404508292E-2</v>
      </c>
      <c r="BT68" s="648">
        <f t="shared" si="173"/>
        <v>5.5710222404508292E-2</v>
      </c>
      <c r="BU68" s="495">
        <f t="shared" si="173"/>
        <v>5.6362714190085095E-2</v>
      </c>
      <c r="BV68" s="495">
        <f t="shared" si="173"/>
        <v>5.6362714190085095E-2</v>
      </c>
      <c r="BW68" s="495">
        <f t="shared" si="173"/>
        <v>5.6362714190085095E-2</v>
      </c>
      <c r="BX68" s="647">
        <f t="shared" si="173"/>
        <v>5.6362714190085095E-2</v>
      </c>
      <c r="BY68" s="495">
        <f t="shared" si="173"/>
        <v>5.6362714190085095E-2</v>
      </c>
      <c r="BZ68" s="495">
        <f t="shared" si="173"/>
        <v>5.6362714190085095E-2</v>
      </c>
      <c r="CA68" s="495">
        <f t="shared" si="173"/>
        <v>5.6362714190085095E-2</v>
      </c>
      <c r="CB68" s="648">
        <f t="shared" si="173"/>
        <v>5.6362714190085095E-2</v>
      </c>
      <c r="CC68" s="495">
        <f t="shared" si="173"/>
        <v>5.7004257372252898E-2</v>
      </c>
      <c r="CD68" s="495">
        <f t="shared" si="173"/>
        <v>5.7004257372252898E-2</v>
      </c>
      <c r="CE68" s="495">
        <f t="shared" si="173"/>
        <v>5.7004257372252898E-2</v>
      </c>
      <c r="CF68" s="647">
        <f t="shared" si="173"/>
        <v>5.7004257372252898E-2</v>
      </c>
      <c r="CG68" s="495">
        <f t="shared" si="173"/>
        <v>5.7004257372252898E-2</v>
      </c>
      <c r="CH68" s="495">
        <f t="shared" si="173"/>
        <v>5.7004257372252898E-2</v>
      </c>
      <c r="CI68" s="495">
        <f t="shared" si="173"/>
        <v>5.7004257372252898E-2</v>
      </c>
      <c r="CJ68" s="648">
        <f t="shared" si="173"/>
        <v>5.7004257372252898E-2</v>
      </c>
    </row>
    <row r="69" spans="1:88" x14ac:dyDescent="0.2">
      <c r="A69" s="584" t="s">
        <v>725</v>
      </c>
      <c r="B69" s="284"/>
      <c r="C69" s="462"/>
      <c r="D69" s="653"/>
      <c r="E69" s="19">
        <f t="shared" si="171"/>
        <v>4.1251448435689619E-2</v>
      </c>
      <c r="F69" s="19">
        <f t="shared" si="171"/>
        <v>4.8440431146863139E-2</v>
      </c>
      <c r="G69" s="19">
        <f t="shared" si="171"/>
        <v>-1.3070706151723344E-2</v>
      </c>
      <c r="H69" s="19">
        <f t="shared" si="171"/>
        <v>-1.7407470001690073E-2</v>
      </c>
      <c r="I69" s="19">
        <f t="shared" si="171"/>
        <v>6.4452575288488578E-2</v>
      </c>
      <c r="J69" s="19">
        <f t="shared" si="171"/>
        <v>-1.2162876784769905E-2</v>
      </c>
      <c r="K69" s="19">
        <f t="shared" si="171"/>
        <v>-5.6507256721394228E-4</v>
      </c>
      <c r="L69" s="19">
        <f t="shared" si="171"/>
        <v>0.146481178396072</v>
      </c>
      <c r="M69" s="19">
        <f t="shared" si="171"/>
        <v>-1.5119070793588874E-2</v>
      </c>
      <c r="N69" s="19">
        <f t="shared" si="171"/>
        <v>7.4318091975227318E-2</v>
      </c>
      <c r="O69" s="19">
        <f t="shared" si="171"/>
        <v>2.8713357046485699E-2</v>
      </c>
      <c r="P69" s="19">
        <f t="shared" si="171"/>
        <v>0.343634867832743</v>
      </c>
      <c r="Q69" s="19">
        <f t="shared" si="171"/>
        <v>3.7269726333723829E-2</v>
      </c>
      <c r="R69" s="19"/>
      <c r="S69" s="19">
        <f>S7/Q7-1</f>
        <v>-0.19525716045580532</v>
      </c>
      <c r="T69" s="19"/>
      <c r="U69" s="19">
        <f>U7/S7-1</f>
        <v>0.66459369817578806</v>
      </c>
      <c r="V69" s="19">
        <f t="shared" si="172"/>
        <v>-0.11911102596034118</v>
      </c>
      <c r="W69" s="19">
        <f t="shared" si="172"/>
        <v>7.863180941609782E-2</v>
      </c>
      <c r="X69" s="494">
        <f t="shared" si="172"/>
        <v>-0.10549805081328134</v>
      </c>
      <c r="Y69" s="19"/>
      <c r="Z69" s="19"/>
      <c r="AA69" s="19"/>
      <c r="AB69" s="643"/>
      <c r="AC69" s="495"/>
      <c r="AD69" s="495"/>
      <c r="AE69" s="19"/>
      <c r="AF69" s="668">
        <f>AF7/X7-1</f>
        <v>-1.8394397523368911E-2</v>
      </c>
      <c r="AG69" s="19">
        <f t="shared" si="173"/>
        <v>-3.4436823309336173E-2</v>
      </c>
      <c r="AH69" s="19">
        <f t="shared" si="173"/>
        <v>-3.9331239128741591E-2</v>
      </c>
      <c r="AI69" s="19">
        <f t="shared" si="173"/>
        <v>-8.3584919783427747E-2</v>
      </c>
      <c r="AJ69" s="643">
        <f t="shared" si="173"/>
        <v>1.5287658152303667</v>
      </c>
      <c r="AK69" s="19">
        <f t="shared" si="173"/>
        <v>-3.6991368680641123E-2</v>
      </c>
      <c r="AL69" s="19">
        <f t="shared" si="173"/>
        <v>0.39176563737133829</v>
      </c>
      <c r="AM69" s="19">
        <f t="shared" si="173"/>
        <v>-5.338953284158765E-2</v>
      </c>
      <c r="AN69" s="668">
        <f t="shared" si="173"/>
        <v>0.14954530144829925</v>
      </c>
      <c r="AO69" s="19">
        <f t="shared" si="173"/>
        <v>0.18953826283500153</v>
      </c>
      <c r="AP69" s="19">
        <f t="shared" si="173"/>
        <v>0.14655172413793083</v>
      </c>
      <c r="AQ69" s="19">
        <f t="shared" si="173"/>
        <v>-6.4118271665441484E-2</v>
      </c>
      <c r="AR69" s="643">
        <f t="shared" si="173"/>
        <v>-7.1202681015764657E-2</v>
      </c>
      <c r="AS69" s="19">
        <f t="shared" si="173"/>
        <v>0.16715678687509672</v>
      </c>
      <c r="AT69" s="19">
        <f t="shared" si="173"/>
        <v>-6.7913174296152734E-2</v>
      </c>
      <c r="AU69" s="19">
        <f t="shared" si="173"/>
        <v>8.8358070500927699E-2</v>
      </c>
      <c r="AV69" s="668">
        <f t="shared" si="173"/>
        <v>4.3336973603601336E-2</v>
      </c>
      <c r="AW69" s="19">
        <f t="shared" si="173"/>
        <v>0.23561346362649305</v>
      </c>
      <c r="AX69" s="19">
        <f t="shared" si="173"/>
        <v>0.19937775473165686</v>
      </c>
      <c r="AY69" s="495">
        <f t="shared" si="173"/>
        <v>3.8430208878804217E-2</v>
      </c>
      <c r="AZ69" s="647">
        <f t="shared" si="173"/>
        <v>-9.2999618854021082E-2</v>
      </c>
      <c r="BA69" s="1696">
        <f t="shared" si="173"/>
        <v>0.21707996286964604</v>
      </c>
      <c r="BB69" s="495">
        <f t="shared" si="173"/>
        <v>-3.172428759375534E-2</v>
      </c>
      <c r="BC69" s="495">
        <f t="shared" si="173"/>
        <v>0.16473897293841899</v>
      </c>
      <c r="BD69" s="648">
        <f t="shared" si="173"/>
        <v>0.10000000000000009</v>
      </c>
      <c r="BE69" s="495">
        <f t="shared" si="173"/>
        <v>-5.3449033391915313E-2</v>
      </c>
      <c r="BF69" s="495">
        <f t="shared" si="173"/>
        <v>-6.859057501080823E-2</v>
      </c>
      <c r="BG69" s="495">
        <f t="shared" si="173"/>
        <v>0.32779661016949135</v>
      </c>
      <c r="BH69" s="647">
        <f t="shared" si="173"/>
        <v>0.32779661016949135</v>
      </c>
      <c r="BI69" s="495">
        <f t="shared" si="173"/>
        <v>-6.1080845500108616E-2</v>
      </c>
      <c r="BJ69" s="495">
        <f t="shared" si="173"/>
        <v>0.32779661016949135</v>
      </c>
      <c r="BK69" s="495">
        <f t="shared" si="173"/>
        <v>4.0497464380584658E-2</v>
      </c>
      <c r="BL69" s="648">
        <f t="shared" si="173"/>
        <v>0.10000000000000009</v>
      </c>
      <c r="BM69" s="495">
        <f t="shared" si="173"/>
        <v>9.9999999999999867E-2</v>
      </c>
      <c r="BN69" s="495">
        <f t="shared" si="173"/>
        <v>9.9999999999999867E-2</v>
      </c>
      <c r="BO69" s="495">
        <f t="shared" si="173"/>
        <v>9.9999999999999867E-2</v>
      </c>
      <c r="BP69" s="647">
        <f t="shared" si="173"/>
        <v>9.9999999999999867E-2</v>
      </c>
      <c r="BQ69" s="495">
        <f t="shared" si="173"/>
        <v>9.9999999999999867E-2</v>
      </c>
      <c r="BR69" s="495">
        <f t="shared" si="173"/>
        <v>9.9999999999999867E-2</v>
      </c>
      <c r="BS69" s="495">
        <f t="shared" si="173"/>
        <v>0.10000000000000009</v>
      </c>
      <c r="BT69" s="648">
        <f t="shared" si="173"/>
        <v>9.9999999999999867E-2</v>
      </c>
      <c r="BU69" s="495">
        <f t="shared" si="173"/>
        <v>0.10000000000000009</v>
      </c>
      <c r="BV69" s="495">
        <f t="shared" si="173"/>
        <v>0.10000000000000009</v>
      </c>
      <c r="BW69" s="495">
        <f t="shared" si="173"/>
        <v>0.10000000000000009</v>
      </c>
      <c r="BX69" s="647">
        <f t="shared" si="173"/>
        <v>0.10000000000000009</v>
      </c>
      <c r="BY69" s="495">
        <f t="shared" si="173"/>
        <v>0.10000000000000009</v>
      </c>
      <c r="BZ69" s="495">
        <f t="shared" si="173"/>
        <v>0.10000000000000009</v>
      </c>
      <c r="CA69" s="495">
        <f t="shared" si="173"/>
        <v>9.9999999999999867E-2</v>
      </c>
      <c r="CB69" s="648">
        <f t="shared" si="173"/>
        <v>0.10000000000000009</v>
      </c>
      <c r="CC69" s="495">
        <f t="shared" si="173"/>
        <v>0.10000000000000009</v>
      </c>
      <c r="CD69" s="495">
        <f t="shared" si="173"/>
        <v>0.10000000000000009</v>
      </c>
      <c r="CE69" s="495">
        <f t="shared" si="173"/>
        <v>0.10000000000000009</v>
      </c>
      <c r="CF69" s="647">
        <f t="shared" si="173"/>
        <v>0.10000000000000009</v>
      </c>
      <c r="CG69" s="495">
        <f t="shared" si="173"/>
        <v>0.10000000000000009</v>
      </c>
      <c r="CH69" s="495">
        <f t="shared" si="173"/>
        <v>0.10000000000000009</v>
      </c>
      <c r="CI69" s="495">
        <f t="shared" si="173"/>
        <v>0.10000000000000009</v>
      </c>
      <c r="CJ69" s="648">
        <f t="shared" si="173"/>
        <v>0.10000000000000009</v>
      </c>
    </row>
    <row r="70" spans="1:88" hidden="1" outlineLevel="1" x14ac:dyDescent="0.2">
      <c r="A70" s="4" t="s">
        <v>726</v>
      </c>
      <c r="B70" s="284"/>
      <c r="C70" s="462"/>
      <c r="D70" s="653"/>
      <c r="E70" s="19">
        <f t="shared" si="171"/>
        <v>4.1251448435689619E-2</v>
      </c>
      <c r="F70" s="19">
        <f t="shared" si="171"/>
        <v>-5.909192076563563E-2</v>
      </c>
      <c r="G70" s="19">
        <f t="shared" si="171"/>
        <v>4.9733885274984235E-2</v>
      </c>
      <c r="H70" s="19">
        <f t="shared" si="171"/>
        <v>0.20094642555349052</v>
      </c>
      <c r="I70" s="19">
        <f t="shared" si="171"/>
        <v>-0.11295618725959244</v>
      </c>
      <c r="J70" s="19">
        <f t="shared" si="171"/>
        <v>8.662083553675437E-2</v>
      </c>
      <c r="K70" s="19">
        <f t="shared" si="171"/>
        <v>0.18941016157290025</v>
      </c>
      <c r="L70" s="19">
        <f t="shared" si="171"/>
        <v>0.14648117839607155</v>
      </c>
      <c r="M70" s="19">
        <f t="shared" si="171"/>
        <v>-9.719248156078919E-2</v>
      </c>
      <c r="N70" s="19">
        <f t="shared" si="171"/>
        <v>-3.3113717222295613E-2</v>
      </c>
      <c r="O70" s="19">
        <f t="shared" si="171"/>
        <v>1.6013192144677557E-2</v>
      </c>
      <c r="P70" s="19">
        <f t="shared" si="171"/>
        <v>-0.49613692456272129</v>
      </c>
      <c r="Q70" s="19"/>
      <c r="R70" s="19"/>
      <c r="S70" s="19"/>
      <c r="T70" s="19"/>
      <c r="U70" s="19"/>
      <c r="V70" s="19"/>
      <c r="W70" s="19"/>
      <c r="X70" s="494"/>
      <c r="Y70" s="19"/>
      <c r="Z70" s="19"/>
      <c r="AA70" s="19"/>
      <c r="AB70" s="643"/>
      <c r="AC70" s="495"/>
      <c r="AD70" s="495"/>
      <c r="AE70" s="19"/>
      <c r="AF70" s="668"/>
      <c r="AG70" s="19"/>
      <c r="AH70" s="19"/>
      <c r="AI70" s="19"/>
      <c r="AJ70" s="643"/>
      <c r="AK70" s="19"/>
      <c r="AL70" s="19"/>
      <c r="AM70" s="19"/>
      <c r="AN70" s="668"/>
      <c r="AO70" s="19"/>
      <c r="AP70" s="19"/>
      <c r="AQ70" s="19"/>
      <c r="AR70" s="643"/>
      <c r="AS70" s="19"/>
      <c r="AT70" s="19"/>
      <c r="AU70" s="19"/>
      <c r="AV70" s="668"/>
      <c r="AW70" s="19"/>
      <c r="AX70" s="19"/>
      <c r="AY70" s="495"/>
      <c r="AZ70" s="647"/>
      <c r="BA70" s="1696"/>
      <c r="BB70" s="495"/>
      <c r="BC70" s="495"/>
      <c r="BD70" s="648"/>
      <c r="BE70" s="495"/>
      <c r="BF70" s="495"/>
      <c r="BG70" s="495"/>
      <c r="BH70" s="647"/>
      <c r="BI70" s="495"/>
      <c r="BJ70" s="495"/>
      <c r="BK70" s="495"/>
      <c r="BL70" s="648"/>
      <c r="BM70" s="495"/>
      <c r="BN70" s="495"/>
      <c r="BO70" s="495"/>
      <c r="BP70" s="647"/>
      <c r="BQ70" s="495"/>
      <c r="BR70" s="495"/>
      <c r="BS70" s="495"/>
      <c r="BT70" s="648"/>
      <c r="BU70" s="495"/>
      <c r="BV70" s="495"/>
      <c r="BW70" s="495"/>
      <c r="BX70" s="647"/>
      <c r="BY70" s="495"/>
      <c r="BZ70" s="495"/>
      <c r="CA70" s="495"/>
      <c r="CB70" s="648"/>
      <c r="CC70" s="495"/>
      <c r="CD70" s="495"/>
      <c r="CE70" s="495"/>
      <c r="CF70" s="647"/>
      <c r="CG70" s="495"/>
      <c r="CH70" s="495"/>
      <c r="CI70" s="495"/>
      <c r="CJ70" s="648"/>
    </row>
    <row r="71" spans="1:88" collapsed="1" x14ac:dyDescent="0.2">
      <c r="A71" s="186" t="s">
        <v>88</v>
      </c>
      <c r="B71" s="284"/>
      <c r="C71" s="462"/>
      <c r="D71" s="653"/>
      <c r="E71" s="638">
        <f t="shared" si="171"/>
        <v>4.1251448435689397E-2</v>
      </c>
      <c r="F71" s="638">
        <f t="shared" si="171"/>
        <v>0.12908969508123747</v>
      </c>
      <c r="G71" s="638">
        <f t="shared" si="171"/>
        <v>0.16637098363887248</v>
      </c>
      <c r="H71" s="638">
        <f t="shared" si="171"/>
        <v>-1.7407470001690073E-2</v>
      </c>
      <c r="I71" s="638">
        <f t="shared" si="171"/>
        <v>-2.42518059855521E-2</v>
      </c>
      <c r="J71" s="638">
        <f t="shared" si="171"/>
        <v>-1.2162876784770016E-2</v>
      </c>
      <c r="K71" s="638">
        <f t="shared" si="171"/>
        <v>9.0292648108494022E-2</v>
      </c>
      <c r="L71" s="638">
        <f t="shared" si="171"/>
        <v>0.146481178396072</v>
      </c>
      <c r="M71" s="638">
        <f t="shared" si="171"/>
        <v>8.3369022127051995E-2</v>
      </c>
      <c r="N71" s="638">
        <f t="shared" si="171"/>
        <v>7.4318091975227318E-2</v>
      </c>
      <c r="O71" s="638">
        <f t="shared" si="171"/>
        <v>0.14301484116276209</v>
      </c>
      <c r="P71" s="638">
        <f>P9/O9-1</f>
        <v>7.7261508745574137E-3</v>
      </c>
      <c r="Q71" s="638">
        <f>Q9/P9-1</f>
        <v>3.7269726333723829E-2</v>
      </c>
      <c r="R71" s="638"/>
      <c r="S71" s="638">
        <f>S9/Q9-1</f>
        <v>7.2990452725592903E-2</v>
      </c>
      <c r="T71" s="638"/>
      <c r="U71" s="638">
        <f>U9/S9-1</f>
        <v>0.1524110218140069</v>
      </c>
      <c r="V71" s="638">
        <f>V9/U9-1</f>
        <v>-0.36380240763802407</v>
      </c>
      <c r="W71" s="638">
        <f>W9/V9-1</f>
        <v>-2.9231371525512251E-2</v>
      </c>
      <c r="X71" s="649">
        <f>X9/W9-1</f>
        <v>0.27785992740959808</v>
      </c>
      <c r="Y71" s="638"/>
      <c r="Z71" s="638"/>
      <c r="AA71" s="638"/>
      <c r="AB71" s="657"/>
      <c r="AC71" s="651"/>
      <c r="AD71" s="651"/>
      <c r="AE71" s="638"/>
      <c r="AF71" s="748">
        <f>AF9/X9-1</f>
        <v>0.24931622133389442</v>
      </c>
      <c r="AG71" s="638">
        <f t="shared" ref="AG71:CJ71" si="174">AG9/Y9-1</f>
        <v>0.14112011790714818</v>
      </c>
      <c r="AH71" s="638">
        <f t="shared" si="174"/>
        <v>0.13533580830239611</v>
      </c>
      <c r="AI71" s="638">
        <f t="shared" si="174"/>
        <v>8.3036003892312582E-2</v>
      </c>
      <c r="AJ71" s="657">
        <f t="shared" si="174"/>
        <v>0.23620025673940925</v>
      </c>
      <c r="AK71" s="638">
        <f t="shared" si="174"/>
        <v>0.13810110974106049</v>
      </c>
      <c r="AL71" s="638">
        <f t="shared" si="174"/>
        <v>0.16002581061461529</v>
      </c>
      <c r="AM71" s="638">
        <f t="shared" si="174"/>
        <v>0.11872146118721472</v>
      </c>
      <c r="AN71" s="748">
        <f t="shared" si="174"/>
        <v>0.14954530144829903</v>
      </c>
      <c r="AO71" s="638">
        <f t="shared" si="174"/>
        <v>0.18953826283500153</v>
      </c>
      <c r="AP71" s="638">
        <f t="shared" si="174"/>
        <v>0.14655172413793105</v>
      </c>
      <c r="AQ71" s="638">
        <f t="shared" si="174"/>
        <v>0.21114106019766399</v>
      </c>
      <c r="AR71" s="657">
        <f t="shared" si="174"/>
        <v>5.9968847352025456E-2</v>
      </c>
      <c r="AS71" s="638">
        <f t="shared" si="174"/>
        <v>0.16715678687509672</v>
      </c>
      <c r="AT71" s="638">
        <f t="shared" si="174"/>
        <v>0.13016270337922431</v>
      </c>
      <c r="AU71" s="638">
        <f t="shared" si="174"/>
        <v>0.18214285714285716</v>
      </c>
      <c r="AV71" s="748">
        <f t="shared" si="174"/>
        <v>0.14767067096396125</v>
      </c>
      <c r="AW71" s="638">
        <f t="shared" si="174"/>
        <v>0.23561346362649305</v>
      </c>
      <c r="AX71" s="638">
        <f t="shared" si="174"/>
        <v>0.19937775473165664</v>
      </c>
      <c r="AY71" s="651">
        <f t="shared" si="174"/>
        <v>9.8300112771809944E-2</v>
      </c>
      <c r="AZ71" s="650">
        <f t="shared" si="174"/>
        <v>0.35526922813412831</v>
      </c>
      <c r="BA71" s="1697">
        <f t="shared" si="174"/>
        <v>0.21707996286964604</v>
      </c>
      <c r="BB71" s="651">
        <f t="shared" si="174"/>
        <v>0.22740124455775135</v>
      </c>
      <c r="BC71" s="651">
        <f t="shared" si="174"/>
        <v>0.17591275643343507</v>
      </c>
      <c r="BD71" s="652">
        <f t="shared" si="174"/>
        <v>0.22265212801589174</v>
      </c>
      <c r="BE71" s="651">
        <f t="shared" si="174"/>
        <v>-6.0683344278451568E-3</v>
      </c>
      <c r="BF71" s="651">
        <f t="shared" si="174"/>
        <v>0.10231080635651946</v>
      </c>
      <c r="BG71" s="651">
        <f t="shared" si="174"/>
        <v>0.14830312088860764</v>
      </c>
      <c r="BH71" s="650">
        <f t="shared" si="174"/>
        <v>0.1612808452123442</v>
      </c>
      <c r="BI71" s="651">
        <f t="shared" si="174"/>
        <v>4.8558153398312154E-2</v>
      </c>
      <c r="BJ71" s="651">
        <f t="shared" si="174"/>
        <v>0.15550236140568741</v>
      </c>
      <c r="BK71" s="651">
        <f t="shared" si="174"/>
        <v>8.0814748558712957E-2</v>
      </c>
      <c r="BL71" s="652">
        <f t="shared" si="174"/>
        <v>0.10405824302292088</v>
      </c>
      <c r="BM71" s="651">
        <f t="shared" si="174"/>
        <v>0.10841758536607293</v>
      </c>
      <c r="BN71" s="651">
        <f t="shared" si="174"/>
        <v>0.10644166347234396</v>
      </c>
      <c r="BO71" s="651">
        <f t="shared" si="174"/>
        <v>0.10679682468660867</v>
      </c>
      <c r="BP71" s="650">
        <f t="shared" si="174"/>
        <v>8.9701076458370554E-2</v>
      </c>
      <c r="BQ71" s="651">
        <f t="shared" si="174"/>
        <v>0.10737060414575006</v>
      </c>
      <c r="BR71" s="651">
        <f t="shared" si="174"/>
        <v>9.7265732348965628E-2</v>
      </c>
      <c r="BS71" s="651">
        <f t="shared" si="174"/>
        <v>0.10717185223391046</v>
      </c>
      <c r="BT71" s="652">
        <f t="shared" si="174"/>
        <v>0.10186366840592531</v>
      </c>
      <c r="BU71" s="651">
        <f t="shared" si="174"/>
        <v>6.5961649587491511E-2</v>
      </c>
      <c r="BV71" s="651">
        <f t="shared" si="174"/>
        <v>6.32492940518814E-2</v>
      </c>
      <c r="BW71" s="651">
        <f t="shared" si="174"/>
        <v>6.3239828539941367E-2</v>
      </c>
      <c r="BX71" s="650">
        <f t="shared" si="174"/>
        <v>6.0095067563458837E-2</v>
      </c>
      <c r="BY71" s="651">
        <f t="shared" si="174"/>
        <v>6.452566008550531E-2</v>
      </c>
      <c r="BZ71" s="651">
        <f t="shared" si="174"/>
        <v>6.1498672198395443E-2</v>
      </c>
      <c r="CA71" s="651">
        <f t="shared" si="174"/>
        <v>6.4080410767711316E-2</v>
      </c>
      <c r="CB71" s="652">
        <f t="shared" si="174"/>
        <v>6.2882901154484028E-2</v>
      </c>
      <c r="CC71" s="651">
        <f t="shared" si="174"/>
        <v>1.4604000085855384E-2</v>
      </c>
      <c r="CD71" s="651">
        <f t="shared" si="174"/>
        <v>1.632522115944135E-2</v>
      </c>
      <c r="CE71" s="651">
        <f t="shared" si="174"/>
        <v>1.6010633246544614E-2</v>
      </c>
      <c r="CF71" s="650">
        <f t="shared" si="174"/>
        <v>1.1134514809711726E-2</v>
      </c>
      <c r="CG71" s="651">
        <f t="shared" si="174"/>
        <v>1.5514165381510958E-2</v>
      </c>
      <c r="CH71" s="651">
        <f t="shared" si="174"/>
        <v>1.3314447977300858E-2</v>
      </c>
      <c r="CI71" s="651">
        <f t="shared" si="174"/>
        <v>1.5685943213911369E-2</v>
      </c>
      <c r="CJ71" s="652">
        <f t="shared" si="174"/>
        <v>1.4321924307718614E-2</v>
      </c>
    </row>
    <row r="72" spans="1:88" ht="11.25" customHeight="1" x14ac:dyDescent="0.2">
      <c r="A72" s="202"/>
      <c r="B72" s="284"/>
      <c r="C72" s="186"/>
      <c r="D72" s="186"/>
      <c r="E72" s="186"/>
      <c r="F72" s="186"/>
      <c r="G72" s="186"/>
      <c r="H72" s="186"/>
      <c r="I72" s="186"/>
      <c r="J72" s="462"/>
      <c r="K72" s="580"/>
      <c r="L72" s="272"/>
      <c r="M72" s="580"/>
      <c r="N72" s="580"/>
      <c r="O72" s="580"/>
      <c r="P72" s="580"/>
      <c r="Q72" s="580"/>
      <c r="R72" s="580"/>
      <c r="S72" s="580"/>
      <c r="T72" s="580"/>
      <c r="U72" s="580"/>
      <c r="V72" s="580"/>
      <c r="W72" s="580"/>
      <c r="X72" s="581"/>
      <c r="Y72" s="580"/>
      <c r="Z72" s="580"/>
      <c r="AA72" s="580"/>
      <c r="AB72" s="582"/>
      <c r="AC72" s="642"/>
      <c r="AD72" s="642"/>
      <c r="AE72" s="580"/>
      <c r="AF72" s="641"/>
      <c r="AG72" s="580"/>
      <c r="AH72" s="580"/>
      <c r="AI72" s="580"/>
      <c r="AJ72" s="582"/>
      <c r="AK72" s="642"/>
      <c r="AL72" s="642"/>
      <c r="AM72" s="580"/>
      <c r="AN72" s="641"/>
      <c r="AO72" s="580"/>
      <c r="AP72" s="580"/>
      <c r="AQ72" s="580"/>
      <c r="AR72" s="582"/>
      <c r="AS72" s="642"/>
      <c r="AT72" s="642"/>
      <c r="AU72" s="580"/>
      <c r="AV72" s="641"/>
      <c r="AW72" s="580"/>
      <c r="AX72" s="580"/>
      <c r="AY72" s="580"/>
      <c r="AZ72" s="582"/>
      <c r="BA72" s="1699"/>
      <c r="BB72" s="642"/>
      <c r="BC72" s="580"/>
      <c r="BD72" s="641"/>
      <c r="BE72" s="580"/>
      <c r="BF72" s="580"/>
      <c r="BG72" s="580"/>
      <c r="BH72" s="582"/>
      <c r="BI72" s="642"/>
      <c r="BJ72" s="642"/>
      <c r="BK72" s="580"/>
      <c r="BL72" s="641"/>
      <c r="BM72" s="580"/>
      <c r="BN72" s="580"/>
      <c r="BO72" s="580"/>
      <c r="BP72" s="582"/>
      <c r="BQ72" s="642"/>
      <c r="BR72" s="642"/>
      <c r="BS72" s="580"/>
      <c r="BT72" s="641"/>
      <c r="BU72" s="580"/>
      <c r="BV72" s="580"/>
      <c r="BW72" s="580"/>
      <c r="BX72" s="582"/>
      <c r="BY72" s="642"/>
      <c r="BZ72" s="642"/>
      <c r="CA72" s="580"/>
      <c r="CB72" s="641"/>
      <c r="CC72" s="580"/>
      <c r="CD72" s="580"/>
      <c r="CE72" s="580"/>
      <c r="CF72" s="582"/>
      <c r="CG72" s="642"/>
      <c r="CH72" s="642"/>
      <c r="CI72" s="580"/>
      <c r="CJ72" s="641"/>
    </row>
    <row r="73" spans="1:88" x14ac:dyDescent="0.2">
      <c r="A73" s="219" t="s">
        <v>751</v>
      </c>
      <c r="B73" s="284"/>
      <c r="C73" s="186"/>
      <c r="D73" s="186"/>
      <c r="E73" s="186"/>
      <c r="F73" s="186"/>
      <c r="G73" s="186"/>
      <c r="H73" s="186"/>
      <c r="I73" s="186"/>
      <c r="J73" s="580"/>
      <c r="K73" s="580"/>
      <c r="L73" s="580"/>
      <c r="M73" s="580"/>
      <c r="N73" s="580"/>
      <c r="O73" s="580"/>
      <c r="P73" s="580"/>
      <c r="Q73" s="580"/>
      <c r="R73" s="580"/>
      <c r="S73" s="580"/>
      <c r="T73" s="580"/>
      <c r="U73" s="580"/>
      <c r="V73" s="580"/>
      <c r="W73" s="580"/>
      <c r="X73" s="581"/>
      <c r="Y73" s="580"/>
      <c r="Z73" s="580"/>
      <c r="AA73" s="580"/>
      <c r="AB73" s="582"/>
      <c r="AC73" s="642"/>
      <c r="AD73" s="642"/>
      <c r="AE73" s="580"/>
      <c r="AF73" s="641"/>
      <c r="AG73" s="580"/>
      <c r="AH73" s="580"/>
      <c r="AI73" s="580"/>
      <c r="AJ73" s="582"/>
      <c r="AK73" s="642"/>
      <c r="AL73" s="642"/>
      <c r="AM73" s="580"/>
      <c r="AN73" s="641"/>
      <c r="AO73" s="580"/>
      <c r="AP73" s="580"/>
      <c r="AQ73" s="580"/>
      <c r="AR73" s="582"/>
      <c r="AS73" s="642"/>
      <c r="AT73" s="642"/>
      <c r="AU73" s="580"/>
      <c r="AV73" s="641"/>
      <c r="AW73" s="580"/>
      <c r="AX73" s="580"/>
      <c r="AY73" s="580"/>
      <c r="AZ73" s="582"/>
      <c r="BA73" s="1699"/>
      <c r="BB73" s="642"/>
      <c r="BC73" s="580"/>
      <c r="BD73" s="641"/>
      <c r="BE73" s="580"/>
      <c r="BF73" s="580"/>
      <c r="BG73" s="580"/>
      <c r="BH73" s="582"/>
      <c r="BI73" s="642"/>
      <c r="BJ73" s="642"/>
      <c r="BK73" s="580"/>
      <c r="BL73" s="641"/>
      <c r="BM73" s="580"/>
      <c r="BN73" s="580"/>
      <c r="BO73" s="580"/>
      <c r="BP73" s="582"/>
      <c r="BQ73" s="642"/>
      <c r="BR73" s="642"/>
      <c r="BS73" s="580"/>
      <c r="BT73" s="641"/>
      <c r="BU73" s="580"/>
      <c r="BV73" s="580"/>
      <c r="BW73" s="580"/>
      <c r="BX73" s="582"/>
      <c r="BY73" s="642"/>
      <c r="BZ73" s="642"/>
      <c r="CA73" s="580"/>
      <c r="CB73" s="641"/>
      <c r="CC73" s="580"/>
      <c r="CD73" s="580"/>
      <c r="CE73" s="580"/>
      <c r="CF73" s="582"/>
      <c r="CG73" s="642"/>
      <c r="CH73" s="642"/>
      <c r="CI73" s="580"/>
      <c r="CJ73" s="641"/>
    </row>
    <row r="74" spans="1:88" ht="11.25" customHeight="1" x14ac:dyDescent="0.25">
      <c r="A74" s="4" t="s">
        <v>752</v>
      </c>
      <c r="B74" s="180"/>
      <c r="D74" s="490">
        <f t="shared" ref="D74:E76" si="175">D$77*D80</f>
        <v>2330.1000000000004</v>
      </c>
      <c r="E74" s="490">
        <f t="shared" si="175"/>
        <v>2471.15</v>
      </c>
      <c r="F74" s="490">
        <f>2582+155</f>
        <v>2737</v>
      </c>
      <c r="G74" s="490">
        <f>2889+224</f>
        <v>3113</v>
      </c>
      <c r="H74" s="490">
        <f>2643+96+50+189</f>
        <v>2978</v>
      </c>
      <c r="I74" s="490">
        <f>2209+373+47+144</f>
        <v>2773</v>
      </c>
      <c r="J74" s="490">
        <f>2248+269+61+135</f>
        <v>2713</v>
      </c>
      <c r="K74" s="490">
        <f>2834+221</f>
        <v>3055</v>
      </c>
      <c r="L74" s="490">
        <f>3340+296</f>
        <v>3636</v>
      </c>
      <c r="M74" s="490">
        <f>3585+264</f>
        <v>3849</v>
      </c>
      <c r="N74" s="1343">
        <f>3723+281+69</f>
        <v>4073</v>
      </c>
      <c r="O74" s="1343">
        <f>3922+323+89</f>
        <v>4334</v>
      </c>
      <c r="P74" s="1343">
        <f>3801+204+36</f>
        <v>4041</v>
      </c>
      <c r="Q74" s="1343">
        <f>3915+65+35</f>
        <v>4015</v>
      </c>
      <c r="R74" s="1343">
        <f>3810+55+39</f>
        <v>3904</v>
      </c>
      <c r="S74" s="1343">
        <f>4371+61+35</f>
        <v>4467</v>
      </c>
      <c r="T74" s="1343">
        <f>4473+67+40</f>
        <v>4580</v>
      </c>
      <c r="U74" s="1343">
        <f>5081+65+51</f>
        <v>5197</v>
      </c>
      <c r="V74" s="1343">
        <f>2859+85+51</f>
        <v>2995</v>
      </c>
      <c r="W74" s="1343">
        <v>2801</v>
      </c>
      <c r="X74" s="1344">
        <v>3515</v>
      </c>
      <c r="Y74" s="585">
        <v>1106</v>
      </c>
      <c r="Z74" s="585">
        <f>AC74-Y74</f>
        <v>1279</v>
      </c>
      <c r="AA74" s="585">
        <v>1093</v>
      </c>
      <c r="AB74" s="1358">
        <f>AD74-AA74</f>
        <v>1087</v>
      </c>
      <c r="AC74" s="585">
        <v>2385</v>
      </c>
      <c r="AD74" s="585">
        <f>AF74-AC74</f>
        <v>2180</v>
      </c>
      <c r="AE74" s="585">
        <f>Y74+Z74+AA74</f>
        <v>3478</v>
      </c>
      <c r="AF74" s="1356">
        <f>4288+147+130</f>
        <v>4565</v>
      </c>
      <c r="AG74" s="585">
        <v>1198</v>
      </c>
      <c r="AH74" s="585">
        <f>AK74-AG74</f>
        <v>1233</v>
      </c>
      <c r="AI74" s="585">
        <v>1137</v>
      </c>
      <c r="AJ74" s="1358">
        <f>AL74-AI74</f>
        <v>1654</v>
      </c>
      <c r="AK74" s="585">
        <v>2431</v>
      </c>
      <c r="AL74" s="585">
        <f>AN74-AK74</f>
        <v>2791</v>
      </c>
      <c r="AM74" s="585">
        <f>AG74+AH74+AI74</f>
        <v>3568</v>
      </c>
      <c r="AN74" s="1356">
        <v>5222</v>
      </c>
      <c r="AO74" s="585">
        <v>1303</v>
      </c>
      <c r="AP74" s="585">
        <f>AS74-AO74</f>
        <v>1320</v>
      </c>
      <c r="AQ74" s="585">
        <f>4083-AS74-1</f>
        <v>1459</v>
      </c>
      <c r="AR74" s="1358">
        <f>AT74-AQ74</f>
        <v>1464</v>
      </c>
      <c r="AS74" s="585">
        <v>2623</v>
      </c>
      <c r="AT74" s="585">
        <f>AV74-AS74</f>
        <v>2923</v>
      </c>
      <c r="AU74" s="585">
        <f>AO74+AP74+AQ74</f>
        <v>4082</v>
      </c>
      <c r="AV74" s="1356">
        <v>5546</v>
      </c>
      <c r="AW74" s="585">
        <v>1614</v>
      </c>
      <c r="AX74" s="585">
        <f>BA74-AW74</f>
        <v>1670</v>
      </c>
      <c r="AY74" s="659">
        <f t="shared" ref="AY74:BC74" si="176">AY77-AY75-AY76</f>
        <v>1657.2746724150643</v>
      </c>
      <c r="AZ74" s="658">
        <f t="shared" si="176"/>
        <v>1815.565740668932</v>
      </c>
      <c r="BA74" s="1703">
        <v>3284</v>
      </c>
      <c r="BB74" s="659">
        <f t="shared" si="176"/>
        <v>3472.8404130839963</v>
      </c>
      <c r="BC74" s="659">
        <f t="shared" si="176"/>
        <v>4945.2321151559863</v>
      </c>
      <c r="BD74" s="660">
        <f>BD77-BD75-BD76</f>
        <v>6760.7978558249179</v>
      </c>
      <c r="BE74" s="659">
        <f t="shared" ref="BE74:BK74" si="177">BE77-BE75-BE76</f>
        <v>1604.0030640197465</v>
      </c>
      <c r="BF74" s="659">
        <f t="shared" si="177"/>
        <v>1624.2284852382327</v>
      </c>
      <c r="BG74" s="659">
        <f t="shared" si="177"/>
        <v>1625.1564673810908</v>
      </c>
      <c r="BH74" s="658">
        <f t="shared" si="177"/>
        <v>2396.2734468454255</v>
      </c>
      <c r="BI74" s="659">
        <f t="shared" si="177"/>
        <v>3228.2315492579801</v>
      </c>
      <c r="BJ74" s="659">
        <f t="shared" si="177"/>
        <v>4021.4299142265172</v>
      </c>
      <c r="BK74" s="659">
        <f t="shared" si="177"/>
        <v>4853.38801663907</v>
      </c>
      <c r="BL74" s="660">
        <f>BL77-BL75-BL76</f>
        <v>7249.6614634844991</v>
      </c>
      <c r="BM74" s="659">
        <f t="shared" ref="BM74:BS74" si="178">BM77-BM75-BM76</f>
        <v>1788.5258580929581</v>
      </c>
      <c r="BN74" s="659">
        <f t="shared" si="178"/>
        <v>1805.7808347358146</v>
      </c>
      <c r="BO74" s="659">
        <f t="shared" si="178"/>
        <v>1808.6189923786719</v>
      </c>
      <c r="BP74" s="658">
        <f t="shared" si="178"/>
        <v>2556.244706288725</v>
      </c>
      <c r="BQ74" s="659">
        <f t="shared" si="178"/>
        <v>3594.3066928287726</v>
      </c>
      <c r="BR74" s="659">
        <f t="shared" si="178"/>
        <v>4364.8636986673973</v>
      </c>
      <c r="BS74" s="659">
        <f t="shared" si="178"/>
        <v>5402.9256852074468</v>
      </c>
      <c r="BT74" s="660">
        <f>BT77-BT75-BT76</f>
        <v>7959.1703914961672</v>
      </c>
      <c r="BU74" s="659">
        <f t="shared" ref="BU74:CA74" si="179">BU77-BU75-BU76</f>
        <v>1879.0541690779251</v>
      </c>
      <c r="BV74" s="659">
        <f t="shared" si="179"/>
        <v>1876.0899318818701</v>
      </c>
      <c r="BW74" s="659">
        <f t="shared" si="179"/>
        <v>1879.0541690779246</v>
      </c>
      <c r="BX74" s="658">
        <f t="shared" si="179"/>
        <v>2644.2244314635545</v>
      </c>
      <c r="BY74" s="659">
        <f t="shared" si="179"/>
        <v>3755.1441009597975</v>
      </c>
      <c r="BZ74" s="659">
        <f t="shared" si="179"/>
        <v>4523.2786005414819</v>
      </c>
      <c r="CA74" s="659">
        <f t="shared" si="179"/>
        <v>5634.1982700377212</v>
      </c>
      <c r="CB74" s="660">
        <f>CB77-CB75-CB76</f>
        <v>8278.422701501273</v>
      </c>
      <c r="CC74" s="659">
        <f t="shared" ref="CC74:CI74" si="180">CC77-CC75-CC76</f>
        <v>1880.8891974354542</v>
      </c>
      <c r="CD74" s="659">
        <f t="shared" si="180"/>
        <v>1879.7646897207242</v>
      </c>
      <c r="CE74" s="659">
        <f t="shared" si="180"/>
        <v>1880.8891974354538</v>
      </c>
      <c r="CF74" s="658">
        <f t="shared" si="180"/>
        <v>2614.5942220447378</v>
      </c>
      <c r="CG74" s="659">
        <f t="shared" si="180"/>
        <v>3760.6538871561797</v>
      </c>
      <c r="CH74" s="659">
        <f t="shared" si="180"/>
        <v>4495.4834194801915</v>
      </c>
      <c r="CI74" s="659">
        <f t="shared" si="180"/>
        <v>5641.5430845916344</v>
      </c>
      <c r="CJ74" s="660">
        <f>CJ77-CJ75-CJ76</f>
        <v>8256.1373066363703</v>
      </c>
    </row>
    <row r="75" spans="1:88" ht="11.25" customHeight="1" x14ac:dyDescent="0.25">
      <c r="A75" s="4" t="s">
        <v>753</v>
      </c>
      <c r="B75" s="180"/>
      <c r="D75" s="490">
        <f t="shared" si="175"/>
        <v>1898.6</v>
      </c>
      <c r="E75" s="490">
        <f t="shared" si="175"/>
        <v>1931.99</v>
      </c>
      <c r="F75" s="490">
        <f>1234+920</f>
        <v>2154</v>
      </c>
      <c r="G75" s="490">
        <f>1417+1157</f>
        <v>2574</v>
      </c>
      <c r="H75" s="490">
        <v>2729</v>
      </c>
      <c r="I75" s="490">
        <f>1531+156+1100</f>
        <v>2787</v>
      </c>
      <c r="J75" s="490">
        <f>1215+1449+145</f>
        <v>2809</v>
      </c>
      <c r="K75" s="490">
        <v>2992</v>
      </c>
      <c r="L75" s="490">
        <v>3287</v>
      </c>
      <c r="M75" s="490">
        <v>3666</v>
      </c>
      <c r="N75" s="1343">
        <v>4080</v>
      </c>
      <c r="O75" s="1343">
        <v>4985</v>
      </c>
      <c r="P75" s="1343">
        <v>5350</v>
      </c>
      <c r="Q75" s="1343">
        <v>5726</v>
      </c>
      <c r="R75" s="1343">
        <v>5453</v>
      </c>
      <c r="S75" s="1343">
        <v>5985</v>
      </c>
      <c r="T75" s="1343">
        <v>5999</v>
      </c>
      <c r="U75" s="1343">
        <v>6848</v>
      </c>
      <c r="V75" s="1343">
        <v>4668</v>
      </c>
      <c r="W75" s="1343">
        <v>4638</v>
      </c>
      <c r="X75" s="1344">
        <v>5991</v>
      </c>
      <c r="Y75" s="585">
        <v>1608</v>
      </c>
      <c r="Z75" s="585">
        <f>AC75-Y75</f>
        <v>1684</v>
      </c>
      <c r="AA75" s="585">
        <v>1990</v>
      </c>
      <c r="AB75" s="1358">
        <f t="shared" ref="AB75:AB76" si="181">AD75-AA75</f>
        <v>2029</v>
      </c>
      <c r="AC75" s="585">
        <v>3292</v>
      </c>
      <c r="AD75" s="585">
        <f>AF75-AC75</f>
        <v>4019</v>
      </c>
      <c r="AE75" s="585">
        <f>Y75+Z75+AA75</f>
        <v>5282</v>
      </c>
      <c r="AF75" s="1356">
        <v>7311</v>
      </c>
      <c r="AG75" s="585">
        <v>1899</v>
      </c>
      <c r="AH75" s="585">
        <f>AK75-AG75</f>
        <v>2131</v>
      </c>
      <c r="AI75" s="585">
        <v>2202</v>
      </c>
      <c r="AJ75" s="1358">
        <f t="shared" ref="AJ75:AJ76" si="182">AL75-AI75</f>
        <v>2198</v>
      </c>
      <c r="AK75" s="585">
        <v>4030</v>
      </c>
      <c r="AL75" s="585">
        <f>AN75-AK75</f>
        <v>4400</v>
      </c>
      <c r="AM75" s="585">
        <f>AG75+AH75+AI75</f>
        <v>6232</v>
      </c>
      <c r="AN75" s="1356">
        <v>8430</v>
      </c>
      <c r="AO75" s="585">
        <v>2381</v>
      </c>
      <c r="AP75" s="585">
        <f>AS75-AO75</f>
        <v>2537</v>
      </c>
      <c r="AQ75" s="585">
        <f>7503-AS75</f>
        <v>2585</v>
      </c>
      <c r="AR75" s="1358">
        <f t="shared" ref="AR75:AR76" si="183">AT75-AQ75</f>
        <v>2619</v>
      </c>
      <c r="AS75" s="585">
        <v>4918</v>
      </c>
      <c r="AT75" s="585">
        <f>AV75-AS75</f>
        <v>5204</v>
      </c>
      <c r="AU75" s="585">
        <f>AO75+AP75+AQ75</f>
        <v>7503</v>
      </c>
      <c r="AV75" s="1356">
        <v>10122</v>
      </c>
      <c r="AW75" s="585">
        <v>2938</v>
      </c>
      <c r="AX75" s="585">
        <f>BA75-AW75</f>
        <v>2956</v>
      </c>
      <c r="AY75" s="659">
        <f t="shared" ref="AY75:BL75" si="184">AY97+AY210+AY233</f>
        <v>2784.2509836341355</v>
      </c>
      <c r="AZ75" s="658">
        <f t="shared" si="184"/>
        <v>3717.9985178027159</v>
      </c>
      <c r="BA75" s="1703">
        <v>5894</v>
      </c>
      <c r="BB75" s="659">
        <f t="shared" si="184"/>
        <v>6502.2495014368515</v>
      </c>
      <c r="BC75" s="659">
        <f t="shared" si="184"/>
        <v>8677.7171681253585</v>
      </c>
      <c r="BD75" s="660">
        <f t="shared" si="184"/>
        <v>12395.715685928075</v>
      </c>
      <c r="BE75" s="659">
        <f t="shared" si="184"/>
        <v>2920.3738776647024</v>
      </c>
      <c r="BF75" s="659">
        <f t="shared" si="184"/>
        <v>3475.0613049670264</v>
      </c>
      <c r="BG75" s="659">
        <f t="shared" si="184"/>
        <v>3475.0613049670255</v>
      </c>
      <c r="BH75" s="658">
        <f t="shared" si="184"/>
        <v>4029.7487322693487</v>
      </c>
      <c r="BI75" s="659">
        <f t="shared" si="184"/>
        <v>6395.4351826317288</v>
      </c>
      <c r="BJ75" s="659">
        <f t="shared" si="184"/>
        <v>7504.8100372363788</v>
      </c>
      <c r="BK75" s="659">
        <f t="shared" si="184"/>
        <v>9870.4964875987553</v>
      </c>
      <c r="BL75" s="660">
        <f t="shared" si="184"/>
        <v>13900.245219868102</v>
      </c>
      <c r="BM75" s="659">
        <f t="shared" ref="BM75:CJ75" si="185">BM97+BM210+BM233</f>
        <v>3226.3731068948568</v>
      </c>
      <c r="BN75" s="659">
        <f t="shared" si="185"/>
        <v>3836.285843266432</v>
      </c>
      <c r="BO75" s="659">
        <f t="shared" si="185"/>
        <v>3836.285843266432</v>
      </c>
      <c r="BP75" s="658">
        <f t="shared" si="185"/>
        <v>4446.1985796380086</v>
      </c>
      <c r="BQ75" s="659">
        <f t="shared" si="185"/>
        <v>7062.6589501612898</v>
      </c>
      <c r="BR75" s="659">
        <f t="shared" si="185"/>
        <v>8282.4844229044429</v>
      </c>
      <c r="BS75" s="659">
        <f t="shared" si="185"/>
        <v>10898.94479342772</v>
      </c>
      <c r="BT75" s="660">
        <f t="shared" si="185"/>
        <v>15345.143373065728</v>
      </c>
      <c r="BU75" s="659">
        <f t="shared" si="185"/>
        <v>3466.6358041550898</v>
      </c>
      <c r="BV75" s="659">
        <f t="shared" si="185"/>
        <v>4122.8334804976621</v>
      </c>
      <c r="BW75" s="659">
        <f t="shared" si="185"/>
        <v>4122.8334804976621</v>
      </c>
      <c r="BX75" s="658">
        <f t="shared" si="185"/>
        <v>4779.0311568402349</v>
      </c>
      <c r="BY75" s="659">
        <f t="shared" si="185"/>
        <v>7589.4692846527514</v>
      </c>
      <c r="BZ75" s="659">
        <f t="shared" si="185"/>
        <v>8901.8646373378979</v>
      </c>
      <c r="CA75" s="659">
        <f t="shared" si="185"/>
        <v>11712.302765150414</v>
      </c>
      <c r="CB75" s="660">
        <f t="shared" si="185"/>
        <v>16491.333921990648</v>
      </c>
      <c r="CC75" s="659">
        <f t="shared" si="185"/>
        <v>3542.8692326256119</v>
      </c>
      <c r="CD75" s="659">
        <f t="shared" si="185"/>
        <v>4217.0924740844539</v>
      </c>
      <c r="CE75" s="659">
        <f t="shared" si="185"/>
        <v>4217.0924740844539</v>
      </c>
      <c r="CF75" s="658">
        <f t="shared" si="185"/>
        <v>4891.3157155432955</v>
      </c>
      <c r="CG75" s="659">
        <f t="shared" si="185"/>
        <v>7759.9617067100653</v>
      </c>
      <c r="CH75" s="659">
        <f t="shared" si="185"/>
        <v>9108.4081896277457</v>
      </c>
      <c r="CI75" s="659">
        <f t="shared" si="185"/>
        <v>11977.054180794516</v>
      </c>
      <c r="CJ75" s="660">
        <f t="shared" si="185"/>
        <v>16868.369896337812</v>
      </c>
    </row>
    <row r="76" spans="1:88" ht="11.25" customHeight="1" x14ac:dyDescent="0.2">
      <c r="A76" s="4" t="s">
        <v>754</v>
      </c>
      <c r="B76" s="180"/>
      <c r="D76" s="1347">
        <f t="shared" si="175"/>
        <v>86.3</v>
      </c>
      <c r="E76" s="1347">
        <f t="shared" si="175"/>
        <v>89.86</v>
      </c>
      <c r="F76" s="1347">
        <f t="shared" ref="F76:Y76" si="186">F77-F74-F75</f>
        <v>182</v>
      </c>
      <c r="G76" s="1347">
        <f t="shared" si="186"/>
        <v>230</v>
      </c>
      <c r="H76" s="1347">
        <f t="shared" si="186"/>
        <v>107</v>
      </c>
      <c r="I76" s="1347">
        <f t="shared" si="186"/>
        <v>113</v>
      </c>
      <c r="J76" s="1347">
        <f t="shared" si="186"/>
        <v>82</v>
      </c>
      <c r="K76" s="1347">
        <f t="shared" si="186"/>
        <v>63</v>
      </c>
      <c r="L76" s="1347">
        <f t="shared" si="186"/>
        <v>82</v>
      </c>
      <c r="M76" s="1347">
        <f t="shared" si="186"/>
        <v>74</v>
      </c>
      <c r="N76" s="1347">
        <f t="shared" si="186"/>
        <v>0</v>
      </c>
      <c r="O76" s="1347">
        <f t="shared" si="186"/>
        <v>0</v>
      </c>
      <c r="P76" s="1347">
        <f t="shared" si="186"/>
        <v>0</v>
      </c>
      <c r="Q76" s="1347">
        <f t="shared" si="186"/>
        <v>0</v>
      </c>
      <c r="R76" s="1347">
        <f t="shared" si="186"/>
        <v>0</v>
      </c>
      <c r="S76" s="1347">
        <f t="shared" si="186"/>
        <v>0</v>
      </c>
      <c r="T76" s="1347">
        <f t="shared" si="186"/>
        <v>0</v>
      </c>
      <c r="U76" s="1347">
        <f t="shared" si="186"/>
        <v>0</v>
      </c>
      <c r="V76" s="1347">
        <f t="shared" si="186"/>
        <v>0</v>
      </c>
      <c r="W76" s="1347">
        <f t="shared" si="186"/>
        <v>0</v>
      </c>
      <c r="X76" s="1355">
        <f t="shared" si="186"/>
        <v>0</v>
      </c>
      <c r="Y76" s="1343">
        <f t="shared" si="186"/>
        <v>0</v>
      </c>
      <c r="Z76" s="535">
        <f>AC76-Y76</f>
        <v>0</v>
      </c>
      <c r="AA76" s="1343">
        <f t="shared" ref="AA76" si="187">AA77-AA74-AA75</f>
        <v>0</v>
      </c>
      <c r="AB76" s="1358">
        <f t="shared" si="181"/>
        <v>0</v>
      </c>
      <c r="AC76" s="1343">
        <f t="shared" ref="AC76" si="188">AC77-AC74-AC75</f>
        <v>0</v>
      </c>
      <c r="AD76" s="585">
        <f>AF76-AC76</f>
        <v>0</v>
      </c>
      <c r="AE76" s="572">
        <f t="shared" ref="AE76:AG76" si="189">AE77-AE74-AE75</f>
        <v>0</v>
      </c>
      <c r="AF76" s="1356">
        <f t="shared" si="189"/>
        <v>0</v>
      </c>
      <c r="AG76" s="1343">
        <f t="shared" si="189"/>
        <v>0</v>
      </c>
      <c r="AH76" s="535">
        <f>AK76-AG76</f>
        <v>0</v>
      </c>
      <c r="AI76" s="1343">
        <f t="shared" ref="AI76" si="190">AI77-AI74-AI75</f>
        <v>0</v>
      </c>
      <c r="AJ76" s="1358">
        <f t="shared" si="182"/>
        <v>0</v>
      </c>
      <c r="AK76" s="1343">
        <f t="shared" ref="AK76" si="191">AK77-AK74-AK75</f>
        <v>0</v>
      </c>
      <c r="AL76" s="585">
        <f>AN76-AK76</f>
        <v>0</v>
      </c>
      <c r="AM76" s="572">
        <f t="shared" ref="AM76:AO76" si="192">AM77-AM74-AM75</f>
        <v>0</v>
      </c>
      <c r="AN76" s="1356">
        <f t="shared" si="192"/>
        <v>0</v>
      </c>
      <c r="AO76" s="1343">
        <f t="shared" si="192"/>
        <v>0</v>
      </c>
      <c r="AP76" s="535">
        <f>AS76-AO76</f>
        <v>0</v>
      </c>
      <c r="AQ76" s="1343">
        <f t="shared" ref="AQ76" si="193">AQ77-AQ74-AQ75</f>
        <v>0</v>
      </c>
      <c r="AR76" s="1358">
        <f t="shared" si="183"/>
        <v>0</v>
      </c>
      <c r="AS76" s="1343">
        <f t="shared" ref="AS76" si="194">AS77-AS74-AS75</f>
        <v>0</v>
      </c>
      <c r="AT76" s="585">
        <f>AV76-AS76</f>
        <v>0</v>
      </c>
      <c r="AU76" s="572">
        <f t="shared" ref="AU76:AV76" si="195">AU77-AU74-AU75</f>
        <v>0</v>
      </c>
      <c r="AV76" s="1356">
        <f t="shared" si="195"/>
        <v>0</v>
      </c>
      <c r="AW76" s="1343">
        <f>BA76/2</f>
        <v>0</v>
      </c>
      <c r="AX76" s="535">
        <f>BA76-AW76</f>
        <v>0</v>
      </c>
      <c r="AY76" s="535">
        <f>BB76/2</f>
        <v>0</v>
      </c>
      <c r="AZ76" s="661">
        <f>BB76-AY76</f>
        <v>0</v>
      </c>
      <c r="BA76" s="1700">
        <f t="shared" ref="BA76" si="196">BA77-BA74-BA75</f>
        <v>0</v>
      </c>
      <c r="BB76" s="535">
        <f>BD76-BA76</f>
        <v>0</v>
      </c>
      <c r="BC76" s="535">
        <f>AW76+AX76+AY76</f>
        <v>0</v>
      </c>
      <c r="BD76" s="662">
        <f>AV76</f>
        <v>0</v>
      </c>
      <c r="BE76" s="535">
        <f>BI76/2</f>
        <v>0</v>
      </c>
      <c r="BF76" s="535">
        <f>BI76-BE76</f>
        <v>0</v>
      </c>
      <c r="BG76" s="535">
        <f>BJ76/2</f>
        <v>0</v>
      </c>
      <c r="BH76" s="661">
        <f>BJ76-BG76</f>
        <v>0</v>
      </c>
      <c r="BI76" s="535">
        <f>BL76/2</f>
        <v>0</v>
      </c>
      <c r="BJ76" s="535">
        <f>BL76-BI76</f>
        <v>0</v>
      </c>
      <c r="BK76" s="535">
        <f>BE76+BF76+BG76</f>
        <v>0</v>
      </c>
      <c r="BL76" s="662">
        <f>BD76</f>
        <v>0</v>
      </c>
      <c r="BM76" s="535">
        <f>BQ76/2</f>
        <v>0</v>
      </c>
      <c r="BN76" s="535">
        <f>BQ76-BM76</f>
        <v>0</v>
      </c>
      <c r="BO76" s="535">
        <f>BR76/2</f>
        <v>0</v>
      </c>
      <c r="BP76" s="661">
        <f>BR76-BO76</f>
        <v>0</v>
      </c>
      <c r="BQ76" s="535">
        <f>BT76/2</f>
        <v>0</v>
      </c>
      <c r="BR76" s="535">
        <f>BT76-BQ76</f>
        <v>0</v>
      </c>
      <c r="BS76" s="535">
        <f>BM76+BN76+BO76</f>
        <v>0</v>
      </c>
      <c r="BT76" s="662">
        <f>BL76</f>
        <v>0</v>
      </c>
      <c r="BU76" s="535">
        <f>BY76/2</f>
        <v>0</v>
      </c>
      <c r="BV76" s="535">
        <f>BY76-BU76</f>
        <v>0</v>
      </c>
      <c r="BW76" s="535">
        <f>BZ76/2</f>
        <v>0</v>
      </c>
      <c r="BX76" s="661">
        <f>BZ76-BW76</f>
        <v>0</v>
      </c>
      <c r="BY76" s="535">
        <f>CB76/2</f>
        <v>0</v>
      </c>
      <c r="BZ76" s="535">
        <f>CB76-BY76</f>
        <v>0</v>
      </c>
      <c r="CA76" s="535">
        <f>BU76+BV76+BW76</f>
        <v>0</v>
      </c>
      <c r="CB76" s="662">
        <f>BT76</f>
        <v>0</v>
      </c>
      <c r="CC76" s="535">
        <f>CG76/2</f>
        <v>0</v>
      </c>
      <c r="CD76" s="535">
        <f>CG76-CC76</f>
        <v>0</v>
      </c>
      <c r="CE76" s="535">
        <f>CH76/2</f>
        <v>0</v>
      </c>
      <c r="CF76" s="661">
        <f>CH76-CE76</f>
        <v>0</v>
      </c>
      <c r="CG76" s="535">
        <f>CJ76/2</f>
        <v>0</v>
      </c>
      <c r="CH76" s="535">
        <f>CJ76-CG76</f>
        <v>0</v>
      </c>
      <c r="CI76" s="535">
        <f>CC76+CD76+CE76</f>
        <v>0</v>
      </c>
      <c r="CJ76" s="662">
        <f>CB76</f>
        <v>0</v>
      </c>
    </row>
    <row r="77" spans="1:88" x14ac:dyDescent="0.2">
      <c r="A77" s="186" t="s">
        <v>84</v>
      </c>
      <c r="B77" s="180"/>
      <c r="C77" s="141"/>
      <c r="D77" s="141">
        <f t="shared" ref="D77:Q77" si="197">D9</f>
        <v>4315</v>
      </c>
      <c r="E77" s="141">
        <f t="shared" si="197"/>
        <v>4493</v>
      </c>
      <c r="F77" s="141">
        <f t="shared" si="197"/>
        <v>5073</v>
      </c>
      <c r="G77" s="141">
        <f t="shared" si="197"/>
        <v>5917</v>
      </c>
      <c r="H77" s="141">
        <f t="shared" si="197"/>
        <v>5814</v>
      </c>
      <c r="I77" s="141">
        <f t="shared" si="197"/>
        <v>5673</v>
      </c>
      <c r="J77" s="141">
        <f t="shared" si="197"/>
        <v>5604</v>
      </c>
      <c r="K77" s="141">
        <f t="shared" si="197"/>
        <v>6110</v>
      </c>
      <c r="L77" s="141">
        <f t="shared" si="197"/>
        <v>7005</v>
      </c>
      <c r="M77" s="141">
        <f t="shared" si="197"/>
        <v>7589</v>
      </c>
      <c r="N77" s="141">
        <f t="shared" si="197"/>
        <v>8153</v>
      </c>
      <c r="O77" s="138">
        <f t="shared" si="197"/>
        <v>9319</v>
      </c>
      <c r="P77" s="138">
        <f t="shared" si="197"/>
        <v>9391</v>
      </c>
      <c r="Q77" s="138">
        <f t="shared" si="197"/>
        <v>9741</v>
      </c>
      <c r="R77" s="138">
        <f>+R9</f>
        <v>9357</v>
      </c>
      <c r="S77" s="138">
        <f t="shared" ref="S77:CJ77" si="198">S9</f>
        <v>10452</v>
      </c>
      <c r="T77" s="138">
        <f t="shared" si="198"/>
        <v>10579</v>
      </c>
      <c r="U77" s="138">
        <f t="shared" si="198"/>
        <v>12045</v>
      </c>
      <c r="V77" s="138">
        <f t="shared" si="198"/>
        <v>7663</v>
      </c>
      <c r="W77" s="138">
        <f t="shared" si="198"/>
        <v>7439</v>
      </c>
      <c r="X77" s="154">
        <f t="shared" si="198"/>
        <v>9506</v>
      </c>
      <c r="Y77" s="138">
        <f t="shared" si="198"/>
        <v>2714</v>
      </c>
      <c r="Z77" s="138">
        <f t="shared" si="198"/>
        <v>2963</v>
      </c>
      <c r="AA77" s="138">
        <f t="shared" si="198"/>
        <v>3083</v>
      </c>
      <c r="AB77" s="607">
        <f t="shared" si="198"/>
        <v>3116.0000000000005</v>
      </c>
      <c r="AC77" s="138">
        <f t="shared" si="198"/>
        <v>5677</v>
      </c>
      <c r="AD77" s="138">
        <f t="shared" si="198"/>
        <v>6199</v>
      </c>
      <c r="AE77" s="138">
        <f t="shared" si="198"/>
        <v>8760</v>
      </c>
      <c r="AF77" s="1350">
        <f t="shared" ref="AF77:AJ77" si="199">AF9</f>
        <v>11876</v>
      </c>
      <c r="AG77" s="138">
        <f t="shared" si="199"/>
        <v>3097</v>
      </c>
      <c r="AH77" s="138">
        <f t="shared" si="199"/>
        <v>3364</v>
      </c>
      <c r="AI77" s="138">
        <f t="shared" si="199"/>
        <v>3339</v>
      </c>
      <c r="AJ77" s="607">
        <f t="shared" si="199"/>
        <v>3852</v>
      </c>
      <c r="AK77" s="138">
        <f t="shared" ref="AK77:AL77" si="200">AK9</f>
        <v>6461</v>
      </c>
      <c r="AL77" s="138">
        <f t="shared" si="200"/>
        <v>7191</v>
      </c>
      <c r="AM77" s="138">
        <f t="shared" ref="AM77:AR77" si="201">AM9</f>
        <v>9800</v>
      </c>
      <c r="AN77" s="1350">
        <f t="shared" si="201"/>
        <v>13652</v>
      </c>
      <c r="AO77" s="138">
        <f t="shared" si="201"/>
        <v>3684</v>
      </c>
      <c r="AP77" s="138">
        <f t="shared" si="201"/>
        <v>3857</v>
      </c>
      <c r="AQ77" s="138">
        <f t="shared" si="201"/>
        <v>4044</v>
      </c>
      <c r="AR77" s="607">
        <f t="shared" si="201"/>
        <v>4083.0000000000018</v>
      </c>
      <c r="AS77" s="138">
        <f t="shared" si="198"/>
        <v>7541</v>
      </c>
      <c r="AT77" s="138">
        <f t="shared" si="198"/>
        <v>8127.0000000000018</v>
      </c>
      <c r="AU77" s="138">
        <f t="shared" si="198"/>
        <v>11585</v>
      </c>
      <c r="AV77" s="1350">
        <f t="shared" si="198"/>
        <v>15668</v>
      </c>
      <c r="AW77" s="138">
        <f t="shared" si="198"/>
        <v>4552</v>
      </c>
      <c r="AX77" s="138">
        <f t="shared" si="198"/>
        <v>4626</v>
      </c>
      <c r="AY77" s="112">
        <f t="shared" si="198"/>
        <v>4441.5256560491998</v>
      </c>
      <c r="AZ77" s="590">
        <f t="shared" si="198"/>
        <v>5533.5642584716479</v>
      </c>
      <c r="BA77" s="1701">
        <f t="shared" ref="BA77" si="202">BA9</f>
        <v>9178</v>
      </c>
      <c r="BB77" s="112">
        <f t="shared" si="198"/>
        <v>9975.0899145208477</v>
      </c>
      <c r="BC77" s="112">
        <f t="shared" si="198"/>
        <v>13622.949283281345</v>
      </c>
      <c r="BD77" s="591">
        <f t="shared" si="198"/>
        <v>19156.513541752993</v>
      </c>
      <c r="BE77" s="112">
        <f t="shared" si="198"/>
        <v>4524.3769416844489</v>
      </c>
      <c r="BF77" s="112">
        <f t="shared" si="198"/>
        <v>5099.2897902052591</v>
      </c>
      <c r="BG77" s="112">
        <f t="shared" si="198"/>
        <v>5100.2177723481163</v>
      </c>
      <c r="BH77" s="590">
        <f t="shared" si="198"/>
        <v>6426.0221791147742</v>
      </c>
      <c r="BI77" s="112">
        <f t="shared" si="198"/>
        <v>9623.6667318897089</v>
      </c>
      <c r="BJ77" s="112">
        <f t="shared" si="198"/>
        <v>11526.239951462896</v>
      </c>
      <c r="BK77" s="112">
        <f t="shared" si="198"/>
        <v>14723.884504237825</v>
      </c>
      <c r="BL77" s="591">
        <f t="shared" si="198"/>
        <v>21149.906683352601</v>
      </c>
      <c r="BM77" s="112">
        <f t="shared" si="198"/>
        <v>5014.8989649878149</v>
      </c>
      <c r="BN77" s="112">
        <f t="shared" si="198"/>
        <v>5642.0666780022466</v>
      </c>
      <c r="BO77" s="112">
        <f t="shared" si="198"/>
        <v>5644.904835645104</v>
      </c>
      <c r="BP77" s="590">
        <f t="shared" si="198"/>
        <v>7002.4432859267336</v>
      </c>
      <c r="BQ77" s="112">
        <f t="shared" si="198"/>
        <v>10656.965642990062</v>
      </c>
      <c r="BR77" s="112">
        <f t="shared" si="198"/>
        <v>12647.34812157184</v>
      </c>
      <c r="BS77" s="112">
        <f t="shared" si="198"/>
        <v>16301.870478635166</v>
      </c>
      <c r="BT77" s="591">
        <f t="shared" si="198"/>
        <v>23304.313764561895</v>
      </c>
      <c r="BU77" s="112">
        <f t="shared" si="198"/>
        <v>5345.6899732330148</v>
      </c>
      <c r="BV77" s="112">
        <f t="shared" si="198"/>
        <v>5998.9234123795322</v>
      </c>
      <c r="BW77" s="112">
        <f t="shared" si="198"/>
        <v>6001.8876495755867</v>
      </c>
      <c r="BX77" s="590">
        <f t="shared" si="198"/>
        <v>7423.2555883037894</v>
      </c>
      <c r="BY77" s="112">
        <f t="shared" si="198"/>
        <v>11344.613385612549</v>
      </c>
      <c r="BZ77" s="112">
        <f t="shared" si="198"/>
        <v>13425.14323787938</v>
      </c>
      <c r="CA77" s="112">
        <f t="shared" si="198"/>
        <v>17346.501035188136</v>
      </c>
      <c r="CB77" s="591">
        <f t="shared" si="198"/>
        <v>24769.756623491921</v>
      </c>
      <c r="CC77" s="112">
        <f t="shared" si="198"/>
        <v>5423.7584300610661</v>
      </c>
      <c r="CD77" s="112">
        <f t="shared" si="198"/>
        <v>6096.8571638051781</v>
      </c>
      <c r="CE77" s="112">
        <f t="shared" si="198"/>
        <v>6097.9816715199076</v>
      </c>
      <c r="CF77" s="590">
        <f t="shared" si="198"/>
        <v>7505.9099375880332</v>
      </c>
      <c r="CG77" s="112">
        <f t="shared" si="198"/>
        <v>11520.615593866245</v>
      </c>
      <c r="CH77" s="112">
        <f t="shared" si="198"/>
        <v>13603.891609107937</v>
      </c>
      <c r="CI77" s="112">
        <f t="shared" si="198"/>
        <v>17618.59726538615</v>
      </c>
      <c r="CJ77" s="591">
        <f t="shared" si="198"/>
        <v>25124.507202974182</v>
      </c>
    </row>
    <row r="78" spans="1:88" x14ac:dyDescent="0.2">
      <c r="A78" s="186"/>
      <c r="B78" s="180"/>
      <c r="C78" s="141"/>
      <c r="D78" s="141"/>
      <c r="E78" s="141"/>
      <c r="F78" s="141"/>
      <c r="G78" s="141"/>
      <c r="H78" s="141"/>
      <c r="I78" s="141"/>
      <c r="J78" s="141"/>
      <c r="K78" s="663"/>
      <c r="L78" s="663"/>
      <c r="M78" s="663"/>
      <c r="N78" s="663"/>
      <c r="X78" s="180"/>
      <c r="AB78" s="179"/>
      <c r="AF78" s="314"/>
      <c r="AJ78" s="179"/>
      <c r="AN78" s="314"/>
      <c r="AR78" s="179"/>
      <c r="AV78" s="314"/>
      <c r="AZ78" s="179"/>
      <c r="BA78" s="34"/>
      <c r="BD78" s="314"/>
      <c r="BH78" s="179"/>
      <c r="BL78" s="314"/>
      <c r="BP78" s="179"/>
      <c r="BT78" s="314"/>
      <c r="BX78" s="179"/>
      <c r="CB78" s="314"/>
      <c r="CF78" s="179"/>
      <c r="CJ78" s="314"/>
    </row>
    <row r="79" spans="1:88" x14ac:dyDescent="0.2">
      <c r="A79" s="219" t="s">
        <v>755</v>
      </c>
      <c r="B79" s="180"/>
      <c r="E79" s="580"/>
      <c r="F79" s="141"/>
      <c r="G79" s="580"/>
      <c r="H79" s="580"/>
      <c r="I79" s="580"/>
      <c r="J79" s="580"/>
      <c r="K79" s="580"/>
      <c r="L79" s="580"/>
      <c r="M79" s="580"/>
      <c r="N79" s="580"/>
      <c r="X79" s="180"/>
      <c r="AB79" s="179"/>
      <c r="AF79" s="314"/>
      <c r="AJ79" s="179"/>
      <c r="AN79" s="314"/>
      <c r="AR79" s="179"/>
      <c r="AV79" s="314"/>
      <c r="AZ79" s="179"/>
      <c r="BA79" s="34"/>
      <c r="BD79" s="314"/>
      <c r="BH79" s="179"/>
      <c r="BL79" s="314"/>
      <c r="BP79" s="179"/>
      <c r="BT79" s="314"/>
      <c r="BX79" s="179"/>
      <c r="CB79" s="314"/>
      <c r="CF79" s="179"/>
      <c r="CJ79" s="314"/>
    </row>
    <row r="80" spans="1:88" x14ac:dyDescent="0.2">
      <c r="A80" s="4" t="s">
        <v>756</v>
      </c>
      <c r="B80" s="180"/>
      <c r="D80" s="19">
        <v>0.54</v>
      </c>
      <c r="E80" s="19">
        <v>0.55000000000000004</v>
      </c>
      <c r="F80" s="19">
        <f t="shared" ref="F80:M82" si="203">F74/F$77</f>
        <v>0.5395229647151587</v>
      </c>
      <c r="G80" s="19">
        <f t="shared" si="203"/>
        <v>0.52611120500253505</v>
      </c>
      <c r="H80" s="19">
        <f t="shared" si="203"/>
        <v>0.51221190230478153</v>
      </c>
      <c r="I80" s="19">
        <f t="shared" si="203"/>
        <v>0.48880662788647983</v>
      </c>
      <c r="J80" s="19">
        <f t="shared" si="203"/>
        <v>0.4841184867951463</v>
      </c>
      <c r="K80" s="19">
        <f t="shared" si="203"/>
        <v>0.5</v>
      </c>
      <c r="L80" s="19">
        <f t="shared" si="203"/>
        <v>0.51905781584582444</v>
      </c>
      <c r="M80" s="19">
        <f t="shared" si="203"/>
        <v>0.50718144683093946</v>
      </c>
      <c r="N80" s="19">
        <f>N74/N$77</f>
        <v>0.49957071016803628</v>
      </c>
      <c r="O80" s="19">
        <f t="shared" ref="O80:BZ82" si="204">O74/O$77</f>
        <v>0.4650713595879386</v>
      </c>
      <c r="P80" s="19">
        <f t="shared" si="204"/>
        <v>0.43030561175593651</v>
      </c>
      <c r="Q80" s="19">
        <f t="shared" si="204"/>
        <v>0.41217534134072475</v>
      </c>
      <c r="R80" s="19">
        <f t="shared" si="204"/>
        <v>0.41722774393502193</v>
      </c>
      <c r="S80" s="19">
        <f t="shared" si="204"/>
        <v>0.42738231917336394</v>
      </c>
      <c r="T80" s="19">
        <f>T74/T$77</f>
        <v>0.43293316948671895</v>
      </c>
      <c r="U80" s="19">
        <f t="shared" si="204"/>
        <v>0.43146533831465339</v>
      </c>
      <c r="V80" s="19">
        <f t="shared" si="204"/>
        <v>0.39083909695941538</v>
      </c>
      <c r="W80" s="19">
        <f t="shared" si="204"/>
        <v>0.37652910337410944</v>
      </c>
      <c r="X80" s="494">
        <f t="shared" si="204"/>
        <v>0.36976646328634549</v>
      </c>
      <c r="Y80" s="19">
        <f>Y74/Y$77</f>
        <v>0.40751658069270452</v>
      </c>
      <c r="Z80" s="19">
        <f t="shared" si="204"/>
        <v>0.43165710428619641</v>
      </c>
      <c r="AA80" s="19">
        <f>AA74/AA$77</f>
        <v>0.35452481349335063</v>
      </c>
      <c r="AB80" s="643">
        <f t="shared" si="204"/>
        <v>0.34884467265725283</v>
      </c>
      <c r="AC80" s="19">
        <f>AC74/AC$77</f>
        <v>0.42011625858728202</v>
      </c>
      <c r="AD80" s="19">
        <f t="shared" ref="AD80:AF82" si="205">AD74/AD$77</f>
        <v>0.35166962413292469</v>
      </c>
      <c r="AE80" s="19">
        <f t="shared" si="205"/>
        <v>0.39703196347031966</v>
      </c>
      <c r="AF80" s="668">
        <f t="shared" si="205"/>
        <v>0.38438868305826879</v>
      </c>
      <c r="AG80" s="19">
        <f>AG74/AG$77</f>
        <v>0.38682596060703905</v>
      </c>
      <c r="AH80" s="19">
        <f t="shared" ref="AH80" si="206">AH74/AH$77</f>
        <v>0.36652794292508917</v>
      </c>
      <c r="AI80" s="19">
        <f>AI74/AI$77</f>
        <v>0.34052111410601976</v>
      </c>
      <c r="AJ80" s="643">
        <f t="shared" ref="AJ80" si="207">AJ74/AJ$77</f>
        <v>0.42938733125649015</v>
      </c>
      <c r="AK80" s="19">
        <f>AK74/AK$77</f>
        <v>0.3762575452716298</v>
      </c>
      <c r="AL80" s="19">
        <f t="shared" ref="AL80" si="208">AL74/AL$77</f>
        <v>0.38812404394381866</v>
      </c>
      <c r="AM80" s="19">
        <f t="shared" si="204"/>
        <v>0.3640816326530612</v>
      </c>
      <c r="AN80" s="668">
        <f t="shared" si="204"/>
        <v>0.38250805742748317</v>
      </c>
      <c r="AO80" s="19">
        <f>AO74/AO$77</f>
        <v>0.35369163952225841</v>
      </c>
      <c r="AP80" s="19">
        <f t="shared" ref="AP80:AP82" si="209">AP74/AP$77</f>
        <v>0.3422348975887996</v>
      </c>
      <c r="AQ80" s="19">
        <f>AQ74/AQ$77</f>
        <v>0.36078140454995056</v>
      </c>
      <c r="AR80" s="643">
        <f t="shared" ref="AR80:AR82" si="210">AR74/AR$77</f>
        <v>0.35855988243938264</v>
      </c>
      <c r="AS80" s="19">
        <f>AS74/AS$77</f>
        <v>0.34783185253945098</v>
      </c>
      <c r="AT80" s="19">
        <f t="shared" ref="AT80:AT82" si="211">AT74/AT$77</f>
        <v>0.35966531315368516</v>
      </c>
      <c r="AU80" s="19">
        <f t="shared" ref="AU80:AV80" si="212">AU74/AU$77</f>
        <v>0.35235217954251186</v>
      </c>
      <c r="AV80" s="668">
        <f t="shared" si="212"/>
        <v>0.35396987490426346</v>
      </c>
      <c r="AW80" s="19">
        <f t="shared" si="204"/>
        <v>0.35456942003514941</v>
      </c>
      <c r="AX80" s="19">
        <f t="shared" si="204"/>
        <v>0.36100302637267617</v>
      </c>
      <c r="AY80" s="495">
        <f t="shared" si="204"/>
        <v>0.37313184719712589</v>
      </c>
      <c r="AZ80" s="647">
        <f t="shared" si="204"/>
        <v>0.32810059770958278</v>
      </c>
      <c r="BA80" s="1696">
        <f>BA74/BA$77</f>
        <v>0.35781215951187623</v>
      </c>
      <c r="BB80" s="495">
        <f t="shared" si="204"/>
        <v>0.34815128914562909</v>
      </c>
      <c r="BC80" s="495">
        <f t="shared" si="204"/>
        <v>0.36300745252167843</v>
      </c>
      <c r="BD80" s="648">
        <f t="shared" si="204"/>
        <v>0.35292423337311746</v>
      </c>
      <c r="BE80" s="495">
        <f t="shared" si="204"/>
        <v>0.35452463061633582</v>
      </c>
      <c r="BF80" s="495">
        <f t="shared" si="204"/>
        <v>0.31852052973299511</v>
      </c>
      <c r="BG80" s="495">
        <f t="shared" si="204"/>
        <v>0.31864452459112869</v>
      </c>
      <c r="BH80" s="647">
        <f t="shared" si="204"/>
        <v>0.37290152135384125</v>
      </c>
      <c r="BI80" s="495">
        <f t="shared" si="204"/>
        <v>0.33544714703811057</v>
      </c>
      <c r="BJ80" s="495">
        <f t="shared" si="204"/>
        <v>0.34889347533634524</v>
      </c>
      <c r="BK80" s="495">
        <f t="shared" si="204"/>
        <v>0.32962687361763593</v>
      </c>
      <c r="BL80" s="648">
        <f t="shared" si="204"/>
        <v>0.34277510402401978</v>
      </c>
      <c r="BM80" s="495">
        <f t="shared" si="204"/>
        <v>0.35664245094064501</v>
      </c>
      <c r="BN80" s="495">
        <f t="shared" si="204"/>
        <v>0.32005662779143346</v>
      </c>
      <c r="BO80" s="495">
        <f t="shared" si="204"/>
        <v>0.32039849121247083</v>
      </c>
      <c r="BP80" s="647">
        <f t="shared" si="204"/>
        <v>0.36505039768421638</v>
      </c>
      <c r="BQ80" s="495">
        <f t="shared" si="204"/>
        <v>0.3372729924481867</v>
      </c>
      <c r="BR80" s="495">
        <f t="shared" si="204"/>
        <v>0.34512086302285816</v>
      </c>
      <c r="BS80" s="495">
        <f t="shared" si="204"/>
        <v>0.33142980078809908</v>
      </c>
      <c r="BT80" s="648">
        <f t="shared" si="204"/>
        <v>0.34153206448839596</v>
      </c>
      <c r="BU80" s="495">
        <f t="shared" si="204"/>
        <v>0.35150825777153955</v>
      </c>
      <c r="BV80" s="495">
        <f t="shared" si="204"/>
        <v>0.31273777024896215</v>
      </c>
      <c r="BW80" s="495">
        <f t="shared" si="204"/>
        <v>0.3130771981729446</v>
      </c>
      <c r="BX80" s="647">
        <f t="shared" si="204"/>
        <v>0.35620818925187497</v>
      </c>
      <c r="BY80" s="495">
        <f t="shared" si="204"/>
        <v>0.33100679356091073</v>
      </c>
      <c r="BZ80" s="495">
        <f t="shared" si="204"/>
        <v>0.33692590986880033</v>
      </c>
      <c r="CA80" s="495">
        <f t="shared" ref="CA80:CJ82" si="213">CA74/CA$77</f>
        <v>0.32480315532270765</v>
      </c>
      <c r="CB80" s="648">
        <f t="shared" si="213"/>
        <v>0.33421493910238592</v>
      </c>
      <c r="CC80" s="495">
        <f t="shared" si="213"/>
        <v>0.34678705213172212</v>
      </c>
      <c r="CD80" s="495">
        <f t="shared" si="213"/>
        <v>0.30831699664545248</v>
      </c>
      <c r="CE80" s="495">
        <f t="shared" si="213"/>
        <v>0.30844454751643202</v>
      </c>
      <c r="CF80" s="647">
        <f t="shared" si="213"/>
        <v>0.3483380754345845</v>
      </c>
      <c r="CG80" s="495">
        <f t="shared" si="213"/>
        <v>0.3264282065932666</v>
      </c>
      <c r="CH80" s="495">
        <f t="shared" si="213"/>
        <v>0.33045569228664112</v>
      </c>
      <c r="CI80" s="495">
        <f t="shared" si="213"/>
        <v>0.32020387319228433</v>
      </c>
      <c r="CJ80" s="648">
        <f t="shared" si="213"/>
        <v>0.32860892513979451</v>
      </c>
    </row>
    <row r="81" spans="1:88" x14ac:dyDescent="0.2">
      <c r="A81" s="4" t="s">
        <v>757</v>
      </c>
      <c r="B81" s="180"/>
      <c r="D81" s="19">
        <v>0.44</v>
      </c>
      <c r="E81" s="19">
        <v>0.43</v>
      </c>
      <c r="F81" s="19">
        <f t="shared" si="203"/>
        <v>0.42460082791247783</v>
      </c>
      <c r="G81" s="19">
        <f t="shared" si="203"/>
        <v>0.43501774547912792</v>
      </c>
      <c r="H81" s="19">
        <f t="shared" si="203"/>
        <v>0.46938424492604058</v>
      </c>
      <c r="I81" s="19">
        <f t="shared" si="203"/>
        <v>0.49127445795875196</v>
      </c>
      <c r="J81" s="19">
        <f t="shared" si="203"/>
        <v>0.50124910778015708</v>
      </c>
      <c r="K81" s="19">
        <f t="shared" si="203"/>
        <v>0.48968903436988542</v>
      </c>
      <c r="L81" s="19">
        <f t="shared" si="203"/>
        <v>0.4692362598144183</v>
      </c>
      <c r="M81" s="19">
        <f t="shared" si="203"/>
        <v>0.48306759783897746</v>
      </c>
      <c r="N81" s="19">
        <f>N75/N$77</f>
        <v>0.50042928983196366</v>
      </c>
      <c r="O81" s="19">
        <f t="shared" si="204"/>
        <v>0.53492864041206134</v>
      </c>
      <c r="P81" s="19">
        <f t="shared" si="204"/>
        <v>0.56969438824406349</v>
      </c>
      <c r="Q81" s="19">
        <f t="shared" si="204"/>
        <v>0.58782465865927525</v>
      </c>
      <c r="R81" s="19">
        <f t="shared" si="204"/>
        <v>0.58277225606497807</v>
      </c>
      <c r="S81" s="19">
        <f t="shared" si="204"/>
        <v>0.572617680826636</v>
      </c>
      <c r="T81" s="19">
        <f>T75/T$77</f>
        <v>0.56706683051328099</v>
      </c>
      <c r="U81" s="19">
        <f t="shared" si="204"/>
        <v>0.56853466168534661</v>
      </c>
      <c r="V81" s="19">
        <f t="shared" si="204"/>
        <v>0.60916090304058468</v>
      </c>
      <c r="W81" s="19">
        <f t="shared" si="204"/>
        <v>0.62347089662589061</v>
      </c>
      <c r="X81" s="494">
        <f t="shared" si="204"/>
        <v>0.63023353671365456</v>
      </c>
      <c r="Y81" s="19">
        <f>Y75/Y$77</f>
        <v>0.59248341930729553</v>
      </c>
      <c r="Z81" s="19">
        <f t="shared" si="204"/>
        <v>0.56834289571380359</v>
      </c>
      <c r="AA81" s="19">
        <f>AA75/AA$77</f>
        <v>0.64547518650664937</v>
      </c>
      <c r="AB81" s="643">
        <f t="shared" si="204"/>
        <v>0.65115532734274706</v>
      </c>
      <c r="AC81" s="19">
        <f>AC75/AC$77</f>
        <v>0.57988374141271803</v>
      </c>
      <c r="AD81" s="19">
        <f t="shared" si="205"/>
        <v>0.64833037586707531</v>
      </c>
      <c r="AE81" s="19">
        <f t="shared" si="205"/>
        <v>0.60296803652968034</v>
      </c>
      <c r="AF81" s="668">
        <f t="shared" si="205"/>
        <v>0.61561131694173121</v>
      </c>
      <c r="AG81" s="19">
        <f>AG75/AG$77</f>
        <v>0.61317403939296089</v>
      </c>
      <c r="AH81" s="19">
        <f t="shared" ref="AH81" si="214">AH75/AH$77</f>
        <v>0.63347205707491083</v>
      </c>
      <c r="AI81" s="19">
        <f>AI75/AI$77</f>
        <v>0.65947888589398018</v>
      </c>
      <c r="AJ81" s="643">
        <f t="shared" ref="AJ81" si="215">AJ75/AJ$77</f>
        <v>0.57061266874350991</v>
      </c>
      <c r="AK81" s="19">
        <f>AK75/AK$77</f>
        <v>0.6237424547283702</v>
      </c>
      <c r="AL81" s="19">
        <f t="shared" ref="AL81" si="216">AL75/AL$77</f>
        <v>0.61187595605618139</v>
      </c>
      <c r="AM81" s="19">
        <f t="shared" si="204"/>
        <v>0.63591836734693874</v>
      </c>
      <c r="AN81" s="668">
        <f t="shared" si="204"/>
        <v>0.61749194257251683</v>
      </c>
      <c r="AO81" s="19">
        <f>AO75/AO$77</f>
        <v>0.64630836047774154</v>
      </c>
      <c r="AP81" s="19">
        <f t="shared" si="209"/>
        <v>0.65776510241120045</v>
      </c>
      <c r="AQ81" s="19">
        <f>AQ75/AQ$77</f>
        <v>0.63921859545004944</v>
      </c>
      <c r="AR81" s="643">
        <f t="shared" si="210"/>
        <v>0.64144011756061692</v>
      </c>
      <c r="AS81" s="19">
        <f>AS75/AS$77</f>
        <v>0.65216814746054896</v>
      </c>
      <c r="AT81" s="19">
        <f t="shared" si="211"/>
        <v>0.64033468684631456</v>
      </c>
      <c r="AU81" s="19">
        <f t="shared" ref="AU81:AV81" si="217">AU75/AU$77</f>
        <v>0.64764782045748814</v>
      </c>
      <c r="AV81" s="668">
        <f t="shared" si="217"/>
        <v>0.64603012509573654</v>
      </c>
      <c r="AW81" s="19">
        <f t="shared" si="204"/>
        <v>0.64543057996485065</v>
      </c>
      <c r="AX81" s="19">
        <f t="shared" si="204"/>
        <v>0.63899697362732377</v>
      </c>
      <c r="AY81" s="495">
        <f t="shared" si="204"/>
        <v>0.62686815280287411</v>
      </c>
      <c r="AZ81" s="647">
        <f t="shared" si="204"/>
        <v>0.67189940229041722</v>
      </c>
      <c r="BA81" s="1696">
        <f>BA75/BA$77</f>
        <v>0.64218784048812383</v>
      </c>
      <c r="BB81" s="495">
        <f t="shared" si="204"/>
        <v>0.65184871085437091</v>
      </c>
      <c r="BC81" s="495">
        <f t="shared" si="204"/>
        <v>0.63699254747832157</v>
      </c>
      <c r="BD81" s="648">
        <f t="shared" si="204"/>
        <v>0.6470757666268826</v>
      </c>
      <c r="BE81" s="495">
        <f t="shared" si="204"/>
        <v>0.64547536938366412</v>
      </c>
      <c r="BF81" s="495">
        <f t="shared" si="204"/>
        <v>0.68147947026700484</v>
      </c>
      <c r="BG81" s="495">
        <f t="shared" si="204"/>
        <v>0.68135547540887131</v>
      </c>
      <c r="BH81" s="647">
        <f t="shared" si="204"/>
        <v>0.62709847864615875</v>
      </c>
      <c r="BI81" s="495">
        <f t="shared" si="204"/>
        <v>0.66455285296188948</v>
      </c>
      <c r="BJ81" s="495">
        <f t="shared" si="204"/>
        <v>0.65110652466365471</v>
      </c>
      <c r="BK81" s="495">
        <f t="shared" si="204"/>
        <v>0.67037312638236402</v>
      </c>
      <c r="BL81" s="648">
        <f t="shared" si="204"/>
        <v>0.65722489597598022</v>
      </c>
      <c r="BM81" s="495">
        <f t="shared" si="204"/>
        <v>0.64335754905935505</v>
      </c>
      <c r="BN81" s="495">
        <f t="shared" si="204"/>
        <v>0.67994337220856649</v>
      </c>
      <c r="BO81" s="495">
        <f t="shared" si="204"/>
        <v>0.67960150878752912</v>
      </c>
      <c r="BP81" s="647">
        <f t="shared" si="204"/>
        <v>0.63494960231578368</v>
      </c>
      <c r="BQ81" s="495">
        <f t="shared" si="204"/>
        <v>0.66272700755181324</v>
      </c>
      <c r="BR81" s="495">
        <f t="shared" si="204"/>
        <v>0.65487913697714184</v>
      </c>
      <c r="BS81" s="495">
        <f t="shared" si="204"/>
        <v>0.66857019921190086</v>
      </c>
      <c r="BT81" s="648">
        <f t="shared" si="204"/>
        <v>0.65846793551160399</v>
      </c>
      <c r="BU81" s="495">
        <f t="shared" si="204"/>
        <v>0.6484917422284604</v>
      </c>
      <c r="BV81" s="495">
        <f t="shared" si="204"/>
        <v>0.6872622297510379</v>
      </c>
      <c r="BW81" s="495">
        <f t="shared" si="204"/>
        <v>0.68692280182705545</v>
      </c>
      <c r="BX81" s="647">
        <f t="shared" si="204"/>
        <v>0.64379181074812508</v>
      </c>
      <c r="BY81" s="495">
        <f t="shared" si="204"/>
        <v>0.66899320643908933</v>
      </c>
      <c r="BZ81" s="495">
        <f t="shared" si="204"/>
        <v>0.66307409013119967</v>
      </c>
      <c r="CA81" s="495">
        <f t="shared" si="213"/>
        <v>0.67519684467729235</v>
      </c>
      <c r="CB81" s="648">
        <f t="shared" si="213"/>
        <v>0.66578506089761402</v>
      </c>
      <c r="CC81" s="495">
        <f t="shared" si="213"/>
        <v>0.65321294786827788</v>
      </c>
      <c r="CD81" s="495">
        <f t="shared" si="213"/>
        <v>0.69168300335454747</v>
      </c>
      <c r="CE81" s="495">
        <f t="shared" si="213"/>
        <v>0.69155545248356798</v>
      </c>
      <c r="CF81" s="647">
        <f t="shared" si="213"/>
        <v>0.6516619245654155</v>
      </c>
      <c r="CG81" s="495">
        <f t="shared" si="213"/>
        <v>0.67357179340673334</v>
      </c>
      <c r="CH81" s="495">
        <f t="shared" si="213"/>
        <v>0.66954430771335893</v>
      </c>
      <c r="CI81" s="495">
        <f t="shared" si="213"/>
        <v>0.67979612680771562</v>
      </c>
      <c r="CJ81" s="648">
        <f t="shared" si="213"/>
        <v>0.67139107486020555</v>
      </c>
    </row>
    <row r="82" spans="1:88" x14ac:dyDescent="0.2">
      <c r="A82" s="4" t="s">
        <v>397</v>
      </c>
      <c r="B82" s="180"/>
      <c r="D82" s="19">
        <v>0.02</v>
      </c>
      <c r="E82" s="19">
        <v>0.02</v>
      </c>
      <c r="F82" s="19">
        <f t="shared" si="203"/>
        <v>3.5876207372363494E-2</v>
      </c>
      <c r="G82" s="19">
        <f t="shared" si="203"/>
        <v>3.8871049518336996E-2</v>
      </c>
      <c r="H82" s="19">
        <f t="shared" si="203"/>
        <v>1.8403852769177848E-2</v>
      </c>
      <c r="I82" s="19">
        <f t="shared" si="203"/>
        <v>1.9918914154768201E-2</v>
      </c>
      <c r="J82" s="19">
        <f t="shared" si="203"/>
        <v>1.4632405424696645E-2</v>
      </c>
      <c r="K82" s="19">
        <f t="shared" si="203"/>
        <v>1.0310965630114566E-2</v>
      </c>
      <c r="L82" s="19">
        <f t="shared" si="203"/>
        <v>1.1705924339757316E-2</v>
      </c>
      <c r="M82" s="19">
        <f t="shared" si="203"/>
        <v>9.7509553300830151E-3</v>
      </c>
      <c r="N82" s="19">
        <f>N76/N$77</f>
        <v>0</v>
      </c>
      <c r="O82" s="19">
        <f t="shared" si="204"/>
        <v>0</v>
      </c>
      <c r="P82" s="19">
        <f t="shared" si="204"/>
        <v>0</v>
      </c>
      <c r="Q82" s="19">
        <f t="shared" si="204"/>
        <v>0</v>
      </c>
      <c r="R82" s="19">
        <f t="shared" si="204"/>
        <v>0</v>
      </c>
      <c r="S82" s="19">
        <f t="shared" si="204"/>
        <v>0</v>
      </c>
      <c r="T82" s="19">
        <f>T76/T$77</f>
        <v>0</v>
      </c>
      <c r="U82" s="19">
        <f t="shared" si="204"/>
        <v>0</v>
      </c>
      <c r="V82" s="19">
        <f t="shared" si="204"/>
        <v>0</v>
      </c>
      <c r="W82" s="19">
        <f t="shared" si="204"/>
        <v>0</v>
      </c>
      <c r="X82" s="494">
        <f t="shared" si="204"/>
        <v>0</v>
      </c>
      <c r="Y82" s="19">
        <f>Y76/Y$77</f>
        <v>0</v>
      </c>
      <c r="Z82" s="19">
        <f t="shared" si="204"/>
        <v>0</v>
      </c>
      <c r="AA82" s="19">
        <f>AA76/AA$77</f>
        <v>0</v>
      </c>
      <c r="AB82" s="643">
        <f t="shared" si="204"/>
        <v>0</v>
      </c>
      <c r="AC82" s="19">
        <f>AC76/AC$77</f>
        <v>0</v>
      </c>
      <c r="AD82" s="19">
        <f t="shared" si="205"/>
        <v>0</v>
      </c>
      <c r="AE82" s="19">
        <f t="shared" si="205"/>
        <v>0</v>
      </c>
      <c r="AF82" s="668">
        <f t="shared" si="205"/>
        <v>0</v>
      </c>
      <c r="AG82" s="19">
        <f>AG76/AG$77</f>
        <v>0</v>
      </c>
      <c r="AH82" s="19">
        <f t="shared" ref="AH82" si="218">AH76/AH$77</f>
        <v>0</v>
      </c>
      <c r="AI82" s="19">
        <f>AI76/AI$77</f>
        <v>0</v>
      </c>
      <c r="AJ82" s="643">
        <f t="shared" ref="AJ82" si="219">AJ76/AJ$77</f>
        <v>0</v>
      </c>
      <c r="AK82" s="19">
        <f>AK76/AK$77</f>
        <v>0</v>
      </c>
      <c r="AL82" s="19">
        <f t="shared" ref="AL82" si="220">AL76/AL$77</f>
        <v>0</v>
      </c>
      <c r="AM82" s="19">
        <f t="shared" si="204"/>
        <v>0</v>
      </c>
      <c r="AN82" s="668">
        <f t="shared" si="204"/>
        <v>0</v>
      </c>
      <c r="AO82" s="19">
        <f>AO76/AO$77</f>
        <v>0</v>
      </c>
      <c r="AP82" s="19">
        <f t="shared" si="209"/>
        <v>0</v>
      </c>
      <c r="AQ82" s="19">
        <f>AQ76/AQ$77</f>
        <v>0</v>
      </c>
      <c r="AR82" s="643">
        <f t="shared" si="210"/>
        <v>0</v>
      </c>
      <c r="AS82" s="19">
        <f>AS76/AS$77</f>
        <v>0</v>
      </c>
      <c r="AT82" s="19">
        <f t="shared" si="211"/>
        <v>0</v>
      </c>
      <c r="AU82" s="19">
        <f t="shared" ref="AU82:AV82" si="221">AU76/AU$77</f>
        <v>0</v>
      </c>
      <c r="AV82" s="668">
        <f t="shared" si="221"/>
        <v>0</v>
      </c>
      <c r="AW82" s="19">
        <f t="shared" si="204"/>
        <v>0</v>
      </c>
      <c r="AX82" s="19">
        <f t="shared" si="204"/>
        <v>0</v>
      </c>
      <c r="AY82" s="495">
        <f t="shared" si="204"/>
        <v>0</v>
      </c>
      <c r="AZ82" s="647">
        <f t="shared" si="204"/>
        <v>0</v>
      </c>
      <c r="BA82" s="1696">
        <f>BA76/BA$77</f>
        <v>0</v>
      </c>
      <c r="BB82" s="495">
        <f t="shared" si="204"/>
        <v>0</v>
      </c>
      <c r="BC82" s="495">
        <f t="shared" si="204"/>
        <v>0</v>
      </c>
      <c r="BD82" s="648">
        <f t="shared" si="204"/>
        <v>0</v>
      </c>
      <c r="BE82" s="495">
        <f t="shared" si="204"/>
        <v>0</v>
      </c>
      <c r="BF82" s="495">
        <f t="shared" si="204"/>
        <v>0</v>
      </c>
      <c r="BG82" s="495">
        <f t="shared" si="204"/>
        <v>0</v>
      </c>
      <c r="BH82" s="647">
        <f t="shared" si="204"/>
        <v>0</v>
      </c>
      <c r="BI82" s="495">
        <f t="shared" si="204"/>
        <v>0</v>
      </c>
      <c r="BJ82" s="495">
        <f t="shared" si="204"/>
        <v>0</v>
      </c>
      <c r="BK82" s="495">
        <f t="shared" si="204"/>
        <v>0</v>
      </c>
      <c r="BL82" s="648">
        <f t="shared" si="204"/>
        <v>0</v>
      </c>
      <c r="BM82" s="495">
        <f t="shared" si="204"/>
        <v>0</v>
      </c>
      <c r="BN82" s="495">
        <f t="shared" si="204"/>
        <v>0</v>
      </c>
      <c r="BO82" s="495">
        <f t="shared" si="204"/>
        <v>0</v>
      </c>
      <c r="BP82" s="647">
        <f t="shared" si="204"/>
        <v>0</v>
      </c>
      <c r="BQ82" s="495">
        <f t="shared" si="204"/>
        <v>0</v>
      </c>
      <c r="BR82" s="495">
        <f t="shared" si="204"/>
        <v>0</v>
      </c>
      <c r="BS82" s="495">
        <f t="shared" si="204"/>
        <v>0</v>
      </c>
      <c r="BT82" s="648">
        <f t="shared" si="204"/>
        <v>0</v>
      </c>
      <c r="BU82" s="495">
        <f t="shared" si="204"/>
        <v>0</v>
      </c>
      <c r="BV82" s="495">
        <f t="shared" si="204"/>
        <v>0</v>
      </c>
      <c r="BW82" s="495">
        <f t="shared" si="204"/>
        <v>0</v>
      </c>
      <c r="BX82" s="647">
        <f t="shared" si="204"/>
        <v>0</v>
      </c>
      <c r="BY82" s="495">
        <f t="shared" si="204"/>
        <v>0</v>
      </c>
      <c r="BZ82" s="495">
        <f t="shared" si="204"/>
        <v>0</v>
      </c>
      <c r="CA82" s="495">
        <f t="shared" si="213"/>
        <v>0</v>
      </c>
      <c r="CB82" s="648">
        <f t="shared" si="213"/>
        <v>0</v>
      </c>
      <c r="CC82" s="495">
        <f t="shared" si="213"/>
        <v>0</v>
      </c>
      <c r="CD82" s="495">
        <f t="shared" si="213"/>
        <v>0</v>
      </c>
      <c r="CE82" s="495">
        <f t="shared" si="213"/>
        <v>0</v>
      </c>
      <c r="CF82" s="647">
        <f t="shared" si="213"/>
        <v>0</v>
      </c>
      <c r="CG82" s="495">
        <f t="shared" si="213"/>
        <v>0</v>
      </c>
      <c r="CH82" s="495">
        <f t="shared" si="213"/>
        <v>0</v>
      </c>
      <c r="CI82" s="495">
        <f t="shared" si="213"/>
        <v>0</v>
      </c>
      <c r="CJ82" s="648">
        <f t="shared" si="213"/>
        <v>0</v>
      </c>
    </row>
    <row r="83" spans="1:88" x14ac:dyDescent="0.2">
      <c r="A83" s="186" t="s">
        <v>100</v>
      </c>
      <c r="B83" s="180"/>
      <c r="D83" s="638">
        <f t="shared" ref="D83:L83" si="222">SUM(D80:D82)</f>
        <v>1</v>
      </c>
      <c r="E83" s="638">
        <f t="shared" si="222"/>
        <v>1</v>
      </c>
      <c r="F83" s="638">
        <f t="shared" si="222"/>
        <v>1</v>
      </c>
      <c r="G83" s="638">
        <f t="shared" si="222"/>
        <v>0.99999999999999989</v>
      </c>
      <c r="H83" s="638">
        <f t="shared" si="222"/>
        <v>1</v>
      </c>
      <c r="I83" s="638">
        <f t="shared" si="222"/>
        <v>1</v>
      </c>
      <c r="J83" s="638">
        <f t="shared" si="222"/>
        <v>1</v>
      </c>
      <c r="K83" s="638">
        <f t="shared" si="222"/>
        <v>1</v>
      </c>
      <c r="L83" s="638">
        <f t="shared" si="222"/>
        <v>1</v>
      </c>
      <c r="M83" s="638">
        <f>SUM(M80:M82)</f>
        <v>0.99999999999999989</v>
      </c>
      <c r="N83" s="638">
        <f>SUM(N80:N82)</f>
        <v>1</v>
      </c>
      <c r="O83" s="638">
        <f t="shared" ref="O83:BZ83" si="223">SUM(O80:O82)</f>
        <v>1</v>
      </c>
      <c r="P83" s="638">
        <f t="shared" si="223"/>
        <v>1</v>
      </c>
      <c r="Q83" s="638">
        <f t="shared" si="223"/>
        <v>1</v>
      </c>
      <c r="R83" s="638">
        <f>SUM(R80:R82)</f>
        <v>1</v>
      </c>
      <c r="S83" s="638">
        <f t="shared" si="223"/>
        <v>1</v>
      </c>
      <c r="T83" s="638">
        <f>SUM(T80:T82)</f>
        <v>1</v>
      </c>
      <c r="U83" s="638">
        <f t="shared" si="223"/>
        <v>1</v>
      </c>
      <c r="V83" s="638">
        <f t="shared" si="223"/>
        <v>1</v>
      </c>
      <c r="W83" s="638">
        <f t="shared" si="223"/>
        <v>1</v>
      </c>
      <c r="X83" s="649">
        <f t="shared" si="223"/>
        <v>1</v>
      </c>
      <c r="Y83" s="638">
        <f>SUM(Y80:Y82)</f>
        <v>1</v>
      </c>
      <c r="Z83" s="638">
        <f t="shared" si="223"/>
        <v>1</v>
      </c>
      <c r="AA83" s="638">
        <f>SUM(AA80:AA82)</f>
        <v>1</v>
      </c>
      <c r="AB83" s="657">
        <f t="shared" si="223"/>
        <v>0.99999999999999989</v>
      </c>
      <c r="AC83" s="638">
        <f>SUM(AC80:AC82)</f>
        <v>1</v>
      </c>
      <c r="AD83" s="638">
        <f>SUM(AD80:AD82)</f>
        <v>1</v>
      </c>
      <c r="AE83" s="638">
        <f>SUM(AE80:AE82)</f>
        <v>1</v>
      </c>
      <c r="AF83" s="748">
        <f t="shared" ref="AF83" si="224">SUM(AF80:AF82)</f>
        <v>1</v>
      </c>
      <c r="AG83" s="638">
        <f>SUM(AG80:AG82)</f>
        <v>1</v>
      </c>
      <c r="AH83" s="638">
        <f t="shared" ref="AH83" si="225">SUM(AH80:AH82)</f>
        <v>1</v>
      </c>
      <c r="AI83" s="638">
        <f>SUM(AI80:AI82)</f>
        <v>1</v>
      </c>
      <c r="AJ83" s="657">
        <f t="shared" ref="AJ83" si="226">SUM(AJ80:AJ82)</f>
        <v>1</v>
      </c>
      <c r="AK83" s="638">
        <f>SUM(AK80:AK82)</f>
        <v>1</v>
      </c>
      <c r="AL83" s="638">
        <f>SUM(AL80:AL82)</f>
        <v>1</v>
      </c>
      <c r="AM83" s="638">
        <f>SUM(AM80:AM82)</f>
        <v>1</v>
      </c>
      <c r="AN83" s="748">
        <f t="shared" ref="AN83" si="227">SUM(AN80:AN82)</f>
        <v>1</v>
      </c>
      <c r="AO83" s="638">
        <f>SUM(AO80:AO82)</f>
        <v>1</v>
      </c>
      <c r="AP83" s="638">
        <f t="shared" ref="AP83" si="228">SUM(AP80:AP82)</f>
        <v>1</v>
      </c>
      <c r="AQ83" s="638">
        <f>SUM(AQ80:AQ82)</f>
        <v>1</v>
      </c>
      <c r="AR83" s="657">
        <f t="shared" ref="AR83" si="229">SUM(AR80:AR82)</f>
        <v>0.99999999999999956</v>
      </c>
      <c r="AS83" s="638">
        <f>SUM(AS80:AS82)</f>
        <v>1</v>
      </c>
      <c r="AT83" s="638">
        <f>SUM(AT80:AT82)</f>
        <v>0.99999999999999978</v>
      </c>
      <c r="AU83" s="638">
        <f>SUM(AU80:AU82)</f>
        <v>1</v>
      </c>
      <c r="AV83" s="748">
        <f t="shared" ref="AV83" si="230">SUM(AV80:AV82)</f>
        <v>1</v>
      </c>
      <c r="AW83" s="638">
        <f t="shared" si="223"/>
        <v>1</v>
      </c>
      <c r="AX83" s="638">
        <f t="shared" si="223"/>
        <v>1</v>
      </c>
      <c r="AY83" s="651">
        <f t="shared" si="223"/>
        <v>1</v>
      </c>
      <c r="AZ83" s="650">
        <f t="shared" si="223"/>
        <v>1</v>
      </c>
      <c r="BA83" s="1697">
        <f>SUM(BA80:BA82)</f>
        <v>1</v>
      </c>
      <c r="BB83" s="651">
        <f t="shared" si="223"/>
        <v>1</v>
      </c>
      <c r="BC83" s="651">
        <f t="shared" si="223"/>
        <v>1</v>
      </c>
      <c r="BD83" s="652">
        <f t="shared" si="223"/>
        <v>1</v>
      </c>
      <c r="BE83" s="651">
        <f t="shared" si="223"/>
        <v>1</v>
      </c>
      <c r="BF83" s="651">
        <f t="shared" si="223"/>
        <v>1</v>
      </c>
      <c r="BG83" s="651">
        <f t="shared" si="223"/>
        <v>1</v>
      </c>
      <c r="BH83" s="650">
        <f t="shared" si="223"/>
        <v>1</v>
      </c>
      <c r="BI83" s="651">
        <f t="shared" si="223"/>
        <v>1</v>
      </c>
      <c r="BJ83" s="651">
        <f t="shared" si="223"/>
        <v>1</v>
      </c>
      <c r="BK83" s="651">
        <f t="shared" si="223"/>
        <v>1</v>
      </c>
      <c r="BL83" s="652">
        <f t="shared" si="223"/>
        <v>1</v>
      </c>
      <c r="BM83" s="651">
        <f t="shared" si="223"/>
        <v>1</v>
      </c>
      <c r="BN83" s="651">
        <f t="shared" si="223"/>
        <v>1</v>
      </c>
      <c r="BO83" s="651">
        <f t="shared" si="223"/>
        <v>1</v>
      </c>
      <c r="BP83" s="650">
        <f t="shared" si="223"/>
        <v>1</v>
      </c>
      <c r="BQ83" s="651">
        <f t="shared" si="223"/>
        <v>1</v>
      </c>
      <c r="BR83" s="651">
        <f t="shared" si="223"/>
        <v>1</v>
      </c>
      <c r="BS83" s="651">
        <f t="shared" si="223"/>
        <v>1</v>
      </c>
      <c r="BT83" s="652">
        <f t="shared" si="223"/>
        <v>1</v>
      </c>
      <c r="BU83" s="651">
        <f t="shared" si="223"/>
        <v>1</v>
      </c>
      <c r="BV83" s="651">
        <f t="shared" si="223"/>
        <v>1</v>
      </c>
      <c r="BW83" s="651">
        <f t="shared" si="223"/>
        <v>1</v>
      </c>
      <c r="BX83" s="650">
        <f t="shared" si="223"/>
        <v>1</v>
      </c>
      <c r="BY83" s="651">
        <f t="shared" si="223"/>
        <v>1</v>
      </c>
      <c r="BZ83" s="651">
        <f t="shared" si="223"/>
        <v>1</v>
      </c>
      <c r="CA83" s="651">
        <f t="shared" ref="CA83:CJ83" si="231">SUM(CA80:CA82)</f>
        <v>1</v>
      </c>
      <c r="CB83" s="652">
        <f t="shared" si="231"/>
        <v>1</v>
      </c>
      <c r="CC83" s="651">
        <f t="shared" si="231"/>
        <v>1</v>
      </c>
      <c r="CD83" s="651">
        <f t="shared" si="231"/>
        <v>1</v>
      </c>
      <c r="CE83" s="651">
        <f t="shared" si="231"/>
        <v>1</v>
      </c>
      <c r="CF83" s="650">
        <f t="shared" si="231"/>
        <v>1</v>
      </c>
      <c r="CG83" s="651">
        <f t="shared" si="231"/>
        <v>1</v>
      </c>
      <c r="CH83" s="651">
        <f t="shared" si="231"/>
        <v>1</v>
      </c>
      <c r="CI83" s="651">
        <f t="shared" si="231"/>
        <v>1</v>
      </c>
      <c r="CJ83" s="652">
        <f t="shared" si="231"/>
        <v>1</v>
      </c>
    </row>
    <row r="84" spans="1:88" ht="15" x14ac:dyDescent="0.25">
      <c r="A84" s="186"/>
      <c r="B84" s="180"/>
      <c r="D84" s="474"/>
      <c r="E84" s="474"/>
      <c r="F84" s="474"/>
      <c r="G84" s="474"/>
      <c r="H84" s="474"/>
      <c r="I84" s="474"/>
      <c r="J84" s="580"/>
      <c r="K84" s="580"/>
      <c r="L84" s="580"/>
      <c r="M84" s="580"/>
      <c r="N84" s="580"/>
      <c r="X84" s="180"/>
      <c r="AB84" s="179"/>
      <c r="AF84" s="314"/>
      <c r="AJ84" s="179"/>
      <c r="AN84" s="314"/>
      <c r="AR84" s="179"/>
      <c r="AV84" s="314"/>
      <c r="AZ84" s="179"/>
      <c r="BA84" s="34"/>
      <c r="BD84" s="314"/>
      <c r="BH84" s="179"/>
      <c r="BL84" s="314"/>
      <c r="BP84" s="179"/>
      <c r="BT84" s="314"/>
      <c r="BX84" s="179"/>
      <c r="CB84" s="314"/>
      <c r="CF84" s="179"/>
      <c r="CJ84" s="314"/>
    </row>
    <row r="85" spans="1:88" x14ac:dyDescent="0.2">
      <c r="A85" s="219" t="s">
        <v>758</v>
      </c>
      <c r="B85" s="664"/>
      <c r="C85" s="665"/>
      <c r="D85" s="665"/>
      <c r="E85" s="665"/>
      <c r="F85" s="665"/>
      <c r="G85" s="665"/>
      <c r="H85" s="665"/>
      <c r="I85" s="665"/>
      <c r="J85" s="665"/>
      <c r="K85" s="665"/>
      <c r="L85" s="665"/>
      <c r="M85" s="665"/>
      <c r="N85" s="665"/>
      <c r="O85" s="665"/>
      <c r="P85" s="665"/>
      <c r="Q85" s="665"/>
      <c r="R85" s="665"/>
      <c r="S85" s="665"/>
      <c r="T85" s="665"/>
      <c r="U85" s="665"/>
      <c r="V85" s="665"/>
      <c r="W85" s="665"/>
      <c r="X85" s="664"/>
      <c r="Y85" s="665"/>
      <c r="Z85" s="665"/>
      <c r="AA85" s="665"/>
      <c r="AB85" s="666"/>
      <c r="AC85" s="665"/>
      <c r="AD85" s="665"/>
      <c r="AE85" s="665"/>
      <c r="AF85" s="667"/>
      <c r="AG85" s="665"/>
      <c r="AH85" s="665"/>
      <c r="AI85" s="665"/>
      <c r="AJ85" s="666"/>
      <c r="AK85" s="665"/>
      <c r="AL85" s="665"/>
      <c r="AM85" s="665"/>
      <c r="AN85" s="667"/>
      <c r="AO85" s="665"/>
      <c r="AP85" s="665"/>
      <c r="AQ85" s="665"/>
      <c r="AR85" s="666"/>
      <c r="AS85" s="665"/>
      <c r="AT85" s="665"/>
      <c r="AU85" s="665"/>
      <c r="AV85" s="667"/>
      <c r="AW85" s="665"/>
      <c r="AX85" s="665"/>
      <c r="AY85" s="665"/>
      <c r="AZ85" s="666"/>
      <c r="BA85" s="1702"/>
      <c r="BB85" s="665"/>
      <c r="BC85" s="665"/>
      <c r="BD85" s="667"/>
      <c r="BE85" s="665"/>
      <c r="BF85" s="665"/>
      <c r="BG85" s="665"/>
      <c r="BH85" s="666"/>
      <c r="BI85" s="665"/>
      <c r="BJ85" s="665"/>
      <c r="BK85" s="665"/>
      <c r="BL85" s="667"/>
      <c r="BM85" s="665"/>
      <c r="BN85" s="665"/>
      <c r="BO85" s="665"/>
      <c r="BP85" s="666"/>
      <c r="BQ85" s="665"/>
      <c r="BR85" s="665"/>
      <c r="BS85" s="665"/>
      <c r="BT85" s="667"/>
      <c r="BU85" s="665"/>
      <c r="BV85" s="665"/>
      <c r="BW85" s="665"/>
      <c r="BX85" s="666"/>
      <c r="BY85" s="665"/>
      <c r="BZ85" s="665"/>
      <c r="CA85" s="665"/>
      <c r="CB85" s="667"/>
      <c r="CC85" s="665"/>
      <c r="CD85" s="665"/>
      <c r="CE85" s="665"/>
      <c r="CF85" s="666"/>
      <c r="CG85" s="665"/>
      <c r="CH85" s="665"/>
      <c r="CI85" s="665"/>
      <c r="CJ85" s="667"/>
    </row>
    <row r="86" spans="1:88" x14ac:dyDescent="0.2">
      <c r="A86" s="4" t="s">
        <v>756</v>
      </c>
      <c r="B86" s="180"/>
      <c r="E86" s="19">
        <f t="shared" ref="E86:X87" si="232">E74/D74-1</f>
        <v>6.053388266597981E-2</v>
      </c>
      <c r="F86" s="19">
        <f t="shared" si="232"/>
        <v>0.10758149039920673</v>
      </c>
      <c r="G86" s="19">
        <f t="shared" si="232"/>
        <v>0.13737668980635731</v>
      </c>
      <c r="H86" s="19">
        <f t="shared" si="232"/>
        <v>-4.336652746546743E-2</v>
      </c>
      <c r="I86" s="19">
        <f t="shared" si="232"/>
        <v>-6.8838146406984602E-2</v>
      </c>
      <c r="J86" s="19">
        <f t="shared" si="232"/>
        <v>-2.1637216011539895E-2</v>
      </c>
      <c r="K86" s="19">
        <f t="shared" si="232"/>
        <v>0.12605971249539261</v>
      </c>
      <c r="L86" s="19">
        <f t="shared" si="232"/>
        <v>0.19018003273322415</v>
      </c>
      <c r="M86" s="19">
        <f t="shared" si="232"/>
        <v>5.8580858085808485E-2</v>
      </c>
      <c r="N86" s="19">
        <f t="shared" si="232"/>
        <v>5.8196934268641254E-2</v>
      </c>
      <c r="O86" s="19">
        <f t="shared" si="232"/>
        <v>6.4080530321630302E-2</v>
      </c>
      <c r="P86" s="19">
        <f t="shared" si="232"/>
        <v>-6.7604983848638667E-2</v>
      </c>
      <c r="Q86" s="19">
        <f>Q74/P74-1</f>
        <v>-6.434050977480843E-3</v>
      </c>
      <c r="R86" s="19"/>
      <c r="S86" s="19">
        <f>S74/R74-1</f>
        <v>0.1442110655737705</v>
      </c>
      <c r="T86" s="19"/>
      <c r="U86" s="19">
        <f>U74/T74-1</f>
        <v>0.13471615720524022</v>
      </c>
      <c r="V86" s="19">
        <f t="shared" si="232"/>
        <v>-0.42370598422166639</v>
      </c>
      <c r="W86" s="19">
        <f t="shared" si="232"/>
        <v>-6.4774624373956646E-2</v>
      </c>
      <c r="X86" s="494">
        <f t="shared" si="232"/>
        <v>0.25490896108532657</v>
      </c>
      <c r="Y86" s="1357">
        <f>Y74/Quarterlies!CM156-1</f>
        <v>0.55774647887323936</v>
      </c>
      <c r="Z86" s="1357">
        <f>Z74/Quarterlies!CN156-1</f>
        <v>0.60476787954830624</v>
      </c>
      <c r="AA86" s="1357">
        <f>AA74/Quarterlies!CO156-1</f>
        <v>0.15783898305084754</v>
      </c>
      <c r="AB86" s="1359">
        <f>AB74/Quarterlies!CP156-1</f>
        <v>2.1616541353383534E-2</v>
      </c>
      <c r="AC86" s="1357">
        <f>AC74/Quarterlies!CQ156-1</f>
        <v>0.58261446582614473</v>
      </c>
      <c r="AD86" s="1357">
        <f>AD74/Quarterlies!CR156-1</f>
        <v>8.5657370517928211E-2</v>
      </c>
      <c r="AE86" s="1357">
        <f>AE74/Quarterlies!CS156-1</f>
        <v>0.41901264789881676</v>
      </c>
      <c r="AF86" s="668">
        <f>AF74/X74-1</f>
        <v>0.29871977240398295</v>
      </c>
      <c r="AG86" s="1357">
        <f t="shared" ref="AG86:CJ87" si="233">AG74/Y74-1</f>
        <v>8.3182640144665365E-2</v>
      </c>
      <c r="AH86" s="19">
        <f t="shared" si="233"/>
        <v>-3.5965598123534059E-2</v>
      </c>
      <c r="AI86" s="19">
        <f t="shared" si="233"/>
        <v>4.0256175663311966E-2</v>
      </c>
      <c r="AJ86" s="643">
        <f t="shared" si="233"/>
        <v>0.52161913523459069</v>
      </c>
      <c r="AK86" s="19">
        <f t="shared" si="233"/>
        <v>1.9287211740041998E-2</v>
      </c>
      <c r="AL86" s="19">
        <f t="shared" si="233"/>
        <v>0.28027522935779814</v>
      </c>
      <c r="AM86" s="19">
        <f t="shared" si="233"/>
        <v>2.5876940770557688E-2</v>
      </c>
      <c r="AN86" s="668">
        <f>AN74/AF74-1</f>
        <v>0.14392113910186199</v>
      </c>
      <c r="AO86" s="1357">
        <f t="shared" si="233"/>
        <v>8.7646076794657857E-2</v>
      </c>
      <c r="AP86" s="19">
        <f t="shared" si="233"/>
        <v>7.0559610705596132E-2</v>
      </c>
      <c r="AQ86" s="19">
        <f t="shared" si="233"/>
        <v>0.2832014072119613</v>
      </c>
      <c r="AR86" s="643">
        <f t="shared" si="233"/>
        <v>-0.11487303506650548</v>
      </c>
      <c r="AS86" s="19">
        <f t="shared" si="233"/>
        <v>7.8979843685726081E-2</v>
      </c>
      <c r="AT86" s="19">
        <f t="shared" si="233"/>
        <v>4.729487638839136E-2</v>
      </c>
      <c r="AU86" s="19">
        <f t="shared" si="233"/>
        <v>0.14405829596412567</v>
      </c>
      <c r="AV86" s="668">
        <f>AV74/AN74-1</f>
        <v>6.2045193412485711E-2</v>
      </c>
      <c r="AW86" s="1357">
        <f t="shared" si="233"/>
        <v>0.23867996930161173</v>
      </c>
      <c r="AX86" s="19">
        <f t="shared" si="233"/>
        <v>0.26515151515151514</v>
      </c>
      <c r="AY86" s="495">
        <f t="shared" si="233"/>
        <v>0.13589765072999604</v>
      </c>
      <c r="AZ86" s="647">
        <f t="shared" si="233"/>
        <v>0.24014053324380602</v>
      </c>
      <c r="BA86" s="1696">
        <f t="shared" si="233"/>
        <v>0.25200152497140671</v>
      </c>
      <c r="BB86" s="495">
        <f t="shared" si="233"/>
        <v>0.18810824943003635</v>
      </c>
      <c r="BC86" s="495">
        <f t="shared" si="233"/>
        <v>0.21147283565800734</v>
      </c>
      <c r="BD86" s="648">
        <f t="shared" si="233"/>
        <v>0.21904036347365996</v>
      </c>
      <c r="BE86" s="495">
        <f t="shared" si="233"/>
        <v>-6.1938884636019154E-3</v>
      </c>
      <c r="BF86" s="495">
        <f t="shared" si="233"/>
        <v>-2.7408092671716955E-2</v>
      </c>
      <c r="BG86" s="495">
        <f t="shared" si="233"/>
        <v>-1.9380133884004391E-2</v>
      </c>
      <c r="BH86" s="647">
        <f t="shared" si="233"/>
        <v>0.31984945142362942</v>
      </c>
      <c r="BI86" s="495">
        <f t="shared" si="233"/>
        <v>-1.6981866852015859E-2</v>
      </c>
      <c r="BJ86" s="495">
        <f t="shared" si="233"/>
        <v>0.15796565228730319</v>
      </c>
      <c r="BK86" s="495">
        <f t="shared" si="233"/>
        <v>-1.8572252298417968E-2</v>
      </c>
      <c r="BL86" s="648">
        <f t="shared" si="233"/>
        <v>7.2308567433115867E-2</v>
      </c>
      <c r="BM86" s="495">
        <f t="shared" si="233"/>
        <v>0.11503892867310639</v>
      </c>
      <c r="BN86" s="495">
        <f t="shared" si="233"/>
        <v>0.11177759234468354</v>
      </c>
      <c r="BO86" s="495">
        <f t="shared" si="233"/>
        <v>0.11288914555607521</v>
      </c>
      <c r="BP86" s="647">
        <f t="shared" si="233"/>
        <v>6.6758349158312358E-2</v>
      </c>
      <c r="BQ86" s="495">
        <f t="shared" si="233"/>
        <v>0.11339804409474175</v>
      </c>
      <c r="BR86" s="495">
        <f t="shared" si="233"/>
        <v>8.5400912552503483E-2</v>
      </c>
      <c r="BS86" s="495">
        <f t="shared" si="233"/>
        <v>0.11322763947254466</v>
      </c>
      <c r="BT86" s="648">
        <f t="shared" si="233"/>
        <v>9.7867870325443862E-2</v>
      </c>
      <c r="BU86" s="495">
        <f t="shared" si="233"/>
        <v>5.0616159993065013E-2</v>
      </c>
      <c r="BV86" s="495">
        <f t="shared" si="233"/>
        <v>3.8935565043994869E-2</v>
      </c>
      <c r="BW86" s="495">
        <f t="shared" si="233"/>
        <v>3.8944176189711133E-2</v>
      </c>
      <c r="BX86" s="647">
        <f t="shared" si="233"/>
        <v>3.4417567675890659E-2</v>
      </c>
      <c r="BY86" s="495">
        <f t="shared" si="233"/>
        <v>4.4747825346101333E-2</v>
      </c>
      <c r="BZ86" s="495">
        <f t="shared" si="233"/>
        <v>3.6293207030141383E-2</v>
      </c>
      <c r="CA86" s="495">
        <f t="shared" si="233"/>
        <v>4.2805064941661142E-2</v>
      </c>
      <c r="CB86" s="648">
        <f t="shared" si="233"/>
        <v>4.0111254603395041E-2</v>
      </c>
      <c r="CC86" s="495">
        <f t="shared" si="233"/>
        <v>9.7657022757879908E-4</v>
      </c>
      <c r="CD86" s="495">
        <f t="shared" si="233"/>
        <v>1.958732242205441E-3</v>
      </c>
      <c r="CE86" s="495">
        <f t="shared" si="233"/>
        <v>9.7657022757879908E-4</v>
      </c>
      <c r="CF86" s="647">
        <f t="shared" si="233"/>
        <v>-1.1205633329095521E-2</v>
      </c>
      <c r="CG86" s="495">
        <f t="shared" si="233"/>
        <v>1.4672635851642468E-3</v>
      </c>
      <c r="CH86" s="495">
        <f t="shared" si="233"/>
        <v>-6.1449190987181712E-3</v>
      </c>
      <c r="CI86" s="495">
        <f t="shared" si="233"/>
        <v>1.3036130788957045E-3</v>
      </c>
      <c r="CJ86" s="648">
        <f t="shared" si="233"/>
        <v>-2.6919856195385394E-3</v>
      </c>
    </row>
    <row r="87" spans="1:88" x14ac:dyDescent="0.2">
      <c r="A87" s="4" t="s">
        <v>324</v>
      </c>
      <c r="B87" s="180"/>
      <c r="E87" s="19">
        <f t="shared" si="232"/>
        <v>1.758664278942379E-2</v>
      </c>
      <c r="F87" s="19">
        <f t="shared" si="232"/>
        <v>0.11491260306730355</v>
      </c>
      <c r="G87" s="19">
        <f t="shared" si="232"/>
        <v>0.19498607242339827</v>
      </c>
      <c r="H87" s="19">
        <f t="shared" si="232"/>
        <v>6.0217560217560306E-2</v>
      </c>
      <c r="I87" s="19">
        <f t="shared" si="232"/>
        <v>2.125320630267491E-2</v>
      </c>
      <c r="J87" s="19">
        <f t="shared" si="232"/>
        <v>7.8937926085396182E-3</v>
      </c>
      <c r="K87" s="19">
        <f t="shared" si="232"/>
        <v>6.5147739409042282E-2</v>
      </c>
      <c r="L87" s="19">
        <f t="shared" si="232"/>
        <v>9.8596256684492012E-2</v>
      </c>
      <c r="M87" s="19">
        <f t="shared" si="232"/>
        <v>0.11530270763614237</v>
      </c>
      <c r="N87" s="19">
        <f t="shared" si="232"/>
        <v>0.11292962356792136</v>
      </c>
      <c r="O87" s="19">
        <f t="shared" si="232"/>
        <v>0.22181372549019618</v>
      </c>
      <c r="P87" s="19">
        <f t="shared" si="232"/>
        <v>7.3219658976930724E-2</v>
      </c>
      <c r="Q87" s="19">
        <f t="shared" si="232"/>
        <v>7.0280373831775655E-2</v>
      </c>
      <c r="R87" s="19"/>
      <c r="S87" s="19">
        <f>S75/R75-1</f>
        <v>9.7560975609756184E-2</v>
      </c>
      <c r="T87" s="19"/>
      <c r="U87" s="19">
        <f>U75/T75-1</f>
        <v>0.14152358726454417</v>
      </c>
      <c r="V87" s="19">
        <f t="shared" si="232"/>
        <v>-0.31834112149532712</v>
      </c>
      <c r="W87" s="19">
        <f t="shared" si="232"/>
        <v>-6.4267352185090054E-3</v>
      </c>
      <c r="X87" s="494">
        <f t="shared" si="232"/>
        <v>0.29172056921086664</v>
      </c>
      <c r="Y87" s="1357">
        <f>Y75/Quarterlies!CM157-1</f>
        <v>0.30519480519480524</v>
      </c>
      <c r="Z87" s="1357">
        <f>Z75/Quarterlies!CN157-1</f>
        <v>0.17188587334725125</v>
      </c>
      <c r="AA87" s="1357">
        <f>AA75/Quarterlies!CO157-1</f>
        <v>0.27645926876202687</v>
      </c>
      <c r="AB87" s="1359">
        <f>AB75/Quarterlies!CP157-1</f>
        <v>0.15087918321043681</v>
      </c>
      <c r="AC87" s="1357">
        <f>AC75/Quarterlies!CQ157-1</f>
        <v>0.23342075683776686</v>
      </c>
      <c r="AD87" s="1357">
        <f>AD75/Quarterlies!CR157-1</f>
        <v>0.20981336544250451</v>
      </c>
      <c r="AE87" s="1357">
        <f>AE75/Quarterlies!CS157-1</f>
        <v>0.24929044465468309</v>
      </c>
      <c r="AF87" s="668">
        <f>AF75/X75-1</f>
        <v>0.22033049574361541</v>
      </c>
      <c r="AG87" s="1357">
        <f t="shared" si="233"/>
        <v>0.18097014925373145</v>
      </c>
      <c r="AH87" s="19">
        <f t="shared" si="233"/>
        <v>0.26543942992874103</v>
      </c>
      <c r="AI87" s="19">
        <f t="shared" si="233"/>
        <v>0.10653266331658284</v>
      </c>
      <c r="AJ87" s="643">
        <f t="shared" si="233"/>
        <v>8.3292262198127132E-2</v>
      </c>
      <c r="AK87" s="19">
        <f t="shared" si="233"/>
        <v>0.22417982989064389</v>
      </c>
      <c r="AL87" s="19">
        <f t="shared" si="233"/>
        <v>9.4799701418263327E-2</v>
      </c>
      <c r="AM87" s="19">
        <f t="shared" si="233"/>
        <v>0.17985611510791366</v>
      </c>
      <c r="AN87" s="668">
        <f>AN75/AF75-1</f>
        <v>0.15305703734099296</v>
      </c>
      <c r="AO87" s="1357">
        <f t="shared" si="233"/>
        <v>0.25381779884149558</v>
      </c>
      <c r="AP87" s="19">
        <f t="shared" si="233"/>
        <v>0.19052088221492247</v>
      </c>
      <c r="AQ87" s="19">
        <f t="shared" si="233"/>
        <v>0.17393278837420523</v>
      </c>
      <c r="AR87" s="643">
        <f t="shared" si="233"/>
        <v>0.19153776160145597</v>
      </c>
      <c r="AS87" s="19">
        <f t="shared" si="233"/>
        <v>0.22034739454094288</v>
      </c>
      <c r="AT87" s="19">
        <f t="shared" si="233"/>
        <v>0.18272727272727263</v>
      </c>
      <c r="AU87" s="19">
        <f t="shared" si="233"/>
        <v>0.20394736842105265</v>
      </c>
      <c r="AV87" s="668">
        <f>AV75/AN75-1</f>
        <v>0.2007117437722421</v>
      </c>
      <c r="AW87" s="1357">
        <f t="shared" si="233"/>
        <v>0.23393532129357419</v>
      </c>
      <c r="AX87" s="19">
        <f t="shared" si="233"/>
        <v>0.1651556957035869</v>
      </c>
      <c r="AY87" s="495">
        <f t="shared" si="233"/>
        <v>7.7079684191154962E-2</v>
      </c>
      <c r="AZ87" s="647">
        <f t="shared" si="233"/>
        <v>0.41962524543822677</v>
      </c>
      <c r="BA87" s="1696">
        <f t="shared" si="233"/>
        <v>0.19845465636437587</v>
      </c>
      <c r="BB87" s="495">
        <f t="shared" si="233"/>
        <v>0.24947146453436808</v>
      </c>
      <c r="BC87" s="495">
        <f t="shared" si="233"/>
        <v>0.15656632921836056</v>
      </c>
      <c r="BD87" s="648">
        <f t="shared" si="233"/>
        <v>0.22463106954436629</v>
      </c>
      <c r="BE87" s="495">
        <f t="shared" si="233"/>
        <v>-5.9993609037772844E-3</v>
      </c>
      <c r="BF87" s="495">
        <f t="shared" si="233"/>
        <v>0.17559584065190337</v>
      </c>
      <c r="BG87" s="495">
        <f t="shared" si="233"/>
        <v>0.24811352331146952</v>
      </c>
      <c r="BH87" s="647">
        <f t="shared" si="233"/>
        <v>8.3848934574312972E-2</v>
      </c>
      <c r="BI87" s="495">
        <f t="shared" si="233"/>
        <v>8.5075531495033774E-2</v>
      </c>
      <c r="BJ87" s="495">
        <f t="shared" si="233"/>
        <v>0.15418672193030791</v>
      </c>
      <c r="BK87" s="495">
        <f t="shared" si="233"/>
        <v>0.13745312233206519</v>
      </c>
      <c r="BL87" s="648">
        <f t="shared" si="233"/>
        <v>0.12137496309696805</v>
      </c>
      <c r="BM87" s="495">
        <f t="shared" si="233"/>
        <v>0.10478084041583369</v>
      </c>
      <c r="BN87" s="495">
        <f t="shared" si="233"/>
        <v>0.10394767360883517</v>
      </c>
      <c r="BO87" s="495">
        <f t="shared" si="233"/>
        <v>0.10394767360883561</v>
      </c>
      <c r="BP87" s="647">
        <f t="shared" si="233"/>
        <v>0.10334387452840921</v>
      </c>
      <c r="BQ87" s="495">
        <f t="shared" si="233"/>
        <v>0.10432812599548513</v>
      </c>
      <c r="BR87" s="495">
        <f t="shared" si="233"/>
        <v>0.10362346039533343</v>
      </c>
      <c r="BS87" s="495">
        <f t="shared" si="233"/>
        <v>0.10419418183483486</v>
      </c>
      <c r="BT87" s="648">
        <f t="shared" si="233"/>
        <v>0.10394767360883561</v>
      </c>
      <c r="BU87" s="495">
        <f t="shared" si="233"/>
        <v>7.4468354805829584E-2</v>
      </c>
      <c r="BV87" s="495">
        <f t="shared" si="233"/>
        <v>7.4694026706635386E-2</v>
      </c>
      <c r="BW87" s="495">
        <f t="shared" si="233"/>
        <v>7.4694026706635386E-2</v>
      </c>
      <c r="BX87" s="647">
        <f t="shared" si="233"/>
        <v>7.4857784968597629E-2</v>
      </c>
      <c r="BY87" s="495">
        <f t="shared" si="233"/>
        <v>7.4590934973496115E-2</v>
      </c>
      <c r="BZ87" s="495">
        <f t="shared" si="233"/>
        <v>7.4781935323731563E-2</v>
      </c>
      <c r="CA87" s="495">
        <f t="shared" si="233"/>
        <v>7.4627221913553088E-2</v>
      </c>
      <c r="CB87" s="648">
        <f t="shared" si="233"/>
        <v>7.4694026706635386E-2</v>
      </c>
      <c r="CC87" s="495">
        <f t="shared" si="233"/>
        <v>2.199060783343576E-2</v>
      </c>
      <c r="CD87" s="495">
        <f t="shared" si="233"/>
        <v>2.2862672973009257E-2</v>
      </c>
      <c r="CE87" s="495">
        <f t="shared" si="233"/>
        <v>2.2862672973009257E-2</v>
      </c>
      <c r="CF87" s="647">
        <f t="shared" si="233"/>
        <v>2.3495255631959644E-2</v>
      </c>
      <c r="CG87" s="495">
        <f t="shared" si="233"/>
        <v>2.2464340477940992E-2</v>
      </c>
      <c r="CH87" s="495">
        <f t="shared" si="233"/>
        <v>2.3202279601458375E-2</v>
      </c>
      <c r="CI87" s="495">
        <f t="shared" si="233"/>
        <v>2.2604557016051574E-2</v>
      </c>
      <c r="CJ87" s="648">
        <f t="shared" si="233"/>
        <v>2.2862672973009035E-2</v>
      </c>
    </row>
    <row r="88" spans="1:88" x14ac:dyDescent="0.2">
      <c r="B88" s="180"/>
      <c r="E88" s="19"/>
      <c r="F88" s="19"/>
      <c r="G88" s="19"/>
      <c r="H88" s="19"/>
      <c r="I88" s="19"/>
      <c r="J88" s="19"/>
      <c r="K88" s="19"/>
      <c r="L88" s="19"/>
      <c r="M88" s="19"/>
      <c r="N88" s="19"/>
      <c r="O88" s="19"/>
      <c r="P88" s="19"/>
      <c r="Q88" s="19"/>
      <c r="R88" s="19"/>
      <c r="S88" s="19"/>
      <c r="T88" s="19"/>
      <c r="U88" s="19"/>
      <c r="V88" s="19"/>
      <c r="W88" s="19"/>
      <c r="X88" s="494"/>
      <c r="Y88" s="19"/>
      <c r="Z88" s="19"/>
      <c r="AA88" s="19"/>
      <c r="AB88" s="643"/>
      <c r="AC88" s="19"/>
      <c r="AD88" s="19"/>
      <c r="AE88" s="19"/>
      <c r="AF88" s="668"/>
      <c r="AG88" s="19"/>
      <c r="AH88" s="19"/>
      <c r="AI88" s="19"/>
      <c r="AJ88" s="643"/>
      <c r="AK88" s="19"/>
      <c r="AL88" s="19"/>
      <c r="AM88" s="19"/>
      <c r="AN88" s="668"/>
      <c r="AO88" s="19"/>
      <c r="AP88" s="19"/>
      <c r="AQ88" s="19"/>
      <c r="AR88" s="643"/>
      <c r="AS88" s="19"/>
      <c r="AT88" s="19"/>
      <c r="AU88" s="19"/>
      <c r="AV88" s="668"/>
      <c r="AW88" s="19"/>
      <c r="AX88" s="19"/>
      <c r="AY88" s="19"/>
      <c r="AZ88" s="643"/>
      <c r="BA88" s="1696"/>
      <c r="BB88" s="19"/>
      <c r="BC88" s="19"/>
      <c r="BD88" s="668"/>
      <c r="BE88" s="19"/>
      <c r="BF88" s="19"/>
      <c r="BG88" s="19"/>
      <c r="BH88" s="643"/>
      <c r="BI88" s="19"/>
      <c r="BJ88" s="19"/>
      <c r="BK88" s="19"/>
      <c r="BL88" s="668"/>
      <c r="BM88" s="19"/>
      <c r="BN88" s="19"/>
      <c r="BO88" s="19"/>
      <c r="BP88" s="643"/>
      <c r="BQ88" s="19"/>
      <c r="BR88" s="19"/>
      <c r="BS88" s="19"/>
      <c r="BT88" s="668"/>
      <c r="BU88" s="19"/>
      <c r="BV88" s="19"/>
      <c r="BW88" s="19"/>
      <c r="BX88" s="643"/>
      <c r="BY88" s="19"/>
      <c r="BZ88" s="19"/>
      <c r="CA88" s="19"/>
      <c r="CB88" s="668"/>
      <c r="CC88" s="19"/>
      <c r="CD88" s="19"/>
      <c r="CE88" s="19"/>
      <c r="CF88" s="643"/>
      <c r="CG88" s="19"/>
      <c r="CH88" s="19"/>
      <c r="CI88" s="19"/>
      <c r="CJ88" s="668"/>
    </row>
    <row r="89" spans="1:88" x14ac:dyDescent="0.2">
      <c r="A89" s="669" t="s">
        <v>759</v>
      </c>
      <c r="B89" s="670"/>
      <c r="C89" s="669"/>
      <c r="D89" s="669"/>
      <c r="E89" s="669"/>
      <c r="F89" s="669"/>
      <c r="G89" s="669"/>
      <c r="H89" s="669"/>
      <c r="I89" s="669"/>
      <c r="J89" s="669"/>
      <c r="K89" s="669"/>
      <c r="L89" s="669"/>
      <c r="M89" s="669"/>
      <c r="N89" s="669"/>
      <c r="O89" s="669"/>
      <c r="P89" s="669"/>
      <c r="Q89" s="669"/>
      <c r="R89" s="669"/>
      <c r="S89" s="669"/>
      <c r="T89" s="669"/>
      <c r="U89" s="669"/>
      <c r="V89" s="669"/>
      <c r="W89" s="669"/>
      <c r="X89" s="671"/>
      <c r="Y89" s="672"/>
      <c r="Z89" s="672"/>
      <c r="AA89" s="672"/>
      <c r="AB89" s="673"/>
      <c r="AC89" s="672"/>
      <c r="AD89" s="672"/>
      <c r="AE89" s="672"/>
      <c r="AF89" s="674"/>
      <c r="AG89" s="672"/>
      <c r="AH89" s="672"/>
      <c r="AI89" s="672"/>
      <c r="AJ89" s="673"/>
      <c r="AK89" s="672"/>
      <c r="AL89" s="672"/>
      <c r="AM89" s="672"/>
      <c r="AN89" s="674"/>
      <c r="AO89" s="672"/>
      <c r="AP89" s="672"/>
      <c r="AQ89" s="672"/>
      <c r="AR89" s="673"/>
      <c r="AS89" s="672"/>
      <c r="AT89" s="672"/>
      <c r="AU89" s="672"/>
      <c r="AV89" s="674"/>
      <c r="AW89" s="672"/>
      <c r="AX89" s="672"/>
      <c r="AY89" s="672"/>
      <c r="AZ89" s="673"/>
      <c r="BA89" s="672"/>
      <c r="BB89" s="672"/>
      <c r="BC89" s="672"/>
      <c r="BD89" s="674"/>
      <c r="BE89" s="672"/>
      <c r="BF89" s="672"/>
      <c r="BG89" s="672"/>
      <c r="BH89" s="673"/>
      <c r="BI89" s="672"/>
      <c r="BJ89" s="672"/>
      <c r="BK89" s="672"/>
      <c r="BL89" s="674"/>
      <c r="BM89" s="672"/>
      <c r="BN89" s="672"/>
      <c r="BO89" s="672"/>
      <c r="BP89" s="673"/>
      <c r="BQ89" s="672"/>
      <c r="BR89" s="672"/>
      <c r="BS89" s="672"/>
      <c r="BT89" s="674"/>
      <c r="BU89" s="672"/>
      <c r="BV89" s="672"/>
      <c r="BW89" s="672"/>
      <c r="BX89" s="673"/>
      <c r="BY89" s="672"/>
      <c r="BZ89" s="672"/>
      <c r="CA89" s="672"/>
      <c r="CB89" s="674"/>
      <c r="CC89" s="672"/>
      <c r="CD89" s="672"/>
      <c r="CE89" s="672"/>
      <c r="CF89" s="673"/>
      <c r="CG89" s="672"/>
      <c r="CH89" s="672"/>
      <c r="CI89" s="672"/>
      <c r="CJ89" s="674"/>
    </row>
    <row r="90" spans="1:88" x14ac:dyDescent="0.2">
      <c r="A90" s="197" t="s">
        <v>756</v>
      </c>
      <c r="B90" s="675"/>
      <c r="C90" s="197"/>
      <c r="D90" s="197"/>
      <c r="E90" s="19"/>
      <c r="F90" s="19"/>
      <c r="G90" s="19"/>
      <c r="H90" s="19"/>
      <c r="I90" s="19"/>
      <c r="J90" s="19"/>
      <c r="K90" s="19"/>
      <c r="L90" s="19"/>
      <c r="M90" s="19"/>
      <c r="N90" s="19"/>
      <c r="O90" s="676">
        <f>+O74-O96-O209-O232-O8</f>
        <v>-435.56245504194914</v>
      </c>
      <c r="P90" s="676">
        <f>+P74-P96-P209-P232-P8</f>
        <v>-421.73094731001794</v>
      </c>
      <c r="Q90" s="676">
        <f>+Q74-Q96-Q209-Q232</f>
        <v>-300.85692014755301</v>
      </c>
      <c r="R90" s="676">
        <f>+R74-R96-R209-R232</f>
        <v>-81.097920147552884</v>
      </c>
      <c r="S90" s="676">
        <f>+S74-S96-S209-S232</f>
        <v>-186.18952854077963</v>
      </c>
      <c r="T90" s="676"/>
      <c r="U90" s="676">
        <f t="shared" ref="U90:AZ90" si="234">+U74-U96-U209-U232</f>
        <v>-126.96375936015147</v>
      </c>
      <c r="V90" s="676">
        <f t="shared" si="234"/>
        <v>-150.25803040834018</v>
      </c>
      <c r="W90" s="676">
        <f t="shared" si="234"/>
        <v>115.24989221556848</v>
      </c>
      <c r="X90" s="677">
        <f t="shared" si="234"/>
        <v>-139.85117855384692</v>
      </c>
      <c r="Y90" s="676">
        <f t="shared" si="234"/>
        <v>-88.05293200362641</v>
      </c>
      <c r="Z90" s="676">
        <f t="shared" si="234"/>
        <v>49.58276516794686</v>
      </c>
      <c r="AA90" s="676">
        <f t="shared" si="234"/>
        <v>-106.47973436526556</v>
      </c>
      <c r="AB90" s="678">
        <f t="shared" si="234"/>
        <v>64.516104273506272</v>
      </c>
      <c r="AC90" s="676">
        <f t="shared" si="234"/>
        <v>-38.427140111839492</v>
      </c>
      <c r="AD90" s="676">
        <f t="shared" si="234"/>
        <v>-44.124864650562074</v>
      </c>
      <c r="AE90" s="676">
        <f t="shared" si="234"/>
        <v>-139.21932847678323</v>
      </c>
      <c r="AF90" s="679">
        <f t="shared" si="234"/>
        <v>-82.552004762402021</v>
      </c>
      <c r="AG90" s="676">
        <f t="shared" si="234"/>
        <v>-0.40061004666108602</v>
      </c>
      <c r="AH90" s="676">
        <f t="shared" si="234"/>
        <v>0.36649843245072589</v>
      </c>
      <c r="AI90" s="676">
        <f>+AI74-AI96-AI209-AI232</f>
        <v>0.47975953254444903</v>
      </c>
      <c r="AJ90" s="678">
        <f t="shared" si="234"/>
        <v>193.98269591317603</v>
      </c>
      <c r="AK90" s="676">
        <f>+AK74-AK96-AK209-AK232</f>
        <v>-3.4111614210360131E-2</v>
      </c>
      <c r="AL90" s="676">
        <f t="shared" si="234"/>
        <v>194.46245544572048</v>
      </c>
      <c r="AM90" s="676">
        <f t="shared" si="234"/>
        <v>0.44564791833454365</v>
      </c>
      <c r="AN90" s="679">
        <f>+AN74-AN96-AN209-AN232</f>
        <v>194.42834383151012</v>
      </c>
      <c r="AO90" s="676">
        <f>+AO74-AO96-AO209-AO232</f>
        <v>-119.27624945065577</v>
      </c>
      <c r="AP90" s="676">
        <f t="shared" si="234"/>
        <v>-246.16026650748813</v>
      </c>
      <c r="AQ90" s="676">
        <f>+AQ74-AQ96-AQ209-AQ232</f>
        <v>-247.41163597932723</v>
      </c>
      <c r="AR90" s="678">
        <f t="shared" ref="AR90" si="235">+AR74-AR96-AR209-AR232</f>
        <v>612.8481519374709</v>
      </c>
      <c r="AS90" s="676">
        <f t="shared" si="234"/>
        <v>-365.4365159581439</v>
      </c>
      <c r="AT90" s="676">
        <f t="shared" ref="AT90" si="236">+AT74-AT96-AT209-AT232</f>
        <v>365.4365159581439</v>
      </c>
      <c r="AU90" s="676">
        <f t="shared" ref="AU90" si="237">+AU74-AU96-AU209-AU232</f>
        <v>-612.8481519374709</v>
      </c>
      <c r="AV90" s="679">
        <f>+AV74-AV96-AV209-AV232</f>
        <v>0</v>
      </c>
      <c r="AW90" s="676">
        <f t="shared" si="234"/>
        <v>-97.341021824261588</v>
      </c>
      <c r="AX90" s="676">
        <f t="shared" si="234"/>
        <v>94.593195587830451</v>
      </c>
      <c r="AY90" s="676">
        <f t="shared" si="234"/>
        <v>-2.2737367544323206E-13</v>
      </c>
      <c r="AZ90" s="678">
        <f t="shared" si="234"/>
        <v>5.6843418860808015E-13</v>
      </c>
      <c r="BA90" s="676">
        <f t="shared" ref="BA90:CJ90" si="238">+BA74-BA96-BA209-BA232</f>
        <v>-2.7478262364311377</v>
      </c>
      <c r="BB90" s="676">
        <f t="shared" si="238"/>
        <v>0</v>
      </c>
      <c r="BC90" s="676">
        <f t="shared" si="238"/>
        <v>1.1368683772161603E-12</v>
      </c>
      <c r="BD90" s="679">
        <f t="shared" si="238"/>
        <v>0</v>
      </c>
      <c r="BE90" s="676">
        <f t="shared" si="238"/>
        <v>0</v>
      </c>
      <c r="BF90" s="676">
        <f t="shared" si="238"/>
        <v>-8.5265128291212022E-13</v>
      </c>
      <c r="BG90" s="676">
        <f t="shared" si="238"/>
        <v>0</v>
      </c>
      <c r="BH90" s="678">
        <f t="shared" si="238"/>
        <v>-6.2527760746888816E-13</v>
      </c>
      <c r="BI90" s="676">
        <f t="shared" si="238"/>
        <v>0</v>
      </c>
      <c r="BJ90" s="676">
        <f t="shared" si="238"/>
        <v>-1.7053025658242404E-12</v>
      </c>
      <c r="BK90" s="676">
        <f t="shared" si="238"/>
        <v>0</v>
      </c>
      <c r="BL90" s="679">
        <f t="shared" si="238"/>
        <v>2.0463630789890885E-12</v>
      </c>
      <c r="BM90" s="676">
        <f t="shared" si="238"/>
        <v>5.1159076974727213E-13</v>
      </c>
      <c r="BN90" s="676">
        <f t="shared" si="238"/>
        <v>0</v>
      </c>
      <c r="BO90" s="676">
        <f t="shared" si="238"/>
        <v>0</v>
      </c>
      <c r="BP90" s="678">
        <f t="shared" si="238"/>
        <v>0</v>
      </c>
      <c r="BQ90" s="676">
        <f t="shared" si="238"/>
        <v>0</v>
      </c>
      <c r="BR90" s="676">
        <f t="shared" si="238"/>
        <v>0</v>
      </c>
      <c r="BS90" s="676">
        <f t="shared" si="238"/>
        <v>1.9326762412674725E-12</v>
      </c>
      <c r="BT90" s="679">
        <f t="shared" si="238"/>
        <v>0</v>
      </c>
      <c r="BU90" s="676">
        <f t="shared" si="238"/>
        <v>0</v>
      </c>
      <c r="BV90" s="676">
        <f t="shared" si="238"/>
        <v>-9.6633812063373625E-13</v>
      </c>
      <c r="BW90" s="676">
        <f t="shared" si="238"/>
        <v>0</v>
      </c>
      <c r="BX90" s="678">
        <f t="shared" si="238"/>
        <v>0</v>
      </c>
      <c r="BY90" s="676">
        <f t="shared" si="238"/>
        <v>1.2505552149377763E-12</v>
      </c>
      <c r="BZ90" s="676">
        <f t="shared" si="238"/>
        <v>1.2505552149377763E-12</v>
      </c>
      <c r="CA90" s="676">
        <f t="shared" si="238"/>
        <v>0</v>
      </c>
      <c r="CB90" s="679">
        <f t="shared" si="238"/>
        <v>-2.0463630789890885E-12</v>
      </c>
      <c r="CC90" s="676">
        <f t="shared" si="238"/>
        <v>0</v>
      </c>
      <c r="CD90" s="676">
        <f t="shared" si="238"/>
        <v>-6.8212102632969618E-13</v>
      </c>
      <c r="CE90" s="676">
        <f t="shared" si="238"/>
        <v>-4.5474735088646412E-13</v>
      </c>
      <c r="CF90" s="678">
        <f t="shared" si="238"/>
        <v>0</v>
      </c>
      <c r="CG90" s="676">
        <f t="shared" si="238"/>
        <v>0</v>
      </c>
      <c r="CH90" s="676">
        <f t="shared" si="238"/>
        <v>0</v>
      </c>
      <c r="CI90" s="676">
        <f t="shared" si="238"/>
        <v>1.8189894035458565E-12</v>
      </c>
      <c r="CJ90" s="679">
        <f t="shared" si="238"/>
        <v>0</v>
      </c>
    </row>
    <row r="91" spans="1:88" x14ac:dyDescent="0.2">
      <c r="A91" s="197" t="s">
        <v>324</v>
      </c>
      <c r="B91" s="675"/>
      <c r="C91" s="197"/>
      <c r="D91" s="197"/>
      <c r="E91" s="19"/>
      <c r="F91" s="19"/>
      <c r="G91" s="19"/>
      <c r="H91" s="19"/>
      <c r="I91" s="19"/>
      <c r="J91" s="19"/>
      <c r="K91" s="19"/>
      <c r="L91" s="19"/>
      <c r="M91" s="19"/>
      <c r="N91" s="19"/>
      <c r="O91" s="676">
        <f>+O75+O76-O97-O210-O233</f>
        <v>435.56245504194993</v>
      </c>
      <c r="P91" s="676">
        <f>+P75+P76-P97-P210-P233</f>
        <v>421.73094731001879</v>
      </c>
      <c r="Q91" s="676">
        <f>+Q75+Q76-Q97-Q210-Q233</f>
        <v>300.8569201475525</v>
      </c>
      <c r="R91" s="676">
        <f>+R75+R76-R97-R210-R233</f>
        <v>81.0979201475526</v>
      </c>
      <c r="S91" s="676">
        <f>+S75+S76-S97-S210-S233</f>
        <v>186.18952854077929</v>
      </c>
      <c r="T91" s="676"/>
      <c r="U91" s="676">
        <f t="shared" ref="U91:AZ91" si="239">+U75+U76-U97-U210-U233</f>
        <v>126.9637593601517</v>
      </c>
      <c r="V91" s="676">
        <f t="shared" si="239"/>
        <v>150.25803040834035</v>
      </c>
      <c r="W91" s="676">
        <f t="shared" si="239"/>
        <v>-115.24989221556871</v>
      </c>
      <c r="X91" s="677">
        <f t="shared" si="239"/>
        <v>139.85117855384669</v>
      </c>
      <c r="Y91" s="676">
        <f t="shared" si="239"/>
        <v>88.052932003626438</v>
      </c>
      <c r="Z91" s="676">
        <f t="shared" si="239"/>
        <v>-49.58276516794686</v>
      </c>
      <c r="AA91" s="676">
        <f t="shared" si="239"/>
        <v>106.47973436526559</v>
      </c>
      <c r="AB91" s="678">
        <f t="shared" si="239"/>
        <v>-64.516104273506755</v>
      </c>
      <c r="AC91" s="676">
        <f t="shared" si="239"/>
        <v>38.427140111839435</v>
      </c>
      <c r="AD91" s="676">
        <f t="shared" si="239"/>
        <v>44.124864650561619</v>
      </c>
      <c r="AE91" s="676">
        <f t="shared" si="239"/>
        <v>139.21932847678318</v>
      </c>
      <c r="AF91" s="679">
        <f t="shared" si="239"/>
        <v>82.552004762401566</v>
      </c>
      <c r="AG91" s="676">
        <f t="shared" si="239"/>
        <v>0.40061004666102917</v>
      </c>
      <c r="AH91" s="676">
        <f t="shared" si="239"/>
        <v>-0.36649843245066904</v>
      </c>
      <c r="AI91" s="676">
        <f t="shared" si="239"/>
        <v>-0.47975953254444903</v>
      </c>
      <c r="AJ91" s="678">
        <f t="shared" si="239"/>
        <v>-193.98269591317603</v>
      </c>
      <c r="AK91" s="676">
        <f t="shared" si="239"/>
        <v>3.4111614210360131E-2</v>
      </c>
      <c r="AL91" s="676">
        <f t="shared" si="239"/>
        <v>-194.46245544572048</v>
      </c>
      <c r="AM91" s="676">
        <f t="shared" si="239"/>
        <v>-0.4456479183340889</v>
      </c>
      <c r="AN91" s="679">
        <f t="shared" si="239"/>
        <v>-194.42834383151012</v>
      </c>
      <c r="AO91" s="676">
        <f t="shared" ref="AO91" si="240">+AO75+AO76-AO97-AO210-AO233</f>
        <v>119.27624945065548</v>
      </c>
      <c r="AP91" s="676">
        <f t="shared" si="239"/>
        <v>246.16026650748807</v>
      </c>
      <c r="AQ91" s="676">
        <f t="shared" ref="AQ91:AR91" si="241">+AQ75+AQ76-AQ97-AQ210-AQ233</f>
        <v>247.41163597932751</v>
      </c>
      <c r="AR91" s="678">
        <f t="shared" si="241"/>
        <v>-612.84815193747272</v>
      </c>
      <c r="AS91" s="676">
        <f t="shared" si="239"/>
        <v>365.43651595814356</v>
      </c>
      <c r="AT91" s="676">
        <f t="shared" ref="AT91" si="242">+AT75+AT76-AT97-AT210-AT233</f>
        <v>-365.43651595814538</v>
      </c>
      <c r="AU91" s="676">
        <f t="shared" ref="AU91:AV91" si="243">+AU75+AU76-AU97-AU210-AU233</f>
        <v>612.8481519374709</v>
      </c>
      <c r="AV91" s="679">
        <f t="shared" si="243"/>
        <v>-1.8189894035458565E-12</v>
      </c>
      <c r="AW91" s="676">
        <f t="shared" si="239"/>
        <v>97.341021824261588</v>
      </c>
      <c r="AX91" s="676">
        <f t="shared" si="239"/>
        <v>-94.593195587830451</v>
      </c>
      <c r="AY91" s="676">
        <f t="shared" si="239"/>
        <v>0</v>
      </c>
      <c r="AZ91" s="678">
        <f t="shared" si="239"/>
        <v>0</v>
      </c>
      <c r="BA91" s="676">
        <f t="shared" ref="BA91:CJ91" si="244">+BA75+BA76-BA97-BA210-BA233</f>
        <v>2.7478262364311377</v>
      </c>
      <c r="BB91" s="676">
        <f t="shared" si="244"/>
        <v>0</v>
      </c>
      <c r="BC91" s="676">
        <f t="shared" si="244"/>
        <v>-9.0949470177292824E-13</v>
      </c>
      <c r="BD91" s="679">
        <f t="shared" si="244"/>
        <v>0</v>
      </c>
      <c r="BE91" s="676">
        <f t="shared" si="244"/>
        <v>-3.979039320256561E-13</v>
      </c>
      <c r="BF91" s="676">
        <f t="shared" si="244"/>
        <v>0</v>
      </c>
      <c r="BG91" s="676">
        <f t="shared" si="244"/>
        <v>0</v>
      </c>
      <c r="BH91" s="678">
        <f t="shared" si="244"/>
        <v>0</v>
      </c>
      <c r="BI91" s="676">
        <f t="shared" si="244"/>
        <v>0</v>
      </c>
      <c r="BJ91" s="676">
        <f t="shared" si="244"/>
        <v>0</v>
      </c>
      <c r="BK91" s="676">
        <f t="shared" si="244"/>
        <v>0</v>
      </c>
      <c r="BL91" s="679">
        <f t="shared" si="244"/>
        <v>0</v>
      </c>
      <c r="BM91" s="676">
        <f t="shared" si="244"/>
        <v>-3.979039320256561E-13</v>
      </c>
      <c r="BN91" s="676">
        <f t="shared" si="244"/>
        <v>0</v>
      </c>
      <c r="BO91" s="676">
        <f t="shared" si="244"/>
        <v>0</v>
      </c>
      <c r="BP91" s="678">
        <f t="shared" si="244"/>
        <v>5.1159076974727213E-13</v>
      </c>
      <c r="BQ91" s="676">
        <f t="shared" si="244"/>
        <v>0</v>
      </c>
      <c r="BR91" s="676">
        <f t="shared" si="244"/>
        <v>1.0231815394945443E-12</v>
      </c>
      <c r="BS91" s="676">
        <f t="shared" si="244"/>
        <v>-1.5916157281026244E-12</v>
      </c>
      <c r="BT91" s="679">
        <f t="shared" si="244"/>
        <v>0</v>
      </c>
      <c r="BU91" s="676">
        <f t="shared" si="244"/>
        <v>0</v>
      </c>
      <c r="BV91" s="676">
        <f t="shared" si="244"/>
        <v>3.979039320256561E-13</v>
      </c>
      <c r="BW91" s="676">
        <f t="shared" si="244"/>
        <v>3.979039320256561E-13</v>
      </c>
      <c r="BX91" s="678">
        <f t="shared" si="244"/>
        <v>3.979039320256561E-13</v>
      </c>
      <c r="BY91" s="676">
        <f t="shared" si="244"/>
        <v>0</v>
      </c>
      <c r="BZ91" s="676">
        <f t="shared" si="244"/>
        <v>0</v>
      </c>
      <c r="CA91" s="676">
        <f t="shared" si="244"/>
        <v>0</v>
      </c>
      <c r="CB91" s="679">
        <f t="shared" si="244"/>
        <v>1.5916157281026244E-12</v>
      </c>
      <c r="CC91" s="676">
        <f t="shared" si="244"/>
        <v>0</v>
      </c>
      <c r="CD91" s="676">
        <f t="shared" si="244"/>
        <v>0</v>
      </c>
      <c r="CE91" s="676">
        <f t="shared" si="244"/>
        <v>0</v>
      </c>
      <c r="CF91" s="678">
        <f t="shared" si="244"/>
        <v>0</v>
      </c>
      <c r="CG91" s="676">
        <f t="shared" si="244"/>
        <v>0</v>
      </c>
      <c r="CH91" s="676">
        <f t="shared" si="244"/>
        <v>-1.0231815394945443E-12</v>
      </c>
      <c r="CI91" s="676">
        <f t="shared" si="244"/>
        <v>-9.0949470177292824E-13</v>
      </c>
      <c r="CJ91" s="679">
        <f t="shared" si="244"/>
        <v>0</v>
      </c>
    </row>
    <row r="92" spans="1:88" x14ac:dyDescent="0.2">
      <c r="B92" s="180"/>
      <c r="E92" s="19"/>
      <c r="F92" s="19"/>
      <c r="G92" s="19"/>
      <c r="H92" s="19"/>
      <c r="I92" s="19"/>
      <c r="J92" s="19"/>
      <c r="K92" s="19"/>
      <c r="L92" s="19"/>
      <c r="M92" s="19"/>
      <c r="N92" s="19"/>
      <c r="O92" s="19"/>
      <c r="P92" s="19"/>
      <c r="Q92" s="19"/>
      <c r="R92" s="19"/>
      <c r="S92" s="19"/>
      <c r="T92" s="19"/>
      <c r="U92" s="19"/>
      <c r="V92" s="19"/>
      <c r="W92" s="19"/>
      <c r="X92" s="494"/>
      <c r="Y92" s="19"/>
      <c r="Z92" s="19"/>
      <c r="AA92" s="19"/>
      <c r="AB92" s="643"/>
      <c r="AC92" s="19"/>
      <c r="AD92" s="19"/>
      <c r="AE92" s="19"/>
      <c r="AF92" s="668"/>
      <c r="AG92" s="19"/>
      <c r="AH92" s="19"/>
      <c r="AI92" s="19"/>
      <c r="AJ92" s="643"/>
      <c r="AK92" s="19"/>
      <c r="AL92" s="19"/>
      <c r="AM92" s="19"/>
      <c r="AN92" s="668"/>
      <c r="AO92" s="19"/>
      <c r="AP92" s="19"/>
      <c r="AQ92" s="19"/>
      <c r="AR92" s="643"/>
      <c r="AS92" s="19"/>
      <c r="AT92" s="19"/>
      <c r="AU92" s="19"/>
      <c r="AV92" s="668"/>
      <c r="AW92" s="19"/>
      <c r="AX92" s="19"/>
      <c r="AY92" s="19"/>
      <c r="AZ92" s="643"/>
      <c r="BA92" s="19"/>
      <c r="BB92" s="19"/>
      <c r="BC92" s="19"/>
      <c r="BD92" s="668"/>
      <c r="BE92" s="19"/>
      <c r="BF92" s="19"/>
      <c r="BG92" s="19"/>
      <c r="BH92" s="643"/>
      <c r="BI92" s="19"/>
      <c r="BJ92" s="19"/>
      <c r="BK92" s="19"/>
      <c r="BL92" s="668"/>
      <c r="BM92" s="19"/>
      <c r="BN92" s="19"/>
      <c r="BO92" s="19"/>
      <c r="BP92" s="643"/>
      <c r="BQ92" s="19"/>
      <c r="BR92" s="19"/>
      <c r="BS92" s="19"/>
      <c r="BT92" s="668"/>
      <c r="BU92" s="19"/>
      <c r="BV92" s="19"/>
      <c r="BW92" s="19"/>
      <c r="BX92" s="643"/>
      <c r="BY92" s="19"/>
      <c r="BZ92" s="19"/>
      <c r="CA92" s="19"/>
      <c r="CB92" s="668"/>
      <c r="CC92" s="19"/>
      <c r="CD92" s="19"/>
      <c r="CE92" s="19"/>
      <c r="CF92" s="643"/>
      <c r="CG92" s="19"/>
      <c r="CH92" s="19"/>
      <c r="CI92" s="19"/>
      <c r="CJ92" s="668"/>
    </row>
    <row r="93" spans="1:88" x14ac:dyDescent="0.2">
      <c r="A93" s="584"/>
      <c r="B93" s="180"/>
      <c r="C93" s="141"/>
      <c r="D93" s="141"/>
      <c r="E93" s="580"/>
      <c r="F93" s="580"/>
      <c r="G93" s="580"/>
      <c r="H93" s="580"/>
      <c r="I93" s="580"/>
      <c r="J93" s="580"/>
      <c r="K93" s="580"/>
      <c r="L93" s="580"/>
      <c r="M93" s="580"/>
      <c r="N93" s="580"/>
      <c r="X93" s="180"/>
      <c r="AB93" s="179"/>
      <c r="AF93" s="314"/>
      <c r="AJ93" s="179"/>
      <c r="AN93" s="314"/>
      <c r="AR93" s="179"/>
      <c r="AV93" s="314"/>
      <c r="AZ93" s="179"/>
      <c r="BD93" s="314"/>
      <c r="BH93" s="179"/>
      <c r="BL93" s="314"/>
      <c r="BP93" s="179"/>
      <c r="BT93" s="314"/>
      <c r="BX93" s="179"/>
      <c r="CB93" s="314"/>
      <c r="CF93" s="179"/>
      <c r="CJ93" s="314"/>
    </row>
    <row r="94" spans="1:88" ht="11.25" customHeight="1" x14ac:dyDescent="0.2">
      <c r="A94" s="628" t="s">
        <v>760</v>
      </c>
      <c r="B94" s="629"/>
      <c r="C94" s="454"/>
      <c r="D94" s="454"/>
      <c r="E94" s="454"/>
      <c r="F94" s="454"/>
      <c r="G94" s="454"/>
      <c r="H94" s="454"/>
      <c r="I94" s="454"/>
      <c r="J94" s="630"/>
      <c r="K94" s="631"/>
      <c r="L94" s="632"/>
      <c r="M94" s="631"/>
      <c r="N94" s="631"/>
      <c r="O94" s="631"/>
      <c r="P94" s="631"/>
      <c r="Q94" s="631"/>
      <c r="R94" s="631"/>
      <c r="S94" s="631"/>
      <c r="T94" s="631"/>
      <c r="U94" s="631"/>
      <c r="V94" s="631"/>
      <c r="W94" s="631"/>
      <c r="X94" s="633"/>
      <c r="Y94" s="631"/>
      <c r="Z94" s="631"/>
      <c r="AA94" s="631"/>
      <c r="AB94" s="634"/>
      <c r="AC94" s="631"/>
      <c r="AD94" s="631"/>
      <c r="AE94" s="631"/>
      <c r="AF94" s="635"/>
      <c r="AG94" s="631"/>
      <c r="AH94" s="631"/>
      <c r="AI94" s="631"/>
      <c r="AJ94" s="634"/>
      <c r="AK94" s="631"/>
      <c r="AL94" s="631"/>
      <c r="AM94" s="631"/>
      <c r="AN94" s="635"/>
      <c r="AO94" s="631"/>
      <c r="AP94" s="631"/>
      <c r="AQ94" s="631"/>
      <c r="AR94" s="634"/>
      <c r="AS94" s="631"/>
      <c r="AT94" s="631"/>
      <c r="AU94" s="631"/>
      <c r="AV94" s="635"/>
      <c r="AW94" s="631"/>
      <c r="AX94" s="631"/>
      <c r="AY94" s="631"/>
      <c r="AZ94" s="634"/>
      <c r="BA94" s="631"/>
      <c r="BB94" s="631"/>
      <c r="BC94" s="631"/>
      <c r="BD94" s="635"/>
      <c r="BE94" s="631"/>
      <c r="BF94" s="631"/>
      <c r="BG94" s="631"/>
      <c r="BH94" s="634"/>
      <c r="BI94" s="631"/>
      <c r="BJ94" s="631"/>
      <c r="BK94" s="631"/>
      <c r="BL94" s="635"/>
      <c r="BM94" s="631"/>
      <c r="BN94" s="631"/>
      <c r="BO94" s="631"/>
      <c r="BP94" s="634"/>
      <c r="BQ94" s="631"/>
      <c r="BR94" s="631"/>
      <c r="BS94" s="631"/>
      <c r="BT94" s="635"/>
      <c r="BU94" s="631"/>
      <c r="BV94" s="631"/>
      <c r="BW94" s="631"/>
      <c r="BX94" s="634"/>
      <c r="BY94" s="631"/>
      <c r="BZ94" s="631"/>
      <c r="CA94" s="631"/>
      <c r="CB94" s="635"/>
      <c r="CC94" s="631"/>
      <c r="CD94" s="631"/>
      <c r="CE94" s="631"/>
      <c r="CF94" s="634"/>
      <c r="CG94" s="631"/>
      <c r="CH94" s="631"/>
      <c r="CI94" s="631"/>
      <c r="CJ94" s="635"/>
    </row>
    <row r="95" spans="1:88" x14ac:dyDescent="0.2">
      <c r="A95" s="584"/>
      <c r="B95" s="180"/>
      <c r="C95" s="141"/>
      <c r="D95" s="141"/>
      <c r="E95" s="580"/>
      <c r="F95" s="580"/>
      <c r="G95" s="580"/>
      <c r="H95" s="580"/>
      <c r="I95" s="580"/>
      <c r="J95" s="580"/>
      <c r="K95" s="580"/>
      <c r="L95" s="580"/>
      <c r="M95" s="580"/>
      <c r="N95" s="580"/>
      <c r="V95" s="124"/>
      <c r="X95" s="326"/>
      <c r="AB95" s="179"/>
      <c r="AF95" s="314"/>
      <c r="AJ95" s="179"/>
      <c r="AN95" s="314"/>
      <c r="AR95" s="179"/>
      <c r="AV95" s="314"/>
      <c r="AZ95" s="179"/>
      <c r="BD95" s="314"/>
      <c r="BH95" s="179"/>
      <c r="BL95" s="314"/>
      <c r="BP95" s="179"/>
      <c r="BT95" s="314"/>
      <c r="BX95" s="179"/>
      <c r="CB95" s="314"/>
      <c r="CF95" s="179"/>
      <c r="CJ95" s="314"/>
    </row>
    <row r="96" spans="1:88" x14ac:dyDescent="0.2">
      <c r="A96" s="680" t="s">
        <v>761</v>
      </c>
      <c r="B96" s="681"/>
      <c r="C96" s="272"/>
      <c r="D96" s="272"/>
      <c r="E96" s="272"/>
      <c r="F96" s="272"/>
      <c r="G96" s="272"/>
      <c r="H96" s="272"/>
      <c r="I96" s="272"/>
      <c r="J96" s="272"/>
      <c r="K96" s="272"/>
      <c r="L96" s="272"/>
      <c r="M96" s="272"/>
      <c r="N96" s="4">
        <f t="shared" ref="N96:S96" si="245">N98-N97</f>
        <v>2735.7003280482782</v>
      </c>
      <c r="O96" s="4">
        <f t="shared" si="245"/>
        <v>3089.2004550419492</v>
      </c>
      <c r="P96" s="4">
        <f t="shared" si="245"/>
        <v>3152.9654473100181</v>
      </c>
      <c r="Q96" s="4">
        <f t="shared" si="245"/>
        <v>3387.5364201475531</v>
      </c>
      <c r="R96" s="4">
        <f t="shared" si="245"/>
        <v>3091.8564201475529</v>
      </c>
      <c r="S96" s="4">
        <f t="shared" si="245"/>
        <v>3770.2415285407797</v>
      </c>
      <c r="U96" s="4">
        <f t="shared" ref="U96:AA96" si="246">U98-U97</f>
        <v>4110.5862593601514</v>
      </c>
      <c r="V96" s="4">
        <f t="shared" si="246"/>
        <v>2119.2950304083402</v>
      </c>
      <c r="W96" s="4">
        <f t="shared" si="246"/>
        <v>1662.5121077844315</v>
      </c>
      <c r="X96" s="180">
        <f t="shared" si="246"/>
        <v>2701.0481785538468</v>
      </c>
      <c r="Y96" s="4">
        <f t="shared" si="246"/>
        <v>943.02493200362642</v>
      </c>
      <c r="Z96" s="4">
        <f t="shared" si="246"/>
        <v>1024.0192348320531</v>
      </c>
      <c r="AA96" s="4">
        <f t="shared" si="246"/>
        <v>912.48173436526554</v>
      </c>
      <c r="AB96" s="179">
        <f t="shared" ref="AB96" si="247">AB98-AB97</f>
        <v>761.60789572649378</v>
      </c>
      <c r="AC96" s="4">
        <f>AC98-AC97</f>
        <v>1967.0011401118395</v>
      </c>
      <c r="AD96" s="4">
        <f t="shared" ref="AD96:AE96" si="248">AD98-AD97</f>
        <v>1676.2508646505621</v>
      </c>
      <c r="AE96" s="4">
        <f t="shared" si="248"/>
        <v>2873.7953284767832</v>
      </c>
      <c r="AF96" s="314">
        <f t="shared" ref="AF96:AJ96" si="249">AF98-AF97</f>
        <v>3643.2520047624021</v>
      </c>
      <c r="AG96" s="4">
        <f t="shared" si="249"/>
        <v>987.40061004666109</v>
      </c>
      <c r="AH96" s="4">
        <f t="shared" si="249"/>
        <v>1038.6335015675493</v>
      </c>
      <c r="AI96" s="4">
        <f t="shared" si="249"/>
        <v>949.52024046745555</v>
      </c>
      <c r="AJ96" s="179">
        <f t="shared" si="249"/>
        <v>755.07730408682391</v>
      </c>
      <c r="AK96" s="4">
        <f>AK98-AK97</f>
        <v>2026.0341116142104</v>
      </c>
      <c r="AL96" s="4">
        <f t="shared" ref="AL96" si="250">AL98-AL97</f>
        <v>1704.5975445542795</v>
      </c>
      <c r="AM96" s="4">
        <f t="shared" ref="AM96:AR96" si="251">AM98-AM97</f>
        <v>2975.5543520816655</v>
      </c>
      <c r="AN96" s="314">
        <f t="shared" si="251"/>
        <v>3730.6316561684898</v>
      </c>
      <c r="AO96" s="4">
        <f t="shared" si="251"/>
        <v>1102.2762494506558</v>
      </c>
      <c r="AP96" s="4">
        <f t="shared" si="251"/>
        <v>1211.1602665074881</v>
      </c>
      <c r="AQ96" s="4">
        <f t="shared" si="251"/>
        <v>1336.4116359793272</v>
      </c>
      <c r="AR96" s="179">
        <f t="shared" si="251"/>
        <v>411.61548256649439</v>
      </c>
      <c r="AS96" s="4">
        <f>AS98-AS97</f>
        <v>2313.4365159581439</v>
      </c>
      <c r="AT96" s="4">
        <f t="shared" ref="AT96" si="252">AT98-AT97</f>
        <v>1748.0271185458214</v>
      </c>
      <c r="AU96" s="4">
        <f t="shared" ref="AU96:AX96" si="253">AU98-AU97</f>
        <v>3649.8481519374709</v>
      </c>
      <c r="AV96" s="314">
        <f t="shared" si="253"/>
        <v>4061.4636345039653</v>
      </c>
      <c r="AW96" s="4">
        <f t="shared" si="253"/>
        <v>1326.3410218242616</v>
      </c>
      <c r="AX96" s="4">
        <f t="shared" si="253"/>
        <v>1235.4068044121695</v>
      </c>
      <c r="AY96" s="11">
        <f t="shared" ref="AY96:CI97" si="254">AY132+AY135+AY138</f>
        <v>1263.9321713922454</v>
      </c>
      <c r="AZ96" s="181">
        <f t="shared" si="254"/>
        <v>1347.9222396461123</v>
      </c>
      <c r="BA96" s="4">
        <f>BA98-BA97</f>
        <v>2561.7478262364311</v>
      </c>
      <c r="BB96" s="11">
        <f t="shared" si="254"/>
        <v>2611.8544110383577</v>
      </c>
      <c r="BC96" s="11">
        <f t="shared" si="254"/>
        <v>3826.8896141331661</v>
      </c>
      <c r="BD96" s="603">
        <f t="shared" si="254"/>
        <v>5174.8118537792798</v>
      </c>
      <c r="BE96" s="11">
        <f t="shared" si="254"/>
        <v>1179.8429334571956</v>
      </c>
      <c r="BF96" s="11">
        <f t="shared" si="254"/>
        <v>1200.0683546756829</v>
      </c>
      <c r="BG96" s="11">
        <f t="shared" si="254"/>
        <v>1200.9963368185402</v>
      </c>
      <c r="BH96" s="181">
        <f t="shared" si="254"/>
        <v>1972.1133162828755</v>
      </c>
      <c r="BI96" s="11">
        <f t="shared" si="254"/>
        <v>2379.9112881328783</v>
      </c>
      <c r="BJ96" s="11">
        <f t="shared" si="254"/>
        <v>3173.1096531014177</v>
      </c>
      <c r="BK96" s="11">
        <f t="shared" si="254"/>
        <v>3580.9076249514187</v>
      </c>
      <c r="BL96" s="603">
        <f t="shared" si="254"/>
        <v>5553.0209412342947</v>
      </c>
      <c r="BM96" s="11">
        <f t="shared" si="254"/>
        <v>1334.1754548741519</v>
      </c>
      <c r="BN96" s="11">
        <f t="shared" si="254"/>
        <v>1351.4304315170089</v>
      </c>
      <c r="BO96" s="11">
        <f t="shared" si="254"/>
        <v>1354.2685891598662</v>
      </c>
      <c r="BP96" s="181">
        <f t="shared" si="254"/>
        <v>2101.8943030699193</v>
      </c>
      <c r="BQ96" s="11">
        <f t="shared" si="254"/>
        <v>2685.6058863911608</v>
      </c>
      <c r="BR96" s="11">
        <f t="shared" si="254"/>
        <v>3456.1628922297864</v>
      </c>
      <c r="BS96" s="11">
        <f t="shared" si="254"/>
        <v>4039.8744755510279</v>
      </c>
      <c r="BT96" s="603">
        <f t="shared" si="254"/>
        <v>6141.7687786209463</v>
      </c>
      <c r="BU96" s="11">
        <f t="shared" si="254"/>
        <v>1391.7389807452387</v>
      </c>
      <c r="BV96" s="11">
        <f t="shared" si="254"/>
        <v>1388.7747435491849</v>
      </c>
      <c r="BW96" s="11">
        <f t="shared" si="254"/>
        <v>1391.7389807452387</v>
      </c>
      <c r="BX96" s="181">
        <f t="shared" si="254"/>
        <v>2156.9092431308686</v>
      </c>
      <c r="BY96" s="11">
        <f t="shared" si="254"/>
        <v>2780.5137242944238</v>
      </c>
      <c r="BZ96" s="11">
        <f t="shared" si="254"/>
        <v>3548.6482238761082</v>
      </c>
      <c r="CA96" s="11">
        <f t="shared" si="254"/>
        <v>4172.2527050396629</v>
      </c>
      <c r="CB96" s="603">
        <f t="shared" si="254"/>
        <v>6329.1619481705302</v>
      </c>
      <c r="CC96" s="11">
        <f t="shared" si="254"/>
        <v>1357.5621505816594</v>
      </c>
      <c r="CD96" s="11">
        <f t="shared" si="254"/>
        <v>1356.43764286693</v>
      </c>
      <c r="CE96" s="11">
        <f t="shared" si="254"/>
        <v>1357.5621505816594</v>
      </c>
      <c r="CF96" s="181">
        <f t="shared" si="254"/>
        <v>2091.2671751909429</v>
      </c>
      <c r="CG96" s="11">
        <f t="shared" si="254"/>
        <v>2713.9997934485896</v>
      </c>
      <c r="CH96" s="11">
        <f t="shared" si="254"/>
        <v>3448.8293257726014</v>
      </c>
      <c r="CI96" s="11">
        <f t="shared" si="254"/>
        <v>4071.561944030248</v>
      </c>
      <c r="CJ96" s="603">
        <f>CJ132+CJ135+CJ138</f>
        <v>6162.8291192211909</v>
      </c>
    </row>
    <row r="97" spans="1:91" x14ac:dyDescent="0.2">
      <c r="A97" s="680" t="s">
        <v>762</v>
      </c>
      <c r="B97" s="681"/>
      <c r="C97" s="272"/>
      <c r="D97" s="272"/>
      <c r="E97" s="272"/>
      <c r="F97" s="272"/>
      <c r="G97" s="272"/>
      <c r="H97" s="272"/>
      <c r="I97" s="272"/>
      <c r="J97" s="272"/>
      <c r="K97" s="272"/>
      <c r="L97" s="272"/>
      <c r="M97" s="272"/>
      <c r="N97" s="4">
        <f t="shared" ref="N97:S97" si="255">N117/N114</f>
        <v>2645.2796719517223</v>
      </c>
      <c r="O97" s="4">
        <f t="shared" si="255"/>
        <v>3434.09954495805</v>
      </c>
      <c r="P97" s="4">
        <f t="shared" si="255"/>
        <v>3702.4645526899812</v>
      </c>
      <c r="Q97" s="4">
        <f t="shared" si="255"/>
        <v>4113.0335798524475</v>
      </c>
      <c r="R97" s="4">
        <f t="shared" si="255"/>
        <v>4113.0335798524475</v>
      </c>
      <c r="S97" s="4">
        <f t="shared" si="255"/>
        <v>4591.3584714592207</v>
      </c>
      <c r="U97" s="4">
        <f t="shared" ref="U97:AA97" si="256">U117/U114</f>
        <v>5164.0637406398482</v>
      </c>
      <c r="V97" s="4">
        <f t="shared" si="256"/>
        <v>2938.2849695916598</v>
      </c>
      <c r="W97" s="4">
        <f t="shared" si="256"/>
        <v>3098.4478922155686</v>
      </c>
      <c r="X97" s="180">
        <f t="shared" si="256"/>
        <v>4238.3318214461533</v>
      </c>
      <c r="Y97" s="4">
        <f t="shared" si="256"/>
        <v>1092.4750679963736</v>
      </c>
      <c r="Z97" s="4">
        <f t="shared" si="256"/>
        <v>1198.2307651679469</v>
      </c>
      <c r="AA97" s="4">
        <f t="shared" si="256"/>
        <v>1399.7682656347345</v>
      </c>
      <c r="AB97" s="179">
        <f t="shared" ref="AB97" si="257">AB117/AB114</f>
        <v>1931.6721042735069</v>
      </c>
      <c r="AC97" s="4">
        <f>AC117/AC114</f>
        <v>2290.7488598881605</v>
      </c>
      <c r="AD97" s="4">
        <f t="shared" ref="AD97:AE97" si="258">AD117/AD114</f>
        <v>3329.2791353494385</v>
      </c>
      <c r="AE97" s="4">
        <f t="shared" si="258"/>
        <v>3696.2046715232168</v>
      </c>
      <c r="AF97" s="314">
        <f t="shared" ref="AF97:AI97" si="259">AF117/AF114</f>
        <v>5620.0279952375986</v>
      </c>
      <c r="AG97" s="4">
        <f t="shared" si="259"/>
        <v>1397.289389953339</v>
      </c>
      <c r="AH97" s="4">
        <f>AK97-AG97</f>
        <v>1616.2564984324506</v>
      </c>
      <c r="AI97" s="4">
        <f t="shared" si="259"/>
        <v>1688.2897595325444</v>
      </c>
      <c r="AJ97" s="179">
        <f>AL97-AI97</f>
        <v>2352.6126959131761</v>
      </c>
      <c r="AK97" s="4">
        <f>AK117/AK114</f>
        <v>3013.5458883857896</v>
      </c>
      <c r="AL97" s="4">
        <f>AN97-AK97</f>
        <v>4040.9024554457205</v>
      </c>
      <c r="AM97" s="4">
        <f>AG97+AH97+AI97</f>
        <v>4701.835647918334</v>
      </c>
      <c r="AN97" s="314">
        <f t="shared" ref="AN97" si="260">AN117/AN114</f>
        <v>7054.4483438315101</v>
      </c>
      <c r="AO97" s="4">
        <f>AO117/AO114</f>
        <v>1734.4037505493445</v>
      </c>
      <c r="AP97" s="4">
        <f>AS97-AO97</f>
        <v>1909.5497334925119</v>
      </c>
      <c r="AQ97" s="4">
        <f>AQ117/AQ114</f>
        <v>1959.4483640206724</v>
      </c>
      <c r="AR97" s="179">
        <f>AT97-AQ97</f>
        <v>2869.5345174335071</v>
      </c>
      <c r="AS97" s="4">
        <f>AS117/AS114</f>
        <v>3643.9534840418564</v>
      </c>
      <c r="AT97" s="4">
        <f>AV97-AS97</f>
        <v>4828.9828814541797</v>
      </c>
      <c r="AU97" s="4">
        <f>AO97+AP97+AQ97</f>
        <v>5603.4018480625291</v>
      </c>
      <c r="AV97" s="314">
        <f t="shared" ref="AV97" si="261">AV117/AV114</f>
        <v>8472.9363654960362</v>
      </c>
      <c r="AW97" s="4">
        <f>AW117/AW114</f>
        <v>2224.2189781757384</v>
      </c>
      <c r="AX97" s="4">
        <f>BA97-AW97</f>
        <v>2464.6531955878304</v>
      </c>
      <c r="AY97" s="11">
        <f t="shared" si="254"/>
        <v>2490.6966096569545</v>
      </c>
      <c r="AZ97" s="181">
        <f t="shared" si="254"/>
        <v>3424.4441438255349</v>
      </c>
      <c r="BA97" s="4">
        <f>BA117/BA114</f>
        <v>4688.8721737635688</v>
      </c>
      <c r="BB97" s="11">
        <f t="shared" si="254"/>
        <v>5915.1407534824893</v>
      </c>
      <c r="BC97" s="11">
        <f t="shared" si="254"/>
        <v>7181.7827941481783</v>
      </c>
      <c r="BD97" s="603">
        <f t="shared" si="254"/>
        <v>10606.226937973712</v>
      </c>
      <c r="BE97" s="11">
        <f t="shared" si="254"/>
        <v>2434.8438079147531</v>
      </c>
      <c r="BF97" s="11">
        <f t="shared" si="254"/>
        <v>2989.5312352170768</v>
      </c>
      <c r="BG97" s="11">
        <f t="shared" si="254"/>
        <v>2989.5312352170758</v>
      </c>
      <c r="BH97" s="181">
        <f t="shared" si="254"/>
        <v>3544.218662519399</v>
      </c>
      <c r="BI97" s="11">
        <f t="shared" si="254"/>
        <v>5424.3750431318294</v>
      </c>
      <c r="BJ97" s="11">
        <f t="shared" si="254"/>
        <v>6533.7498977364794</v>
      </c>
      <c r="BK97" s="11">
        <f t="shared" si="254"/>
        <v>8413.9062783489062</v>
      </c>
      <c r="BL97" s="603">
        <f t="shared" si="254"/>
        <v>11958.124940868303</v>
      </c>
      <c r="BM97" s="11">
        <f t="shared" si="254"/>
        <v>2699.3628163027252</v>
      </c>
      <c r="BN97" s="11">
        <f t="shared" si="254"/>
        <v>3309.2755526742999</v>
      </c>
      <c r="BO97" s="11">
        <f t="shared" si="254"/>
        <v>3309.2755526742999</v>
      </c>
      <c r="BP97" s="181">
        <f t="shared" si="254"/>
        <v>3919.188289045876</v>
      </c>
      <c r="BQ97" s="11">
        <f t="shared" si="254"/>
        <v>6008.6383689770255</v>
      </c>
      <c r="BR97" s="11">
        <f t="shared" si="254"/>
        <v>7228.4638417201777</v>
      </c>
      <c r="BS97" s="11">
        <f t="shared" si="254"/>
        <v>9317.9139216513249</v>
      </c>
      <c r="BT97" s="603">
        <f t="shared" si="254"/>
        <v>13237.1022106972</v>
      </c>
      <c r="BU97" s="11">
        <f t="shared" si="254"/>
        <v>2894.5277295965179</v>
      </c>
      <c r="BV97" s="11">
        <f t="shared" si="254"/>
        <v>3550.7254059390898</v>
      </c>
      <c r="BW97" s="11">
        <f t="shared" si="254"/>
        <v>3550.7254059390898</v>
      </c>
      <c r="BX97" s="181">
        <f t="shared" si="254"/>
        <v>4206.9230822816626</v>
      </c>
      <c r="BY97" s="11">
        <f t="shared" si="254"/>
        <v>6445.2531355356077</v>
      </c>
      <c r="BZ97" s="11">
        <f t="shared" si="254"/>
        <v>7757.6484882207542</v>
      </c>
      <c r="CA97" s="11">
        <f t="shared" si="254"/>
        <v>9995.9785414746984</v>
      </c>
      <c r="CB97" s="603">
        <f t="shared" si="254"/>
        <v>14202.901623756359</v>
      </c>
      <c r="CC97" s="11">
        <f t="shared" si="254"/>
        <v>2921.7238390859143</v>
      </c>
      <c r="CD97" s="11">
        <f t="shared" si="254"/>
        <v>3595.9470805447559</v>
      </c>
      <c r="CE97" s="11">
        <f t="shared" si="254"/>
        <v>3595.9470805447559</v>
      </c>
      <c r="CF97" s="181">
        <f t="shared" si="254"/>
        <v>4270.1703220035979</v>
      </c>
      <c r="CG97" s="11">
        <f t="shared" si="254"/>
        <v>6517.6709196306701</v>
      </c>
      <c r="CH97" s="11">
        <f t="shared" si="254"/>
        <v>7866.1174025483515</v>
      </c>
      <c r="CI97" s="11">
        <f t="shared" si="254"/>
        <v>10113.618000175424</v>
      </c>
      <c r="CJ97" s="603">
        <f>CJ133+CJ136+CJ139</f>
        <v>14383.788322179022</v>
      </c>
      <c r="CK97" s="519">
        <f>(AV97/W97)^(1/4)-1</f>
        <v>0.28594512674038874</v>
      </c>
    </row>
    <row r="98" spans="1:91" ht="12" thickBot="1" x14ac:dyDescent="0.25">
      <c r="A98" s="682" t="s">
        <v>763</v>
      </c>
      <c r="B98" s="683"/>
      <c r="C98" s="684"/>
      <c r="D98" s="684"/>
      <c r="E98" s="684"/>
      <c r="F98" s="684"/>
      <c r="G98" s="684"/>
      <c r="H98" s="684"/>
      <c r="I98" s="684"/>
      <c r="J98" s="684"/>
      <c r="K98" s="684"/>
      <c r="L98" s="684"/>
      <c r="M98" s="684"/>
      <c r="N98" s="685">
        <f t="shared" ref="N98:S98" si="262">N5</f>
        <v>5380.9800000000005</v>
      </c>
      <c r="O98" s="12">
        <f t="shared" si="262"/>
        <v>6523.2999999999993</v>
      </c>
      <c r="P98" s="12">
        <f t="shared" si="262"/>
        <v>6855.4299999999994</v>
      </c>
      <c r="Q98" s="12">
        <f t="shared" si="262"/>
        <v>7500.5700000000006</v>
      </c>
      <c r="R98" s="12">
        <f t="shared" si="262"/>
        <v>7204.89</v>
      </c>
      <c r="S98" s="12">
        <f t="shared" si="262"/>
        <v>8361.6</v>
      </c>
      <c r="T98" s="12"/>
      <c r="U98" s="12">
        <f t="shared" ref="U98:AA98" si="263">U5</f>
        <v>9274.65</v>
      </c>
      <c r="V98" s="12">
        <f t="shared" si="263"/>
        <v>5057.58</v>
      </c>
      <c r="W98" s="12">
        <f t="shared" si="263"/>
        <v>4760.96</v>
      </c>
      <c r="X98" s="686">
        <f t="shared" si="263"/>
        <v>6939.38</v>
      </c>
      <c r="Y98" s="12">
        <f t="shared" si="263"/>
        <v>2035.5</v>
      </c>
      <c r="Z98" s="12">
        <f t="shared" si="263"/>
        <v>2222.25</v>
      </c>
      <c r="AA98" s="12">
        <f t="shared" si="263"/>
        <v>2312.25</v>
      </c>
      <c r="AB98" s="703">
        <f t="shared" ref="AB98" si="264">AB5</f>
        <v>2693.2800000000007</v>
      </c>
      <c r="AC98" s="12">
        <f>AC5</f>
        <v>4257.75</v>
      </c>
      <c r="AD98" s="12">
        <f t="shared" ref="AD98:AE98" si="265">AD5</f>
        <v>5005.5300000000007</v>
      </c>
      <c r="AE98" s="12">
        <f t="shared" si="265"/>
        <v>6570</v>
      </c>
      <c r="AF98" s="1360">
        <f>AF5</f>
        <v>9263.2800000000007</v>
      </c>
      <c r="AG98" s="12">
        <f t="shared" ref="AG98:AJ98" si="266">AG5</f>
        <v>2384.69</v>
      </c>
      <c r="AH98" s="12">
        <f t="shared" si="266"/>
        <v>2654.89</v>
      </c>
      <c r="AI98" s="12">
        <f t="shared" si="266"/>
        <v>2637.81</v>
      </c>
      <c r="AJ98" s="703">
        <f t="shared" si="266"/>
        <v>3107.69</v>
      </c>
      <c r="AK98" s="12">
        <f>AK5</f>
        <v>5039.58</v>
      </c>
      <c r="AL98" s="12">
        <f t="shared" ref="AL98" si="267">AL5</f>
        <v>5745.5</v>
      </c>
      <c r="AM98" s="12">
        <f t="shared" ref="AM98" si="268">AM5</f>
        <v>7677.3899999999994</v>
      </c>
      <c r="AN98" s="1360">
        <f>AN5</f>
        <v>10785.08</v>
      </c>
      <c r="AO98" s="12">
        <f t="shared" ref="AO98:AR98" si="269">AO5</f>
        <v>2836.6800000000003</v>
      </c>
      <c r="AP98" s="12">
        <f t="shared" si="269"/>
        <v>3120.71</v>
      </c>
      <c r="AQ98" s="12">
        <f t="shared" si="269"/>
        <v>3295.8599999999997</v>
      </c>
      <c r="AR98" s="703">
        <f t="shared" si="269"/>
        <v>3281.1500000000015</v>
      </c>
      <c r="AS98" s="12">
        <f>AS5</f>
        <v>5957.39</v>
      </c>
      <c r="AT98" s="12">
        <f t="shared" ref="AT98" si="270">AT5</f>
        <v>6577.0100000000011</v>
      </c>
      <c r="AU98" s="12">
        <f t="shared" ref="AU98" si="271">AU5</f>
        <v>9253.25</v>
      </c>
      <c r="AV98" s="1360">
        <f>AV5</f>
        <v>12534.400000000001</v>
      </c>
      <c r="AW98" s="12">
        <f t="shared" ref="AW98:AX98" si="272">AW5</f>
        <v>3550.56</v>
      </c>
      <c r="AX98" s="12">
        <f t="shared" si="272"/>
        <v>3700.06</v>
      </c>
      <c r="AY98" s="13">
        <f t="shared" ref="AY98:BC98" si="273">AY97+AY96</f>
        <v>3754.6287810491999</v>
      </c>
      <c r="AZ98" s="687">
        <f t="shared" si="273"/>
        <v>4772.3663834716472</v>
      </c>
      <c r="BA98" s="12">
        <f>BA5</f>
        <v>7250.62</v>
      </c>
      <c r="BB98" s="13">
        <f t="shared" si="273"/>
        <v>8526.9951645208475</v>
      </c>
      <c r="BC98" s="13">
        <f t="shared" si="273"/>
        <v>11008.672408281345</v>
      </c>
      <c r="BD98" s="688">
        <f>BD97+BD96</f>
        <v>15781.038791752992</v>
      </c>
      <c r="BE98" s="13">
        <f t="shared" ref="BE98:BK98" si="274">BE97+BE96</f>
        <v>3614.6867413719488</v>
      </c>
      <c r="BF98" s="13">
        <f t="shared" si="274"/>
        <v>4189.5995898927595</v>
      </c>
      <c r="BG98" s="13">
        <f t="shared" si="274"/>
        <v>4190.5275720356158</v>
      </c>
      <c r="BH98" s="687">
        <f t="shared" si="274"/>
        <v>5516.3319788022745</v>
      </c>
      <c r="BI98" s="13">
        <f t="shared" si="274"/>
        <v>7804.2863312647078</v>
      </c>
      <c r="BJ98" s="13">
        <f t="shared" si="274"/>
        <v>9706.8595508378967</v>
      </c>
      <c r="BK98" s="13">
        <f t="shared" si="274"/>
        <v>11994.813903300324</v>
      </c>
      <c r="BL98" s="688">
        <f>BL97+BL96</f>
        <v>17511.145882102599</v>
      </c>
      <c r="BM98" s="13">
        <f t="shared" ref="BM98:BS98" si="275">BM97+BM96</f>
        <v>4033.5382711768771</v>
      </c>
      <c r="BN98" s="13">
        <f t="shared" si="275"/>
        <v>4660.7059841913087</v>
      </c>
      <c r="BO98" s="13">
        <f t="shared" si="275"/>
        <v>4663.5441418341661</v>
      </c>
      <c r="BP98" s="687">
        <f t="shared" si="275"/>
        <v>6021.0825921157957</v>
      </c>
      <c r="BQ98" s="13">
        <f t="shared" si="275"/>
        <v>8694.2442553681867</v>
      </c>
      <c r="BR98" s="13">
        <f t="shared" si="275"/>
        <v>10684.626733949965</v>
      </c>
      <c r="BS98" s="13">
        <f t="shared" si="275"/>
        <v>13357.788397202352</v>
      </c>
      <c r="BT98" s="688">
        <f>BT97+BT96</f>
        <v>19378.870989318144</v>
      </c>
      <c r="BU98" s="13">
        <f t="shared" ref="BU98:CA98" si="276">BU97+BU96</f>
        <v>4286.2667103417571</v>
      </c>
      <c r="BV98" s="13">
        <f t="shared" si="276"/>
        <v>4939.5001494882745</v>
      </c>
      <c r="BW98" s="13">
        <f t="shared" si="276"/>
        <v>4942.4643866843289</v>
      </c>
      <c r="BX98" s="687">
        <f t="shared" si="276"/>
        <v>6363.8323254125316</v>
      </c>
      <c r="BY98" s="13">
        <f t="shared" si="276"/>
        <v>9225.7668598300315</v>
      </c>
      <c r="BZ98" s="13">
        <f t="shared" si="276"/>
        <v>11306.296712096862</v>
      </c>
      <c r="CA98" s="13">
        <f t="shared" si="276"/>
        <v>14168.231246514362</v>
      </c>
      <c r="CB98" s="688">
        <f>CB97+CB96</f>
        <v>20532.06357192689</v>
      </c>
      <c r="CC98" s="13">
        <f t="shared" ref="CC98:CI98" si="277">CC97+CC96</f>
        <v>4279.2859896675736</v>
      </c>
      <c r="CD98" s="13">
        <f t="shared" si="277"/>
        <v>4952.3847234116856</v>
      </c>
      <c r="CE98" s="13">
        <f t="shared" si="277"/>
        <v>4953.5092311264152</v>
      </c>
      <c r="CF98" s="687">
        <f t="shared" si="277"/>
        <v>6361.4374971945408</v>
      </c>
      <c r="CG98" s="13">
        <f t="shared" si="277"/>
        <v>9231.6707130792602</v>
      </c>
      <c r="CH98" s="13">
        <f t="shared" si="277"/>
        <v>11314.946728320952</v>
      </c>
      <c r="CI98" s="13">
        <f t="shared" si="277"/>
        <v>14185.179944205673</v>
      </c>
      <c r="CJ98" s="688">
        <f>CJ97+CJ96</f>
        <v>20546.617441400213</v>
      </c>
    </row>
    <row r="99" spans="1:91" x14ac:dyDescent="0.2">
      <c r="A99" s="680" t="s">
        <v>764</v>
      </c>
      <c r="B99" s="681"/>
      <c r="C99" s="272"/>
      <c r="D99" s="272"/>
      <c r="E99" s="272"/>
      <c r="F99" s="272"/>
      <c r="G99" s="272"/>
      <c r="H99" s="272"/>
      <c r="I99" s="272"/>
      <c r="J99" s="272"/>
      <c r="K99" s="272"/>
      <c r="L99" s="272"/>
      <c r="M99" s="272"/>
      <c r="N99" s="689"/>
      <c r="O99" s="689"/>
      <c r="P99" s="689"/>
      <c r="Q99" s="689"/>
      <c r="R99" s="689"/>
      <c r="S99" s="689"/>
      <c r="T99" s="689"/>
      <c r="U99" s="94"/>
      <c r="V99" s="186"/>
      <c r="W99" s="186"/>
      <c r="X99" s="284"/>
      <c r="Y99" s="186"/>
      <c r="Z99" s="186"/>
      <c r="AA99" s="186"/>
      <c r="AB99" s="283"/>
      <c r="AC99" s="186"/>
      <c r="AD99" s="186"/>
      <c r="AE99" s="186"/>
      <c r="AF99" s="341"/>
      <c r="AG99" s="186"/>
      <c r="AH99" s="186"/>
      <c r="AI99" s="186"/>
      <c r="AJ99" s="283"/>
      <c r="AK99" s="186"/>
      <c r="AL99" s="186"/>
      <c r="AM99" s="186"/>
      <c r="AN99" s="341"/>
      <c r="AO99" s="186"/>
      <c r="AP99" s="186"/>
      <c r="AQ99" s="186"/>
      <c r="AR99" s="283"/>
      <c r="AS99" s="186"/>
      <c r="AT99" s="186"/>
      <c r="AU99" s="186"/>
      <c r="AV99" s="341"/>
      <c r="AW99" s="186"/>
      <c r="AX99" s="186"/>
      <c r="AY99" s="186"/>
      <c r="AZ99" s="283"/>
      <c r="BA99" s="186"/>
      <c r="BB99" s="186"/>
      <c r="BC99" s="186"/>
      <c r="BD99" s="341"/>
      <c r="BE99" s="186"/>
      <c r="BF99" s="186"/>
      <c r="BG99" s="186"/>
      <c r="BH99" s="283"/>
      <c r="BI99" s="186"/>
      <c r="BJ99" s="186"/>
      <c r="BK99" s="186"/>
      <c r="BL99" s="341"/>
      <c r="BM99" s="186"/>
      <c r="BN99" s="186"/>
      <c r="BO99" s="186"/>
      <c r="BP99" s="283"/>
      <c r="BQ99" s="186"/>
      <c r="BR99" s="186"/>
      <c r="BS99" s="186"/>
      <c r="BT99" s="341"/>
      <c r="BU99" s="186"/>
      <c r="BV99" s="186"/>
      <c r="BW99" s="186"/>
      <c r="BX99" s="283"/>
      <c r="BY99" s="186"/>
      <c r="BZ99" s="186"/>
      <c r="CA99" s="186"/>
      <c r="CB99" s="341"/>
      <c r="CC99" s="186"/>
      <c r="CD99" s="186"/>
      <c r="CE99" s="186"/>
      <c r="CF99" s="283"/>
      <c r="CG99" s="186"/>
      <c r="CH99" s="186"/>
      <c r="CI99" s="186"/>
      <c r="CJ99" s="341"/>
    </row>
    <row r="100" spans="1:91" x14ac:dyDescent="0.2">
      <c r="A100" s="680"/>
      <c r="B100" s="681"/>
      <c r="C100" s="272"/>
      <c r="D100" s="272"/>
      <c r="E100" s="272"/>
      <c r="F100" s="272"/>
      <c r="G100" s="272"/>
      <c r="H100" s="272"/>
      <c r="I100" s="272"/>
      <c r="J100" s="272"/>
      <c r="K100" s="272"/>
      <c r="L100" s="272"/>
      <c r="M100" s="272"/>
      <c r="N100" s="689"/>
      <c r="O100" s="689"/>
      <c r="P100" s="689"/>
      <c r="Q100" s="689"/>
      <c r="R100" s="689"/>
      <c r="S100" s="689"/>
      <c r="T100" s="689"/>
      <c r="U100" s="186"/>
      <c r="V100" s="186"/>
      <c r="W100" s="186"/>
      <c r="X100" s="284"/>
      <c r="Y100" s="186"/>
      <c r="Z100" s="186"/>
      <c r="AA100" s="186"/>
      <c r="AB100" s="283"/>
      <c r="AC100" s="186"/>
      <c r="AD100" s="186"/>
      <c r="AE100" s="186"/>
      <c r="AF100" s="341"/>
      <c r="AG100" s="186"/>
      <c r="AH100" s="186"/>
      <c r="AI100" s="186"/>
      <c r="AJ100" s="283"/>
      <c r="AK100" s="186"/>
      <c r="AL100" s="186"/>
      <c r="AM100" s="186"/>
      <c r="AN100" s="341"/>
      <c r="AO100" s="186"/>
      <c r="AP100" s="186"/>
      <c r="AQ100" s="186"/>
      <c r="AR100" s="283"/>
      <c r="AS100" s="186"/>
      <c r="AT100" s="186"/>
      <c r="AU100" s="186"/>
      <c r="AV100" s="341"/>
      <c r="AW100" s="186"/>
      <c r="AX100" s="186"/>
      <c r="AY100" s="186"/>
      <c r="AZ100" s="283"/>
      <c r="BA100" s="186"/>
      <c r="BB100" s="186"/>
      <c r="BC100" s="186"/>
      <c r="BD100" s="341"/>
      <c r="BE100" s="186"/>
      <c r="BF100" s="186"/>
      <c r="BG100" s="186"/>
      <c r="BH100" s="283"/>
      <c r="BI100" s="186"/>
      <c r="BJ100" s="186"/>
      <c r="BK100" s="186"/>
      <c r="BL100" s="341"/>
      <c r="BM100" s="186"/>
      <c r="BN100" s="186"/>
      <c r="BO100" s="186"/>
      <c r="BP100" s="283"/>
      <c r="BQ100" s="186"/>
      <c r="BR100" s="186"/>
      <c r="BS100" s="186"/>
      <c r="BT100" s="341"/>
      <c r="BU100" s="186"/>
      <c r="BV100" s="186"/>
      <c r="BW100" s="186"/>
      <c r="BX100" s="283"/>
      <c r="BY100" s="186"/>
      <c r="BZ100" s="186"/>
      <c r="CA100" s="186"/>
      <c r="CB100" s="341"/>
      <c r="CC100" s="186"/>
      <c r="CD100" s="186"/>
      <c r="CE100" s="186"/>
      <c r="CF100" s="283"/>
      <c r="CG100" s="186"/>
      <c r="CH100" s="186"/>
      <c r="CI100" s="186"/>
      <c r="CJ100" s="341"/>
    </row>
    <row r="101" spans="1:91" x14ac:dyDescent="0.2">
      <c r="A101" s="690"/>
      <c r="B101" s="681"/>
      <c r="C101" s="272"/>
      <c r="D101" s="272"/>
      <c r="E101" s="272"/>
      <c r="F101" s="272"/>
      <c r="G101" s="272"/>
      <c r="H101" s="272"/>
      <c r="I101" s="272"/>
      <c r="J101" s="272"/>
      <c r="K101" s="272"/>
      <c r="L101" s="272"/>
      <c r="M101" s="272"/>
      <c r="N101" s="272"/>
      <c r="O101" s="272"/>
      <c r="P101" s="272"/>
      <c r="Q101" s="272"/>
      <c r="R101" s="272"/>
      <c r="S101" s="272"/>
      <c r="T101" s="272"/>
      <c r="U101" s="278"/>
      <c r="V101" s="278"/>
      <c r="W101" s="278"/>
      <c r="X101" s="250"/>
      <c r="Y101" s="278"/>
      <c r="Z101" s="278"/>
      <c r="AA101" s="278"/>
      <c r="AB101" s="298"/>
      <c r="AC101" s="278"/>
      <c r="AD101" s="278"/>
      <c r="AE101" s="278"/>
      <c r="AF101" s="691"/>
      <c r="AG101" s="278"/>
      <c r="AH101" s="278"/>
      <c r="AI101" s="278"/>
      <c r="AJ101" s="298"/>
      <c r="AK101" s="278"/>
      <c r="AL101" s="278"/>
      <c r="AM101" s="278"/>
      <c r="AN101" s="691"/>
      <c r="AO101" s="278"/>
      <c r="AP101" s="278"/>
      <c r="AQ101" s="278"/>
      <c r="AR101" s="298"/>
      <c r="AS101" s="278"/>
      <c r="AT101" s="278"/>
      <c r="AU101" s="278"/>
      <c r="AV101" s="691"/>
      <c r="AW101" s="278"/>
      <c r="AX101" s="278"/>
      <c r="AY101" s="278"/>
      <c r="AZ101" s="298"/>
      <c r="BA101" s="278"/>
      <c r="BB101" s="278"/>
      <c r="BC101" s="278"/>
      <c r="BD101" s="691"/>
      <c r="BE101" s="278"/>
      <c r="BF101" s="278"/>
      <c r="BG101" s="278"/>
      <c r="BH101" s="298"/>
      <c r="BI101" s="278"/>
      <c r="BJ101" s="278"/>
      <c r="BK101" s="278"/>
      <c r="BL101" s="691"/>
      <c r="BM101" s="278"/>
      <c r="BN101" s="278"/>
      <c r="BO101" s="278"/>
      <c r="BP101" s="298"/>
      <c r="BQ101" s="278"/>
      <c r="BR101" s="278"/>
      <c r="BS101" s="278"/>
      <c r="BT101" s="691"/>
      <c r="BU101" s="278"/>
      <c r="BV101" s="278"/>
      <c r="BW101" s="278"/>
      <c r="BX101" s="298"/>
      <c r="BY101" s="278"/>
      <c r="BZ101" s="278"/>
      <c r="CA101" s="278"/>
      <c r="CB101" s="691"/>
      <c r="CC101" s="278"/>
      <c r="CD101" s="278"/>
      <c r="CE101" s="278"/>
      <c r="CF101" s="298"/>
      <c r="CG101" s="278"/>
      <c r="CH101" s="278"/>
      <c r="CI101" s="278"/>
      <c r="CJ101" s="691"/>
    </row>
    <row r="102" spans="1:91" x14ac:dyDescent="0.2">
      <c r="A102" s="690" t="s">
        <v>765</v>
      </c>
      <c r="B102" s="681"/>
      <c r="C102" s="272"/>
      <c r="D102" s="272"/>
      <c r="E102" s="272"/>
      <c r="F102" s="272"/>
      <c r="G102" s="272"/>
      <c r="H102" s="272"/>
      <c r="I102" s="272"/>
      <c r="J102" s="272"/>
      <c r="K102" s="272"/>
      <c r="L102" s="272"/>
      <c r="M102" s="272"/>
      <c r="N102" s="692"/>
      <c r="O102" s="19">
        <f t="shared" ref="O102:X104" si="278">O96/N96-1</f>
        <v>0.1292174158731294</v>
      </c>
      <c r="P102" s="19">
        <f t="shared" si="278"/>
        <v>2.0641260803907047E-2</v>
      </c>
      <c r="Q102" s="19">
        <f t="shared" si="278"/>
        <v>7.439693734597097E-2</v>
      </c>
      <c r="R102" s="19"/>
      <c r="S102" s="19">
        <f>S96/Q96-1</f>
        <v>0.1129744631281504</v>
      </c>
      <c r="T102" s="19"/>
      <c r="U102" s="19">
        <f>U96/S96-1</f>
        <v>9.0271333611642079E-2</v>
      </c>
      <c r="V102" s="19">
        <f>V96/U96-1</f>
        <v>-0.48442998232125001</v>
      </c>
      <c r="W102" s="19">
        <f t="shared" si="278"/>
        <v>-0.21553531531468606</v>
      </c>
      <c r="X102" s="494">
        <f t="shared" si="278"/>
        <v>0.62467880137933784</v>
      </c>
      <c r="Y102" s="19"/>
      <c r="Z102" s="19"/>
      <c r="AA102" s="19"/>
      <c r="AB102" s="643"/>
      <c r="AC102" s="19"/>
      <c r="AD102" s="19"/>
      <c r="AE102" s="19"/>
      <c r="AF102" s="668">
        <f>AF96/X96-1</f>
        <v>0.34882895969409011</v>
      </c>
      <c r="AG102" s="19">
        <f t="shared" ref="AG102:CJ104" si="279">AG96/Y96-1</f>
        <v>4.705673894406015E-2</v>
      </c>
      <c r="AH102" s="19">
        <f t="shared" si="279"/>
        <v>1.4271476783239256E-2</v>
      </c>
      <c r="AI102" s="19">
        <f t="shared" si="279"/>
        <v>4.0590956188240268E-2</v>
      </c>
      <c r="AJ102" s="643">
        <f t="shared" si="279"/>
        <v>-8.5747425628254215E-3</v>
      </c>
      <c r="AK102" s="19">
        <f t="shared" si="279"/>
        <v>3.0011661050188598E-2</v>
      </c>
      <c r="AL102" s="19">
        <f t="shared" si="279"/>
        <v>1.6910762285946124E-2</v>
      </c>
      <c r="AM102" s="19">
        <f t="shared" si="279"/>
        <v>3.5409280054337744E-2</v>
      </c>
      <c r="AN102" s="668">
        <f t="shared" si="279"/>
        <v>2.3983971268489279E-2</v>
      </c>
      <c r="AO102" s="19">
        <f>AO96/AG96-1</f>
        <v>0.11634147096442038</v>
      </c>
      <c r="AP102" s="19">
        <f t="shared" si="279"/>
        <v>0.16610937802367642</v>
      </c>
      <c r="AQ102" s="19">
        <f t="shared" si="279"/>
        <v>0.40745987186266008</v>
      </c>
      <c r="AR102" s="643">
        <f t="shared" si="279"/>
        <v>-0.45486974599998831</v>
      </c>
      <c r="AS102" s="19">
        <f t="shared" si="279"/>
        <v>0.1418546719901721</v>
      </c>
      <c r="AT102" s="19">
        <f t="shared" si="279"/>
        <v>2.5477904817056363E-2</v>
      </c>
      <c r="AU102" s="19">
        <f t="shared" si="279"/>
        <v>0.22661115209812133</v>
      </c>
      <c r="AV102" s="668">
        <f t="shared" si="279"/>
        <v>8.8679882879472816E-2</v>
      </c>
      <c r="AW102" s="19">
        <f t="shared" si="279"/>
        <v>0.20327460787191365</v>
      </c>
      <c r="AX102" s="19">
        <f t="shared" si="279"/>
        <v>2.001926464661774E-2</v>
      </c>
      <c r="AY102" s="495">
        <f t="shared" si="279"/>
        <v>-5.4234386049750727E-2</v>
      </c>
      <c r="AZ102" s="647">
        <f t="shared" si="279"/>
        <v>2.2747121931409913</v>
      </c>
      <c r="BA102" s="19">
        <f t="shared" si="279"/>
        <v>0.10733439563412683</v>
      </c>
      <c r="BB102" s="495">
        <f t="shared" si="279"/>
        <v>0.49417270666324198</v>
      </c>
      <c r="BC102" s="495">
        <f t="shared" si="279"/>
        <v>4.8506528169319996E-2</v>
      </c>
      <c r="BD102" s="648">
        <f t="shared" si="279"/>
        <v>0.27412487700663357</v>
      </c>
      <c r="BE102" s="495">
        <f t="shared" si="279"/>
        <v>-0.11045280659838985</v>
      </c>
      <c r="BF102" s="495">
        <f t="shared" si="279"/>
        <v>-2.86047070570421E-2</v>
      </c>
      <c r="BG102" s="495">
        <f t="shared" si="279"/>
        <v>-4.9793680387437478E-2</v>
      </c>
      <c r="BH102" s="647">
        <f t="shared" si="279"/>
        <v>0.46307647301719745</v>
      </c>
      <c r="BI102" s="495">
        <f t="shared" si="279"/>
        <v>-7.0981435503234658E-2</v>
      </c>
      <c r="BJ102" s="495">
        <f t="shared" si="279"/>
        <v>0.21488764446098263</v>
      </c>
      <c r="BK102" s="495">
        <f t="shared" si="279"/>
        <v>-6.4277262734024565E-2</v>
      </c>
      <c r="BL102" s="648">
        <f t="shared" si="279"/>
        <v>7.3086538823397218E-2</v>
      </c>
      <c r="BM102" s="495">
        <f t="shared" si="279"/>
        <v>0.13080768383697361</v>
      </c>
      <c r="BN102" s="495">
        <f t="shared" si="279"/>
        <v>0.12612787950918958</v>
      </c>
      <c r="BO102" s="495">
        <f t="shared" si="279"/>
        <v>0.12762091577010715</v>
      </c>
      <c r="BP102" s="647">
        <f t="shared" si="279"/>
        <v>6.5808077921029717E-2</v>
      </c>
      <c r="BQ102" s="495">
        <f t="shared" si="279"/>
        <v>0.12844789626512099</v>
      </c>
      <c r="BR102" s="495">
        <f t="shared" si="279"/>
        <v>8.9203737050722598E-2</v>
      </c>
      <c r="BS102" s="495">
        <f t="shared" si="279"/>
        <v>0.12817053626336872</v>
      </c>
      <c r="BT102" s="648">
        <f t="shared" si="279"/>
        <v>0.10602298165578095</v>
      </c>
      <c r="BU102" s="495">
        <f t="shared" si="279"/>
        <v>4.3145394153961902E-2</v>
      </c>
      <c r="BV102" s="495">
        <f t="shared" si="279"/>
        <v>2.7633173829196833E-2</v>
      </c>
      <c r="BW102" s="495">
        <f t="shared" si="279"/>
        <v>2.7668360534462089E-2</v>
      </c>
      <c r="BX102" s="647">
        <f t="shared" si="279"/>
        <v>2.6173980290349119E-2</v>
      </c>
      <c r="BY102" s="495">
        <f t="shared" si="279"/>
        <v>3.5339451102707198E-2</v>
      </c>
      <c r="BZ102" s="495">
        <f t="shared" si="279"/>
        <v>2.6759540719058394E-2</v>
      </c>
      <c r="CA102" s="495">
        <f t="shared" si="279"/>
        <v>3.2767906599518559E-2</v>
      </c>
      <c r="CB102" s="648">
        <f t="shared" si="279"/>
        <v>3.0511270662270107E-2</v>
      </c>
      <c r="CC102" s="495">
        <f t="shared" si="279"/>
        <v>-2.4556925282985587E-2</v>
      </c>
      <c r="CD102" s="495">
        <f t="shared" si="279"/>
        <v>-2.3284626129946417E-2</v>
      </c>
      <c r="CE102" s="495">
        <f t="shared" si="279"/>
        <v>-2.4556925282985587E-2</v>
      </c>
      <c r="CF102" s="647">
        <f t="shared" si="279"/>
        <v>-3.0433393592695923E-2</v>
      </c>
      <c r="CG102" s="495">
        <f t="shared" si="279"/>
        <v>-2.3921453889860778E-2</v>
      </c>
      <c r="CH102" s="495">
        <f t="shared" si="279"/>
        <v>-2.8128710372558929E-2</v>
      </c>
      <c r="CI102" s="495">
        <f t="shared" si="279"/>
        <v>-2.4133428180845962E-2</v>
      </c>
      <c r="CJ102" s="648">
        <f t="shared" si="279"/>
        <v>-2.6280387563383245E-2</v>
      </c>
    </row>
    <row r="103" spans="1:91" x14ac:dyDescent="0.2">
      <c r="A103" s="690" t="s">
        <v>766</v>
      </c>
      <c r="B103" s="681"/>
      <c r="C103" s="272"/>
      <c r="D103" s="272"/>
      <c r="E103" s="272"/>
      <c r="F103" s="272"/>
      <c r="G103" s="272"/>
      <c r="H103" s="272"/>
      <c r="I103" s="272"/>
      <c r="J103" s="272"/>
      <c r="K103" s="272"/>
      <c r="L103" s="272"/>
      <c r="M103" s="272"/>
      <c r="N103" s="692"/>
      <c r="O103" s="19">
        <f t="shared" si="278"/>
        <v>0.29819904540540554</v>
      </c>
      <c r="P103" s="19">
        <f t="shared" si="278"/>
        <v>7.8147125387190597E-2</v>
      </c>
      <c r="Q103" s="19">
        <f t="shared" si="278"/>
        <v>0.11089073813392014</v>
      </c>
      <c r="R103" s="272"/>
      <c r="S103" s="19">
        <f>S97/Q97-1</f>
        <v>0.11629491525423741</v>
      </c>
      <c r="T103" s="19"/>
      <c r="U103" s="272">
        <f>U97/S97-1</f>
        <v>0.12473547267996499</v>
      </c>
      <c r="V103" s="19">
        <f t="shared" si="278"/>
        <v>-0.43101303214595987</v>
      </c>
      <c r="W103" s="19">
        <f t="shared" si="278"/>
        <v>5.4508982035927911E-2</v>
      </c>
      <c r="X103" s="494">
        <f t="shared" si="278"/>
        <v>0.36788868778280537</v>
      </c>
      <c r="Y103" s="19"/>
      <c r="Z103" s="19"/>
      <c r="AA103" s="19"/>
      <c r="AB103" s="643"/>
      <c r="AC103" s="19"/>
      <c r="AD103" s="19"/>
      <c r="AE103" s="19"/>
      <c r="AF103" s="668">
        <f>AF97/X97-1</f>
        <v>0.32599999999999985</v>
      </c>
      <c r="AG103" s="19">
        <f t="shared" si="279"/>
        <v>0.27901261171662473</v>
      </c>
      <c r="AH103" s="19">
        <f t="shared" si="279"/>
        <v>0.34886913724495483</v>
      </c>
      <c r="AI103" s="19">
        <f t="shared" si="279"/>
        <v>0.20612089942400424</v>
      </c>
      <c r="AJ103" s="643">
        <f t="shared" si="279"/>
        <v>0.2179151372059509</v>
      </c>
      <c r="AK103" s="19">
        <f t="shared" si="279"/>
        <v>0.31552870816791234</v>
      </c>
      <c r="AL103" s="19">
        <f t="shared" si="279"/>
        <v>0.21374696778664393</v>
      </c>
      <c r="AM103" s="19">
        <f t="shared" si="279"/>
        <v>0.27207123678589307</v>
      </c>
      <c r="AN103" s="668">
        <f t="shared" si="279"/>
        <v>0.25523366606170583</v>
      </c>
      <c r="AO103" s="19">
        <f>AO97/AG97-1</f>
        <v>0.24126309340061836</v>
      </c>
      <c r="AP103" s="19">
        <f t="shared" si="279"/>
        <v>0.18146453569994359</v>
      </c>
      <c r="AQ103" s="19">
        <f t="shared" si="279"/>
        <v>0.16061141338866314</v>
      </c>
      <c r="AR103" s="643">
        <f t="shared" si="279"/>
        <v>0.21972244833086974</v>
      </c>
      <c r="AS103" s="19">
        <f t="shared" si="279"/>
        <v>0.20919130453120305</v>
      </c>
      <c r="AT103" s="19">
        <f t="shared" si="279"/>
        <v>0.19502584749265672</v>
      </c>
      <c r="AU103" s="19">
        <f t="shared" si="279"/>
        <v>0.19174770614182357</v>
      </c>
      <c r="AV103" s="668">
        <f t="shared" si="279"/>
        <v>0.20107710093374886</v>
      </c>
      <c r="AW103" s="19">
        <f t="shared" si="279"/>
        <v>0.2824113055978188</v>
      </c>
      <c r="AX103" s="19">
        <f t="shared" si="279"/>
        <v>0.2906986146310262</v>
      </c>
      <c r="AY103" s="495">
        <f t="shared" si="279"/>
        <v>0.2711213295491961</v>
      </c>
      <c r="AZ103" s="647">
        <f t="shared" si="279"/>
        <v>0.19337966594259171</v>
      </c>
      <c r="BA103" s="19">
        <f t="shared" si="279"/>
        <v>0.2867541241395577</v>
      </c>
      <c r="BB103" s="495">
        <f t="shared" si="279"/>
        <v>0.22492477167391178</v>
      </c>
      <c r="BC103" s="495">
        <f t="shared" si="279"/>
        <v>0.28168262581977777</v>
      </c>
      <c r="BD103" s="648">
        <f t="shared" si="279"/>
        <v>0.25177700863716868</v>
      </c>
      <c r="BE103" s="495">
        <f t="shared" si="279"/>
        <v>9.4696085145251852E-2</v>
      </c>
      <c r="BF103" s="495">
        <f t="shared" si="279"/>
        <v>0.21296222956190025</v>
      </c>
      <c r="BG103" s="495">
        <f t="shared" si="279"/>
        <v>0.2002791603064118</v>
      </c>
      <c r="BH103" s="647">
        <f t="shared" si="279"/>
        <v>3.4976338834384002E-2</v>
      </c>
      <c r="BI103" s="495">
        <f t="shared" si="279"/>
        <v>0.15686136070924328</v>
      </c>
      <c r="BJ103" s="495">
        <f t="shared" si="279"/>
        <v>0.10458062961389203</v>
      </c>
      <c r="BK103" s="495">
        <f t="shared" si="279"/>
        <v>0.17156234315589169</v>
      </c>
      <c r="BL103" s="648">
        <f t="shared" si="279"/>
        <v>0.12746266988257249</v>
      </c>
      <c r="BM103" s="495">
        <f t="shared" si="279"/>
        <v>0.10863900490377287</v>
      </c>
      <c r="BN103" s="495">
        <f t="shared" si="279"/>
        <v>0.10695466690248701</v>
      </c>
      <c r="BO103" s="495">
        <f t="shared" si="279"/>
        <v>0.10695466690248745</v>
      </c>
      <c r="BP103" s="647">
        <f t="shared" si="279"/>
        <v>0.10579754304999089</v>
      </c>
      <c r="BQ103" s="495">
        <f t="shared" si="279"/>
        <v>0.10771071712398861</v>
      </c>
      <c r="BR103" s="495">
        <f t="shared" si="279"/>
        <v>0.1063269875426931</v>
      </c>
      <c r="BS103" s="495">
        <f t="shared" si="279"/>
        <v>0.10744208616022477</v>
      </c>
      <c r="BT103" s="648">
        <f t="shared" si="279"/>
        <v>0.10695466690248745</v>
      </c>
      <c r="BU103" s="495">
        <f t="shared" si="279"/>
        <v>7.2300363669196344E-2</v>
      </c>
      <c r="BV103" s="495">
        <f t="shared" si="279"/>
        <v>7.2961543824801467E-2</v>
      </c>
      <c r="BW103" s="495">
        <f t="shared" si="279"/>
        <v>7.2961543824801467E-2</v>
      </c>
      <c r="BX103" s="647">
        <f t="shared" si="279"/>
        <v>7.3416935348578294E-2</v>
      </c>
      <c r="BY103" s="495">
        <f t="shared" si="279"/>
        <v>7.26645106173891E-2</v>
      </c>
      <c r="BZ103" s="495">
        <f t="shared" si="279"/>
        <v>7.3208451766239246E-2</v>
      </c>
      <c r="CA103" s="495">
        <f t="shared" si="279"/>
        <v>7.2770002548296464E-2</v>
      </c>
      <c r="CB103" s="648">
        <f t="shared" si="279"/>
        <v>7.2961543824801467E-2</v>
      </c>
      <c r="CC103" s="495">
        <f t="shared" si="279"/>
        <v>9.3956983763936464E-3</v>
      </c>
      <c r="CD103" s="495">
        <f t="shared" si="279"/>
        <v>1.2735897439443367E-2</v>
      </c>
      <c r="CE103" s="495">
        <f t="shared" si="279"/>
        <v>1.2735897439443367E-2</v>
      </c>
      <c r="CF103" s="647">
        <f t="shared" si="279"/>
        <v>1.5034085122286767E-2</v>
      </c>
      <c r="CG103" s="495">
        <f t="shared" si="279"/>
        <v>1.1235832413748037E-2</v>
      </c>
      <c r="CH103" s="495">
        <f t="shared" si="279"/>
        <v>1.3982189898433361E-2</v>
      </c>
      <c r="CI103" s="495">
        <f t="shared" si="279"/>
        <v>1.1768678595359461E-2</v>
      </c>
      <c r="CJ103" s="648">
        <f t="shared" si="279"/>
        <v>1.2735897439443145E-2</v>
      </c>
    </row>
    <row r="104" spans="1:91" x14ac:dyDescent="0.2">
      <c r="A104" s="693" t="s">
        <v>767</v>
      </c>
      <c r="B104" s="681"/>
      <c r="C104" s="272"/>
      <c r="D104" s="272"/>
      <c r="E104" s="272"/>
      <c r="F104" s="272"/>
      <c r="G104" s="272"/>
      <c r="H104" s="272"/>
      <c r="I104" s="272"/>
      <c r="J104" s="272"/>
      <c r="K104" s="272"/>
      <c r="L104" s="272"/>
      <c r="M104" s="272"/>
      <c r="N104" s="692"/>
      <c r="O104" s="638">
        <f t="shared" si="278"/>
        <v>0.21228846789989908</v>
      </c>
      <c r="P104" s="638">
        <f t="shared" si="278"/>
        <v>5.0914414483467008E-2</v>
      </c>
      <c r="Q104" s="638">
        <f t="shared" si="278"/>
        <v>9.4106423667078776E-2</v>
      </c>
      <c r="R104" s="638"/>
      <c r="S104" s="638">
        <f>S98/Q98-1</f>
        <v>0.11479527555905755</v>
      </c>
      <c r="T104" s="638"/>
      <c r="U104" s="694">
        <f>U98/S98-1</f>
        <v>0.10919560849598153</v>
      </c>
      <c r="V104" s="694">
        <f t="shared" si="278"/>
        <v>-0.45468777797544924</v>
      </c>
      <c r="W104" s="694">
        <f t="shared" si="278"/>
        <v>-5.8648602691405705E-2</v>
      </c>
      <c r="X104" s="695">
        <f t="shared" si="278"/>
        <v>0.45755897970157289</v>
      </c>
      <c r="Y104" s="694"/>
      <c r="Z104" s="694"/>
      <c r="AA104" s="694"/>
      <c r="AB104" s="696"/>
      <c r="AC104" s="694"/>
      <c r="AD104" s="694"/>
      <c r="AE104" s="694"/>
      <c r="AF104" s="1361">
        <f>AF98/X98-1</f>
        <v>0.33488582553484614</v>
      </c>
      <c r="AG104" s="694">
        <f t="shared" si="279"/>
        <v>0.17154998771800534</v>
      </c>
      <c r="AH104" s="694">
        <f t="shared" si="279"/>
        <v>0.19468556643041945</v>
      </c>
      <c r="AI104" s="694">
        <f t="shared" si="279"/>
        <v>0.14079792409990266</v>
      </c>
      <c r="AJ104" s="696">
        <f t="shared" si="279"/>
        <v>0.15386814590387909</v>
      </c>
      <c r="AK104" s="694">
        <f t="shared" si="279"/>
        <v>0.18362515413070279</v>
      </c>
      <c r="AL104" s="694">
        <f t="shared" si="279"/>
        <v>0.14783049946758875</v>
      </c>
      <c r="AM104" s="694">
        <f t="shared" si="279"/>
        <v>0.16855251141552507</v>
      </c>
      <c r="AN104" s="1361">
        <f t="shared" si="279"/>
        <v>0.16428306172327711</v>
      </c>
      <c r="AO104" s="694">
        <f>AO98/AG98-1</f>
        <v>0.18953826283500175</v>
      </c>
      <c r="AP104" s="694">
        <f t="shared" si="279"/>
        <v>0.17545736358191877</v>
      </c>
      <c r="AQ104" s="694">
        <f t="shared" si="279"/>
        <v>0.24946830893809624</v>
      </c>
      <c r="AR104" s="696">
        <f t="shared" si="279"/>
        <v>5.5816378081469331E-2</v>
      </c>
      <c r="AS104" s="694">
        <f t="shared" si="279"/>
        <v>0.18212033542477757</v>
      </c>
      <c r="AT104" s="694">
        <f t="shared" si="279"/>
        <v>0.14472369680619646</v>
      </c>
      <c r="AU104" s="694">
        <f t="shared" si="279"/>
        <v>0.20525986044736566</v>
      </c>
      <c r="AV104" s="1361">
        <f t="shared" si="279"/>
        <v>0.16219814781160657</v>
      </c>
      <c r="AW104" s="694">
        <f t="shared" si="279"/>
        <v>0.25166039172553822</v>
      </c>
      <c r="AX104" s="694">
        <f t="shared" si="279"/>
        <v>0.18564685600392217</v>
      </c>
      <c r="AY104" s="698">
        <f t="shared" si="279"/>
        <v>0.13919546978609532</v>
      </c>
      <c r="AZ104" s="699">
        <f t="shared" si="279"/>
        <v>0.45447979625181567</v>
      </c>
      <c r="BA104" s="694">
        <f t="shared" si="279"/>
        <v>0.21707996286964582</v>
      </c>
      <c r="BB104" s="698">
        <f t="shared" si="279"/>
        <v>0.29648505392584878</v>
      </c>
      <c r="BC104" s="698">
        <f t="shared" si="279"/>
        <v>0.18970874106733793</v>
      </c>
      <c r="BD104" s="697">
        <f t="shared" si="279"/>
        <v>0.25901828501986457</v>
      </c>
      <c r="BE104" s="698">
        <f t="shared" si="279"/>
        <v>1.806102174641433E-2</v>
      </c>
      <c r="BF104" s="698">
        <f t="shared" si="279"/>
        <v>0.13230585176801446</v>
      </c>
      <c r="BG104" s="698">
        <f t="shared" si="279"/>
        <v>0.11609637500957093</v>
      </c>
      <c r="BH104" s="699">
        <f t="shared" si="279"/>
        <v>0.15589029331596116</v>
      </c>
      <c r="BI104" s="698">
        <f t="shared" si="279"/>
        <v>7.6361239627053656E-2</v>
      </c>
      <c r="BJ104" s="698">
        <f t="shared" si="279"/>
        <v>0.13836813127632963</v>
      </c>
      <c r="BK104" s="698">
        <f t="shared" si="279"/>
        <v>8.9578602981877031E-2</v>
      </c>
      <c r="BL104" s="697">
        <f t="shared" si="279"/>
        <v>0.10963201555868074</v>
      </c>
      <c r="BM104" s="698">
        <f t="shared" si="279"/>
        <v>0.11587491801459793</v>
      </c>
      <c r="BN104" s="698">
        <f t="shared" si="279"/>
        <v>0.11244663939605926</v>
      </c>
      <c r="BO104" s="698">
        <f t="shared" si="279"/>
        <v>0.11287757010718691</v>
      </c>
      <c r="BP104" s="699">
        <f t="shared" si="279"/>
        <v>9.1501130688496746E-2</v>
      </c>
      <c r="BQ104" s="698">
        <f t="shared" si="279"/>
        <v>0.11403450441563412</v>
      </c>
      <c r="BR104" s="698">
        <f t="shared" si="279"/>
        <v>0.1007295076220267</v>
      </c>
      <c r="BS104" s="698">
        <f t="shared" si="279"/>
        <v>0.11363031597572437</v>
      </c>
      <c r="BT104" s="697">
        <f t="shared" si="279"/>
        <v>0.10665921692334646</v>
      </c>
      <c r="BU104" s="698">
        <f t="shared" si="279"/>
        <v>6.2656759939739182E-2</v>
      </c>
      <c r="BV104" s="698">
        <f t="shared" si="279"/>
        <v>5.9818011743845378E-2</v>
      </c>
      <c r="BW104" s="698">
        <f t="shared" si="279"/>
        <v>5.9808642604691542E-2</v>
      </c>
      <c r="BX104" s="699">
        <f t="shared" si="279"/>
        <v>5.6924934686254591E-2</v>
      </c>
      <c r="BY104" s="698">
        <f t="shared" si="279"/>
        <v>6.1134997919302769E-2</v>
      </c>
      <c r="BZ104" s="698">
        <f t="shared" si="279"/>
        <v>5.8183593458774441E-2</v>
      </c>
      <c r="CA104" s="698">
        <f t="shared" si="279"/>
        <v>6.0671933497745023E-2</v>
      </c>
      <c r="CB104" s="697">
        <f t="shared" si="279"/>
        <v>5.9507727939589472E-2</v>
      </c>
      <c r="CC104" s="698">
        <f t="shared" si="279"/>
        <v>-1.6286248957257943E-3</v>
      </c>
      <c r="CD104" s="698">
        <f t="shared" si="279"/>
        <v>2.6084772818046886E-3</v>
      </c>
      <c r="CE104" s="698">
        <f t="shared" si="279"/>
        <v>2.2346836674924653E-3</v>
      </c>
      <c r="CF104" s="699">
        <f t="shared" si="279"/>
        <v>-3.7631856019015864E-4</v>
      </c>
      <c r="CG104" s="698">
        <f t="shared" si="279"/>
        <v>6.3993089560221428E-4</v>
      </c>
      <c r="CH104" s="698">
        <f t="shared" si="279"/>
        <v>7.6506184512514785E-4</v>
      </c>
      <c r="CI104" s="698">
        <f t="shared" si="279"/>
        <v>1.1962465459816052E-3</v>
      </c>
      <c r="CJ104" s="697">
        <f t="shared" si="279"/>
        <v>7.0883617822126155E-4</v>
      </c>
    </row>
    <row r="105" spans="1:91" x14ac:dyDescent="0.2">
      <c r="A105" s="690"/>
      <c r="B105" s="681"/>
      <c r="C105" s="272"/>
      <c r="D105" s="272"/>
      <c r="E105" s="272"/>
      <c r="F105" s="272"/>
      <c r="G105" s="272"/>
      <c r="H105" s="272"/>
      <c r="I105" s="272"/>
      <c r="J105" s="272"/>
      <c r="K105" s="272"/>
      <c r="L105" s="272"/>
      <c r="M105" s="278"/>
      <c r="N105" s="278"/>
      <c r="O105" s="278"/>
      <c r="X105" s="180"/>
      <c r="AB105" s="179"/>
      <c r="AF105" s="700"/>
      <c r="AJ105" s="179"/>
      <c r="AN105" s="700"/>
      <c r="AR105" s="179"/>
      <c r="AV105" s="700"/>
      <c r="AZ105" s="179"/>
      <c r="BD105" s="700"/>
      <c r="BH105" s="179"/>
      <c r="BL105" s="700"/>
      <c r="BP105" s="179"/>
      <c r="BT105" s="700"/>
      <c r="BX105" s="179"/>
      <c r="CB105" s="700"/>
      <c r="CF105" s="179"/>
      <c r="CJ105" s="700"/>
    </row>
    <row r="106" spans="1:91" x14ac:dyDescent="0.2">
      <c r="A106" s="584" t="s">
        <v>768</v>
      </c>
      <c r="B106" s="681"/>
      <c r="C106" s="272"/>
      <c r="D106" s="272"/>
      <c r="E106" s="272"/>
      <c r="F106" s="272"/>
      <c r="G106" s="272"/>
      <c r="H106" s="272"/>
      <c r="I106" s="272"/>
      <c r="J106" s="272"/>
      <c r="K106" s="272"/>
      <c r="L106" s="272"/>
      <c r="M106" s="278"/>
      <c r="N106" s="4">
        <f>N96*N128</f>
        <v>285.61790670614556</v>
      </c>
      <c r="O106" s="4">
        <f>O128*O290</f>
        <v>303.54303998974808</v>
      </c>
      <c r="P106" s="4">
        <f>P128*P290</f>
        <v>260.60375838897068</v>
      </c>
      <c r="Q106" s="4">
        <f>Q128*Q290</f>
        <v>-112.81829705481994</v>
      </c>
      <c r="R106" s="4">
        <f>+Q106-0.01*R96</f>
        <v>-143.73686125629547</v>
      </c>
      <c r="S106" s="4">
        <f>S128*S290</f>
        <v>-523.98826928652568</v>
      </c>
      <c r="U106" s="4">
        <f>U128*U290</f>
        <v>-924.81212442727633</v>
      </c>
      <c r="V106" s="4">
        <f>V128*V290</f>
        <v>-369.55648613890861</v>
      </c>
      <c r="W106" s="4">
        <f>W128*W290</f>
        <v>-196.77799078084061</v>
      </c>
      <c r="X106" s="180">
        <f>X128*X290</f>
        <v>-142.25623934044535</v>
      </c>
      <c r="AB106" s="179"/>
      <c r="AC106" s="4">
        <f>AC128*AC290</f>
        <v>12.456573989928755</v>
      </c>
      <c r="AD106" s="4">
        <f>AF106-AC106</f>
        <v>-7.1762611568093213</v>
      </c>
      <c r="AF106" s="314">
        <f>AF128*AF290</f>
        <v>5.2803128331194333</v>
      </c>
      <c r="AJ106" s="179"/>
      <c r="AK106" s="4">
        <f>AK128*AK290</f>
        <v>-127.82592862935515</v>
      </c>
      <c r="AL106" s="4">
        <f>AN106-AK106</f>
        <v>210.49372654651989</v>
      </c>
      <c r="AN106" s="314">
        <f>AN128*AN290</f>
        <v>82.667797917164748</v>
      </c>
      <c r="AR106" s="179"/>
      <c r="AS106" s="4">
        <f>AS128*AS290</f>
        <v>86.567644548343068</v>
      </c>
      <c r="AT106" s="4">
        <f>AV106-AS106</f>
        <v>83.187171982250462</v>
      </c>
      <c r="AV106" s="314">
        <f>AV128*AV290</f>
        <v>169.75481653059353</v>
      </c>
      <c r="AZ106" s="179"/>
      <c r="BA106" s="4">
        <f>BA128*BA290</f>
        <v>166.31629291101771</v>
      </c>
      <c r="BB106" s="11">
        <f>BD106-BA106</f>
        <v>161.74362824612135</v>
      </c>
      <c r="BD106" s="603">
        <f>BD128*BD290</f>
        <v>328.05992115713906</v>
      </c>
      <c r="BH106" s="179"/>
      <c r="BI106" s="11">
        <f>BI128*BI290</f>
        <v>152.37551995194858</v>
      </c>
      <c r="BJ106" s="11">
        <f>BL106-BI106</f>
        <v>208.60898812967017</v>
      </c>
      <c r="BL106" s="603">
        <f>BL128*BL290</f>
        <v>360.98450808161874</v>
      </c>
      <c r="BP106" s="179"/>
      <c r="BQ106" s="11">
        <f>BQ128*BQ290</f>
        <v>175.68302474491045</v>
      </c>
      <c r="BR106" s="11">
        <f>BT106-BQ106</f>
        <v>230.35256481765978</v>
      </c>
      <c r="BT106" s="603">
        <f>BT128*BT290</f>
        <v>406.03558956257024</v>
      </c>
      <c r="BX106" s="179"/>
      <c r="BY106" s="11">
        <f>BY128*BY290</f>
        <v>185.40300479019768</v>
      </c>
      <c r="BZ106" s="11">
        <f>CB106-BY106</f>
        <v>240.02930996032276</v>
      </c>
      <c r="CB106" s="603">
        <f>CB128*CB290</f>
        <v>425.43231475052045</v>
      </c>
      <c r="CF106" s="179"/>
      <c r="CG106" s="11">
        <f>CG128*CG290</f>
        <v>190.88731232931792</v>
      </c>
      <c r="CH106" s="11">
        <f>CJ106-CG106</f>
        <v>243.58306445127624</v>
      </c>
      <c r="CJ106" s="603">
        <f>CJ128*CJ290</f>
        <v>434.47037678059417</v>
      </c>
      <c r="CM106" s="15"/>
    </row>
    <row r="107" spans="1:91" x14ac:dyDescent="0.2">
      <c r="A107" s="584" t="s">
        <v>769</v>
      </c>
      <c r="B107" s="681"/>
      <c r="C107" s="272"/>
      <c r="D107" s="272"/>
      <c r="E107" s="272"/>
      <c r="F107" s="272"/>
      <c r="G107" s="272"/>
      <c r="H107" s="272"/>
      <c r="I107" s="272"/>
      <c r="J107" s="272"/>
      <c r="K107" s="272"/>
      <c r="L107" s="272"/>
      <c r="M107" s="278"/>
      <c r="N107" s="4">
        <f t="shared" ref="N107:S107" si="280">+N108-N106</f>
        <v>1325.1910932938545</v>
      </c>
      <c r="O107" s="4">
        <f t="shared" si="280"/>
        <v>1606.833160010252</v>
      </c>
      <c r="P107" s="4">
        <f t="shared" si="280"/>
        <v>1661.4067416110295</v>
      </c>
      <c r="Q107" s="4">
        <f t="shared" si="280"/>
        <v>1995.4802970548199</v>
      </c>
      <c r="R107" s="4">
        <f t="shared" si="280"/>
        <v>1773.3988612562955</v>
      </c>
      <c r="S107" s="4">
        <f t="shared" si="280"/>
        <v>2425.7809354907286</v>
      </c>
      <c r="T107" s="104"/>
      <c r="U107" s="4">
        <f>+U108-U106</f>
        <v>3305.9426244272763</v>
      </c>
      <c r="V107" s="4">
        <f>+V108-V106</f>
        <v>1431.0042861389086</v>
      </c>
      <c r="W107" s="4">
        <f>+W108-W106</f>
        <v>1453.7547907808405</v>
      </c>
      <c r="X107" s="180">
        <f>+X108-X106</f>
        <v>1848.9534393404454</v>
      </c>
      <c r="AB107" s="179"/>
      <c r="AC107" s="4">
        <f>+AC108-AC106</f>
        <v>1046.8582260100713</v>
      </c>
      <c r="AD107" s="4">
        <f>AF107-AC107</f>
        <v>1457.4622611568095</v>
      </c>
      <c r="AF107" s="1117">
        <f>+AF108-AF106</f>
        <v>2504.3204871668809</v>
      </c>
      <c r="AJ107" s="179"/>
      <c r="AK107" s="4">
        <f>+AK108-AK106</f>
        <v>1470.4697286293551</v>
      </c>
      <c r="AL107" s="4">
        <f>AN107-AK107</f>
        <v>1422.4694067868138</v>
      </c>
      <c r="AN107" s="1117">
        <f>+AN108-AN106</f>
        <v>2892.9391354161689</v>
      </c>
      <c r="AR107" s="179"/>
      <c r="AS107" s="4">
        <f>+AS108-AS106</f>
        <v>1698.4811554516571</v>
      </c>
      <c r="AT107" s="4">
        <f>AV107-AS107</f>
        <v>1864.5660280177497</v>
      </c>
      <c r="AV107" s="1117">
        <f>+AV108-AV106</f>
        <v>3563.0471834694067</v>
      </c>
      <c r="AZ107" s="179"/>
      <c r="BA107" s="4">
        <f>+BA108-BA106</f>
        <v>2137.7541070889824</v>
      </c>
      <c r="BB107" s="11">
        <f>BD107-BA107</f>
        <v>2416.9633452895546</v>
      </c>
      <c r="BD107" s="701">
        <f>+BD125/BD114</f>
        <v>4554.717452378537</v>
      </c>
      <c r="BH107" s="179"/>
      <c r="BI107" s="11">
        <f>+BI125/BI114</f>
        <v>2255.3137895935874</v>
      </c>
      <c r="BJ107" s="11">
        <f>BL107-BI107</f>
        <v>2826.5566084240058</v>
      </c>
      <c r="BL107" s="701">
        <f>+BL125/BL114</f>
        <v>5081.8703980175933</v>
      </c>
      <c r="BP107" s="179"/>
      <c r="BQ107" s="11">
        <f>+BQ125/BQ114</f>
        <v>2504.7543044383824</v>
      </c>
      <c r="BR107" s="11">
        <f>BT107-BQ107</f>
        <v>2913.3687103454026</v>
      </c>
      <c r="BT107" s="701">
        <f>+BT125/BT114</f>
        <v>5418.123014783785</v>
      </c>
      <c r="BX107" s="179"/>
      <c r="BY107" s="11">
        <f>+BY125/BY114</f>
        <v>2758.7724903545559</v>
      </c>
      <c r="BZ107" s="11">
        <f>CB107-BY107</f>
        <v>2937.7966287971349</v>
      </c>
      <c r="CB107" s="701">
        <f>+CB125/CB114</f>
        <v>5696.5691191516908</v>
      </c>
      <c r="CF107" s="179"/>
      <c r="CG107" s="11">
        <f>+CG125/CG114</f>
        <v>2783.0083675410265</v>
      </c>
      <c r="CH107" s="11">
        <f>CJ107-CG107</f>
        <v>3091.9115969337076</v>
      </c>
      <c r="CJ107" s="701">
        <f>+CJ125/CJ114</f>
        <v>5874.9199644747341</v>
      </c>
    </row>
    <row r="108" spans="1:91" ht="12" thickBot="1" x14ac:dyDescent="0.25">
      <c r="A108" s="682" t="s">
        <v>770</v>
      </c>
      <c r="B108" s="683"/>
      <c r="C108" s="684"/>
      <c r="D108" s="684"/>
      <c r="E108" s="684"/>
      <c r="F108" s="684"/>
      <c r="G108" s="684"/>
      <c r="H108" s="684"/>
      <c r="I108" s="684"/>
      <c r="J108" s="684"/>
      <c r="K108" s="684"/>
      <c r="L108" s="684"/>
      <c r="M108" s="702"/>
      <c r="N108" s="685">
        <f t="shared" ref="N108:S108" si="281">+N16</f>
        <v>1610.809</v>
      </c>
      <c r="O108" s="12">
        <f t="shared" si="281"/>
        <v>1910.3761999999999</v>
      </c>
      <c r="P108" s="12">
        <f t="shared" si="281"/>
        <v>1922.0105000000001</v>
      </c>
      <c r="Q108" s="12">
        <f t="shared" si="281"/>
        <v>1882.662</v>
      </c>
      <c r="R108" s="12">
        <f t="shared" si="281"/>
        <v>1629.662</v>
      </c>
      <c r="S108" s="12">
        <f t="shared" si="281"/>
        <v>1901.792666204203</v>
      </c>
      <c r="T108" s="12"/>
      <c r="U108" s="12">
        <f>+U16</f>
        <v>2381.1305000000002</v>
      </c>
      <c r="V108" s="12">
        <f>+V16</f>
        <v>1061.4477999999999</v>
      </c>
      <c r="W108" s="12">
        <f>+W16</f>
        <v>1256.9767999999999</v>
      </c>
      <c r="X108" s="686">
        <f>+X16</f>
        <v>1706.6972000000001</v>
      </c>
      <c r="Y108" s="12"/>
      <c r="Z108" s="12"/>
      <c r="AA108" s="12"/>
      <c r="AB108" s="703"/>
      <c r="AC108" s="12">
        <f>+AC16</f>
        <v>1059.3148000000001</v>
      </c>
      <c r="AD108" s="12">
        <f>+AD107+AD106</f>
        <v>1450.2860000000003</v>
      </c>
      <c r="AE108" s="12"/>
      <c r="AF108" s="1360">
        <f>+AF16</f>
        <v>2509.6008000000002</v>
      </c>
      <c r="AG108" s="12"/>
      <c r="AH108" s="12"/>
      <c r="AI108" s="12"/>
      <c r="AJ108" s="703"/>
      <c r="AK108" s="12">
        <f>+AK16</f>
        <v>1342.6438000000001</v>
      </c>
      <c r="AL108" s="12">
        <f>+AL107+AL106</f>
        <v>1632.9631333333336</v>
      </c>
      <c r="AM108" s="12"/>
      <c r="AN108" s="1360">
        <f>+AN16</f>
        <v>2975.6069333333335</v>
      </c>
      <c r="AO108" s="12"/>
      <c r="AP108" s="12"/>
      <c r="AQ108" s="12"/>
      <c r="AR108" s="703"/>
      <c r="AS108" s="12">
        <f>+AS16</f>
        <v>1785.0488</v>
      </c>
      <c r="AT108" s="12">
        <f>+AT107+AT106</f>
        <v>1947.7532000000001</v>
      </c>
      <c r="AU108" s="12"/>
      <c r="AV108" s="1360">
        <f>+AV16</f>
        <v>3732.8020000000001</v>
      </c>
      <c r="AW108" s="12"/>
      <c r="AX108" s="12"/>
      <c r="AY108" s="12"/>
      <c r="AZ108" s="703"/>
      <c r="BA108" s="12">
        <f>+BA16</f>
        <v>2304.0704000000001</v>
      </c>
      <c r="BB108" s="13">
        <f>+BB107+BB106</f>
        <v>2578.7069735356758</v>
      </c>
      <c r="BC108" s="12"/>
      <c r="BD108" s="688">
        <f>+BD107+BD106</f>
        <v>4882.7773735356759</v>
      </c>
      <c r="BE108" s="12"/>
      <c r="BF108" s="12"/>
      <c r="BG108" s="12"/>
      <c r="BH108" s="703"/>
      <c r="BI108" s="13">
        <f>+BI107+BI106</f>
        <v>2407.6893095455362</v>
      </c>
      <c r="BJ108" s="13">
        <f>+BJ107+BJ106</f>
        <v>3035.1655965536761</v>
      </c>
      <c r="BK108" s="12"/>
      <c r="BL108" s="688">
        <f>+BL107+BL106</f>
        <v>5442.8549060992118</v>
      </c>
      <c r="BM108" s="12"/>
      <c r="BN108" s="12"/>
      <c r="BO108" s="12"/>
      <c r="BP108" s="703"/>
      <c r="BQ108" s="13">
        <f>+BQ107+BQ106</f>
        <v>2680.4373291832931</v>
      </c>
      <c r="BR108" s="13">
        <f>+BR107+BR106</f>
        <v>3143.7212751630623</v>
      </c>
      <c r="BS108" s="12"/>
      <c r="BT108" s="688">
        <f>+BT107+BT106</f>
        <v>5824.1586043463549</v>
      </c>
      <c r="BU108" s="12"/>
      <c r="BV108" s="12"/>
      <c r="BW108" s="12"/>
      <c r="BX108" s="703"/>
      <c r="BY108" s="13">
        <f>+BY107+BY106</f>
        <v>2944.1754951447538</v>
      </c>
      <c r="BZ108" s="13">
        <f>+BZ107+BZ106</f>
        <v>3177.8259387574576</v>
      </c>
      <c r="CA108" s="12"/>
      <c r="CB108" s="688">
        <f>+CB107+CB106</f>
        <v>6122.0014339022109</v>
      </c>
      <c r="CC108" s="12"/>
      <c r="CD108" s="12"/>
      <c r="CE108" s="12"/>
      <c r="CF108" s="703"/>
      <c r="CG108" s="13">
        <f>+CG107+CG106</f>
        <v>2973.8956798703443</v>
      </c>
      <c r="CH108" s="13">
        <f>+CH107+CH106</f>
        <v>3335.4946613849838</v>
      </c>
      <c r="CI108" s="12"/>
      <c r="CJ108" s="688">
        <f>+CJ107+CJ106</f>
        <v>6309.3903412553282</v>
      </c>
    </row>
    <row r="109" spans="1:91" x14ac:dyDescent="0.2">
      <c r="A109" s="680"/>
      <c r="B109" s="681"/>
      <c r="C109" s="272"/>
      <c r="D109" s="272"/>
      <c r="E109" s="272"/>
      <c r="F109" s="272"/>
      <c r="G109" s="272"/>
      <c r="H109" s="272"/>
      <c r="I109" s="272"/>
      <c r="J109" s="272"/>
      <c r="K109" s="272"/>
      <c r="L109" s="272"/>
      <c r="M109" s="278"/>
      <c r="N109" s="689"/>
      <c r="O109" s="186"/>
      <c r="P109" s="186"/>
      <c r="Q109" s="186"/>
      <c r="R109" s="186"/>
      <c r="S109" s="186"/>
      <c r="T109" s="186"/>
      <c r="U109" s="186"/>
      <c r="V109" s="186"/>
      <c r="W109" s="186"/>
      <c r="X109" s="284"/>
      <c r="Y109" s="186"/>
      <c r="Z109" s="186"/>
      <c r="AA109" s="186"/>
      <c r="AB109" s="283"/>
      <c r="AC109" s="186"/>
      <c r="AD109" s="186"/>
      <c r="AE109" s="186"/>
      <c r="AF109" s="341"/>
      <c r="AG109" s="186"/>
      <c r="AH109" s="186"/>
      <c r="AI109" s="186"/>
      <c r="AJ109" s="283"/>
      <c r="AK109" s="186"/>
      <c r="AL109" s="186"/>
      <c r="AM109" s="186"/>
      <c r="AN109" s="341"/>
      <c r="AO109" s="186"/>
      <c r="AP109" s="186"/>
      <c r="AQ109" s="186"/>
      <c r="AR109" s="283"/>
      <c r="AS109" s="186"/>
      <c r="AT109" s="186"/>
      <c r="AU109" s="186"/>
      <c r="AV109" s="341"/>
      <c r="AW109" s="186"/>
      <c r="AX109" s="186"/>
      <c r="AY109" s="186"/>
      <c r="AZ109" s="283"/>
      <c r="BA109" s="186"/>
      <c r="BB109" s="186"/>
      <c r="BC109" s="186"/>
      <c r="BD109" s="341"/>
      <c r="BE109" s="186"/>
      <c r="BF109" s="186"/>
      <c r="BG109" s="186"/>
      <c r="BH109" s="283"/>
      <c r="BI109" s="186"/>
      <c r="BJ109" s="186"/>
      <c r="BK109" s="186"/>
      <c r="BL109" s="341"/>
      <c r="BM109" s="186"/>
      <c r="BN109" s="186"/>
      <c r="BO109" s="186"/>
      <c r="BP109" s="283"/>
      <c r="BQ109" s="186"/>
      <c r="BR109" s="186"/>
      <c r="BS109" s="186"/>
      <c r="BT109" s="341"/>
      <c r="BU109" s="186"/>
      <c r="BV109" s="186"/>
      <c r="BW109" s="186"/>
      <c r="BX109" s="283"/>
      <c r="BY109" s="186"/>
      <c r="BZ109" s="186"/>
      <c r="CA109" s="186"/>
      <c r="CB109" s="341"/>
      <c r="CC109" s="186"/>
      <c r="CD109" s="186"/>
      <c r="CE109" s="186"/>
      <c r="CF109" s="283"/>
      <c r="CG109" s="186"/>
      <c r="CH109" s="186"/>
      <c r="CI109" s="186"/>
      <c r="CJ109" s="341"/>
    </row>
    <row r="110" spans="1:91" x14ac:dyDescent="0.2">
      <c r="A110" s="690" t="s">
        <v>326</v>
      </c>
      <c r="B110" s="681"/>
      <c r="C110" s="272"/>
      <c r="D110" s="272"/>
      <c r="E110" s="272"/>
      <c r="F110" s="272"/>
      <c r="G110" s="272"/>
      <c r="H110" s="272"/>
      <c r="I110" s="272"/>
      <c r="J110" s="272"/>
      <c r="K110" s="272"/>
      <c r="L110" s="272"/>
      <c r="M110" s="278"/>
      <c r="N110" s="272">
        <f t="shared" ref="N110:S112" si="282">N106/N96</f>
        <v>0.10440394504390509</v>
      </c>
      <c r="O110" s="272">
        <f t="shared" si="282"/>
        <v>9.8259418385857444E-2</v>
      </c>
      <c r="P110" s="272">
        <f t="shared" si="282"/>
        <v>8.2653540847175216E-2</v>
      </c>
      <c r="Q110" s="272">
        <f t="shared" si="282"/>
        <v>-3.3303936271748137E-2</v>
      </c>
      <c r="R110" s="272">
        <f t="shared" si="282"/>
        <v>-4.6488853854809956E-2</v>
      </c>
      <c r="S110" s="272">
        <f t="shared" si="282"/>
        <v>-0.13898002696111836</v>
      </c>
      <c r="T110" s="272"/>
      <c r="U110" s="272">
        <f t="shared" ref="U110:X112" si="283">U106/U96</f>
        <v>-0.22498302336349255</v>
      </c>
      <c r="V110" s="272">
        <f t="shared" si="283"/>
        <v>-0.17437708333969124</v>
      </c>
      <c r="W110" s="272">
        <f t="shared" si="283"/>
        <v>-0.1183618392067408</v>
      </c>
      <c r="X110" s="275">
        <f t="shared" si="283"/>
        <v>-5.2667049951182272E-2</v>
      </c>
      <c r="Y110" s="272"/>
      <c r="Z110" s="272"/>
      <c r="AA110" s="272"/>
      <c r="AB110" s="248"/>
      <c r="AC110" s="272">
        <f t="shared" ref="AC110:AC112" si="284">AC106/AC96</f>
        <v>6.3327741585449716E-3</v>
      </c>
      <c r="AD110" s="272">
        <f>AD106/AD96</f>
        <v>-4.2811379299752443E-3</v>
      </c>
      <c r="AE110" s="272"/>
      <c r="AF110" s="602">
        <f>AF106/AF96</f>
        <v>1.4493405414220842E-3</v>
      </c>
      <c r="AG110" s="272"/>
      <c r="AH110" s="272"/>
      <c r="AI110" s="272"/>
      <c r="AJ110" s="248"/>
      <c r="AK110" s="272">
        <f t="shared" ref="AK110:AK112" si="285">AK106/AK96</f>
        <v>-6.3091696184479282E-2</v>
      </c>
      <c r="AL110" s="272">
        <f>AL106/AL96</f>
        <v>0.12348587924404179</v>
      </c>
      <c r="AM110" s="272"/>
      <c r="AN110" s="602">
        <f>AN106/AN96</f>
        <v>2.215919595827049E-2</v>
      </c>
      <c r="AO110" s="272"/>
      <c r="AP110" s="272"/>
      <c r="AQ110" s="272"/>
      <c r="AR110" s="248"/>
      <c r="AS110" s="272">
        <f t="shared" ref="AS110:AS112" si="286">AS106/AS96</f>
        <v>3.7419502956401549E-2</v>
      </c>
      <c r="AT110" s="272">
        <f>AT106/AT96</f>
        <v>4.7589177021151494E-2</v>
      </c>
      <c r="AU110" s="272"/>
      <c r="AV110" s="602">
        <f>AV106/AV96</f>
        <v>4.1796463493714388E-2</v>
      </c>
      <c r="AW110" s="272"/>
      <c r="AX110" s="272"/>
      <c r="AY110" s="272"/>
      <c r="AZ110" s="248"/>
      <c r="BA110" s="272">
        <f t="shared" ref="BA110:BA112" si="287">BA106/BA96</f>
        <v>6.4922976105481783E-2</v>
      </c>
      <c r="BB110" s="274">
        <f>BB106/BB96</f>
        <v>6.1926739699790248E-2</v>
      </c>
      <c r="BC110" s="272"/>
      <c r="BD110" s="600">
        <f>BD106/BD96</f>
        <v>6.3395526335426014E-2</v>
      </c>
      <c r="BE110" s="272"/>
      <c r="BF110" s="272"/>
      <c r="BG110" s="272"/>
      <c r="BH110" s="248"/>
      <c r="BI110" s="272"/>
      <c r="BJ110" s="272"/>
      <c r="BK110" s="272"/>
      <c r="BL110" s="600">
        <f>BL106/BL96</f>
        <v>6.5006869576360912E-2</v>
      </c>
      <c r="BM110" s="272"/>
      <c r="BN110" s="272"/>
      <c r="BO110" s="272"/>
      <c r="BP110" s="248"/>
      <c r="BQ110" s="272"/>
      <c r="BR110" s="272"/>
      <c r="BS110" s="272"/>
      <c r="BT110" s="600">
        <f>BT106/BT96</f>
        <v>6.6110530076604446E-2</v>
      </c>
      <c r="BU110" s="272"/>
      <c r="BV110" s="272"/>
      <c r="BW110" s="272"/>
      <c r="BX110" s="248"/>
      <c r="BY110" s="272"/>
      <c r="BZ110" s="272"/>
      <c r="CA110" s="272"/>
      <c r="CB110" s="600">
        <f>CB106/CB96</f>
        <v>6.721779569465644E-2</v>
      </c>
      <c r="CC110" s="272"/>
      <c r="CD110" s="272"/>
      <c r="CE110" s="272"/>
      <c r="CF110" s="248"/>
      <c r="CG110" s="272"/>
      <c r="CH110" s="272"/>
      <c r="CI110" s="272"/>
      <c r="CJ110" s="600">
        <f>CJ106/CJ96</f>
        <v>7.0498527279545767E-2</v>
      </c>
      <c r="CM110" s="15"/>
    </row>
    <row r="111" spans="1:91" x14ac:dyDescent="0.2">
      <c r="A111" s="690" t="s">
        <v>771</v>
      </c>
      <c r="B111" s="681"/>
      <c r="C111" s="272"/>
      <c r="D111" s="272"/>
      <c r="E111" s="272"/>
      <c r="F111" s="272"/>
      <c r="G111" s="272"/>
      <c r="H111" s="272"/>
      <c r="I111" s="272"/>
      <c r="J111" s="272"/>
      <c r="K111" s="272"/>
      <c r="L111" s="272"/>
      <c r="M111" s="278"/>
      <c r="N111" s="272">
        <f t="shared" si="282"/>
        <v>0.50096445655445987</v>
      </c>
      <c r="O111" s="272">
        <f t="shared" si="282"/>
        <v>0.4679052365763266</v>
      </c>
      <c r="P111" s="272">
        <f t="shared" si="282"/>
        <v>0.44872995216225753</v>
      </c>
      <c r="Q111" s="272">
        <f t="shared" si="282"/>
        <v>0.48516022500511813</v>
      </c>
      <c r="R111" s="272">
        <f t="shared" si="282"/>
        <v>0.43116566563988884</v>
      </c>
      <c r="S111" s="272">
        <f t="shared" si="282"/>
        <v>0.52833621042004364</v>
      </c>
      <c r="T111" s="272"/>
      <c r="U111" s="272">
        <f t="shared" si="283"/>
        <v>0.64018238164071473</v>
      </c>
      <c r="V111" s="272">
        <f t="shared" si="283"/>
        <v>0.48702025193212573</v>
      </c>
      <c r="W111" s="272">
        <f t="shared" si="283"/>
        <v>0.46918807136734586</v>
      </c>
      <c r="X111" s="275">
        <f t="shared" si="283"/>
        <v>0.43624556010094734</v>
      </c>
      <c r="Y111" s="272"/>
      <c r="Z111" s="272"/>
      <c r="AA111" s="272"/>
      <c r="AB111" s="248"/>
      <c r="AC111" s="272">
        <f t="shared" si="284"/>
        <v>0.45699388716979711</v>
      </c>
      <c r="AD111" s="272">
        <f>AD107/AD97</f>
        <v>0.43777112158660597</v>
      </c>
      <c r="AE111" s="272"/>
      <c r="AF111" s="602">
        <f>AF107/AF97</f>
        <v>0.44560640788427341</v>
      </c>
      <c r="AG111" s="272"/>
      <c r="AH111" s="272"/>
      <c r="AI111" s="272"/>
      <c r="AJ111" s="248"/>
      <c r="AK111" s="272">
        <f t="shared" si="285"/>
        <v>0.48795332246193684</v>
      </c>
      <c r="AL111" s="272">
        <f>AL107/AL97</f>
        <v>0.35201775407120345</v>
      </c>
      <c r="AM111" s="272"/>
      <c r="AN111" s="602">
        <f>AN107/AN97</f>
        <v>0.41008722360916966</v>
      </c>
      <c r="AO111" s="1573"/>
      <c r="AP111" s="272"/>
      <c r="AQ111" s="272"/>
      <c r="AR111" s="248"/>
      <c r="AS111" s="272">
        <f t="shared" si="286"/>
        <v>0.46610945032363849</v>
      </c>
      <c r="AT111" s="272">
        <f>AT107/AT97</f>
        <v>0.38611982560109265</v>
      </c>
      <c r="AU111" s="272"/>
      <c r="AV111" s="602">
        <f>AV107/AV97</f>
        <v>0.42052094218234026</v>
      </c>
      <c r="AW111" s="272"/>
      <c r="AX111" s="272"/>
      <c r="AY111" s="272"/>
      <c r="AZ111" s="248"/>
      <c r="BA111" s="272">
        <f t="shared" si="287"/>
        <v>0.45592074764816914</v>
      </c>
      <c r="BB111" s="274">
        <f>BB107/BB97</f>
        <v>0.40860622697212873</v>
      </c>
      <c r="BC111" s="272"/>
      <c r="BD111" s="600">
        <f>BD107/BD97</f>
        <v>0.42943805360897758</v>
      </c>
      <c r="BE111" s="272"/>
      <c r="BF111" s="272"/>
      <c r="BG111" s="272"/>
      <c r="BH111" s="248"/>
      <c r="BI111" s="272"/>
      <c r="BJ111" s="272"/>
      <c r="BK111" s="272"/>
      <c r="BL111" s="600">
        <f>BL107/BL97</f>
        <v>0.42497217775754303</v>
      </c>
      <c r="BM111" s="272"/>
      <c r="BN111" s="272"/>
      <c r="BO111" s="272"/>
      <c r="BP111" s="248"/>
      <c r="BQ111" s="272"/>
      <c r="BR111" s="272"/>
      <c r="BS111" s="272"/>
      <c r="BT111" s="600">
        <f>BT107/BT97</f>
        <v>0.40931337754612773</v>
      </c>
      <c r="BU111" s="272"/>
      <c r="BV111" s="272"/>
      <c r="BW111" s="272"/>
      <c r="BX111" s="248"/>
      <c r="BY111" s="272"/>
      <c r="BZ111" s="272"/>
      <c r="CA111" s="272"/>
      <c r="CB111" s="600">
        <f>CB107/CB97</f>
        <v>0.40108488181199359</v>
      </c>
      <c r="CC111" s="272"/>
      <c r="CD111" s="272"/>
      <c r="CE111" s="272"/>
      <c r="CF111" s="248"/>
      <c r="CG111" s="272"/>
      <c r="CH111" s="272"/>
      <c r="CI111" s="272"/>
      <c r="CJ111" s="600">
        <f>CJ107/CJ97</f>
        <v>0.40844037974446035</v>
      </c>
    </row>
    <row r="112" spans="1:91" x14ac:dyDescent="0.2">
      <c r="A112" s="704" t="s">
        <v>772</v>
      </c>
      <c r="B112" s="705"/>
      <c r="C112" s="269"/>
      <c r="D112" s="269"/>
      <c r="E112" s="269"/>
      <c r="F112" s="269"/>
      <c r="G112" s="269"/>
      <c r="H112" s="269"/>
      <c r="I112" s="269"/>
      <c r="J112" s="269"/>
      <c r="K112" s="269"/>
      <c r="L112" s="269"/>
      <c r="M112" s="269"/>
      <c r="N112" s="706">
        <f t="shared" si="282"/>
        <v>0.29935234845697251</v>
      </c>
      <c r="O112" s="706">
        <f t="shared" si="282"/>
        <v>0.29285426088022937</v>
      </c>
      <c r="P112" s="706">
        <f t="shared" si="282"/>
        <v>0.28036323031523919</v>
      </c>
      <c r="Q112" s="706">
        <f t="shared" si="282"/>
        <v>0.25100252380819055</v>
      </c>
      <c r="R112" s="706">
        <f t="shared" si="282"/>
        <v>0.22618832487380097</v>
      </c>
      <c r="S112" s="706">
        <f t="shared" si="282"/>
        <v>0.22744363114765151</v>
      </c>
      <c r="T112" s="706"/>
      <c r="U112" s="706">
        <f t="shared" si="283"/>
        <v>0.25673534850371715</v>
      </c>
      <c r="V112" s="706">
        <f t="shared" si="283"/>
        <v>0.20987266637403659</v>
      </c>
      <c r="W112" s="706">
        <f t="shared" si="283"/>
        <v>0.26401750907380023</v>
      </c>
      <c r="X112" s="707">
        <f t="shared" si="283"/>
        <v>0.24594375866431872</v>
      </c>
      <c r="Y112" s="706"/>
      <c r="Z112" s="706"/>
      <c r="AA112" s="706"/>
      <c r="AB112" s="708"/>
      <c r="AC112" s="706">
        <f t="shared" si="284"/>
        <v>0.24879685279783925</v>
      </c>
      <c r="AD112" s="706">
        <f>AD108/AD98</f>
        <v>0.28973675115322456</v>
      </c>
      <c r="AE112" s="706"/>
      <c r="AF112" s="1362">
        <f>AF108/AF98</f>
        <v>0.27091924242816801</v>
      </c>
      <c r="AG112" s="706"/>
      <c r="AH112" s="706"/>
      <c r="AI112" s="706"/>
      <c r="AJ112" s="708"/>
      <c r="AK112" s="706">
        <f t="shared" si="285"/>
        <v>0.26641978101349717</v>
      </c>
      <c r="AL112" s="706">
        <f>AL108/AL98</f>
        <v>0.28421601833318832</v>
      </c>
      <c r="AM112" s="706"/>
      <c r="AN112" s="1362">
        <f>AN108/AN98</f>
        <v>0.27590031166512752</v>
      </c>
      <c r="AO112" s="706"/>
      <c r="AP112" s="706"/>
      <c r="AQ112" s="706"/>
      <c r="AR112" s="708"/>
      <c r="AS112" s="706">
        <f t="shared" si="286"/>
        <v>0.29963604867232124</v>
      </c>
      <c r="AT112" s="706">
        <f>AT108/AT98</f>
        <v>0.29614569538437674</v>
      </c>
      <c r="AU112" s="706"/>
      <c r="AV112" s="1362">
        <f>AV108/AV98</f>
        <v>0.29780460173602247</v>
      </c>
      <c r="AW112" s="706"/>
      <c r="AX112" s="706"/>
      <c r="AY112" s="706"/>
      <c r="AZ112" s="708"/>
      <c r="BA112" s="706">
        <f t="shared" si="287"/>
        <v>0.31777563849712165</v>
      </c>
      <c r="BB112" s="709">
        <f>BB108/BB98</f>
        <v>0.30241684483007203</v>
      </c>
      <c r="BC112" s="706"/>
      <c r="BD112" s="710">
        <f>BD108/BD98</f>
        <v>0.30940785571653023</v>
      </c>
      <c r="BE112" s="706"/>
      <c r="BF112" s="706"/>
      <c r="BG112" s="706"/>
      <c r="BH112" s="708"/>
      <c r="BI112" s="706"/>
      <c r="BJ112" s="706"/>
      <c r="BK112" s="706"/>
      <c r="BL112" s="710">
        <f>BL108/BL98</f>
        <v>0.31082231526962056</v>
      </c>
      <c r="BM112" s="706"/>
      <c r="BN112" s="706"/>
      <c r="BO112" s="706"/>
      <c r="BP112" s="708"/>
      <c r="BQ112" s="706"/>
      <c r="BR112" s="706"/>
      <c r="BS112" s="706"/>
      <c r="BT112" s="710">
        <f>BT108/BT98</f>
        <v>0.30054168829322914</v>
      </c>
      <c r="BU112" s="706"/>
      <c r="BV112" s="706"/>
      <c r="BW112" s="706"/>
      <c r="BX112" s="708"/>
      <c r="BY112" s="706"/>
      <c r="BZ112" s="706"/>
      <c r="CA112" s="706"/>
      <c r="CB112" s="710">
        <f>CB108/CB98</f>
        <v>0.2981678588932829</v>
      </c>
      <c r="CC112" s="706"/>
      <c r="CD112" s="706"/>
      <c r="CE112" s="706"/>
      <c r="CF112" s="708"/>
      <c r="CG112" s="706"/>
      <c r="CH112" s="706"/>
      <c r="CI112" s="706"/>
      <c r="CJ112" s="710">
        <f>CJ108/CJ98</f>
        <v>0.30707683925346668</v>
      </c>
    </row>
    <row r="113" spans="1:88" x14ac:dyDescent="0.2">
      <c r="A113" s="693"/>
      <c r="B113" s="681"/>
      <c r="C113" s="272"/>
      <c r="D113" s="272"/>
      <c r="E113" s="272"/>
      <c r="F113" s="272"/>
      <c r="G113" s="272"/>
      <c r="H113" s="272"/>
      <c r="I113" s="272"/>
      <c r="J113" s="272"/>
      <c r="K113" s="272"/>
      <c r="L113" s="272"/>
      <c r="M113" s="278"/>
      <c r="N113" s="278"/>
      <c r="O113" s="278"/>
      <c r="P113" s="278"/>
      <c r="Q113" s="278"/>
      <c r="R113" s="278"/>
      <c r="S113" s="278"/>
      <c r="T113" s="278"/>
      <c r="U113" s="278"/>
      <c r="V113" s="278"/>
      <c r="W113" s="278"/>
      <c r="X113" s="250"/>
      <c r="Y113" s="278"/>
      <c r="Z113" s="278"/>
      <c r="AA113" s="278"/>
      <c r="AB113" s="298"/>
      <c r="AC113" s="278"/>
      <c r="AD113" s="278"/>
      <c r="AE113" s="278"/>
      <c r="AF113" s="700"/>
      <c r="AG113" s="278"/>
      <c r="AH113" s="278"/>
      <c r="AI113" s="278"/>
      <c r="AJ113" s="298"/>
      <c r="AK113" s="278"/>
      <c r="AL113" s="278"/>
      <c r="AM113" s="278"/>
      <c r="AN113" s="700"/>
      <c r="AO113" s="278"/>
      <c r="AP113" s="278"/>
      <c r="AQ113" s="278"/>
      <c r="AR113" s="298"/>
      <c r="AS113" s="278"/>
      <c r="AT113" s="278"/>
      <c r="AU113" s="278"/>
      <c r="AV113" s="700"/>
      <c r="AW113" s="278"/>
      <c r="AX113" s="278"/>
      <c r="AY113" s="278"/>
      <c r="AZ113" s="298"/>
      <c r="BA113" s="278"/>
      <c r="BB113" s="278"/>
      <c r="BC113" s="278"/>
      <c r="BD113" s="700"/>
      <c r="BE113" s="278"/>
      <c r="BF113" s="278"/>
      <c r="BG113" s="278"/>
      <c r="BH113" s="298"/>
      <c r="BI113" s="278"/>
      <c r="BJ113" s="278"/>
      <c r="BK113" s="278"/>
      <c r="BL113" s="700"/>
      <c r="BM113" s="278"/>
      <c r="BN113" s="278"/>
      <c r="BO113" s="278"/>
      <c r="BP113" s="298"/>
      <c r="BQ113" s="278"/>
      <c r="BR113" s="278"/>
      <c r="BS113" s="278"/>
      <c r="BT113" s="700"/>
      <c r="BU113" s="278"/>
      <c r="BV113" s="278"/>
      <c r="BW113" s="278"/>
      <c r="BX113" s="298"/>
      <c r="BY113" s="278"/>
      <c r="BZ113" s="278"/>
      <c r="CA113" s="278"/>
      <c r="CB113" s="700"/>
      <c r="CC113" s="278"/>
      <c r="CD113" s="278"/>
      <c r="CE113" s="278"/>
      <c r="CF113" s="298"/>
      <c r="CG113" s="278"/>
      <c r="CH113" s="278"/>
      <c r="CI113" s="278"/>
      <c r="CJ113" s="700"/>
    </row>
    <row r="114" spans="1:88" x14ac:dyDescent="0.2">
      <c r="A114" s="680" t="s">
        <v>773</v>
      </c>
      <c r="B114" s="711"/>
      <c r="C114" s="261"/>
      <c r="D114" s="261"/>
      <c r="E114" s="261"/>
      <c r="F114" s="261"/>
      <c r="G114" s="261"/>
      <c r="H114" s="261"/>
      <c r="I114" s="261"/>
      <c r="J114" s="261"/>
      <c r="K114" s="261"/>
      <c r="L114" s="261"/>
      <c r="M114" s="260"/>
      <c r="N114" s="712">
        <f>N264</f>
        <v>1.2915000000000001</v>
      </c>
      <c r="O114" s="712">
        <f>O264</f>
        <v>1.1828644501278773</v>
      </c>
      <c r="P114" s="712">
        <f>P264</f>
        <v>1.17282889079966</v>
      </c>
      <c r="Q114" s="712">
        <f>Q264</f>
        <v>1.1739999999999999</v>
      </c>
      <c r="R114" s="712">
        <f>+Q114</f>
        <v>1.1739999999999999</v>
      </c>
      <c r="S114" s="712">
        <f>S264</f>
        <v>1.18</v>
      </c>
      <c r="T114" s="712"/>
      <c r="U114" s="712">
        <f>U264</f>
        <v>1.153</v>
      </c>
      <c r="V114" s="712">
        <f>V264</f>
        <v>1.1509999999999998</v>
      </c>
      <c r="W114" s="712">
        <f>W264</f>
        <v>1.169</v>
      </c>
      <c r="X114" s="713">
        <f>X264</f>
        <v>1.105</v>
      </c>
      <c r="Y114" s="712">
        <f t="shared" ref="Y114:AJ114" si="288">Y264</f>
        <v>1.103</v>
      </c>
      <c r="Z114" s="712">
        <f t="shared" si="288"/>
        <v>1.1116425992779784</v>
      </c>
      <c r="AA114" s="712">
        <f t="shared" si="288"/>
        <v>1.1119999999999999</v>
      </c>
      <c r="AB114" s="1363">
        <f t="shared" si="288"/>
        <v>1.103</v>
      </c>
      <c r="AC114" s="712">
        <f t="shared" si="288"/>
        <v>1.1074999999999999</v>
      </c>
      <c r="AD114" s="712">
        <f t="shared" si="288"/>
        <v>1.1074999999999999</v>
      </c>
      <c r="AE114" s="712">
        <f t="shared" si="288"/>
        <v>1.1074999999999999</v>
      </c>
      <c r="AF114" s="1364">
        <f t="shared" si="288"/>
        <v>1.1074999999999999</v>
      </c>
      <c r="AG114" s="712">
        <f t="shared" si="288"/>
        <v>1.1065</v>
      </c>
      <c r="AH114" s="712">
        <f t="shared" si="288"/>
        <v>1.0969336384439361</v>
      </c>
      <c r="AI114" s="712">
        <f t="shared" si="288"/>
        <v>1.1110000000000002</v>
      </c>
      <c r="AJ114" s="1363">
        <f t="shared" si="288"/>
        <v>1.093</v>
      </c>
      <c r="AK114" s="712">
        <f t="shared" ref="AK114:AL114" si="289">AK264</f>
        <v>1.1020000000000001</v>
      </c>
      <c r="AL114" s="712">
        <f t="shared" si="289"/>
        <v>1.1020000000000001</v>
      </c>
      <c r="AM114" s="712">
        <f t="shared" ref="AM114:AR114" si="290">AM264</f>
        <v>1.1065</v>
      </c>
      <c r="AN114" s="1364">
        <f t="shared" si="290"/>
        <v>1.1020000000000001</v>
      </c>
      <c r="AO114" s="712">
        <f>AO264</f>
        <v>1.0885</v>
      </c>
      <c r="AP114" s="712">
        <f t="shared" si="290"/>
        <v>1.1244780097734342</v>
      </c>
      <c r="AQ114" s="712">
        <f t="shared" si="290"/>
        <v>1.1425000000000001</v>
      </c>
      <c r="AR114" s="1363">
        <f t="shared" si="290"/>
        <v>1.1424999999999998</v>
      </c>
      <c r="AS114" s="712">
        <f t="shared" ref="AS114:AT114" si="291">AS264</f>
        <v>1.1065</v>
      </c>
      <c r="AT114" s="712">
        <f t="shared" si="291"/>
        <v>1.1425000000000001</v>
      </c>
      <c r="AU114" s="712">
        <f t="shared" ref="AU114" si="292">AU264</f>
        <v>1.1200000000000001</v>
      </c>
      <c r="AV114" s="1364">
        <f>AV264</f>
        <v>1.1245000000000001</v>
      </c>
      <c r="AW114" s="712">
        <f>AW264</f>
        <v>1.1425000000000001</v>
      </c>
      <c r="AX114" s="712">
        <f t="shared" ref="AX114" si="293">AX264</f>
        <v>1.1419607843137256</v>
      </c>
      <c r="AY114" s="715">
        <f>AX114</f>
        <v>1.1419607843137256</v>
      </c>
      <c r="AZ114" s="714">
        <f>AY114</f>
        <v>1.1419607843137256</v>
      </c>
      <c r="BA114" s="712">
        <f>BA264</f>
        <v>1.1425000000000001</v>
      </c>
      <c r="BB114" s="715">
        <f>BB264</f>
        <v>1.1419607843137256</v>
      </c>
      <c r="BC114" s="715">
        <f>BD114</f>
        <v>1.1419607843137254</v>
      </c>
      <c r="BD114" s="716">
        <f>BD264</f>
        <v>1.1419607843137254</v>
      </c>
      <c r="BE114" s="715">
        <f>BI114</f>
        <v>1.1504531722054381</v>
      </c>
      <c r="BF114" s="715">
        <f>BE114</f>
        <v>1.1504531722054381</v>
      </c>
      <c r="BG114" s="715">
        <f>BF114</f>
        <v>1.1504531722054381</v>
      </c>
      <c r="BH114" s="714">
        <f>BG114</f>
        <v>1.1504531722054381</v>
      </c>
      <c r="BI114" s="715">
        <f>BI264</f>
        <v>1.1504531722054381</v>
      </c>
      <c r="BJ114" s="715">
        <f>BJ264</f>
        <v>1.1504531722054374</v>
      </c>
      <c r="BK114" s="715">
        <f>BL114</f>
        <v>1.1504531722054381</v>
      </c>
      <c r="BL114" s="716">
        <f>BL264</f>
        <v>1.1504531722054381</v>
      </c>
      <c r="BM114" s="715">
        <f>BQ114</f>
        <v>1.1546391752577321</v>
      </c>
      <c r="BN114" s="715">
        <f>BM114</f>
        <v>1.1546391752577321</v>
      </c>
      <c r="BO114" s="715">
        <f>BN114</f>
        <v>1.1546391752577321</v>
      </c>
      <c r="BP114" s="714">
        <f>BO114</f>
        <v>1.1546391752577321</v>
      </c>
      <c r="BQ114" s="715">
        <f>BQ264</f>
        <v>1.1546391752577321</v>
      </c>
      <c r="BR114" s="715">
        <f>BR264</f>
        <v>1.1546391752577319</v>
      </c>
      <c r="BS114" s="715">
        <f>BT114</f>
        <v>1.1546391752577321</v>
      </c>
      <c r="BT114" s="716">
        <f>BT264</f>
        <v>1.1546391752577321</v>
      </c>
      <c r="BU114" s="715">
        <f>BY114</f>
        <v>1.1688003391267485</v>
      </c>
      <c r="BV114" s="715">
        <f>BU114</f>
        <v>1.1688003391267485</v>
      </c>
      <c r="BW114" s="715">
        <f>BV114</f>
        <v>1.1688003391267485</v>
      </c>
      <c r="BX114" s="714">
        <f>BW114</f>
        <v>1.1688003391267485</v>
      </c>
      <c r="BY114" s="715">
        <f>BY264</f>
        <v>1.1688003391267485</v>
      </c>
      <c r="BZ114" s="715">
        <f>BZ264</f>
        <v>1.1688003391267483</v>
      </c>
      <c r="CA114" s="715">
        <f>CB114</f>
        <v>1.1688003391267485</v>
      </c>
      <c r="CB114" s="716">
        <f>CB264</f>
        <v>1.1688003391267485</v>
      </c>
      <c r="CC114" s="715">
        <f>CG114</f>
        <v>1.2248056435358479</v>
      </c>
      <c r="CD114" s="715">
        <f>CC114</f>
        <v>1.2248056435358479</v>
      </c>
      <c r="CE114" s="715">
        <f>CD114</f>
        <v>1.2248056435358479</v>
      </c>
      <c r="CF114" s="714">
        <f>CE114</f>
        <v>1.2248056435358479</v>
      </c>
      <c r="CG114" s="715">
        <f>CG264</f>
        <v>1.2248056435358479</v>
      </c>
      <c r="CH114" s="715">
        <f>CH264</f>
        <v>1.2248056435358483</v>
      </c>
      <c r="CI114" s="715">
        <f>CJ114</f>
        <v>1.2248056435358481</v>
      </c>
      <c r="CJ114" s="716">
        <f>CJ264</f>
        <v>1.2248056435358481</v>
      </c>
    </row>
    <row r="115" spans="1:88" x14ac:dyDescent="0.2">
      <c r="A115" s="584"/>
      <c r="B115" s="681"/>
      <c r="C115" s="272"/>
      <c r="D115" s="272"/>
      <c r="E115" s="272"/>
      <c r="F115" s="272"/>
      <c r="G115" s="272"/>
      <c r="H115" s="272"/>
      <c r="I115" s="272"/>
      <c r="J115" s="272"/>
      <c r="K115" s="272"/>
      <c r="L115" s="272"/>
      <c r="N115" s="278"/>
      <c r="O115" s="278"/>
      <c r="P115" s="278"/>
      <c r="Q115" s="278"/>
      <c r="R115" s="278"/>
      <c r="S115" s="278"/>
      <c r="T115" s="278"/>
      <c r="U115" s="278"/>
      <c r="V115" s="278"/>
      <c r="W115" s="278"/>
      <c r="X115" s="250"/>
      <c r="Y115" s="278"/>
      <c r="Z115" s="278"/>
      <c r="AA115" s="278"/>
      <c r="AB115" s="298"/>
      <c r="AC115" s="278"/>
      <c r="AD115" s="278"/>
      <c r="AE115" s="278"/>
      <c r="AF115" s="700"/>
      <c r="AG115" s="278"/>
      <c r="AH115" s="278"/>
      <c r="AI115" s="278"/>
      <c r="AJ115" s="298"/>
      <c r="AK115" s="278"/>
      <c r="AL115" s="278"/>
      <c r="AM115" s="278"/>
      <c r="AN115" s="700"/>
      <c r="AO115" s="278"/>
      <c r="AP115" s="278"/>
      <c r="AQ115" s="278"/>
      <c r="AR115" s="298"/>
      <c r="AS115" s="278"/>
      <c r="AT115" s="278"/>
      <c r="AU115" s="278"/>
      <c r="AV115" s="700"/>
      <c r="AW115" s="278"/>
      <c r="AX115" s="278"/>
      <c r="AY115" s="278"/>
      <c r="AZ115" s="298"/>
      <c r="BA115" s="278"/>
      <c r="BB115" s="278"/>
      <c r="BC115" s="278"/>
      <c r="BD115" s="700"/>
      <c r="BE115" s="278"/>
      <c r="BF115" s="278"/>
      <c r="BG115" s="278"/>
      <c r="BH115" s="298"/>
      <c r="BI115" s="278"/>
      <c r="BJ115" s="278"/>
      <c r="BK115" s="278"/>
      <c r="BL115" s="700"/>
      <c r="BM115" s="278"/>
      <c r="BN115" s="278"/>
      <c r="BO115" s="278"/>
      <c r="BP115" s="298"/>
      <c r="BQ115" s="278"/>
      <c r="BR115" s="278"/>
      <c r="BS115" s="278"/>
      <c r="BT115" s="700"/>
      <c r="BU115" s="278"/>
      <c r="BV115" s="278"/>
      <c r="BW115" s="278"/>
      <c r="BX115" s="298"/>
      <c r="BY115" s="278"/>
      <c r="BZ115" s="278"/>
      <c r="CA115" s="278"/>
      <c r="CB115" s="700"/>
      <c r="CC115" s="278"/>
      <c r="CD115" s="278"/>
      <c r="CE115" s="278"/>
      <c r="CF115" s="298"/>
      <c r="CG115" s="278"/>
      <c r="CH115" s="278"/>
      <c r="CI115" s="278"/>
      <c r="CJ115" s="700"/>
    </row>
    <row r="116" spans="1:88" x14ac:dyDescent="0.2">
      <c r="A116" s="584" t="s">
        <v>761</v>
      </c>
      <c r="B116" s="681"/>
      <c r="C116" s="272"/>
      <c r="D116" s="272"/>
      <c r="E116" s="272"/>
      <c r="F116" s="272"/>
      <c r="G116" s="272"/>
      <c r="H116" s="272"/>
      <c r="I116" s="272"/>
      <c r="J116" s="272"/>
      <c r="K116" s="272"/>
      <c r="L116" s="272"/>
      <c r="N116" s="4">
        <f>N118-N117</f>
        <v>3533.1569736743513</v>
      </c>
      <c r="O116" s="4">
        <f>O118-O117</f>
        <v>3654.105397587984</v>
      </c>
      <c r="P116" s="4">
        <f>P118-P117</f>
        <v>3697.8889682982626</v>
      </c>
      <c r="Q116" s="4">
        <f>Q118-Q117</f>
        <v>3976.9677572532273</v>
      </c>
      <c r="R116" s="4">
        <f>+R118-R117</f>
        <v>3629.8394372532257</v>
      </c>
      <c r="S116" s="4">
        <f>S118-S117</f>
        <v>4448.8850036781205</v>
      </c>
      <c r="U116" s="4">
        <f t="shared" ref="U116:AA116" si="294">U118-U117</f>
        <v>4739.5059570422545</v>
      </c>
      <c r="V116" s="4">
        <f t="shared" si="294"/>
        <v>2439.3085799999994</v>
      </c>
      <c r="W116" s="4">
        <f t="shared" si="294"/>
        <v>1943.4766540000005</v>
      </c>
      <c r="X116" s="180">
        <f t="shared" si="294"/>
        <v>2984.658237302001</v>
      </c>
      <c r="Y116" s="4">
        <f t="shared" si="294"/>
        <v>1040.1565000000001</v>
      </c>
      <c r="Z116" s="4">
        <f t="shared" si="294"/>
        <v>1138.2972626738626</v>
      </c>
      <c r="AA116" s="4">
        <f t="shared" si="294"/>
        <v>1014.6796886141751</v>
      </c>
      <c r="AB116" s="179">
        <f t="shared" ref="AB116" si="295">AB118-AB117</f>
        <v>841.76814398632177</v>
      </c>
      <c r="AC116" s="4">
        <f>AC118-AC117</f>
        <v>2178.4537626738625</v>
      </c>
      <c r="AD116" s="4">
        <f t="shared" ref="AD116" si="296">AD118-AD117</f>
        <v>1856.4478326004964</v>
      </c>
      <c r="AE116" s="4">
        <f t="shared" ref="AE116:AE117" si="297">AE143+AE146+AE149</f>
        <v>3203.7587195590504</v>
      </c>
      <c r="AF116" s="314">
        <f>AF118-AF117</f>
        <v>4034.9015952743594</v>
      </c>
      <c r="AG116" s="4">
        <f t="shared" ref="AG116:AJ116" si="298">AG118-AG117</f>
        <v>1092.5587750166305</v>
      </c>
      <c r="AH116" s="4">
        <f t="shared" si="298"/>
        <v>1140.1308159822299</v>
      </c>
      <c r="AI116" s="4">
        <f t="shared" si="298"/>
        <v>1054.9169871593433</v>
      </c>
      <c r="AJ116" s="179">
        <f t="shared" si="298"/>
        <v>823.54950693947239</v>
      </c>
      <c r="AK116" s="4">
        <f>AK118-AK117</f>
        <v>2232.6895909988602</v>
      </c>
      <c r="AL116" s="4">
        <f t="shared" ref="AL116" si="299">AL118-AL117</f>
        <v>1878.4664940988159</v>
      </c>
      <c r="AM116" s="4">
        <f t="shared" ref="AM116" si="300">AM143+AM146+AM149</f>
        <v>3287.6065781582038</v>
      </c>
      <c r="AN116" s="314">
        <f>AN118-AN117</f>
        <v>4111.1560850976757</v>
      </c>
      <c r="AO116" s="4">
        <f t="shared" ref="AO116:AR116" si="301">AO118-AO117</f>
        <v>1199.8276975270389</v>
      </c>
      <c r="AP116" s="4">
        <f t="shared" si="301"/>
        <v>1359.9898073806471</v>
      </c>
      <c r="AQ116" s="4">
        <f t="shared" si="301"/>
        <v>1526.8502941063816</v>
      </c>
      <c r="AR116" s="179">
        <f t="shared" si="301"/>
        <v>480.44805798564221</v>
      </c>
      <c r="AS116" s="4">
        <f>AS118-AS117</f>
        <v>2559.8175049076863</v>
      </c>
      <c r="AT116" s="4">
        <f t="shared" ref="AT116" si="302">AT118-AT117</f>
        <v>2007.2983520920234</v>
      </c>
      <c r="AU116" s="4">
        <f t="shared" ref="AK116:AZ117" si="303">AU143+AU146+AU149</f>
        <v>4086.6677990140679</v>
      </c>
      <c r="AV116" s="314">
        <f>AV118-AV117</f>
        <v>4567.1158569997096</v>
      </c>
      <c r="AW116" s="4">
        <f t="shared" ref="AW116:AX116" si="304">AW118-AW117</f>
        <v>1515.3446174342193</v>
      </c>
      <c r="AX116" s="4">
        <f t="shared" si="304"/>
        <v>1411.4522740409029</v>
      </c>
      <c r="AY116" s="11">
        <f t="shared" si="303"/>
        <v>1443.360973762439</v>
      </c>
      <c r="AZ116" s="181">
        <f t="shared" si="303"/>
        <v>1539.2743379801882</v>
      </c>
      <c r="BA116" s="4">
        <f>BA118-BA117</f>
        <v>2926.7968914751227</v>
      </c>
      <c r="BB116" s="11">
        <f>BB143+BB146+BB149</f>
        <v>2982.635311742627</v>
      </c>
      <c r="BC116" s="11">
        <f>BC143+BC146+BC149</f>
        <v>4370.1578652375611</v>
      </c>
      <c r="BD116" s="603">
        <f t="shared" ref="AY116:CJ117" si="305">BD143+BD146+BD149</f>
        <v>5909.4322032177488</v>
      </c>
      <c r="BE116" s="11">
        <f t="shared" si="305"/>
        <v>1357.3540455000002</v>
      </c>
      <c r="BF116" s="11">
        <f t="shared" si="305"/>
        <v>1380.6224455000001</v>
      </c>
      <c r="BG116" s="11">
        <f t="shared" si="305"/>
        <v>1381.6900455000002</v>
      </c>
      <c r="BH116" s="181">
        <f t="shared" si="305"/>
        <v>2268.8240206662208</v>
      </c>
      <c r="BI116" s="11">
        <f t="shared" si="305"/>
        <v>2737.9764910000004</v>
      </c>
      <c r="BJ116" s="11">
        <f t="shared" si="305"/>
        <v>3650.5140661662213</v>
      </c>
      <c r="BK116" s="11">
        <f t="shared" si="305"/>
        <v>4119.6665365000008</v>
      </c>
      <c r="BL116" s="603">
        <f t="shared" si="305"/>
        <v>6388.4905571662221</v>
      </c>
      <c r="BM116" s="11">
        <f t="shared" si="305"/>
        <v>1540.4912468650007</v>
      </c>
      <c r="BN116" s="11">
        <f t="shared" si="305"/>
        <v>1560.4145188650004</v>
      </c>
      <c r="BO116" s="11">
        <f t="shared" si="305"/>
        <v>1563.6915668650006</v>
      </c>
      <c r="BP116" s="181">
        <f t="shared" si="305"/>
        <v>2426.9295045755771</v>
      </c>
      <c r="BQ116" s="11">
        <f t="shared" si="305"/>
        <v>3100.9057657300009</v>
      </c>
      <c r="BR116" s="11">
        <f t="shared" si="305"/>
        <v>3990.6210714405779</v>
      </c>
      <c r="BS116" s="11">
        <f t="shared" si="305"/>
        <v>4664.5973325950017</v>
      </c>
      <c r="BT116" s="603">
        <f t="shared" si="305"/>
        <v>7091.5268371705788</v>
      </c>
      <c r="BU116" s="11">
        <f t="shared" si="305"/>
        <v>1626.6649926709504</v>
      </c>
      <c r="BV116" s="11">
        <f t="shared" si="305"/>
        <v>1623.2003912309506</v>
      </c>
      <c r="BW116" s="11">
        <f t="shared" si="305"/>
        <v>1626.6649926709504</v>
      </c>
      <c r="BX116" s="181">
        <f t="shared" si="305"/>
        <v>2520.9962548369776</v>
      </c>
      <c r="BY116" s="11">
        <f t="shared" si="305"/>
        <v>3249.8653839019012</v>
      </c>
      <c r="BZ116" s="11">
        <f t="shared" si="305"/>
        <v>4147.6612475079282</v>
      </c>
      <c r="CA116" s="11">
        <f t="shared" si="305"/>
        <v>4876.5303765728522</v>
      </c>
      <c r="CB116" s="603">
        <f t="shared" si="305"/>
        <v>7397.526631409829</v>
      </c>
      <c r="CC116" s="11">
        <f t="shared" si="305"/>
        <v>1662.749783483079</v>
      </c>
      <c r="CD116" s="11">
        <f t="shared" si="305"/>
        <v>1661.372480087879</v>
      </c>
      <c r="CE116" s="11">
        <f t="shared" si="305"/>
        <v>1662.749783483079</v>
      </c>
      <c r="CF116" s="181">
        <f t="shared" si="305"/>
        <v>2561.3958383151376</v>
      </c>
      <c r="CG116" s="11">
        <f t="shared" si="305"/>
        <v>3324.1222635709578</v>
      </c>
      <c r="CH116" s="11">
        <f t="shared" si="305"/>
        <v>4224.1456217982168</v>
      </c>
      <c r="CI116" s="11">
        <f t="shared" si="305"/>
        <v>4986.8720470540366</v>
      </c>
      <c r="CJ116" s="603">
        <f t="shared" si="305"/>
        <v>7548.2678853691741</v>
      </c>
    </row>
    <row r="117" spans="1:88" x14ac:dyDescent="0.2">
      <c r="A117" s="584" t="s">
        <v>762</v>
      </c>
      <c r="B117" s="681"/>
      <c r="C117" s="272"/>
      <c r="D117" s="272"/>
      <c r="E117" s="272"/>
      <c r="F117" s="272"/>
      <c r="G117" s="272"/>
      <c r="H117" s="272"/>
      <c r="I117" s="272"/>
      <c r="J117" s="272"/>
      <c r="K117" s="272"/>
      <c r="L117" s="272"/>
      <c r="M117" s="278"/>
      <c r="N117" s="4">
        <f>+O117/(1+O121)</f>
        <v>3416.3786963256498</v>
      </c>
      <c r="O117" s="4">
        <f>+P117/(1+P121)</f>
        <v>4062.0742699311977</v>
      </c>
      <c r="P117" s="4">
        <f>+Q117/(1+Q121)</f>
        <v>4342.3573945564503</v>
      </c>
      <c r="Q117" s="4">
        <f>+R117</f>
        <v>4828.7014227467735</v>
      </c>
      <c r="R117" s="4">
        <f>+S117/(1+S121)</f>
        <v>4828.7014227467735</v>
      </c>
      <c r="S117" s="434">
        <f>+U117/(1+U121)</f>
        <v>5417.8029963218796</v>
      </c>
      <c r="T117" s="434"/>
      <c r="U117" s="1339">
        <f>+Quarterlies!BV173</f>
        <v>5954.1654929577453</v>
      </c>
      <c r="V117" s="199">
        <f>U117*(1+V121)</f>
        <v>3381.9659999999999</v>
      </c>
      <c r="W117" s="199">
        <f>V117*(1+W121)</f>
        <v>3622.0855859999997</v>
      </c>
      <c r="X117" s="180">
        <f>W117*(1+X121)</f>
        <v>4683.3566626979991</v>
      </c>
      <c r="Y117" s="4">
        <f t="shared" ref="Y117:AD117" si="306">Y144+Y147+Y150</f>
        <v>1205</v>
      </c>
      <c r="Z117" s="4">
        <f t="shared" si="306"/>
        <v>1332.0043623261374</v>
      </c>
      <c r="AA117" s="4">
        <f t="shared" si="306"/>
        <v>1556.5423113858246</v>
      </c>
      <c r="AB117" s="179">
        <f>AB144+AB147+AB150</f>
        <v>2130.6343310136781</v>
      </c>
      <c r="AC117" s="4">
        <f t="shared" si="306"/>
        <v>2537.0043623261377</v>
      </c>
      <c r="AD117" s="4">
        <f t="shared" si="306"/>
        <v>3687.1766423995032</v>
      </c>
      <c r="AE117" s="199">
        <f t="shared" si="297"/>
        <v>4093.5466737119623</v>
      </c>
      <c r="AF117" s="314">
        <f>X117*(1+AF121)</f>
        <v>6224.1810047256404</v>
      </c>
      <c r="AG117" s="4">
        <f>AG144+AG147+AG150</f>
        <v>1546.1007099833696</v>
      </c>
      <c r="AH117" s="4">
        <f t="shared" ref="AH117:AI117" si="307">AH144+AH147+AH150</f>
        <v>1774.8268590177706</v>
      </c>
      <c r="AI117" s="4">
        <f t="shared" si="307"/>
        <v>1875.6899228406571</v>
      </c>
      <c r="AJ117" s="179">
        <f>AJ144+AJ147+AJ150</f>
        <v>2577.3845830605273</v>
      </c>
      <c r="AK117" s="4">
        <f t="shared" si="303"/>
        <v>3320.9275690011405</v>
      </c>
      <c r="AL117" s="4">
        <f t="shared" si="303"/>
        <v>4453.0745059011842</v>
      </c>
      <c r="AM117" s="199">
        <f t="shared" si="303"/>
        <v>5196.6174918417973</v>
      </c>
      <c r="AN117" s="314">
        <f>AF117*(1+AN121)</f>
        <v>7774.0020749023251</v>
      </c>
      <c r="AO117" s="4">
        <f>AO144+AO147+AO150</f>
        <v>1887.8984824729616</v>
      </c>
      <c r="AP117" s="4">
        <f t="shared" ref="AP117:AQ117" si="308">AP144+AP147+AP150</f>
        <v>2144.1360476193531</v>
      </c>
      <c r="AQ117" s="4">
        <f t="shared" si="308"/>
        <v>2238.6697558936185</v>
      </c>
      <c r="AR117" s="179">
        <f>AR144+AR147+AR150</f>
        <v>3257.1126570143592</v>
      </c>
      <c r="AS117" s="4">
        <f>AS144+AS147+AS150</f>
        <v>4032.0345300923145</v>
      </c>
      <c r="AT117" s="4">
        <f t="shared" ref="AT117" si="309">AT144+AT147+AT150</f>
        <v>5495.7824129079781</v>
      </c>
      <c r="AU117" s="199">
        <f t="shared" ref="AU117" si="310">AU144+AU147+AU150</f>
        <v>6270.704285985933</v>
      </c>
      <c r="AV117" s="314">
        <f>AN117*(1+AV121)</f>
        <v>9527.8169430002927</v>
      </c>
      <c r="AW117" s="4">
        <f>AW144+AW147+AW150</f>
        <v>2541.170182565781</v>
      </c>
      <c r="AX117" s="4">
        <f t="shared" ref="AX117" si="311">AX144+AX147+AX150</f>
        <v>2815.866275959097</v>
      </c>
      <c r="AY117" s="280">
        <f t="shared" si="305"/>
        <v>2844.277853851393</v>
      </c>
      <c r="AZ117" s="358">
        <f t="shared" si="305"/>
        <v>3910.5809203215517</v>
      </c>
      <c r="BA117" s="4">
        <f>BA144+BA147+BA150</f>
        <v>5357.0364585248781</v>
      </c>
      <c r="BB117" s="280">
        <f t="shared" si="305"/>
        <v>6754.8587741729452</v>
      </c>
      <c r="BC117" s="280">
        <f t="shared" si="305"/>
        <v>8201.3143123762711</v>
      </c>
      <c r="BD117" s="359">
        <f t="shared" si="305"/>
        <v>12111.895232697823</v>
      </c>
      <c r="BE117" s="280">
        <f t="shared" si="305"/>
        <v>2801.1737826402959</v>
      </c>
      <c r="BF117" s="280">
        <f t="shared" si="305"/>
        <v>3439.3156929627276</v>
      </c>
      <c r="BG117" s="280">
        <f t="shared" si="305"/>
        <v>3439.3156929627276</v>
      </c>
      <c r="BH117" s="358">
        <f t="shared" si="305"/>
        <v>4077.4576032851573</v>
      </c>
      <c r="BI117" s="280">
        <f t="shared" si="305"/>
        <v>6240.4894756030235</v>
      </c>
      <c r="BJ117" s="280">
        <f t="shared" si="305"/>
        <v>7516.7732962478849</v>
      </c>
      <c r="BK117" s="280">
        <f t="shared" si="305"/>
        <v>9679.805168565752</v>
      </c>
      <c r="BL117" s="359">
        <f t="shared" si="305"/>
        <v>13757.26277185091</v>
      </c>
      <c r="BM117" s="280">
        <f t="shared" si="305"/>
        <v>3116.7900559371674</v>
      </c>
      <c r="BN117" s="280">
        <f t="shared" si="305"/>
        <v>3821.0191948404295</v>
      </c>
      <c r="BO117" s="280">
        <f t="shared" si="305"/>
        <v>3821.0191948404299</v>
      </c>
      <c r="BP117" s="358">
        <f t="shared" si="305"/>
        <v>4525.2483337436915</v>
      </c>
      <c r="BQ117" s="280">
        <f t="shared" si="305"/>
        <v>6937.8092507775973</v>
      </c>
      <c r="BR117" s="280">
        <f t="shared" si="305"/>
        <v>8346.2675285841215</v>
      </c>
      <c r="BS117" s="280">
        <f t="shared" si="305"/>
        <v>10758.828445618026</v>
      </c>
      <c r="BT117" s="359">
        <f t="shared" si="305"/>
        <v>15284.07677936172</v>
      </c>
      <c r="BU117" s="280">
        <f t="shared" si="305"/>
        <v>3383.1249919641878</v>
      </c>
      <c r="BV117" s="280">
        <f t="shared" si="305"/>
        <v>4150.0890586075702</v>
      </c>
      <c r="BW117" s="280">
        <f t="shared" si="305"/>
        <v>4150.0890586075702</v>
      </c>
      <c r="BX117" s="358">
        <f t="shared" si="305"/>
        <v>4917.0531252509536</v>
      </c>
      <c r="BY117" s="280">
        <f t="shared" si="305"/>
        <v>7533.214050571758</v>
      </c>
      <c r="BZ117" s="280">
        <f t="shared" si="305"/>
        <v>9067.1421838585229</v>
      </c>
      <c r="CA117" s="280">
        <f t="shared" si="305"/>
        <v>11683.303109179327</v>
      </c>
      <c r="CB117" s="359">
        <f t="shared" si="305"/>
        <v>16600.356234430281</v>
      </c>
      <c r="CC117" s="280">
        <f t="shared" si="305"/>
        <v>3578.543846965651</v>
      </c>
      <c r="CD117" s="280">
        <f t="shared" si="305"/>
        <v>4404.3362781074729</v>
      </c>
      <c r="CE117" s="280">
        <f t="shared" si="305"/>
        <v>4404.3362781074729</v>
      </c>
      <c r="CF117" s="358">
        <f t="shared" si="305"/>
        <v>5230.1287092492948</v>
      </c>
      <c r="CG117" s="280">
        <f t="shared" si="305"/>
        <v>7982.8801250731249</v>
      </c>
      <c r="CH117" s="280">
        <f t="shared" si="305"/>
        <v>9634.4649873567687</v>
      </c>
      <c r="CI117" s="280">
        <f t="shared" si="305"/>
        <v>12387.216403180599</v>
      </c>
      <c r="CJ117" s="359">
        <f t="shared" si="305"/>
        <v>17617.345112429892</v>
      </c>
    </row>
    <row r="118" spans="1:88" x14ac:dyDescent="0.2">
      <c r="A118" s="717" t="s">
        <v>774</v>
      </c>
      <c r="B118" s="718"/>
      <c r="C118" s="719"/>
      <c r="D118" s="719"/>
      <c r="E118" s="719"/>
      <c r="F118" s="719"/>
      <c r="G118" s="719"/>
      <c r="H118" s="719"/>
      <c r="I118" s="719"/>
      <c r="J118" s="719"/>
      <c r="K118" s="719"/>
      <c r="L118" s="719"/>
      <c r="M118" s="531"/>
      <c r="N118" s="531">
        <f t="shared" ref="N118:S118" si="312">N98*N$114</f>
        <v>6949.5356700000011</v>
      </c>
      <c r="O118" s="531">
        <f t="shared" si="312"/>
        <v>7716.1796675191817</v>
      </c>
      <c r="P118" s="531">
        <f t="shared" si="312"/>
        <v>8040.246362854713</v>
      </c>
      <c r="Q118" s="531">
        <f t="shared" si="312"/>
        <v>8805.6691800000008</v>
      </c>
      <c r="R118" s="531">
        <f t="shared" si="312"/>
        <v>8458.5408599999992</v>
      </c>
      <c r="S118" s="531">
        <f t="shared" si="312"/>
        <v>9866.6880000000001</v>
      </c>
      <c r="T118" s="531"/>
      <c r="U118" s="531">
        <f>U98*U$114</f>
        <v>10693.67145</v>
      </c>
      <c r="V118" s="531">
        <f>V98*V$114</f>
        <v>5821.2745799999993</v>
      </c>
      <c r="W118" s="531">
        <f>W98*W$114</f>
        <v>5565.5622400000002</v>
      </c>
      <c r="X118" s="532">
        <f>X98*X$114</f>
        <v>7668.0149000000001</v>
      </c>
      <c r="Y118" s="531">
        <f>Y98*Y$114</f>
        <v>2245.1565000000001</v>
      </c>
      <c r="Z118" s="531">
        <f>AC118-Y118</f>
        <v>2470.3016250000001</v>
      </c>
      <c r="AA118" s="531">
        <f>AA98*AA$114</f>
        <v>2571.2219999999998</v>
      </c>
      <c r="AB118" s="727">
        <f>AD118-AA118</f>
        <v>2972.4024749999999</v>
      </c>
      <c r="AC118" s="531">
        <f>AC98*AC$114</f>
        <v>4715.4581250000001</v>
      </c>
      <c r="AD118" s="531">
        <f>AF118-AC118</f>
        <v>5543.6244749999996</v>
      </c>
      <c r="AE118" s="531">
        <f t="shared" ref="AE118:AU118" si="313">AE116+AE117</f>
        <v>7297.3053932710127</v>
      </c>
      <c r="AF118" s="1365">
        <f>AF98*AF$114</f>
        <v>10259.0826</v>
      </c>
      <c r="AG118" s="531">
        <f>AG98*AG$114</f>
        <v>2638.6594850000001</v>
      </c>
      <c r="AH118" s="531">
        <f>AK118-AG118</f>
        <v>2914.9576750000006</v>
      </c>
      <c r="AI118" s="531">
        <f>AI98*AI$114</f>
        <v>2930.6069100000004</v>
      </c>
      <c r="AJ118" s="727">
        <f>AL118-AI118</f>
        <v>3400.9340899999997</v>
      </c>
      <c r="AK118" s="531">
        <f>AK98*AK$114</f>
        <v>5553.6171600000007</v>
      </c>
      <c r="AL118" s="531">
        <f>AN118-AK118</f>
        <v>6331.5410000000002</v>
      </c>
      <c r="AM118" s="531">
        <f t="shared" ref="AM118" si="314">AM116+AM117</f>
        <v>8484.2240700000002</v>
      </c>
      <c r="AN118" s="1365">
        <f>AN98*AN$114</f>
        <v>11885.158160000001</v>
      </c>
      <c r="AO118" s="531">
        <f>AO98*AO$114</f>
        <v>3087.7261800000006</v>
      </c>
      <c r="AP118" s="531">
        <f>AS118-AO118</f>
        <v>3504.1258550000002</v>
      </c>
      <c r="AQ118" s="531">
        <f>AQ98*AQ$114</f>
        <v>3765.5200500000001</v>
      </c>
      <c r="AR118" s="727">
        <f>AT118-AQ118</f>
        <v>3737.5607150000014</v>
      </c>
      <c r="AS118" s="531">
        <f>AS98*AS$114</f>
        <v>6591.8520350000008</v>
      </c>
      <c r="AT118" s="531">
        <f>AV118-AS118</f>
        <v>7503.0807650000015</v>
      </c>
      <c r="AU118" s="531">
        <f t="shared" si="313"/>
        <v>10357.372085000001</v>
      </c>
      <c r="AV118" s="1365">
        <f>AV98*AV$114</f>
        <v>14094.932800000002</v>
      </c>
      <c r="AW118" s="531">
        <f>AW98*AW$114</f>
        <v>4056.5148000000004</v>
      </c>
      <c r="AX118" s="531">
        <f>BA118-AW118</f>
        <v>4227.31855</v>
      </c>
      <c r="AY118" s="533">
        <f t="shared" ref="AY118:BC118" si="315">AY116+AY117</f>
        <v>4287.6388276138323</v>
      </c>
      <c r="AZ118" s="720">
        <f t="shared" si="315"/>
        <v>5449.8552583017399</v>
      </c>
      <c r="BA118" s="531">
        <f>BA98*BA$114</f>
        <v>8283.8333500000008</v>
      </c>
      <c r="BB118" s="533">
        <f t="shared" si="315"/>
        <v>9737.4940859155722</v>
      </c>
      <c r="BC118" s="533">
        <f t="shared" si="315"/>
        <v>12571.472177613832</v>
      </c>
      <c r="BD118" s="721">
        <f>BD116+BD117</f>
        <v>18021.327435915573</v>
      </c>
      <c r="BE118" s="533">
        <f t="shared" ref="BE118:BK118" si="316">BE116+BE117</f>
        <v>4158.5278281402962</v>
      </c>
      <c r="BF118" s="533">
        <f t="shared" si="316"/>
        <v>4819.9381384627277</v>
      </c>
      <c r="BG118" s="533">
        <f t="shared" si="316"/>
        <v>4821.005738462728</v>
      </c>
      <c r="BH118" s="720">
        <f t="shared" si="316"/>
        <v>6346.2816239513777</v>
      </c>
      <c r="BI118" s="533">
        <f t="shared" si="316"/>
        <v>8978.4659666030238</v>
      </c>
      <c r="BJ118" s="533">
        <f t="shared" si="316"/>
        <v>11167.287362414107</v>
      </c>
      <c r="BK118" s="533">
        <f t="shared" si="316"/>
        <v>13799.471705065753</v>
      </c>
      <c r="BL118" s="721">
        <f>BL116+BL117</f>
        <v>20145.753329017134</v>
      </c>
      <c r="BM118" s="533">
        <f t="shared" ref="BM118:BS118" si="317">BM116+BM117</f>
        <v>4657.2813028021683</v>
      </c>
      <c r="BN118" s="533">
        <f t="shared" si="317"/>
        <v>5381.4337137054299</v>
      </c>
      <c r="BO118" s="533">
        <f t="shared" si="317"/>
        <v>5384.7107617054307</v>
      </c>
      <c r="BP118" s="720">
        <f t="shared" si="317"/>
        <v>6952.1778383192686</v>
      </c>
      <c r="BQ118" s="533">
        <f t="shared" si="317"/>
        <v>10038.715016507598</v>
      </c>
      <c r="BR118" s="533">
        <f t="shared" si="317"/>
        <v>12336.8886000247</v>
      </c>
      <c r="BS118" s="533">
        <f t="shared" si="317"/>
        <v>15423.425778213028</v>
      </c>
      <c r="BT118" s="721">
        <f>BT116+BT117</f>
        <v>22375.603616532298</v>
      </c>
      <c r="BU118" s="533">
        <f t="shared" ref="BU118:CA118" si="318">BU116+BU117</f>
        <v>5009.7899846351384</v>
      </c>
      <c r="BV118" s="533">
        <f t="shared" si="318"/>
        <v>5773.2894498385213</v>
      </c>
      <c r="BW118" s="533">
        <f t="shared" si="318"/>
        <v>5776.7540512785208</v>
      </c>
      <c r="BX118" s="720">
        <f t="shared" si="318"/>
        <v>7438.0493800879312</v>
      </c>
      <c r="BY118" s="533">
        <f t="shared" si="318"/>
        <v>10783.079434473659</v>
      </c>
      <c r="BZ118" s="533">
        <f t="shared" si="318"/>
        <v>13214.80343136645</v>
      </c>
      <c r="CA118" s="533">
        <f t="shared" si="318"/>
        <v>16559.83348575218</v>
      </c>
      <c r="CB118" s="721">
        <f>CB116+CB117</f>
        <v>23997.882865840111</v>
      </c>
      <c r="CC118" s="533">
        <f t="shared" ref="CC118:CI118" si="319">CC116+CC117</f>
        <v>5241.2936304487303</v>
      </c>
      <c r="CD118" s="533">
        <f t="shared" si="319"/>
        <v>6065.7087581953519</v>
      </c>
      <c r="CE118" s="533">
        <f t="shared" si="319"/>
        <v>6067.0860615905522</v>
      </c>
      <c r="CF118" s="720">
        <f t="shared" si="319"/>
        <v>7791.5245475644324</v>
      </c>
      <c r="CG118" s="533">
        <f t="shared" si="319"/>
        <v>11307.002388644083</v>
      </c>
      <c r="CH118" s="533">
        <f t="shared" si="319"/>
        <v>13858.610609154985</v>
      </c>
      <c r="CI118" s="533">
        <f t="shared" si="319"/>
        <v>17374.088450234634</v>
      </c>
      <c r="CJ118" s="721">
        <f>CJ116+CJ117</f>
        <v>25165.612997799064</v>
      </c>
    </row>
    <row r="119" spans="1:88" x14ac:dyDescent="0.2">
      <c r="A119" s="690"/>
      <c r="B119" s="681"/>
      <c r="C119" s="272"/>
      <c r="D119" s="272"/>
      <c r="E119" s="272"/>
      <c r="F119" s="272"/>
      <c r="G119" s="272"/>
      <c r="H119" s="272"/>
      <c r="I119" s="272"/>
      <c r="J119" s="272"/>
      <c r="K119" s="272"/>
      <c r="L119" s="272"/>
      <c r="M119" s="278"/>
      <c r="N119" s="278"/>
      <c r="O119" s="278"/>
      <c r="P119" s="278"/>
      <c r="Q119" s="278"/>
      <c r="R119" s="278"/>
      <c r="S119" s="278"/>
      <c r="T119" s="278"/>
      <c r="U119" s="278"/>
      <c r="V119" s="278"/>
      <c r="W119" s="278"/>
      <c r="X119" s="250"/>
      <c r="Y119" s="278"/>
      <c r="Z119" s="278"/>
      <c r="AA119" s="278"/>
      <c r="AB119" s="298"/>
      <c r="AC119" s="278"/>
      <c r="AD119" s="278"/>
      <c r="AE119" s="278"/>
      <c r="AF119" s="691"/>
      <c r="AG119" s="278"/>
      <c r="AH119" s="278"/>
      <c r="AI119" s="278"/>
      <c r="AJ119" s="298"/>
      <c r="AK119" s="278"/>
      <c r="AL119" s="278"/>
      <c r="AM119" s="278"/>
      <c r="AN119" s="691"/>
      <c r="AO119" s="278"/>
      <c r="AP119" s="278"/>
      <c r="AQ119" s="278"/>
      <c r="AR119" s="298"/>
      <c r="AS119" s="278"/>
      <c r="AT119" s="278"/>
      <c r="AU119" s="278"/>
      <c r="AV119" s="691"/>
      <c r="AW119" s="278"/>
      <c r="AX119" s="278"/>
      <c r="AY119" s="278"/>
      <c r="AZ119" s="298"/>
      <c r="BA119" s="278"/>
      <c r="BB119" s="278"/>
      <c r="BC119" s="278"/>
      <c r="BD119" s="691"/>
      <c r="BE119" s="278"/>
      <c r="BF119" s="278"/>
      <c r="BG119" s="278"/>
      <c r="BH119" s="298"/>
      <c r="BI119" s="278"/>
      <c r="BJ119" s="278"/>
      <c r="BK119" s="278"/>
      <c r="BL119" s="691"/>
      <c r="BM119" s="278"/>
      <c r="BN119" s="278"/>
      <c r="BO119" s="278"/>
      <c r="BP119" s="298"/>
      <c r="BQ119" s="278"/>
      <c r="BR119" s="278"/>
      <c r="BS119" s="278"/>
      <c r="BT119" s="691"/>
      <c r="BU119" s="278"/>
      <c r="BV119" s="278"/>
      <c r="BW119" s="278"/>
      <c r="BX119" s="298"/>
      <c r="BY119" s="278"/>
      <c r="BZ119" s="278"/>
      <c r="CA119" s="278"/>
      <c r="CB119" s="691"/>
      <c r="CC119" s="278"/>
      <c r="CD119" s="278"/>
      <c r="CE119" s="278"/>
      <c r="CF119" s="298"/>
      <c r="CG119" s="278"/>
      <c r="CH119" s="278"/>
      <c r="CI119" s="278"/>
      <c r="CJ119" s="691"/>
    </row>
    <row r="120" spans="1:88" x14ac:dyDescent="0.2">
      <c r="A120" s="690" t="s">
        <v>765</v>
      </c>
      <c r="B120" s="681"/>
      <c r="C120" s="272"/>
      <c r="D120" s="272"/>
      <c r="E120" s="272"/>
      <c r="F120" s="272"/>
      <c r="G120" s="272"/>
      <c r="H120" s="272"/>
      <c r="I120" s="272"/>
      <c r="J120" s="272"/>
      <c r="K120" s="272"/>
      <c r="L120" s="272"/>
      <c r="M120" s="272"/>
      <c r="N120" s="692"/>
      <c r="O120" s="19">
        <f>O116/N116-1</f>
        <v>3.4232394658607834E-2</v>
      </c>
      <c r="P120" s="19">
        <f>P116/O116-1</f>
        <v>1.1982021848406355E-2</v>
      </c>
      <c r="Q120" s="19">
        <f>Q116/P116-1</f>
        <v>7.5469758921235197E-2</v>
      </c>
      <c r="R120" s="19"/>
      <c r="S120" s="19">
        <f>S116/Q116-1</f>
        <v>0.1186625779311905</v>
      </c>
      <c r="T120" s="19"/>
      <c r="U120" s="19">
        <f>U116/S116-1</f>
        <v>6.5324447164595734E-2</v>
      </c>
      <c r="V120" s="19">
        <f>V116/U116-1</f>
        <v>-0.4853242928462782</v>
      </c>
      <c r="W120" s="19">
        <f>W116/V116-1</f>
        <v>-0.20326740538911192</v>
      </c>
      <c r="X120" s="494">
        <f>X116/W116-1</f>
        <v>0.5357314589599389</v>
      </c>
      <c r="Y120" s="19"/>
      <c r="Z120" s="19"/>
      <c r="AA120" s="19"/>
      <c r="AB120" s="643"/>
      <c r="AC120" s="19"/>
      <c r="AD120" s="19"/>
      <c r="AE120" s="19"/>
      <c r="AF120" s="668">
        <f>AF116/X116-1</f>
        <v>0.35188060892416684</v>
      </c>
      <c r="AG120" s="19">
        <f t="shared" ref="AG120:CJ122" si="320">AG116/Y116-1</f>
        <v>5.0379221796557072E-2</v>
      </c>
      <c r="AH120" s="19">
        <f t="shared" si="320"/>
        <v>1.61078601213549E-3</v>
      </c>
      <c r="AI120" s="19">
        <f t="shared" si="320"/>
        <v>3.9655172954258466E-2</v>
      </c>
      <c r="AJ120" s="643">
        <f t="shared" si="320"/>
        <v>-2.1643295932502582E-2</v>
      </c>
      <c r="AK120" s="19">
        <f t="shared" si="320"/>
        <v>2.4896478986282444E-2</v>
      </c>
      <c r="AL120" s="19">
        <f t="shared" si="320"/>
        <v>1.1860641118838222E-2</v>
      </c>
      <c r="AM120" s="19">
        <f t="shared" si="320"/>
        <v>2.6171714519966693E-2</v>
      </c>
      <c r="AN120" s="668">
        <f>AN116/AF116-1</f>
        <v>1.8898723555643926E-2</v>
      </c>
      <c r="AO120" s="19">
        <f t="shared" si="320"/>
        <v>9.8181374735446747E-2</v>
      </c>
      <c r="AP120" s="19">
        <f t="shared" si="320"/>
        <v>0.19283663621442182</v>
      </c>
      <c r="AQ120" s="19">
        <f t="shared" si="320"/>
        <v>0.4473653497777581</v>
      </c>
      <c r="AR120" s="643">
        <f t="shared" si="320"/>
        <v>-0.41661302212284224</v>
      </c>
      <c r="AS120" s="19">
        <f t="shared" si="320"/>
        <v>0.14651741792842587</v>
      </c>
      <c r="AT120" s="19">
        <f t="shared" si="320"/>
        <v>6.8583527253710086E-2</v>
      </c>
      <c r="AU120" s="19">
        <f t="shared" si="320"/>
        <v>0.24305256783599627</v>
      </c>
      <c r="AV120" s="668">
        <f>AV116/AN116-1</f>
        <v>0.11090792041557851</v>
      </c>
      <c r="AW120" s="19">
        <f t="shared" si="320"/>
        <v>0.26296852502862822</v>
      </c>
      <c r="AX120" s="19">
        <f t="shared" si="320"/>
        <v>3.7840332612031125E-2</v>
      </c>
      <c r="AY120" s="495">
        <f t="shared" si="320"/>
        <v>-5.4680750736473716E-2</v>
      </c>
      <c r="AZ120" s="647">
        <f t="shared" si="320"/>
        <v>2.2038309082439627</v>
      </c>
      <c r="BA120" s="19">
        <f t="shared" si="320"/>
        <v>0.14336154271305013</v>
      </c>
      <c r="BB120" s="495">
        <f t="shared" si="320"/>
        <v>0.4858953621090254</v>
      </c>
      <c r="BC120" s="495">
        <f t="shared" si="320"/>
        <v>6.9369491274012152E-2</v>
      </c>
      <c r="BD120" s="648">
        <f t="shared" si="320"/>
        <v>0.29390897630958102</v>
      </c>
      <c r="BE120" s="495">
        <f t="shared" si="320"/>
        <v>-0.10426048973713231</v>
      </c>
      <c r="BF120" s="495">
        <f t="shared" si="320"/>
        <v>-2.1842629118899559E-2</v>
      </c>
      <c r="BG120" s="495">
        <f t="shared" si="320"/>
        <v>-4.2727307571355455E-2</v>
      </c>
      <c r="BH120" s="647">
        <f t="shared" si="320"/>
        <v>0.47395689298850807</v>
      </c>
      <c r="BI120" s="495">
        <f t="shared" si="320"/>
        <v>-6.4514350491863381E-2</v>
      </c>
      <c r="BJ120" s="495">
        <f t="shared" si="320"/>
        <v>0.22392236549810751</v>
      </c>
      <c r="BK120" s="495">
        <f t="shared" si="320"/>
        <v>-5.7318599570531426E-2</v>
      </c>
      <c r="BL120" s="648">
        <f t="shared" si="320"/>
        <v>8.1066731536004522E-2</v>
      </c>
      <c r="BM120" s="495">
        <f t="shared" si="320"/>
        <v>0.13492220542764821</v>
      </c>
      <c r="BN120" s="495">
        <f t="shared" si="320"/>
        <v>0.13022537330970851</v>
      </c>
      <c r="BO120" s="495">
        <f t="shared" si="320"/>
        <v>0.13172384208582644</v>
      </c>
      <c r="BP120" s="647">
        <f t="shared" si="320"/>
        <v>6.968609397168235E-2</v>
      </c>
      <c r="BQ120" s="495">
        <f t="shared" si="320"/>
        <v>0.13255383160629219</v>
      </c>
      <c r="BR120" s="495">
        <f t="shared" si="320"/>
        <v>9.316687981743299E-2</v>
      </c>
      <c r="BS120" s="495">
        <f t="shared" si="320"/>
        <v>0.13227546241108268</v>
      </c>
      <c r="BT120" s="648">
        <f t="shared" si="320"/>
        <v>0.11004732240164827</v>
      </c>
      <c r="BU120" s="495">
        <f t="shared" si="320"/>
        <v>5.5939133689541398E-2</v>
      </c>
      <c r="BV120" s="495">
        <f t="shared" si="320"/>
        <v>4.0236662506587528E-2</v>
      </c>
      <c r="BW120" s="495">
        <f t="shared" si="320"/>
        <v>4.0272280761994184E-2</v>
      </c>
      <c r="BX120" s="647">
        <f t="shared" si="320"/>
        <v>3.8759572572690359E-2</v>
      </c>
      <c r="BY120" s="495">
        <f t="shared" si="320"/>
        <v>4.8037454029769E-2</v>
      </c>
      <c r="BZ120" s="495">
        <f t="shared" si="320"/>
        <v>3.9352314653783971E-2</v>
      </c>
      <c r="CA120" s="495">
        <f t="shared" si="320"/>
        <v>4.5434370614783282E-2</v>
      </c>
      <c r="CB120" s="648">
        <f t="shared" si="320"/>
        <v>4.3150057986855117E-2</v>
      </c>
      <c r="CC120" s="495">
        <f t="shared" si="320"/>
        <v>2.2183295868978048E-2</v>
      </c>
      <c r="CD120" s="495">
        <f t="shared" si="320"/>
        <v>2.3516559670109904E-2</v>
      </c>
      <c r="CE120" s="495">
        <f t="shared" si="320"/>
        <v>2.2183295868978048E-2</v>
      </c>
      <c r="CF120" s="647">
        <f t="shared" si="320"/>
        <v>1.6025245337293104E-2</v>
      </c>
      <c r="CG120" s="495">
        <f t="shared" si="320"/>
        <v>2.2849217089694118E-2</v>
      </c>
      <c r="CH120" s="495">
        <f t="shared" si="320"/>
        <v>1.8440361863265364E-2</v>
      </c>
      <c r="CI120" s="495">
        <f t="shared" si="320"/>
        <v>2.2627085645005485E-2</v>
      </c>
      <c r="CJ120" s="648">
        <f t="shared" si="320"/>
        <v>2.0377250596070651E-2</v>
      </c>
    </row>
    <row r="121" spans="1:88" x14ac:dyDescent="0.2">
      <c r="A121" s="690" t="s">
        <v>766</v>
      </c>
      <c r="B121" s="681"/>
      <c r="C121" s="272"/>
      <c r="D121" s="272"/>
      <c r="E121" s="272"/>
      <c r="F121" s="272" t="s">
        <v>775</v>
      </c>
      <c r="G121" s="272"/>
      <c r="H121" s="272"/>
      <c r="I121" s="272"/>
      <c r="J121" s="272"/>
      <c r="K121" s="272"/>
      <c r="L121" s="272"/>
      <c r="M121" s="272"/>
      <c r="N121" s="272">
        <v>0.113</v>
      </c>
      <c r="O121" s="272">
        <v>0.189</v>
      </c>
      <c r="P121" s="272">
        <v>6.9000000000000006E-2</v>
      </c>
      <c r="Q121" s="272">
        <v>0.112</v>
      </c>
      <c r="R121" s="272"/>
      <c r="S121" s="272">
        <v>0.122</v>
      </c>
      <c r="T121" s="272"/>
      <c r="U121" s="272">
        <v>9.9000000000000005E-2</v>
      </c>
      <c r="V121" s="19">
        <v>-0.432</v>
      </c>
      <c r="W121" s="272">
        <v>7.0999999999999994E-2</v>
      </c>
      <c r="X121" s="275">
        <v>0.29299999999999998</v>
      </c>
      <c r="Y121" s="272">
        <v>0.38100000000000001</v>
      </c>
      <c r="Z121" s="272">
        <v>0.35</v>
      </c>
      <c r="AA121" s="272">
        <v>0.39</v>
      </c>
      <c r="AB121" s="248">
        <v>0.21</v>
      </c>
      <c r="AC121" s="272">
        <v>0.36499999999999999</v>
      </c>
      <c r="AD121" s="272">
        <f>AD117/Quarterlies!CR173-1</f>
        <v>0.31062162961517048</v>
      </c>
      <c r="AE121" s="272">
        <v>0.375</v>
      </c>
      <c r="AF121" s="602">
        <v>0.32900000000000001</v>
      </c>
      <c r="AG121" s="850">
        <f t="shared" si="320"/>
        <v>0.28307112861690431</v>
      </c>
      <c r="AH121" s="850">
        <f t="shared" si="320"/>
        <v>0.33244823306607874</v>
      </c>
      <c r="AI121" s="850">
        <f t="shared" si="320"/>
        <v>0.20503625832740013</v>
      </c>
      <c r="AJ121" s="852">
        <v>0.21099999999999999</v>
      </c>
      <c r="AK121" s="850">
        <f t="shared" si="320"/>
        <v>0.30899560848852325</v>
      </c>
      <c r="AL121" s="850">
        <f t="shared" si="320"/>
        <v>0.20771933047483659</v>
      </c>
      <c r="AM121" s="850">
        <f t="shared" si="320"/>
        <v>0.26946579727881503</v>
      </c>
      <c r="AN121" s="1382">
        <v>0.249</v>
      </c>
      <c r="AO121" s="850">
        <f t="shared" si="320"/>
        <v>0.22107083340856137</v>
      </c>
      <c r="AP121" s="850">
        <f t="shared" si="320"/>
        <v>0.20808181188218366</v>
      </c>
      <c r="AQ121" s="850">
        <f t="shared" si="320"/>
        <v>0.19351803762065467</v>
      </c>
      <c r="AR121" s="643">
        <v>0.12</v>
      </c>
      <c r="AS121" s="19">
        <f t="shared" si="320"/>
        <v>0.21412901856967004</v>
      </c>
      <c r="AT121" s="19">
        <f t="shared" si="320"/>
        <v>0.23415460613223615</v>
      </c>
      <c r="AU121" s="19">
        <f t="shared" si="320"/>
        <v>0.2066896006547243</v>
      </c>
      <c r="AV121" s="668">
        <v>0.22560000000000038</v>
      </c>
      <c r="AW121" s="850">
        <f t="shared" si="320"/>
        <v>0.34603115906799053</v>
      </c>
      <c r="AX121" s="850">
        <f t="shared" si="320"/>
        <v>0.31328712983747931</v>
      </c>
      <c r="AY121" s="723">
        <f t="shared" si="320"/>
        <v>0.27052140958416238</v>
      </c>
      <c r="AZ121" s="724">
        <f t="shared" si="320"/>
        <v>0.20062808140821131</v>
      </c>
      <c r="BA121" s="19">
        <f t="shared" si="320"/>
        <v>0.32861869573379554</v>
      </c>
      <c r="BB121" s="723">
        <f t="shared" si="320"/>
        <v>0.22909865541761021</v>
      </c>
      <c r="BC121" s="723">
        <f t="shared" si="320"/>
        <v>0.30787770214343491</v>
      </c>
      <c r="BD121" s="722">
        <f t="shared" si="320"/>
        <v>0.2712140992167098</v>
      </c>
      <c r="BE121" s="723">
        <f t="shared" si="320"/>
        <v>0.10231648468816568</v>
      </c>
      <c r="BF121" s="723">
        <f t="shared" si="320"/>
        <v>0.22140590351410805</v>
      </c>
      <c r="BG121" s="723">
        <f t="shared" si="320"/>
        <v>0.20920524283715913</v>
      </c>
      <c r="BH121" s="724">
        <f t="shared" si="320"/>
        <v>4.2673118486417527E-2</v>
      </c>
      <c r="BI121" s="723">
        <f t="shared" si="320"/>
        <v>0.16491450523400286</v>
      </c>
      <c r="BJ121" s="723">
        <f t="shared" si="320"/>
        <v>0.11279503355245613</v>
      </c>
      <c r="BK121" s="723">
        <f t="shared" si="320"/>
        <v>0.18027486813404403</v>
      </c>
      <c r="BL121" s="722">
        <f t="shared" si="320"/>
        <v>0.13584724005134863</v>
      </c>
      <c r="BM121" s="723">
        <f t="shared" si="320"/>
        <v>0.11267286423028766</v>
      </c>
      <c r="BN121" s="723">
        <f t="shared" si="320"/>
        <v>0.11098239764925188</v>
      </c>
      <c r="BO121" s="723">
        <f t="shared" si="320"/>
        <v>0.11098239764925211</v>
      </c>
      <c r="BP121" s="724">
        <f t="shared" si="320"/>
        <v>0.10982106352197385</v>
      </c>
      <c r="BQ121" s="723">
        <f t="shared" si="320"/>
        <v>0.11174119881152289</v>
      </c>
      <c r="BR121" s="723">
        <f t="shared" si="320"/>
        <v>0.11035243443490472</v>
      </c>
      <c r="BS121" s="723">
        <f t="shared" si="320"/>
        <v>0.11147159041550747</v>
      </c>
      <c r="BT121" s="722">
        <f t="shared" si="320"/>
        <v>0.11098239764925211</v>
      </c>
      <c r="BU121" s="723">
        <f t="shared" si="320"/>
        <v>8.5451676643949481E-2</v>
      </c>
      <c r="BV121" s="723">
        <f t="shared" si="320"/>
        <v>8.6120965896085533E-2</v>
      </c>
      <c r="BW121" s="723">
        <f t="shared" si="320"/>
        <v>8.6120965896085311E-2</v>
      </c>
      <c r="BX121" s="724">
        <f t="shared" si="320"/>
        <v>8.6581942605374218E-2</v>
      </c>
      <c r="BY121" s="723">
        <f t="shared" si="320"/>
        <v>8.5820289701309838E-2</v>
      </c>
      <c r="BZ121" s="723">
        <f t="shared" si="320"/>
        <v>8.6370902059581089E-2</v>
      </c>
      <c r="CA121" s="723">
        <f t="shared" si="320"/>
        <v>8.5927075446381895E-2</v>
      </c>
      <c r="CB121" s="722">
        <f t="shared" si="320"/>
        <v>8.6120965896085311E-2</v>
      </c>
      <c r="CC121" s="723">
        <f t="shared" si="320"/>
        <v>5.7762824449476335E-2</v>
      </c>
      <c r="CD121" s="723">
        <f t="shared" si="320"/>
        <v>6.1263075541132528E-2</v>
      </c>
      <c r="CE121" s="723">
        <f t="shared" si="320"/>
        <v>6.1263075541132528E-2</v>
      </c>
      <c r="CF121" s="724">
        <f t="shared" si="320"/>
        <v>6.3671385283713633E-2</v>
      </c>
      <c r="CG121" s="723">
        <f t="shared" si="320"/>
        <v>5.9691132029792593E-2</v>
      </c>
      <c r="CH121" s="723">
        <f t="shared" si="320"/>
        <v>6.2569086487714198E-2</v>
      </c>
      <c r="CI121" s="723">
        <f t="shared" si="320"/>
        <v>6.0249510555642649E-2</v>
      </c>
      <c r="CJ121" s="722">
        <f t="shared" si="320"/>
        <v>6.1263075541132528E-2</v>
      </c>
    </row>
    <row r="122" spans="1:88" x14ac:dyDescent="0.2">
      <c r="A122" s="693" t="s">
        <v>776</v>
      </c>
      <c r="B122" s="681"/>
      <c r="C122" s="272"/>
      <c r="D122" s="272"/>
      <c r="E122" s="272"/>
      <c r="F122" s="272"/>
      <c r="G122" s="272"/>
      <c r="H122" s="272"/>
      <c r="I122" s="272"/>
      <c r="J122" s="272"/>
      <c r="K122" s="272"/>
      <c r="L122" s="272"/>
      <c r="M122" s="272"/>
      <c r="N122" s="692"/>
      <c r="O122" s="638">
        <f t="shared" ref="O122:X122" si="321">O118/N118-1</f>
        <v>0.1103158590621609</v>
      </c>
      <c r="P122" s="638">
        <f t="shared" si="321"/>
        <v>4.1998334577364904E-2</v>
      </c>
      <c r="Q122" s="638">
        <f>Q118/P118-1</f>
        <v>9.5198925829123704E-2</v>
      </c>
      <c r="R122" s="638"/>
      <c r="S122" s="638">
        <f>S118/Q118-1</f>
        <v>0.12049269604743418</v>
      </c>
      <c r="T122" s="638"/>
      <c r="U122" s="638">
        <f>U118/S118-1</f>
        <v>8.3815708979548154E-2</v>
      </c>
      <c r="V122" s="694">
        <f t="shared" si="321"/>
        <v>-0.45563367948806777</v>
      </c>
      <c r="W122" s="694">
        <f t="shared" si="321"/>
        <v>-4.3927208120115746E-2</v>
      </c>
      <c r="X122" s="695">
        <f t="shared" si="321"/>
        <v>0.37776105438001539</v>
      </c>
      <c r="Y122" s="694"/>
      <c r="Z122" s="694"/>
      <c r="AA122" s="694"/>
      <c r="AB122" s="696"/>
      <c r="AC122" s="694"/>
      <c r="AD122" s="694"/>
      <c r="AE122" s="694"/>
      <c r="AF122" s="1361">
        <f>AF118/X118-1</f>
        <v>0.3379059292125266</v>
      </c>
      <c r="AG122" s="694">
        <f t="shared" si="320"/>
        <v>0.17526750807794467</v>
      </c>
      <c r="AH122" s="694">
        <f t="shared" si="320"/>
        <v>0.18000071145158247</v>
      </c>
      <c r="AI122" s="694">
        <f t="shared" si="320"/>
        <v>0.13977202668614397</v>
      </c>
      <c r="AJ122" s="696">
        <f t="shared" si="320"/>
        <v>0.14417011781017308</v>
      </c>
      <c r="AK122" s="694">
        <f t="shared" si="320"/>
        <v>0.17774710596120502</v>
      </c>
      <c r="AL122" s="694">
        <f t="shared" si="320"/>
        <v>0.14213021256278369</v>
      </c>
      <c r="AM122" s="694">
        <f t="shared" si="320"/>
        <v>0.16265163820928596</v>
      </c>
      <c r="AN122" s="1361">
        <f>AN118/AF118-1</f>
        <v>0.15850106909169459</v>
      </c>
      <c r="AO122" s="694">
        <f t="shared" si="320"/>
        <v>0.17018743705006734</v>
      </c>
      <c r="AP122" s="694">
        <f t="shared" si="320"/>
        <v>0.20211894843378797</v>
      </c>
      <c r="AQ122" s="694">
        <f t="shared" si="320"/>
        <v>0.28489427809340673</v>
      </c>
      <c r="AR122" s="696">
        <f t="shared" si="320"/>
        <v>9.8980637698862894E-2</v>
      </c>
      <c r="AS122" s="694">
        <f t="shared" si="320"/>
        <v>0.18694750557850837</v>
      </c>
      <c r="AT122" s="694">
        <f t="shared" si="320"/>
        <v>0.18503232704329031</v>
      </c>
      <c r="AU122" s="694">
        <f t="shared" si="320"/>
        <v>0.22078012079188292</v>
      </c>
      <c r="AV122" s="1361">
        <f>AV118/AN118-1</f>
        <v>0.18592723885131712</v>
      </c>
      <c r="AW122" s="694">
        <f t="shared" si="320"/>
        <v>0.3137547060601078</v>
      </c>
      <c r="AX122" s="694">
        <f t="shared" si="320"/>
        <v>0.20638319653047965</v>
      </c>
      <c r="AY122" s="698">
        <f t="shared" si="320"/>
        <v>0.13865781370991037</v>
      </c>
      <c r="AZ122" s="699">
        <f t="shared" si="320"/>
        <v>0.45813156597825011</v>
      </c>
      <c r="BA122" s="694">
        <f t="shared" si="320"/>
        <v>0.25667768421018566</v>
      </c>
      <c r="BB122" s="698">
        <f t="shared" si="320"/>
        <v>0.2977994494392957</v>
      </c>
      <c r="BC122" s="698">
        <f t="shared" si="320"/>
        <v>0.21377045011450235</v>
      </c>
      <c r="BD122" s="697">
        <f t="shared" si="320"/>
        <v>0.27856781523041874</v>
      </c>
      <c r="BE122" s="698">
        <f t="shared" si="320"/>
        <v>2.5147949205139186E-2</v>
      </c>
      <c r="BF122" s="698">
        <f t="shared" si="320"/>
        <v>0.14018806045802434</v>
      </c>
      <c r="BG122" s="698">
        <f t="shared" si="320"/>
        <v>0.12439641777050658</v>
      </c>
      <c r="BH122" s="699">
        <f t="shared" si="320"/>
        <v>0.16448627039848729</v>
      </c>
      <c r="BI122" s="698">
        <f t="shared" si="320"/>
        <v>8.3854006624001221E-2</v>
      </c>
      <c r="BJ122" s="698">
        <f t="shared" si="320"/>
        <v>0.14683380178547223</v>
      </c>
      <c r="BK122" s="698">
        <f t="shared" si="320"/>
        <v>9.7681441767705879E-2</v>
      </c>
      <c r="BL122" s="697">
        <f t="shared" si="320"/>
        <v>0.11788398499811348</v>
      </c>
      <c r="BM122" s="698">
        <f t="shared" si="320"/>
        <v>0.11993510570901145</v>
      </c>
      <c r="BN122" s="698">
        <f t="shared" si="320"/>
        <v>0.11649435306275224</v>
      </c>
      <c r="BO122" s="698">
        <f t="shared" si="320"/>
        <v>0.11692685174493311</v>
      </c>
      <c r="BP122" s="699">
        <f t="shared" si="320"/>
        <v>9.5472632680086322E-2</v>
      </c>
      <c r="BQ122" s="698">
        <f t="shared" si="320"/>
        <v>0.11808799563849282</v>
      </c>
      <c r="BR122" s="698">
        <f t="shared" si="320"/>
        <v>0.10473458769827459</v>
      </c>
      <c r="BS122" s="698">
        <f t="shared" si="320"/>
        <v>0.11768233653112437</v>
      </c>
      <c r="BT122" s="697">
        <f t="shared" si="320"/>
        <v>0.11068587265502638</v>
      </c>
      <c r="BU122" s="698">
        <f t="shared" si="320"/>
        <v>7.5689798170635481E-2</v>
      </c>
      <c r="BV122" s="698">
        <f t="shared" si="320"/>
        <v>7.2816233922033291E-2</v>
      </c>
      <c r="BW122" s="698">
        <f t="shared" si="320"/>
        <v>7.2806749874328114E-2</v>
      </c>
      <c r="BX122" s="699">
        <f t="shared" si="320"/>
        <v>6.9887674491095231E-2</v>
      </c>
      <c r="BY122" s="698">
        <f t="shared" si="320"/>
        <v>7.4149372379037848E-2</v>
      </c>
      <c r="BZ122" s="698">
        <f t="shared" si="320"/>
        <v>7.1161770184095863E-2</v>
      </c>
      <c r="CA122" s="698">
        <f t="shared" si="320"/>
        <v>7.3680628667103898E-2</v>
      </c>
      <c r="CB122" s="697">
        <f t="shared" si="320"/>
        <v>7.2502144617416553E-2</v>
      </c>
      <c r="CC122" s="698">
        <f t="shared" si="320"/>
        <v>4.6210249635934009E-2</v>
      </c>
      <c r="CD122" s="698">
        <f t="shared" si="320"/>
        <v>5.0650380670764772E-2</v>
      </c>
      <c r="CE122" s="698">
        <f t="shared" si="320"/>
        <v>5.0258676020277226E-2</v>
      </c>
      <c r="CF122" s="699">
        <f t="shared" si="320"/>
        <v>4.7522562625461173E-2</v>
      </c>
      <c r="CG122" s="698">
        <f t="shared" si="320"/>
        <v>4.8587507618226056E-2</v>
      </c>
      <c r="CH122" s="698">
        <f t="shared" si="320"/>
        <v>4.8718634456597742E-2</v>
      </c>
      <c r="CI122" s="698">
        <f t="shared" si="320"/>
        <v>4.9170480197341826E-2</v>
      </c>
      <c r="CJ122" s="697">
        <f t="shared" si="320"/>
        <v>4.8659714629291972E-2</v>
      </c>
    </row>
    <row r="123" spans="1:88" x14ac:dyDescent="0.2">
      <c r="A123" s="693"/>
      <c r="B123" s="681"/>
      <c r="C123" s="272"/>
      <c r="D123" s="272"/>
      <c r="E123" s="272"/>
      <c r="F123" s="272"/>
      <c r="G123" s="272"/>
      <c r="H123" s="272"/>
      <c r="I123" s="272"/>
      <c r="J123" s="272"/>
      <c r="K123" s="272"/>
      <c r="L123" s="272"/>
      <c r="M123" s="278"/>
      <c r="N123" s="692"/>
      <c r="O123" s="261"/>
      <c r="P123" s="261"/>
      <c r="Q123" s="15"/>
      <c r="S123" s="261"/>
      <c r="T123" s="261"/>
      <c r="U123" s="261"/>
      <c r="V123" s="261"/>
      <c r="W123" s="261"/>
      <c r="X123" s="594"/>
      <c r="Y123" s="261"/>
      <c r="Z123" s="261"/>
      <c r="AA123" s="261"/>
      <c r="AB123" s="725"/>
      <c r="AC123" s="261"/>
      <c r="AD123" s="261"/>
      <c r="AE123" s="261"/>
      <c r="AF123" s="597"/>
      <c r="AG123" s="261"/>
      <c r="AH123" s="261"/>
      <c r="AI123" s="261"/>
      <c r="AJ123" s="725"/>
      <c r="AK123" s="261"/>
      <c r="AL123" s="261"/>
      <c r="AM123" s="261"/>
      <c r="AN123" s="597"/>
      <c r="AO123" s="261"/>
      <c r="AP123" s="261"/>
      <c r="AQ123" s="261"/>
      <c r="AR123" s="725"/>
      <c r="AS123" s="261"/>
      <c r="AT123" s="261"/>
      <c r="AU123" s="261"/>
      <c r="AV123" s="597"/>
      <c r="AW123" s="261"/>
      <c r="AX123" s="261"/>
      <c r="AY123" s="261"/>
      <c r="AZ123" s="725"/>
      <c r="BA123" s="261"/>
      <c r="BB123" s="261"/>
      <c r="BC123" s="261"/>
      <c r="BD123" s="597"/>
      <c r="BE123" s="261"/>
      <c r="BF123" s="261"/>
      <c r="BG123" s="261"/>
      <c r="BH123" s="725"/>
      <c r="BI123" s="261"/>
      <c r="BJ123" s="261"/>
      <c r="BK123" s="261"/>
      <c r="BL123" s="597"/>
      <c r="BM123" s="261"/>
      <c r="BN123" s="261"/>
      <c r="BO123" s="261"/>
      <c r="BP123" s="725"/>
      <c r="BQ123" s="261"/>
      <c r="BR123" s="261"/>
      <c r="BS123" s="261"/>
      <c r="BT123" s="597"/>
      <c r="BU123" s="261"/>
      <c r="BV123" s="261"/>
      <c r="BW123" s="261"/>
      <c r="BX123" s="725"/>
      <c r="BY123" s="261"/>
      <c r="BZ123" s="261"/>
      <c r="CA123" s="261"/>
      <c r="CB123" s="597"/>
      <c r="CC123" s="261"/>
      <c r="CD123" s="261"/>
      <c r="CE123" s="261"/>
      <c r="CF123" s="725"/>
      <c r="CG123" s="261"/>
      <c r="CH123" s="261"/>
      <c r="CI123" s="261"/>
      <c r="CJ123" s="597"/>
    </row>
    <row r="124" spans="1:88" x14ac:dyDescent="0.2">
      <c r="A124" s="584" t="s">
        <v>768</v>
      </c>
      <c r="B124" s="681"/>
      <c r="C124" s="272"/>
      <c r="D124" s="272"/>
      <c r="E124" s="272"/>
      <c r="F124" s="272"/>
      <c r="G124" s="272"/>
      <c r="H124" s="272"/>
      <c r="I124" s="272"/>
      <c r="J124" s="272"/>
      <c r="K124" s="272"/>
      <c r="L124" s="272"/>
      <c r="M124" s="278"/>
      <c r="N124" s="4">
        <f>N178</f>
        <v>368.87552651098702</v>
      </c>
      <c r="O124" s="4">
        <f>O178</f>
        <v>392.02583614675973</v>
      </c>
      <c r="P124" s="4">
        <f>P178</f>
        <v>335.32846625359571</v>
      </c>
      <c r="Q124" s="4">
        <f>Q178</f>
        <v>-143.95218195687568</v>
      </c>
      <c r="S124" s="4">
        <f>S178</f>
        <v>-662.40394483317846</v>
      </c>
      <c r="U124" s="4">
        <f>U178</f>
        <v>-1162.6957905845995</v>
      </c>
      <c r="V124" s="4">
        <f>V178</f>
        <v>-502.6449429665675</v>
      </c>
      <c r="W124" s="4">
        <f>W178</f>
        <v>-269.89679801392361</v>
      </c>
      <c r="X124" s="180">
        <f>X178</f>
        <v>-186.26553658207939</v>
      </c>
      <c r="AB124" s="179"/>
      <c r="AC124" s="4">
        <f>AC178</f>
        <v>15.762412366126357</v>
      </c>
      <c r="AD124" s="4">
        <f>AF124-AC124</f>
        <v>-9.1570883245566215</v>
      </c>
      <c r="AF124" s="314">
        <f>AF178</f>
        <v>6.6053240415697347</v>
      </c>
      <c r="AJ124" s="179"/>
      <c r="AK124" s="4">
        <f>AK178</f>
        <v>-158.38881357747144</v>
      </c>
      <c r="AL124" s="4">
        <f>AN124-AK124</f>
        <v>259.99249182829425</v>
      </c>
      <c r="AN124" s="314">
        <f>AN178</f>
        <v>101.60367825082282</v>
      </c>
      <c r="AR124" s="179"/>
      <c r="AS124" s="4">
        <f>AS178</f>
        <v>103.20569009815372</v>
      </c>
      <c r="AT124" s="4">
        <f>AV124-AS124</f>
        <v>101.71715504184047</v>
      </c>
      <c r="AV124" s="314">
        <f>AV178</f>
        <v>204.92284513999419</v>
      </c>
      <c r="AZ124" s="179"/>
      <c r="BA124" s="4">
        <f>BA178</f>
        <v>198.30943902950247</v>
      </c>
      <c r="BB124" s="11">
        <f>BB178</f>
        <v>191.46946228973337</v>
      </c>
      <c r="BD124" s="603">
        <f>BD178</f>
        <v>389.77890131923584</v>
      </c>
      <c r="BH124" s="179"/>
      <c r="BI124" s="11">
        <f>BI178</f>
        <v>180.89930000000001</v>
      </c>
      <c r="BJ124" s="11">
        <f>BJ178</f>
        <v>246.17745671433951</v>
      </c>
      <c r="BL124" s="603">
        <f>BL178</f>
        <v>427.07675671433952</v>
      </c>
      <c r="BP124" s="179"/>
      <c r="BQ124" s="11">
        <f>BQ178</f>
        <v>207.78002000000006</v>
      </c>
      <c r="BR124" s="11">
        <f>BR178</f>
        <v>271.24197746324933</v>
      </c>
      <c r="BT124" s="603">
        <f>BT178</f>
        <v>479.02199746324936</v>
      </c>
      <c r="BX124" s="179"/>
      <c r="BY124" s="11">
        <f>BY178</f>
        <v>218.60320664000008</v>
      </c>
      <c r="BZ124" s="11">
        <f>BZ178</f>
        <v>282.56523786165445</v>
      </c>
      <c r="CB124" s="603">
        <f>CB178</f>
        <v>501.16844450165456</v>
      </c>
      <c r="CF124" s="179"/>
      <c r="CG124" s="11">
        <f>CG178</f>
        <v>223.81357729760006</v>
      </c>
      <c r="CH124" s="11">
        <f>CH178</f>
        <v>287.81459910263419</v>
      </c>
      <c r="CJ124" s="603">
        <f>CJ178</f>
        <v>511.62817640023422</v>
      </c>
    </row>
    <row r="125" spans="1:88" x14ac:dyDescent="0.2">
      <c r="A125" s="584" t="s">
        <v>769</v>
      </c>
      <c r="B125" s="681"/>
      <c r="C125" s="272"/>
      <c r="D125" s="272"/>
      <c r="E125" s="272"/>
      <c r="F125" s="272"/>
      <c r="G125" s="272"/>
      <c r="H125" s="272"/>
      <c r="I125" s="272"/>
      <c r="J125" s="272"/>
      <c r="K125" s="272"/>
      <c r="L125" s="272"/>
      <c r="M125" s="278"/>
      <c r="N125" s="4">
        <f>N126-N124</f>
        <v>1711.4842969890128</v>
      </c>
      <c r="O125" s="4">
        <f>O126-O124</f>
        <v>1867.690257203624</v>
      </c>
      <c r="P125" s="4">
        <f>P126-P124</f>
        <v>1918.8609765667043</v>
      </c>
      <c r="Q125" s="4">
        <f>Q126-Q124</f>
        <v>2354.1973699568757</v>
      </c>
      <c r="S125" s="4">
        <f>S126-S124</f>
        <v>2906.5192909541374</v>
      </c>
      <c r="U125" s="4">
        <f>U126-U124</f>
        <v>3908.1392570846001</v>
      </c>
      <c r="V125" s="4">
        <f>V126-V124</f>
        <v>1724.371360766567</v>
      </c>
      <c r="W125" s="4">
        <f>W126-W124</f>
        <v>1739.3026772139235</v>
      </c>
      <c r="X125" s="180">
        <f>X126-X124</f>
        <v>2072.1659425820794</v>
      </c>
      <c r="AB125" s="179"/>
      <c r="AC125" s="4">
        <f>AC126-AC124</f>
        <v>1157.4287286338736</v>
      </c>
      <c r="AD125" s="4">
        <f>AF125-AC125</f>
        <v>1615.3488333245564</v>
      </c>
      <c r="AF125" s="1117">
        <f>AF126-AF124</f>
        <v>2772.7775619584299</v>
      </c>
      <c r="AJ125" s="179"/>
      <c r="AK125" s="4">
        <f>AK126-AK124</f>
        <v>1637.9822811774716</v>
      </c>
      <c r="AL125" s="4">
        <f>AN125-AK125</f>
        <v>1539.5328811050395</v>
      </c>
      <c r="AN125" s="1117">
        <f>AN126-AN124</f>
        <v>3177.515162282511</v>
      </c>
      <c r="AR125" s="179"/>
      <c r="AS125" s="4">
        <f>AS126-AS124</f>
        <v>1871.9508071018463</v>
      </c>
      <c r="AT125" s="4">
        <f>AV125-AS125</f>
        <v>2120.6621967581605</v>
      </c>
      <c r="AV125" s="1117">
        <f>AV126-AV124</f>
        <v>3992.6130038600068</v>
      </c>
      <c r="AZ125" s="179"/>
      <c r="BA125" s="4">
        <f>BA126-BA124</f>
        <v>2434.0909929704981</v>
      </c>
      <c r="BB125" s="11">
        <f>'Civil AM'!BS41</f>
        <v>2767.2177212751085</v>
      </c>
      <c r="BD125" s="701">
        <f>'Civil AM'!BU41</f>
        <v>5201.308714245607</v>
      </c>
      <c r="BH125" s="179"/>
      <c r="BI125" s="11">
        <f>'Civil AM'!BZ41</f>
        <v>2594.6329035566105</v>
      </c>
      <c r="BJ125" s="11">
        <f>'Civil AM'!CA41</f>
        <v>3251.8210165796413</v>
      </c>
      <c r="BL125" s="701">
        <f>'Civil AM'!CC41</f>
        <v>5846.4539201362522</v>
      </c>
      <c r="BP125" s="179"/>
      <c r="BQ125" s="11">
        <f>'Civil AM'!CH41</f>
        <v>2892.087444299988</v>
      </c>
      <c r="BR125" s="11">
        <f>'Civil AM'!CI41</f>
        <v>3363.889644934899</v>
      </c>
      <c r="BT125" s="701">
        <f>'Civil AM'!CK41</f>
        <v>6255.9770892348861</v>
      </c>
      <c r="BX125" s="179"/>
      <c r="BY125" s="11">
        <f>'Civil AM'!CP41</f>
        <v>3224.4542222999494</v>
      </c>
      <c r="BZ125" s="11">
        <f>'Civil AM'!CQ41</f>
        <v>3433.6976960235088</v>
      </c>
      <c r="CB125" s="701">
        <f>'Civil AM'!CS41</f>
        <v>6658.1519183234595</v>
      </c>
      <c r="CF125" s="179"/>
      <c r="CG125" s="11">
        <f>'Civil AM'!CX41</f>
        <v>3408.6443545717366</v>
      </c>
      <c r="CH125" s="11">
        <f>'Civil AM'!CY41</f>
        <v>3786.9907732383408</v>
      </c>
      <c r="CJ125" s="701">
        <f>'Civil AM'!DA41</f>
        <v>7195.6351278100783</v>
      </c>
    </row>
    <row r="126" spans="1:88" x14ac:dyDescent="0.2">
      <c r="A126" s="717" t="s">
        <v>777</v>
      </c>
      <c r="B126" s="718"/>
      <c r="C126" s="719"/>
      <c r="D126" s="719"/>
      <c r="E126" s="719"/>
      <c r="F126" s="719"/>
      <c r="G126" s="719"/>
      <c r="H126" s="719"/>
      <c r="I126" s="719"/>
      <c r="J126" s="719"/>
      <c r="K126" s="719"/>
      <c r="L126" s="719"/>
      <c r="M126" s="726"/>
      <c r="N126" s="419">
        <f>N108*N114</f>
        <v>2080.3598234999999</v>
      </c>
      <c r="O126" s="531">
        <f>O108*O114</f>
        <v>2259.7160933503837</v>
      </c>
      <c r="P126" s="531">
        <f>P108*P114</f>
        <v>2254.1894428203</v>
      </c>
      <c r="Q126" s="531">
        <f>Q108*Q114</f>
        <v>2210.2451879999999</v>
      </c>
      <c r="R126" s="531"/>
      <c r="S126" s="531">
        <f>S108*S114</f>
        <v>2244.1153461209592</v>
      </c>
      <c r="T126" s="531"/>
      <c r="U126" s="531">
        <f>U108*U114</f>
        <v>2745.4434665000003</v>
      </c>
      <c r="V126" s="531">
        <f>V108*V114</f>
        <v>1221.7264177999996</v>
      </c>
      <c r="W126" s="531">
        <f>W108*W114</f>
        <v>1469.4058791999998</v>
      </c>
      <c r="X126" s="532">
        <f>X108*X114</f>
        <v>1885.900406</v>
      </c>
      <c r="Y126" s="531"/>
      <c r="Z126" s="531"/>
      <c r="AA126" s="531"/>
      <c r="AB126" s="727"/>
      <c r="AC126" s="531">
        <f>AC108*AC114</f>
        <v>1173.191141</v>
      </c>
      <c r="AD126" s="531">
        <f>SUM(AD124:AD125)</f>
        <v>1606.1917449999999</v>
      </c>
      <c r="AE126" s="531"/>
      <c r="AF126" s="1365">
        <f>AF108*AF114</f>
        <v>2779.3828859999999</v>
      </c>
      <c r="AG126" s="531"/>
      <c r="AH126" s="531"/>
      <c r="AI126" s="531"/>
      <c r="AJ126" s="727"/>
      <c r="AK126" s="531">
        <f>AK108*AK114</f>
        <v>1479.5934676000002</v>
      </c>
      <c r="AL126" s="531">
        <f>SUM(AL124:AL125)</f>
        <v>1799.5253729333338</v>
      </c>
      <c r="AM126" s="531"/>
      <c r="AN126" s="1365">
        <f>AN108*AN114</f>
        <v>3279.1188405333337</v>
      </c>
      <c r="AO126" s="531"/>
      <c r="AP126" s="531"/>
      <c r="AQ126" s="531"/>
      <c r="AR126" s="727"/>
      <c r="AS126" s="531">
        <f>AS108*AS114</f>
        <v>1975.1564972000001</v>
      </c>
      <c r="AT126" s="531">
        <f>SUM(AT124:AT125)</f>
        <v>2222.3793518000011</v>
      </c>
      <c r="AU126" s="531"/>
      <c r="AV126" s="1365">
        <f>AV108*AV114</f>
        <v>4197.5358490000008</v>
      </c>
      <c r="AW126" s="531"/>
      <c r="AX126" s="531"/>
      <c r="AY126" s="531"/>
      <c r="AZ126" s="727"/>
      <c r="BA126" s="531">
        <f>BA108*BA114</f>
        <v>2632.4004320000004</v>
      </c>
      <c r="BB126" s="533">
        <f>SUM(BB124:BB125)</f>
        <v>2958.6871835648417</v>
      </c>
      <c r="BC126" s="531"/>
      <c r="BD126" s="721">
        <f>SUM(BD124:BD125)</f>
        <v>5591.087615564843</v>
      </c>
      <c r="BE126" s="531"/>
      <c r="BF126" s="531"/>
      <c r="BG126" s="531"/>
      <c r="BH126" s="727"/>
      <c r="BI126" s="533">
        <f>SUM(BI124:BI125)</f>
        <v>2775.5322035566105</v>
      </c>
      <c r="BJ126" s="533">
        <f>SUM(BJ124:BJ125)</f>
        <v>3497.9984732939806</v>
      </c>
      <c r="BK126" s="531"/>
      <c r="BL126" s="721">
        <f>SUM(BL124:BL125)</f>
        <v>6273.5306768505916</v>
      </c>
      <c r="BM126" s="531"/>
      <c r="BN126" s="531"/>
      <c r="BO126" s="531"/>
      <c r="BP126" s="727"/>
      <c r="BQ126" s="533">
        <f>SUM(BQ124:BQ125)</f>
        <v>3099.8674642999881</v>
      </c>
      <c r="BR126" s="533">
        <f>SUM(BR124:BR125)</f>
        <v>3635.1316223981485</v>
      </c>
      <c r="BS126" s="531"/>
      <c r="BT126" s="721">
        <f>SUM(BT124:BT125)</f>
        <v>6734.9990866981352</v>
      </c>
      <c r="BU126" s="531"/>
      <c r="BV126" s="531"/>
      <c r="BW126" s="531"/>
      <c r="BX126" s="727"/>
      <c r="BY126" s="533">
        <f>SUM(BY124:BY125)</f>
        <v>3443.0574289399497</v>
      </c>
      <c r="BZ126" s="533">
        <f>SUM(BZ124:BZ125)</f>
        <v>3716.2629338851634</v>
      </c>
      <c r="CA126" s="531"/>
      <c r="CB126" s="721">
        <f>SUM(CB124:CB125)</f>
        <v>7159.320362825114</v>
      </c>
      <c r="CC126" s="531"/>
      <c r="CD126" s="531"/>
      <c r="CE126" s="531"/>
      <c r="CF126" s="727"/>
      <c r="CG126" s="533">
        <f>SUM(CG124:CG125)</f>
        <v>3632.4579318693368</v>
      </c>
      <c r="CH126" s="533">
        <f>SUM(CH124:CH125)</f>
        <v>4074.8053723409748</v>
      </c>
      <c r="CI126" s="531"/>
      <c r="CJ126" s="721">
        <f>SUM(CJ124:CJ125)</f>
        <v>7707.2633042103125</v>
      </c>
    </row>
    <row r="127" spans="1:88" x14ac:dyDescent="0.2">
      <c r="A127" s="584"/>
      <c r="B127" s="681"/>
      <c r="C127" s="272"/>
      <c r="D127" s="272"/>
      <c r="E127" s="272"/>
      <c r="F127" s="272"/>
      <c r="G127" s="272"/>
      <c r="H127" s="272"/>
      <c r="I127" s="272"/>
      <c r="J127" s="272"/>
      <c r="K127" s="272"/>
      <c r="L127" s="272"/>
      <c r="M127" s="278"/>
      <c r="N127" s="692"/>
      <c r="O127" s="278"/>
      <c r="P127" s="278"/>
      <c r="Q127" s="278"/>
      <c r="R127" s="278"/>
      <c r="S127" s="278"/>
      <c r="T127" s="278"/>
      <c r="U127" s="278"/>
      <c r="V127" s="278"/>
      <c r="W127" s="278"/>
      <c r="X127" s="250"/>
      <c r="Y127" s="278"/>
      <c r="Z127" s="278"/>
      <c r="AA127" s="278"/>
      <c r="AB127" s="298"/>
      <c r="AC127" s="278"/>
      <c r="AD127" s="278"/>
      <c r="AE127" s="278"/>
      <c r="AF127" s="691"/>
      <c r="AG127" s="278"/>
      <c r="AH127" s="278"/>
      <c r="AI127" s="278"/>
      <c r="AJ127" s="298"/>
      <c r="AK127" s="278"/>
      <c r="AL127" s="278"/>
      <c r="AM127" s="278"/>
      <c r="AN127" s="691"/>
      <c r="AO127" s="278"/>
      <c r="AP127" s="278"/>
      <c r="AQ127" s="278"/>
      <c r="AR127" s="298"/>
      <c r="AS127" s="278"/>
      <c r="AT127" s="278"/>
      <c r="AU127" s="278"/>
      <c r="AV127" s="691"/>
      <c r="AW127" s="278"/>
      <c r="AX127" s="278"/>
      <c r="AY127" s="278"/>
      <c r="AZ127" s="298"/>
      <c r="BA127" s="278"/>
      <c r="BB127" s="278"/>
      <c r="BC127" s="278"/>
      <c r="BD127" s="691"/>
      <c r="BE127" s="278"/>
      <c r="BF127" s="278"/>
      <c r="BG127" s="278"/>
      <c r="BH127" s="298"/>
      <c r="BI127" s="278"/>
      <c r="BJ127" s="278"/>
      <c r="BK127" s="278"/>
      <c r="BL127" s="691"/>
      <c r="BM127" s="278"/>
      <c r="BN127" s="278"/>
      <c r="BO127" s="278"/>
      <c r="BP127" s="298"/>
      <c r="BQ127" s="278"/>
      <c r="BR127" s="278"/>
      <c r="BS127" s="278"/>
      <c r="BT127" s="691"/>
      <c r="BU127" s="278"/>
      <c r="BV127" s="278"/>
      <c r="BW127" s="278"/>
      <c r="BX127" s="298"/>
      <c r="BY127" s="278"/>
      <c r="BZ127" s="278"/>
      <c r="CA127" s="278"/>
      <c r="CB127" s="691"/>
      <c r="CC127" s="278"/>
      <c r="CD127" s="278"/>
      <c r="CE127" s="278"/>
      <c r="CF127" s="298"/>
      <c r="CG127" s="278"/>
      <c r="CH127" s="278"/>
      <c r="CI127" s="278"/>
      <c r="CJ127" s="691"/>
    </row>
    <row r="128" spans="1:88" x14ac:dyDescent="0.2">
      <c r="A128" s="690" t="s">
        <v>326</v>
      </c>
      <c r="B128" s="681"/>
      <c r="C128" s="272"/>
      <c r="D128" s="272"/>
      <c r="E128" s="272"/>
      <c r="F128" s="272"/>
      <c r="G128" s="272"/>
      <c r="H128" s="272"/>
      <c r="I128" s="272"/>
      <c r="J128" s="272"/>
      <c r="K128" s="272"/>
      <c r="L128" s="272"/>
      <c r="M128" s="278"/>
      <c r="N128" s="272">
        <f t="shared" ref="N128:Q129" si="322">N124/N116</f>
        <v>0.1044039450439051</v>
      </c>
      <c r="O128" s="272">
        <f t="shared" si="322"/>
        <v>0.10728366959681285</v>
      </c>
      <c r="P128" s="272">
        <f t="shared" si="322"/>
        <v>9.0681053197741376E-2</v>
      </c>
      <c r="Q128" s="272">
        <f>Q124/Q116</f>
        <v>-3.6196466942517817E-2</v>
      </c>
      <c r="R128" s="272"/>
      <c r="S128" s="272">
        <f>S124/S116</f>
        <v>-0.14889212561923612</v>
      </c>
      <c r="T128" s="272"/>
      <c r="U128" s="272">
        <f t="shared" ref="U128:X130" si="323">U124/U116</f>
        <v>-0.24532003992040424</v>
      </c>
      <c r="V128" s="272">
        <f t="shared" si="323"/>
        <v>-0.2060604169098473</v>
      </c>
      <c r="W128" s="272">
        <f t="shared" si="323"/>
        <v>-0.13887318762406062</v>
      </c>
      <c r="X128" s="275">
        <f t="shared" si="323"/>
        <v>-6.2407660030937145E-2</v>
      </c>
      <c r="Y128" s="272"/>
      <c r="Z128" s="272"/>
      <c r="AA128" s="272"/>
      <c r="AB128" s="248"/>
      <c r="AC128" s="272">
        <f t="shared" ref="AC128:AD130" si="324">AC124/AC116</f>
        <v>7.2355964749875471E-3</v>
      </c>
      <c r="AD128" s="272">
        <f t="shared" si="324"/>
        <v>-4.9325858576534575E-3</v>
      </c>
      <c r="AE128" s="272"/>
      <c r="AF128" s="602">
        <f>AF124/AF116</f>
        <v>1.6370471213736245E-3</v>
      </c>
      <c r="AG128" s="272"/>
      <c r="AH128" s="272"/>
      <c r="AI128" s="272"/>
      <c r="AJ128" s="248"/>
      <c r="AK128" s="272">
        <f t="shared" ref="AK128:AL128" si="325">AK124/AK116</f>
        <v>-7.0940812469417872E-2</v>
      </c>
      <c r="AL128" s="272">
        <f t="shared" si="325"/>
        <v>0.13840677629601492</v>
      </c>
      <c r="AM128" s="272"/>
      <c r="AN128" s="602">
        <f>AN124/AN116</f>
        <v>2.4714137859936994E-2</v>
      </c>
      <c r="AO128" s="272"/>
      <c r="AP128" s="272"/>
      <c r="AQ128" s="272"/>
      <c r="AR128" s="248"/>
      <c r="AS128" s="272">
        <f t="shared" ref="AS128:AT128" si="326">AS124/AS116</f>
        <v>4.0317596820979469E-2</v>
      </c>
      <c r="AT128" s="272">
        <f t="shared" si="326"/>
        <v>5.0673660413176738E-2</v>
      </c>
      <c r="AU128" s="272"/>
      <c r="AV128" s="602">
        <f>AV124/AV116</f>
        <v>4.4869202261624871E-2</v>
      </c>
      <c r="AW128" s="272"/>
      <c r="AX128" s="272"/>
      <c r="AY128" s="272"/>
      <c r="AZ128" s="248"/>
      <c r="BA128" s="272">
        <f t="shared" ref="BA128:BB130" si="327">BA124/BA116</f>
        <v>6.7756474529243244E-2</v>
      </c>
      <c r="BB128" s="274">
        <f t="shared" si="327"/>
        <v>6.4194727909214586E-2</v>
      </c>
      <c r="BC128" s="272"/>
      <c r="BD128" s="600">
        <f>BD124/BD116</f>
        <v>6.595877368844287E-2</v>
      </c>
      <c r="BE128" s="272"/>
      <c r="BF128" s="272"/>
      <c r="BG128" s="272"/>
      <c r="BH128" s="248"/>
      <c r="BI128" s="274">
        <f t="shared" ref="BI128:BJ130" si="328">BI124/BI116</f>
        <v>6.6070435810765327E-2</v>
      </c>
      <c r="BJ128" s="274">
        <f t="shared" si="328"/>
        <v>6.743638080892965E-2</v>
      </c>
      <c r="BK128" s="272"/>
      <c r="BL128" s="600">
        <f>BL124/BL116</f>
        <v>6.6850964698581372E-2</v>
      </c>
      <c r="BM128" s="272"/>
      <c r="BN128" s="272"/>
      <c r="BO128" s="272"/>
      <c r="BP128" s="248"/>
      <c r="BQ128" s="274">
        <f t="shared" ref="BQ128:BR130" si="329">BQ124/BQ116</f>
        <v>6.7006234854442751E-2</v>
      </c>
      <c r="BR128" s="274">
        <f t="shared" si="329"/>
        <v>6.7969865493977724E-2</v>
      </c>
      <c r="BS128" s="272"/>
      <c r="BT128" s="600">
        <f>BT124/BT116</f>
        <v>6.7548499563229822E-2</v>
      </c>
      <c r="BU128" s="272"/>
      <c r="BV128" s="272"/>
      <c r="BW128" s="272"/>
      <c r="BX128" s="248"/>
      <c r="BY128" s="274">
        <f t="shared" ref="BY128:BZ130" si="330">BY124/BY116</f>
        <v>6.7265311271920286E-2</v>
      </c>
      <c r="BZ128" s="274">
        <f t="shared" si="330"/>
        <v>6.8126402085375307E-2</v>
      </c>
      <c r="CA128" s="272"/>
      <c r="CB128" s="600">
        <f>CB124/CB116</f>
        <v>6.7748109533488934E-2</v>
      </c>
      <c r="CC128" s="272"/>
      <c r="CD128" s="272"/>
      <c r="CE128" s="272"/>
      <c r="CF128" s="248"/>
      <c r="CG128" s="274">
        <f t="shared" ref="CG128:CH130" si="331">CG124/CG116</f>
        <v>6.7330127940952153E-2</v>
      </c>
      <c r="CH128" s="274">
        <f t="shared" si="331"/>
        <v>6.8135576959610505E-2</v>
      </c>
      <c r="CI128" s="272"/>
      <c r="CJ128" s="600">
        <f>CJ124/CJ116</f>
        <v>6.7780871607898863E-2</v>
      </c>
    </row>
    <row r="129" spans="1:88" x14ac:dyDescent="0.2">
      <c r="A129" s="690" t="s">
        <v>771</v>
      </c>
      <c r="B129" s="681"/>
      <c r="C129" s="272"/>
      <c r="D129" s="272"/>
      <c r="E129" s="272"/>
      <c r="F129" s="272"/>
      <c r="G129" s="272"/>
      <c r="H129" s="272"/>
      <c r="I129" s="272"/>
      <c r="J129" s="272"/>
      <c r="K129" s="272"/>
      <c r="L129" s="272"/>
      <c r="M129" s="278"/>
      <c r="N129" s="272">
        <f t="shared" si="322"/>
        <v>0.50096445655445976</v>
      </c>
      <c r="O129" s="272">
        <f t="shared" si="322"/>
        <v>0.45978732369047953</v>
      </c>
      <c r="P129" s="272">
        <f t="shared" si="322"/>
        <v>0.44189383834968887</v>
      </c>
      <c r="Q129" s="272">
        <f t="shared" si="322"/>
        <v>0.48754254277699921</v>
      </c>
      <c r="R129" s="272"/>
      <c r="S129" s="272">
        <f>S125/S117</f>
        <v>0.53647563282152555</v>
      </c>
      <c r="T129" s="272"/>
      <c r="U129" s="272">
        <f t="shared" si="323"/>
        <v>0.65637061343137493</v>
      </c>
      <c r="V129" s="272">
        <f t="shared" si="323"/>
        <v>0.50987247085469434</v>
      </c>
      <c r="W129" s="272">
        <f t="shared" si="323"/>
        <v>0.48019369943566087</v>
      </c>
      <c r="X129" s="275">
        <f t="shared" si="323"/>
        <v>0.44245315738740709</v>
      </c>
      <c r="Y129" s="272"/>
      <c r="Z129" s="272"/>
      <c r="AA129" s="272"/>
      <c r="AB129" s="248"/>
      <c r="AC129" s="272">
        <f t="shared" si="324"/>
        <v>0.45621865922715488</v>
      </c>
      <c r="AD129" s="272">
        <f t="shared" si="324"/>
        <v>0.43809911756040421</v>
      </c>
      <c r="AE129" s="272"/>
      <c r="AF129" s="602">
        <f>AF125/AF117</f>
        <v>0.44548472479402984</v>
      </c>
      <c r="AG129" s="272"/>
      <c r="AH129" s="272"/>
      <c r="AI129" s="272"/>
      <c r="AJ129" s="248"/>
      <c r="AK129" s="272">
        <f t="shared" ref="AK129:AL129" si="332">AK125/AK117</f>
        <v>0.49323035421400035</v>
      </c>
      <c r="AL129" s="272">
        <f t="shared" si="332"/>
        <v>0.34572358469746262</v>
      </c>
      <c r="AM129" s="272"/>
      <c r="AN129" s="602">
        <f>AN125/AN117</f>
        <v>0.40873608363713154</v>
      </c>
      <c r="AO129" s="272"/>
      <c r="AP129" s="272"/>
      <c r="AQ129" s="272"/>
      <c r="AR129" s="248"/>
      <c r="AS129" s="272">
        <f t="shared" ref="AS129:AT129" si="333">AS125/AS117</f>
        <v>0.46426953765670936</v>
      </c>
      <c r="AT129" s="272">
        <f t="shared" si="333"/>
        <v>0.38587084375417557</v>
      </c>
      <c r="AU129" s="272"/>
      <c r="AV129" s="602">
        <f>AV125/AV117</f>
        <v>0.41904803878429048</v>
      </c>
      <c r="AW129" s="272"/>
      <c r="AX129" s="272"/>
      <c r="AY129" s="272"/>
      <c r="AZ129" s="248"/>
      <c r="BA129" s="272">
        <f t="shared" si="327"/>
        <v>0.45437267635112438</v>
      </c>
      <c r="BB129" s="274">
        <f t="shared" si="327"/>
        <v>0.4096632977517613</v>
      </c>
      <c r="BC129" s="272"/>
      <c r="BD129" s="600">
        <f>BD125/BD117</f>
        <v>0.42943805360897752</v>
      </c>
      <c r="BE129" s="272"/>
      <c r="BF129" s="272"/>
      <c r="BG129" s="272"/>
      <c r="BH129" s="248"/>
      <c r="BI129" s="274">
        <f t="shared" si="328"/>
        <v>0.41577394108270471</v>
      </c>
      <c r="BJ129" s="274">
        <f t="shared" si="328"/>
        <v>0.43260863251028719</v>
      </c>
      <c r="BK129" s="272"/>
      <c r="BL129" s="600">
        <f>BL125/BL117</f>
        <v>0.42497217775754287</v>
      </c>
      <c r="BM129" s="272"/>
      <c r="BN129" s="272"/>
      <c r="BO129" s="272"/>
      <c r="BP129" s="248"/>
      <c r="BQ129" s="274">
        <f t="shared" si="329"/>
        <v>0.41685888725981324</v>
      </c>
      <c r="BR129" s="274">
        <f t="shared" si="329"/>
        <v>0.40304119576976422</v>
      </c>
      <c r="BS129" s="272"/>
      <c r="BT129" s="600">
        <f>BT125/BT117</f>
        <v>0.40931337754612762</v>
      </c>
      <c r="BU129" s="272"/>
      <c r="BV129" s="272"/>
      <c r="BW129" s="272"/>
      <c r="BX129" s="248"/>
      <c r="BY129" s="274">
        <f t="shared" si="330"/>
        <v>0.42803167421682631</v>
      </c>
      <c r="BZ129" s="274">
        <f t="shared" si="330"/>
        <v>0.37869679623379399</v>
      </c>
      <c r="CA129" s="272"/>
      <c r="CB129" s="600">
        <f>CB125/CB117</f>
        <v>0.40108488181199353</v>
      </c>
      <c r="CC129" s="272"/>
      <c r="CD129" s="272"/>
      <c r="CE129" s="272"/>
      <c r="CF129" s="248"/>
      <c r="CG129" s="274">
        <f t="shared" si="331"/>
        <v>0.42699430545946132</v>
      </c>
      <c r="CH129" s="274">
        <f t="shared" si="331"/>
        <v>0.39306705439357331</v>
      </c>
      <c r="CI129" s="272"/>
      <c r="CJ129" s="600">
        <f>CJ125/CJ117</f>
        <v>0.4084403797444604</v>
      </c>
    </row>
    <row r="130" spans="1:88" x14ac:dyDescent="0.2">
      <c r="A130" s="704" t="s">
        <v>778</v>
      </c>
      <c r="B130" s="705"/>
      <c r="C130" s="269"/>
      <c r="D130" s="269"/>
      <c r="E130" s="269"/>
      <c r="F130" s="269"/>
      <c r="G130" s="269"/>
      <c r="H130" s="269"/>
      <c r="I130" s="269"/>
      <c r="J130" s="269"/>
      <c r="K130" s="269"/>
      <c r="L130" s="269"/>
      <c r="M130" s="269"/>
      <c r="N130" s="706">
        <f>N126/N118</f>
        <v>0.29935234845697245</v>
      </c>
      <c r="O130" s="706">
        <f>O126/O118</f>
        <v>0.29285426088022937</v>
      </c>
      <c r="P130" s="706">
        <f>P126/P118</f>
        <v>0.28036323031523919</v>
      </c>
      <c r="Q130" s="706">
        <f>Q126/Q118</f>
        <v>0.25100252380819055</v>
      </c>
      <c r="R130" s="706"/>
      <c r="S130" s="706">
        <f>S126/S118</f>
        <v>0.22744363114765148</v>
      </c>
      <c r="T130" s="706"/>
      <c r="U130" s="706">
        <f t="shared" si="323"/>
        <v>0.25673534850371715</v>
      </c>
      <c r="V130" s="706">
        <f t="shared" si="323"/>
        <v>0.20987266637403654</v>
      </c>
      <c r="W130" s="706">
        <f t="shared" si="323"/>
        <v>0.26401750907380023</v>
      </c>
      <c r="X130" s="707">
        <f t="shared" si="323"/>
        <v>0.2459437586643187</v>
      </c>
      <c r="Y130" s="706"/>
      <c r="Z130" s="706"/>
      <c r="AA130" s="706"/>
      <c r="AB130" s="708"/>
      <c r="AC130" s="706">
        <f t="shared" si="324"/>
        <v>0.24879685279783922</v>
      </c>
      <c r="AD130" s="706">
        <f t="shared" si="324"/>
        <v>0.2897367511532245</v>
      </c>
      <c r="AE130" s="706"/>
      <c r="AF130" s="1362">
        <f>AF126/AF118</f>
        <v>0.27091924242816801</v>
      </c>
      <c r="AG130" s="706"/>
      <c r="AH130" s="706"/>
      <c r="AI130" s="706"/>
      <c r="AJ130" s="708"/>
      <c r="AK130" s="706">
        <f t="shared" ref="AK130:AL130" si="334">AK126/AK118</f>
        <v>0.26641978101349717</v>
      </c>
      <c r="AL130" s="706">
        <f t="shared" si="334"/>
        <v>0.28421601833318832</v>
      </c>
      <c r="AM130" s="706"/>
      <c r="AN130" s="1362">
        <f>AN126/AN118</f>
        <v>0.27590031166512752</v>
      </c>
      <c r="AO130" s="706"/>
      <c r="AP130" s="706"/>
      <c r="AQ130" s="706"/>
      <c r="AR130" s="708"/>
      <c r="AS130" s="706">
        <f t="shared" ref="AS130:AT130" si="335">AS126/AS118</f>
        <v>0.29963604867232124</v>
      </c>
      <c r="AT130" s="706">
        <f t="shared" si="335"/>
        <v>0.29619557904359045</v>
      </c>
      <c r="AU130" s="706"/>
      <c r="AV130" s="1362">
        <f>AV126/AV118</f>
        <v>0.29780460173602247</v>
      </c>
      <c r="AW130" s="706"/>
      <c r="AX130" s="706"/>
      <c r="AY130" s="706"/>
      <c r="AZ130" s="708"/>
      <c r="BA130" s="706">
        <f t="shared" si="327"/>
        <v>0.31777563849712165</v>
      </c>
      <c r="BB130" s="709">
        <f t="shared" si="327"/>
        <v>0.3038448247012876</v>
      </c>
      <c r="BC130" s="706"/>
      <c r="BD130" s="710">
        <f>BD126/BD118</f>
        <v>0.31024837850857173</v>
      </c>
      <c r="BE130" s="706"/>
      <c r="BF130" s="706"/>
      <c r="BG130" s="706"/>
      <c r="BH130" s="708"/>
      <c r="BI130" s="709">
        <f t="shared" si="328"/>
        <v>0.30913211832407544</v>
      </c>
      <c r="BJ130" s="709">
        <f t="shared" si="328"/>
        <v>0.31323618348599519</v>
      </c>
      <c r="BK130" s="706"/>
      <c r="BL130" s="710">
        <f>BL126/BL118</f>
        <v>0.31140710274727973</v>
      </c>
      <c r="BM130" s="706"/>
      <c r="BN130" s="706"/>
      <c r="BO130" s="706"/>
      <c r="BP130" s="708"/>
      <c r="BQ130" s="709">
        <f t="shared" si="329"/>
        <v>0.30879126055501982</v>
      </c>
      <c r="BR130" s="709">
        <f t="shared" si="329"/>
        <v>0.29465546299825307</v>
      </c>
      <c r="BS130" s="706"/>
      <c r="BT130" s="710">
        <f>BT126/BT118</f>
        <v>0.30099742568383525</v>
      </c>
      <c r="BU130" s="706"/>
      <c r="BV130" s="706"/>
      <c r="BW130" s="706"/>
      <c r="BX130" s="708"/>
      <c r="BY130" s="709">
        <f t="shared" si="330"/>
        <v>0.31930187010701655</v>
      </c>
      <c r="BZ130" s="709">
        <f t="shared" si="330"/>
        <v>0.28121969071929592</v>
      </c>
      <c r="CA130" s="706"/>
      <c r="CB130" s="710">
        <f>CB126/CB118</f>
        <v>0.29833133209496904</v>
      </c>
      <c r="CC130" s="706"/>
      <c r="CD130" s="706"/>
      <c r="CE130" s="706"/>
      <c r="CF130" s="708"/>
      <c r="CG130" s="709">
        <f t="shared" si="331"/>
        <v>0.32125737724416764</v>
      </c>
      <c r="CH130" s="709">
        <f t="shared" si="331"/>
        <v>0.29402697624314245</v>
      </c>
      <c r="CI130" s="706"/>
      <c r="CJ130" s="710">
        <f>CJ126/CJ118</f>
        <v>0.30626169546850995</v>
      </c>
    </row>
    <row r="131" spans="1:88" x14ac:dyDescent="0.2">
      <c r="A131" s="693"/>
      <c r="B131" s="681"/>
      <c r="C131" s="272"/>
      <c r="D131" s="272"/>
      <c r="E131" s="272"/>
      <c r="F131" s="272"/>
      <c r="G131" s="272"/>
      <c r="H131" s="272"/>
      <c r="I131" s="272"/>
      <c r="J131" s="272"/>
      <c r="K131" s="272"/>
      <c r="L131" s="272"/>
      <c r="M131" s="278"/>
      <c r="N131" s="278"/>
      <c r="O131" s="278"/>
      <c r="P131" s="278"/>
      <c r="Q131" s="278"/>
      <c r="R131" s="278"/>
      <c r="S131" s="278"/>
      <c r="T131" s="278"/>
      <c r="U131" s="278"/>
      <c r="V131" s="278"/>
      <c r="W131" s="278"/>
      <c r="X131" s="250"/>
      <c r="Y131" s="278"/>
      <c r="Z131" s="278"/>
      <c r="AA131" s="278"/>
      <c r="AB131" s="298"/>
      <c r="AC131" s="278"/>
      <c r="AD131" s="278"/>
      <c r="AE131" s="278"/>
      <c r="AF131" s="700"/>
      <c r="AG131" s="278"/>
      <c r="AH131" s="278"/>
      <c r="AI131" s="278"/>
      <c r="AJ131" s="298"/>
      <c r="AK131" s="278"/>
      <c r="AL131" s="278"/>
      <c r="AM131" s="278"/>
      <c r="AN131" s="700"/>
      <c r="AO131" s="278"/>
      <c r="AP131" s="278"/>
      <c r="AQ131" s="278"/>
      <c r="AR131" s="298"/>
      <c r="AS131" s="278"/>
      <c r="AT131" s="278"/>
      <c r="AU131" s="278"/>
      <c r="AV131" s="700"/>
      <c r="AW131" s="278"/>
      <c r="AX131" s="278"/>
      <c r="AY131" s="278"/>
      <c r="AZ131" s="298"/>
      <c r="BA131" s="278"/>
      <c r="BB131" s="278"/>
      <c r="BC131" s="278"/>
      <c r="BD131" s="700"/>
      <c r="BE131" s="278"/>
      <c r="BF131" s="278"/>
      <c r="BG131" s="278"/>
      <c r="BH131" s="298"/>
      <c r="BI131" s="278"/>
      <c r="BJ131" s="278"/>
      <c r="BK131" s="278"/>
      <c r="BL131" s="700"/>
      <c r="BM131" s="278"/>
      <c r="BN131" s="278"/>
      <c r="BO131" s="278"/>
      <c r="BP131" s="298"/>
      <c r="BQ131" s="278"/>
      <c r="BR131" s="278"/>
      <c r="BS131" s="278"/>
      <c r="BT131" s="700"/>
      <c r="BU131" s="278"/>
      <c r="BV131" s="278"/>
      <c r="BW131" s="278"/>
      <c r="BX131" s="298"/>
      <c r="BY131" s="278"/>
      <c r="BZ131" s="278"/>
      <c r="CA131" s="278"/>
      <c r="CB131" s="700"/>
      <c r="CC131" s="278"/>
      <c r="CD131" s="278"/>
      <c r="CE131" s="278"/>
      <c r="CF131" s="298"/>
      <c r="CG131" s="278"/>
      <c r="CH131" s="278"/>
      <c r="CI131" s="278"/>
      <c r="CJ131" s="700"/>
    </row>
    <row r="132" spans="1:88" x14ac:dyDescent="0.2">
      <c r="A132" s="4" t="s">
        <v>779</v>
      </c>
      <c r="B132" s="681"/>
      <c r="C132" s="272"/>
      <c r="D132" s="272"/>
      <c r="E132" s="272"/>
      <c r="F132" s="272"/>
      <c r="G132" s="272"/>
      <c r="H132" s="272"/>
      <c r="I132" s="272"/>
      <c r="J132" s="272"/>
      <c r="K132" s="272"/>
      <c r="L132" s="272"/>
      <c r="M132" s="278"/>
      <c r="N132" s="4">
        <f>N134-N133</f>
        <v>1755</v>
      </c>
      <c r="O132" s="4">
        <f>O158</f>
        <v>2192.8551806756759</v>
      </c>
      <c r="P132" s="4">
        <f>P158</f>
        <v>2269.6194359984024</v>
      </c>
      <c r="Q132" s="4">
        <f>Q158</f>
        <v>1962.8955761488205</v>
      </c>
      <c r="S132" s="4">
        <f>S158</f>
        <v>1463.5066066289846</v>
      </c>
      <c r="U132" s="4">
        <f>U158</f>
        <v>602.83526273401003</v>
      </c>
      <c r="V132" s="4">
        <f>V158</f>
        <v>242.94183141352136</v>
      </c>
      <c r="W132" s="4">
        <f>W158</f>
        <v>140.58764776415842</v>
      </c>
      <c r="X132" s="180">
        <f t="shared" ref="X132:AE132" si="336">X158</f>
        <v>78.066830065549766</v>
      </c>
      <c r="Y132" s="4">
        <f t="shared" si="336"/>
        <v>18.061992754441846</v>
      </c>
      <c r="Z132" s="4">
        <f t="shared" si="336"/>
        <v>10.719772313764899</v>
      </c>
      <c r="AA132" s="4">
        <f t="shared" si="336"/>
        <v>16.721420390533034</v>
      </c>
      <c r="AB132" s="179">
        <f t="shared" si="336"/>
        <v>27.275911862412485</v>
      </c>
      <c r="AC132" s="4">
        <f t="shared" si="336"/>
        <v>28.781765068206745</v>
      </c>
      <c r="AD132" s="4">
        <f t="shared" si="336"/>
        <v>43.997332252945519</v>
      </c>
      <c r="AE132" s="4">
        <f t="shared" si="336"/>
        <v>45.503185458739779</v>
      </c>
      <c r="AF132" s="314">
        <f t="shared" ref="AF132:AJ132" si="337">AF158</f>
        <v>72.779097321152264</v>
      </c>
      <c r="AG132" s="4">
        <f t="shared" si="337"/>
        <v>16.59147883823735</v>
      </c>
      <c r="AH132" s="4">
        <f t="shared" si="337"/>
        <v>21.05253536058521</v>
      </c>
      <c r="AI132" s="4">
        <f t="shared" si="337"/>
        <v>16.77069128020247</v>
      </c>
      <c r="AJ132" s="179">
        <f t="shared" si="337"/>
        <v>24.935836873306684</v>
      </c>
      <c r="AK132" s="4">
        <f t="shared" ref="AK132:AL132" si="338">AK158</f>
        <v>37.644014198822561</v>
      </c>
      <c r="AL132" s="4">
        <f t="shared" si="338"/>
        <v>41.706528153509154</v>
      </c>
      <c r="AM132" s="4">
        <f t="shared" ref="AM132:AR132" si="339">AM158</f>
        <v>54.414705479025031</v>
      </c>
      <c r="AN132" s="314">
        <f t="shared" si="339"/>
        <v>79.350542352331715</v>
      </c>
      <c r="AO132" s="4">
        <f t="shared" si="339"/>
        <v>16.536518144235185</v>
      </c>
      <c r="AP132" s="4">
        <f t="shared" si="339"/>
        <v>16.360002416090165</v>
      </c>
      <c r="AQ132" s="4">
        <f t="shared" si="339"/>
        <v>15.229759299781179</v>
      </c>
      <c r="AR132" s="179">
        <f t="shared" si="339"/>
        <v>7.3650496196622512</v>
      </c>
      <c r="AS132" s="4">
        <f t="shared" ref="AS132:AV132" si="340">AS158</f>
        <v>32.896520560325349</v>
      </c>
      <c r="AT132" s="4">
        <f t="shared" si="340"/>
        <v>22.59480891944343</v>
      </c>
      <c r="AU132" s="4">
        <f t="shared" si="340"/>
        <v>48.126279860106528</v>
      </c>
      <c r="AV132" s="314">
        <f t="shared" si="340"/>
        <v>55.49132947976878</v>
      </c>
      <c r="AW132" s="4">
        <f t="shared" ref="AW132:BC132" si="341">AW158</f>
        <v>15.439824945295404</v>
      </c>
      <c r="AX132" s="4">
        <f t="shared" si="341"/>
        <v>10.979431072210064</v>
      </c>
      <c r="AY132" s="11">
        <f t="shared" si="341"/>
        <v>9.2682692307692278</v>
      </c>
      <c r="AZ132" s="181">
        <f t="shared" si="341"/>
        <v>5.9896628764677331</v>
      </c>
      <c r="BA132" s="4">
        <f t="shared" si="341"/>
        <v>26.419256017505468</v>
      </c>
      <c r="BB132" s="11">
        <f t="shared" si="341"/>
        <v>15.257932107236961</v>
      </c>
      <c r="BC132" s="11">
        <f t="shared" si="341"/>
        <v>35.699999999999996</v>
      </c>
      <c r="BD132" s="603">
        <f>BD158</f>
        <v>41.689662876467736</v>
      </c>
      <c r="BE132" s="11">
        <f t="shared" ref="BE132:BK132" si="342">BE158</f>
        <v>5.8436102941176467</v>
      </c>
      <c r="BF132" s="11">
        <f t="shared" si="342"/>
        <v>6.6784117647058805</v>
      </c>
      <c r="BG132" s="11">
        <f t="shared" si="342"/>
        <v>5.8436102941176467</v>
      </c>
      <c r="BH132" s="181">
        <f t="shared" si="342"/>
        <v>12.087223809604318</v>
      </c>
      <c r="BI132" s="11">
        <f t="shared" si="342"/>
        <v>12.522022058823527</v>
      </c>
      <c r="BJ132" s="11">
        <f t="shared" si="342"/>
        <v>17.930834103721974</v>
      </c>
      <c r="BK132" s="11">
        <f t="shared" si="342"/>
        <v>18.365632352941176</v>
      </c>
      <c r="BL132" s="603">
        <f>BL158</f>
        <v>30.452856162545491</v>
      </c>
      <c r="BM132" s="11">
        <f t="shared" ref="BM132:BS132" si="343">BM158</f>
        <v>5.7059764999999985</v>
      </c>
      <c r="BN132" s="11">
        <f t="shared" si="343"/>
        <v>6.5211159999999966</v>
      </c>
      <c r="BO132" s="11">
        <f t="shared" si="343"/>
        <v>5.7059764999999985</v>
      </c>
      <c r="BP132" s="181">
        <f t="shared" si="343"/>
        <v>11.737199677305453</v>
      </c>
      <c r="BQ132" s="11">
        <f t="shared" si="343"/>
        <v>12.227092499999996</v>
      </c>
      <c r="BR132" s="11">
        <f t="shared" si="343"/>
        <v>17.443176177305457</v>
      </c>
      <c r="BS132" s="11">
        <f t="shared" si="343"/>
        <v>17.933068999999993</v>
      </c>
      <c r="BT132" s="603">
        <f>BT158</f>
        <v>29.670268677305447</v>
      </c>
      <c r="BU132" s="11">
        <f t="shared" ref="BU132:CA132" si="344">BU158</f>
        <v>5.524106131611779</v>
      </c>
      <c r="BV132" s="11">
        <f t="shared" si="344"/>
        <v>6.3132641504134632</v>
      </c>
      <c r="BW132" s="11">
        <f t="shared" si="344"/>
        <v>5.524106131611779</v>
      </c>
      <c r="BX132" s="181">
        <f t="shared" si="344"/>
        <v>11.348068130880836</v>
      </c>
      <c r="BY132" s="11">
        <f t="shared" si="344"/>
        <v>11.837370282025242</v>
      </c>
      <c r="BZ132" s="11">
        <f t="shared" si="344"/>
        <v>16.872174262492621</v>
      </c>
      <c r="CA132" s="11">
        <f t="shared" si="344"/>
        <v>17.361476413637021</v>
      </c>
      <c r="CB132" s="603">
        <f>CB158</f>
        <v>28.709544544517858</v>
      </c>
      <c r="CC132" s="11">
        <f t="shared" ref="CC132:CI132" si="345">CC158</f>
        <v>5.1660813378794712</v>
      </c>
      <c r="CD132" s="11">
        <f t="shared" si="345"/>
        <v>5.9040929575765384</v>
      </c>
      <c r="CE132" s="11">
        <f t="shared" si="345"/>
        <v>5.1660813378794712</v>
      </c>
      <c r="CF132" s="181">
        <f t="shared" si="345"/>
        <v>9.974576118854019</v>
      </c>
      <c r="CG132" s="11">
        <f t="shared" si="345"/>
        <v>11.07017429545601</v>
      </c>
      <c r="CH132" s="11">
        <f t="shared" si="345"/>
        <v>15.140657456733486</v>
      </c>
      <c r="CI132" s="11">
        <f t="shared" si="345"/>
        <v>16.236255633335478</v>
      </c>
      <c r="CJ132" s="603">
        <f>CJ158</f>
        <v>26.210831752189495</v>
      </c>
    </row>
    <row r="133" spans="1:88" x14ac:dyDescent="0.2">
      <c r="A133" s="4" t="s">
        <v>780</v>
      </c>
      <c r="B133" s="681"/>
      <c r="C133" s="272"/>
      <c r="D133" s="272"/>
      <c r="E133" s="272"/>
      <c r="F133" s="272"/>
      <c r="G133" s="272"/>
      <c r="H133" s="272"/>
      <c r="I133" s="272"/>
      <c r="J133" s="272"/>
      <c r="K133" s="272"/>
      <c r="L133" s="272"/>
      <c r="M133" s="278"/>
      <c r="N133" s="4">
        <f>N134*0.55</f>
        <v>2145</v>
      </c>
      <c r="O133" s="4">
        <f>O184</f>
        <v>2614.8456964146212</v>
      </c>
      <c r="P133" s="4">
        <f>P184</f>
        <v>2920.9888113628713</v>
      </c>
      <c r="Q133" s="4">
        <f>Q184</f>
        <v>3185.0781504593679</v>
      </c>
      <c r="S133" s="4">
        <f>S184</f>
        <v>3510.5817172241227</v>
      </c>
      <c r="U133" s="4">
        <f t="shared" ref="U133:CF133" si="346">U184</f>
        <v>3832.5874362517757</v>
      </c>
      <c r="V133" s="4">
        <f>V184</f>
        <v>1767.3240283800635</v>
      </c>
      <c r="W133" s="4">
        <f>W184</f>
        <v>1963.0051667765545</v>
      </c>
      <c r="X133" s="180">
        <f t="shared" si="346"/>
        <v>3061.3794201142623</v>
      </c>
      <c r="Y133" s="4">
        <f t="shared" si="346"/>
        <v>861.28739800543974</v>
      </c>
      <c r="Z133" s="4">
        <f t="shared" si="346"/>
        <v>980.09246820824239</v>
      </c>
      <c r="AA133" s="4">
        <f t="shared" si="346"/>
        <v>1091.7266187050361</v>
      </c>
      <c r="AB133" s="179">
        <f t="shared" si="346"/>
        <v>1158.8487733339082</v>
      </c>
      <c r="AC133" s="4">
        <f t="shared" si="346"/>
        <v>1841.3798662136821</v>
      </c>
      <c r="AD133" s="4">
        <f>AD184</f>
        <v>2250.5753920389443</v>
      </c>
      <c r="AE133" s="4">
        <f>AE184</f>
        <v>2933.1064849187183</v>
      </c>
      <c r="AF133" s="314">
        <f t="shared" ref="AF133:AJ133" si="347">AF184</f>
        <v>4091.9552582526267</v>
      </c>
      <c r="AG133" s="4">
        <f t="shared" si="347"/>
        <v>985.52721450242723</v>
      </c>
      <c r="AH133" s="4">
        <f t="shared" si="347"/>
        <v>1043.0535648407836</v>
      </c>
      <c r="AI133" s="4">
        <f t="shared" si="347"/>
        <v>1275.9960591368283</v>
      </c>
      <c r="AJ133" s="179">
        <f t="shared" si="347"/>
        <v>1643.1811599180362</v>
      </c>
      <c r="AK133" s="4">
        <f t="shared" ref="AK133" si="348">AK184</f>
        <v>2028.5807793432107</v>
      </c>
      <c r="AL133" s="4">
        <f>AL184</f>
        <v>2919.1772190548645</v>
      </c>
      <c r="AM133" s="4">
        <f>AM184</f>
        <v>3304.5768384800394</v>
      </c>
      <c r="AN133" s="314">
        <f t="shared" ref="AN133:AR133" si="349">AN184</f>
        <v>4947.757998398075</v>
      </c>
      <c r="AO133" s="4">
        <f t="shared" si="349"/>
        <v>1176.1111589291124</v>
      </c>
      <c r="AP133" s="4">
        <f t="shared" si="349"/>
        <v>1250.7223349157546</v>
      </c>
      <c r="AQ133" s="4">
        <f t="shared" si="349"/>
        <v>1284.5014428186782</v>
      </c>
      <c r="AR133" s="179">
        <f t="shared" si="349"/>
        <v>1842.1229535395328</v>
      </c>
      <c r="AS133" s="4">
        <f t="shared" si="346"/>
        <v>2426.833493844867</v>
      </c>
      <c r="AT133" s="4">
        <f>AT184</f>
        <v>3126.624396358211</v>
      </c>
      <c r="AU133" s="4">
        <f>AU184</f>
        <v>3711.3349366635452</v>
      </c>
      <c r="AV133" s="314">
        <f t="shared" ref="AV133" si="350">AV184</f>
        <v>5553.457890203078</v>
      </c>
      <c r="AW133" s="4">
        <f t="shared" si="346"/>
        <v>1370.4503259722812</v>
      </c>
      <c r="AX133" s="4">
        <f t="shared" si="346"/>
        <v>1431.3592293488275</v>
      </c>
      <c r="AY133" s="11">
        <f t="shared" si="346"/>
        <v>1371.0974307793595</v>
      </c>
      <c r="AZ133" s="181">
        <f t="shared" si="346"/>
        <v>1919.5364030911028</v>
      </c>
      <c r="BA133" s="4">
        <f t="shared" si="346"/>
        <v>2801.8095553211087</v>
      </c>
      <c r="BB133" s="11">
        <f t="shared" si="346"/>
        <v>3290.6338338704622</v>
      </c>
      <c r="BC133" s="11">
        <f t="shared" si="346"/>
        <v>4174.2299559282737</v>
      </c>
      <c r="BD133" s="603">
        <f t="shared" si="346"/>
        <v>6093.7663590193761</v>
      </c>
      <c r="BE133" s="11">
        <f t="shared" si="346"/>
        <v>1282.6791511780627</v>
      </c>
      <c r="BF133" s="11">
        <f t="shared" si="346"/>
        <v>1603.3489389725787</v>
      </c>
      <c r="BG133" s="11">
        <f t="shared" si="346"/>
        <v>1603.3489389725785</v>
      </c>
      <c r="BH133" s="181">
        <f t="shared" si="346"/>
        <v>1924.018726767094</v>
      </c>
      <c r="BI133" s="11">
        <f t="shared" si="346"/>
        <v>2886.0280901506417</v>
      </c>
      <c r="BJ133" s="11">
        <f t="shared" si="346"/>
        <v>3527.3676657396745</v>
      </c>
      <c r="BK133" s="11">
        <f t="shared" si="346"/>
        <v>4489.3770291232204</v>
      </c>
      <c r="BL133" s="603">
        <f t="shared" si="346"/>
        <v>6413.3957558903139</v>
      </c>
      <c r="BM133" s="11">
        <f t="shared" si="346"/>
        <v>1252.6074465728568</v>
      </c>
      <c r="BN133" s="11">
        <f t="shared" si="346"/>
        <v>1565.7593082160706</v>
      </c>
      <c r="BO133" s="11">
        <f t="shared" si="346"/>
        <v>1565.7593082160708</v>
      </c>
      <c r="BP133" s="181">
        <f t="shared" si="346"/>
        <v>1878.9111698592849</v>
      </c>
      <c r="BQ133" s="11">
        <f t="shared" si="346"/>
        <v>2818.3667547889277</v>
      </c>
      <c r="BR133" s="11">
        <f t="shared" si="346"/>
        <v>3444.6704780753566</v>
      </c>
      <c r="BS133" s="11">
        <f t="shared" si="346"/>
        <v>4384.1260630049983</v>
      </c>
      <c r="BT133" s="603">
        <f t="shared" si="346"/>
        <v>6263.0372328642834</v>
      </c>
      <c r="BU133" s="11">
        <f t="shared" si="346"/>
        <v>1174.6988311742064</v>
      </c>
      <c r="BV133" s="11">
        <f t="shared" si="346"/>
        <v>1468.3735389677574</v>
      </c>
      <c r="BW133" s="11">
        <f t="shared" si="346"/>
        <v>1468.3735389677577</v>
      </c>
      <c r="BX133" s="181">
        <f t="shared" si="346"/>
        <v>1762.0482467613094</v>
      </c>
      <c r="BY133" s="11">
        <f t="shared" si="346"/>
        <v>2643.0723701419638</v>
      </c>
      <c r="BZ133" s="11">
        <f t="shared" si="346"/>
        <v>3230.4217857290678</v>
      </c>
      <c r="CA133" s="11">
        <f t="shared" si="346"/>
        <v>4111.4459091097215</v>
      </c>
      <c r="CB133" s="603">
        <f t="shared" si="346"/>
        <v>5873.4941558710307</v>
      </c>
      <c r="CC133" s="11">
        <f t="shared" si="346"/>
        <v>1054.2361430790963</v>
      </c>
      <c r="CD133" s="11">
        <f t="shared" si="346"/>
        <v>1317.7951788488704</v>
      </c>
      <c r="CE133" s="11">
        <f t="shared" si="346"/>
        <v>1317.7951788488704</v>
      </c>
      <c r="CF133" s="181">
        <f t="shared" si="346"/>
        <v>1581.3542146186444</v>
      </c>
      <c r="CG133" s="11">
        <f t="shared" ref="CG133:CJ133" si="351">CG184</f>
        <v>2372.0313219279669</v>
      </c>
      <c r="CH133" s="11">
        <f t="shared" si="351"/>
        <v>2899.1493934675136</v>
      </c>
      <c r="CI133" s="11">
        <f t="shared" si="351"/>
        <v>3689.8265007768364</v>
      </c>
      <c r="CJ133" s="603">
        <f t="shared" si="351"/>
        <v>5271.1807153954805</v>
      </c>
    </row>
    <row r="134" spans="1:88" x14ac:dyDescent="0.2">
      <c r="A134" s="186" t="s">
        <v>781</v>
      </c>
      <c r="B134" s="681"/>
      <c r="C134" s="272"/>
      <c r="D134" s="272"/>
      <c r="E134" s="272"/>
      <c r="F134" s="272"/>
      <c r="G134" s="272"/>
      <c r="H134" s="272"/>
      <c r="I134" s="272"/>
      <c r="J134" s="272"/>
      <c r="K134" s="272"/>
      <c r="L134" s="272"/>
      <c r="M134" s="278"/>
      <c r="N134" s="186">
        <v>3900</v>
      </c>
      <c r="O134" s="186">
        <f>O132+O133</f>
        <v>4807.7008770902976</v>
      </c>
      <c r="P134" s="186">
        <f>P132+P133</f>
        <v>5190.6082473612732</v>
      </c>
      <c r="Q134" s="186">
        <f>Q132+Q133</f>
        <v>5147.9737266081884</v>
      </c>
      <c r="R134" s="186"/>
      <c r="S134" s="186">
        <f t="shared" ref="S134:CD134" si="352">S132+S133</f>
        <v>4974.0883238531078</v>
      </c>
      <c r="T134" s="186"/>
      <c r="U134" s="186">
        <f t="shared" si="352"/>
        <v>4435.4226989857852</v>
      </c>
      <c r="V134" s="186">
        <f>V132+V133</f>
        <v>2010.2658597935849</v>
      </c>
      <c r="W134" s="186">
        <f t="shared" si="352"/>
        <v>2103.5928145407129</v>
      </c>
      <c r="X134" s="284">
        <f t="shared" si="352"/>
        <v>3139.4462501798121</v>
      </c>
      <c r="Y134" s="186">
        <f t="shared" si="352"/>
        <v>879.34939075988154</v>
      </c>
      <c r="Z134" s="186">
        <f t="shared" si="352"/>
        <v>990.8122405220073</v>
      </c>
      <c r="AA134" s="186">
        <f t="shared" si="352"/>
        <v>1108.4480390955691</v>
      </c>
      <c r="AB134" s="283">
        <f t="shared" si="352"/>
        <v>1186.1246851963206</v>
      </c>
      <c r="AC134" s="186">
        <f t="shared" si="352"/>
        <v>1870.161631281889</v>
      </c>
      <c r="AD134" s="186">
        <f>AD132+AD133</f>
        <v>2294.5727242918897</v>
      </c>
      <c r="AE134" s="186">
        <f>AE132+AE133</f>
        <v>2978.6096703774579</v>
      </c>
      <c r="AF134" s="341">
        <f t="shared" ref="AF134:AJ134" si="353">AF132+AF133</f>
        <v>4164.7343555737789</v>
      </c>
      <c r="AG134" s="186">
        <f t="shared" si="353"/>
        <v>1002.1186933406645</v>
      </c>
      <c r="AH134" s="186">
        <f t="shared" si="353"/>
        <v>1064.1061002013687</v>
      </c>
      <c r="AI134" s="186">
        <f t="shared" si="353"/>
        <v>1292.7667504170308</v>
      </c>
      <c r="AJ134" s="283">
        <f t="shared" si="353"/>
        <v>1668.1169967913429</v>
      </c>
      <c r="AK134" s="186">
        <f t="shared" ref="AK134" si="354">AK132+AK133</f>
        <v>2066.2247935420332</v>
      </c>
      <c r="AL134" s="186">
        <f>AL132+AL133</f>
        <v>2960.8837472083737</v>
      </c>
      <c r="AM134" s="186">
        <f>AM132+AM133</f>
        <v>3358.9915439590645</v>
      </c>
      <c r="AN134" s="341">
        <f t="shared" ref="AN134:AR134" si="355">AN132+AN133</f>
        <v>5027.108540750407</v>
      </c>
      <c r="AO134" s="186">
        <f t="shared" si="355"/>
        <v>1192.6476770733477</v>
      </c>
      <c r="AP134" s="186">
        <f t="shared" si="355"/>
        <v>1267.0823373318447</v>
      </c>
      <c r="AQ134" s="186">
        <f t="shared" si="355"/>
        <v>1299.7312021184594</v>
      </c>
      <c r="AR134" s="283">
        <f t="shared" si="355"/>
        <v>1849.4880031591949</v>
      </c>
      <c r="AS134" s="186">
        <f t="shared" si="352"/>
        <v>2459.7300144051924</v>
      </c>
      <c r="AT134" s="186">
        <f>AT132+AT133</f>
        <v>3149.2192052776545</v>
      </c>
      <c r="AU134" s="186">
        <f>AU132+AU133</f>
        <v>3759.4612165236517</v>
      </c>
      <c r="AV134" s="341">
        <f t="shared" ref="AV134" si="356">AV132+AV133</f>
        <v>5608.9492196828469</v>
      </c>
      <c r="AW134" s="186">
        <f t="shared" si="352"/>
        <v>1385.8901509175766</v>
      </c>
      <c r="AX134" s="186">
        <f t="shared" si="352"/>
        <v>1442.3386604210375</v>
      </c>
      <c r="AY134" s="285">
        <f t="shared" si="352"/>
        <v>1380.3657000101286</v>
      </c>
      <c r="AZ134" s="728">
        <f t="shared" si="352"/>
        <v>1925.5260659675705</v>
      </c>
      <c r="BA134" s="186">
        <f t="shared" si="352"/>
        <v>2828.2288113386144</v>
      </c>
      <c r="BB134" s="285">
        <f t="shared" si="352"/>
        <v>3305.8917659776994</v>
      </c>
      <c r="BC134" s="285">
        <f t="shared" si="352"/>
        <v>4209.9299559282736</v>
      </c>
      <c r="BD134" s="301">
        <f t="shared" si="352"/>
        <v>6135.4560218958441</v>
      </c>
      <c r="BE134" s="285">
        <f t="shared" si="352"/>
        <v>1288.5227614721805</v>
      </c>
      <c r="BF134" s="285">
        <f t="shared" si="352"/>
        <v>1610.0273507372847</v>
      </c>
      <c r="BG134" s="285">
        <f t="shared" si="352"/>
        <v>1609.1925492666962</v>
      </c>
      <c r="BH134" s="728">
        <f t="shared" si="352"/>
        <v>1936.1059505766982</v>
      </c>
      <c r="BI134" s="285">
        <f t="shared" si="352"/>
        <v>2898.5501122094652</v>
      </c>
      <c r="BJ134" s="285">
        <f t="shared" si="352"/>
        <v>3545.2984998433967</v>
      </c>
      <c r="BK134" s="285">
        <f t="shared" si="352"/>
        <v>4507.7426614761616</v>
      </c>
      <c r="BL134" s="301">
        <f t="shared" si="352"/>
        <v>6443.8486120528596</v>
      </c>
      <c r="BM134" s="285">
        <f t="shared" si="352"/>
        <v>1258.3134230728567</v>
      </c>
      <c r="BN134" s="285">
        <f t="shared" si="352"/>
        <v>1572.2804242160705</v>
      </c>
      <c r="BO134" s="285">
        <f t="shared" si="352"/>
        <v>1571.4652847160708</v>
      </c>
      <c r="BP134" s="728">
        <f t="shared" si="352"/>
        <v>1890.6483695365903</v>
      </c>
      <c r="BQ134" s="285">
        <f t="shared" si="352"/>
        <v>2830.5938472889275</v>
      </c>
      <c r="BR134" s="285">
        <f t="shared" si="352"/>
        <v>3462.1136542526619</v>
      </c>
      <c r="BS134" s="285">
        <f t="shared" si="352"/>
        <v>4402.059132004998</v>
      </c>
      <c r="BT134" s="301">
        <f t="shared" si="352"/>
        <v>6292.7075015415885</v>
      </c>
      <c r="BU134" s="285">
        <f t="shared" si="352"/>
        <v>1180.222937305818</v>
      </c>
      <c r="BV134" s="285">
        <f t="shared" si="352"/>
        <v>1474.6868031181709</v>
      </c>
      <c r="BW134" s="285">
        <f t="shared" si="352"/>
        <v>1473.8976450993694</v>
      </c>
      <c r="BX134" s="728">
        <f t="shared" si="352"/>
        <v>1773.3963148921903</v>
      </c>
      <c r="BY134" s="285">
        <f t="shared" si="352"/>
        <v>2654.9097404239892</v>
      </c>
      <c r="BZ134" s="285">
        <f t="shared" si="352"/>
        <v>3247.2939599915603</v>
      </c>
      <c r="CA134" s="285">
        <f t="shared" si="352"/>
        <v>4128.8073855233588</v>
      </c>
      <c r="CB134" s="301">
        <f t="shared" si="352"/>
        <v>5902.2037004155482</v>
      </c>
      <c r="CC134" s="285">
        <f t="shared" si="352"/>
        <v>1059.4022244169757</v>
      </c>
      <c r="CD134" s="285">
        <f t="shared" si="352"/>
        <v>1323.6992718064469</v>
      </c>
      <c r="CE134" s="285">
        <f t="shared" ref="CE134:CJ134" si="357">CE132+CE133</f>
        <v>1322.9612601867498</v>
      </c>
      <c r="CF134" s="728">
        <f t="shared" si="357"/>
        <v>1591.3287907374984</v>
      </c>
      <c r="CG134" s="285">
        <f t="shared" si="357"/>
        <v>2383.1014962234231</v>
      </c>
      <c r="CH134" s="285">
        <f t="shared" si="357"/>
        <v>2914.2900509242472</v>
      </c>
      <c r="CI134" s="285">
        <f t="shared" si="357"/>
        <v>3706.0627564101719</v>
      </c>
      <c r="CJ134" s="301">
        <f t="shared" si="357"/>
        <v>5297.3915471476703</v>
      </c>
    </row>
    <row r="135" spans="1:88" x14ac:dyDescent="0.2">
      <c r="A135" s="4" t="s">
        <v>782</v>
      </c>
      <c r="B135" s="681"/>
      <c r="C135" s="272"/>
      <c r="D135" s="272"/>
      <c r="E135" s="272"/>
      <c r="F135" s="272"/>
      <c r="G135" s="272"/>
      <c r="H135" s="272"/>
      <c r="I135" s="272"/>
      <c r="J135" s="272"/>
      <c r="K135" s="272"/>
      <c r="L135" s="272"/>
      <c r="M135" s="278"/>
      <c r="N135" s="4">
        <v>0</v>
      </c>
      <c r="O135" s="4">
        <f>O159</f>
        <v>0</v>
      </c>
      <c r="P135" s="4">
        <f t="shared" ref="P135:CA135" si="358">P159</f>
        <v>90.71487983986232</v>
      </c>
      <c r="Q135" s="4">
        <f t="shared" si="358"/>
        <v>545.70808745588806</v>
      </c>
      <c r="S135" s="4">
        <f t="shared" si="358"/>
        <v>1643.2985396236475</v>
      </c>
      <c r="U135" s="4">
        <f t="shared" ref="U135:AE135" si="359">U159</f>
        <v>3213.4292877028133</v>
      </c>
      <c r="V135" s="4">
        <f t="shared" si="359"/>
        <v>1608.6623237575575</v>
      </c>
      <c r="W135" s="4">
        <f t="shared" si="359"/>
        <v>1290.8926044005011</v>
      </c>
      <c r="X135" s="180">
        <f t="shared" si="359"/>
        <v>1897.9360630281435</v>
      </c>
      <c r="Y135" s="4">
        <f t="shared" si="359"/>
        <v>589.48035518596919</v>
      </c>
      <c r="Z135" s="4">
        <f t="shared" si="359"/>
        <v>669.70506202541253</v>
      </c>
      <c r="AA135" s="4">
        <f t="shared" si="359"/>
        <v>621.45341323313062</v>
      </c>
      <c r="AB135" s="179">
        <f t="shared" si="359"/>
        <v>1504.7233387214637</v>
      </c>
      <c r="AC135" s="4">
        <f t="shared" si="359"/>
        <v>1259.1854172113817</v>
      </c>
      <c r="AD135" s="4">
        <f t="shared" si="359"/>
        <v>2126.1767519545942</v>
      </c>
      <c r="AE135" s="4">
        <f t="shared" si="359"/>
        <v>1880.6388304445122</v>
      </c>
      <c r="AF135" s="314">
        <f t="shared" ref="AF135:AJ135" si="360">AF159</f>
        <v>3385.362169165976</v>
      </c>
      <c r="AG135" s="4">
        <f t="shared" si="360"/>
        <v>891.3310719366898</v>
      </c>
      <c r="AH135" s="4">
        <f t="shared" si="360"/>
        <v>646.94572936237296</v>
      </c>
      <c r="AI135" s="4">
        <f t="shared" si="360"/>
        <v>794.59479398650501</v>
      </c>
      <c r="AJ135" s="179">
        <f t="shared" si="360"/>
        <v>840.92168304464349</v>
      </c>
      <c r="AK135" s="4">
        <f t="shared" si="358"/>
        <v>1538.2768012990628</v>
      </c>
      <c r="AL135" s="4">
        <f t="shared" si="358"/>
        <v>1635.5164770311485</v>
      </c>
      <c r="AM135" s="4">
        <f t="shared" si="358"/>
        <v>2332.8715952855678</v>
      </c>
      <c r="AN135" s="314">
        <f t="shared" si="358"/>
        <v>3173.7932783302113</v>
      </c>
      <c r="AO135" s="4">
        <f t="shared" si="358"/>
        <v>741.81786862655031</v>
      </c>
      <c r="AP135" s="4">
        <f t="shared" si="358"/>
        <v>839.38411962469218</v>
      </c>
      <c r="AQ135" s="4">
        <f t="shared" si="358"/>
        <v>932.5470459518599</v>
      </c>
      <c r="AR135" s="179">
        <f t="shared" si="358"/>
        <v>911.57333129267363</v>
      </c>
      <c r="AS135" s="4">
        <f t="shared" ref="AS135:AT135" si="361">AS159</f>
        <v>1581.2019882512425</v>
      </c>
      <c r="AT135" s="4">
        <f t="shared" si="361"/>
        <v>1844.1203772445335</v>
      </c>
      <c r="AU135" s="4">
        <f t="shared" ref="AU135:AV135" si="362">AU159</f>
        <v>2513.7490342031024</v>
      </c>
      <c r="AV135" s="314">
        <f t="shared" si="362"/>
        <v>3425.322365495776</v>
      </c>
      <c r="AW135" s="4">
        <f t="shared" si="358"/>
        <v>1198.1619256017505</v>
      </c>
      <c r="AX135" s="4">
        <f t="shared" ref="AX135" si="363">AX159</f>
        <v>1052.0612691466083</v>
      </c>
      <c r="AY135" s="11">
        <f t="shared" si="358"/>
        <v>1020.0455357142857</v>
      </c>
      <c r="AZ135" s="181">
        <f t="shared" si="358"/>
        <v>1107.3142103224541</v>
      </c>
      <c r="BA135" s="4">
        <f t="shared" si="358"/>
        <v>2250.2231947483588</v>
      </c>
      <c r="BB135" s="11">
        <f t="shared" si="358"/>
        <v>2127.3597460367396</v>
      </c>
      <c r="BC135" s="11">
        <f t="shared" si="358"/>
        <v>3271.3312500000002</v>
      </c>
      <c r="BD135" s="603">
        <f t="shared" si="358"/>
        <v>4378.6454603224547</v>
      </c>
      <c r="BE135" s="11">
        <f t="shared" si="358"/>
        <v>1001.261092436975</v>
      </c>
      <c r="BF135" s="11">
        <f t="shared" si="358"/>
        <v>1020.6517121848741</v>
      </c>
      <c r="BG135" s="11">
        <f t="shared" si="358"/>
        <v>1022.4144957983195</v>
      </c>
      <c r="BH135" s="181">
        <f t="shared" si="358"/>
        <v>1748.8366249921789</v>
      </c>
      <c r="BI135" s="11">
        <f t="shared" si="358"/>
        <v>2021.9128046218491</v>
      </c>
      <c r="BJ135" s="11">
        <f t="shared" si="358"/>
        <v>2771.2511207905</v>
      </c>
      <c r="BK135" s="11">
        <f t="shared" si="358"/>
        <v>3044.3273004201687</v>
      </c>
      <c r="BL135" s="603">
        <f t="shared" si="358"/>
        <v>4793.1639254123475</v>
      </c>
      <c r="BM135" s="11">
        <f t="shared" si="358"/>
        <v>1154.4418971428574</v>
      </c>
      <c r="BN135" s="11">
        <f t="shared" si="358"/>
        <v>1170.8817342857144</v>
      </c>
      <c r="BO135" s="11">
        <f t="shared" si="358"/>
        <v>1174.5350314285718</v>
      </c>
      <c r="BP135" s="181">
        <f t="shared" si="358"/>
        <v>1876.6683305653996</v>
      </c>
      <c r="BQ135" s="11">
        <f t="shared" si="358"/>
        <v>2325.3236314285718</v>
      </c>
      <c r="BR135" s="11">
        <f t="shared" si="358"/>
        <v>3051.2033619939721</v>
      </c>
      <c r="BS135" s="11">
        <f t="shared" si="358"/>
        <v>3499.8586628571438</v>
      </c>
      <c r="BT135" s="603">
        <f t="shared" si="358"/>
        <v>5376.5269934225435</v>
      </c>
      <c r="BU135" s="11">
        <f t="shared" si="358"/>
        <v>1212.3466543983757</v>
      </c>
      <c r="BV135" s="11">
        <f t="shared" si="358"/>
        <v>1208.5932591835201</v>
      </c>
      <c r="BW135" s="11">
        <f t="shared" si="358"/>
        <v>1212.3466543983757</v>
      </c>
      <c r="BX135" s="181">
        <f t="shared" si="358"/>
        <v>1931.540381860576</v>
      </c>
      <c r="BY135" s="11">
        <f t="shared" si="358"/>
        <v>2420.9399135818958</v>
      </c>
      <c r="BZ135" s="11">
        <f t="shared" si="358"/>
        <v>3143.8870362589523</v>
      </c>
      <c r="CA135" s="11">
        <f t="shared" si="358"/>
        <v>3633.2865679802717</v>
      </c>
      <c r="CB135" s="603">
        <f t="shared" ref="CB135:CJ135" si="364">CB159</f>
        <v>5564.8269498408472</v>
      </c>
      <c r="CC135" s="11">
        <f t="shared" si="364"/>
        <v>1184.5622966951462</v>
      </c>
      <c r="CD135" s="11">
        <f t="shared" si="364"/>
        <v>1182.6997773607197</v>
      </c>
      <c r="CE135" s="11">
        <f t="shared" si="364"/>
        <v>1184.5622966951462</v>
      </c>
      <c r="CF135" s="181">
        <f t="shared" si="364"/>
        <v>1873.9927681074105</v>
      </c>
      <c r="CG135" s="11">
        <f t="shared" si="364"/>
        <v>2367.2620740558659</v>
      </c>
      <c r="CH135" s="11">
        <f t="shared" si="364"/>
        <v>3058.5550648025555</v>
      </c>
      <c r="CI135" s="11">
        <f t="shared" si="364"/>
        <v>3551.824370751011</v>
      </c>
      <c r="CJ135" s="603">
        <f t="shared" si="364"/>
        <v>5425.8171388584215</v>
      </c>
    </row>
    <row r="136" spans="1:88" x14ac:dyDescent="0.2">
      <c r="A136" s="4" t="s">
        <v>783</v>
      </c>
      <c r="B136" s="681"/>
      <c r="C136" s="272"/>
      <c r="D136" s="272"/>
      <c r="E136" s="272"/>
      <c r="F136" s="272"/>
      <c r="G136" s="272"/>
      <c r="H136" s="272"/>
      <c r="I136" s="272"/>
      <c r="J136" s="272"/>
      <c r="K136" s="272"/>
      <c r="L136" s="272"/>
      <c r="M136" s="278"/>
      <c r="N136" s="4">
        <v>0</v>
      </c>
      <c r="O136" s="4">
        <f>O185</f>
        <v>0</v>
      </c>
      <c r="P136" s="4">
        <f t="shared" ref="P136:CA136" si="365">P185</f>
        <v>0</v>
      </c>
      <c r="Q136" s="4">
        <f t="shared" si="365"/>
        <v>0</v>
      </c>
      <c r="S136" s="4">
        <f>S185</f>
        <v>0</v>
      </c>
      <c r="U136" s="4">
        <f t="shared" si="365"/>
        <v>0</v>
      </c>
      <c r="V136" s="4">
        <f>V185</f>
        <v>0</v>
      </c>
      <c r="W136" s="4">
        <f t="shared" si="365"/>
        <v>0</v>
      </c>
      <c r="X136" s="180">
        <f t="shared" si="365"/>
        <v>0</v>
      </c>
      <c r="Y136" s="4">
        <f t="shared" si="365"/>
        <v>13.599274705349048</v>
      </c>
      <c r="Z136" s="4">
        <f t="shared" si="365"/>
        <v>13.488761412032444</v>
      </c>
      <c r="AA136" s="4">
        <f t="shared" si="365"/>
        <v>15.737410071942447</v>
      </c>
      <c r="AB136" s="179">
        <f t="shared" si="365"/>
        <v>18.575160340131092</v>
      </c>
      <c r="AC136" s="4">
        <f t="shared" si="365"/>
        <v>27.088036117381492</v>
      </c>
      <c r="AD136" s="4">
        <f>AD185</f>
        <v>34.312570412073541</v>
      </c>
      <c r="AE136" s="4">
        <f>AE185</f>
        <v>42.825446189323941</v>
      </c>
      <c r="AF136" s="314">
        <f t="shared" ref="AF136:AJ136" si="366">AF185</f>
        <v>61.400606529455033</v>
      </c>
      <c r="AG136" s="4">
        <f t="shared" si="366"/>
        <v>108.16273135762654</v>
      </c>
      <c r="AH136" s="4">
        <f t="shared" si="366"/>
        <v>122.62164457279923</v>
      </c>
      <c r="AI136" s="4">
        <f t="shared" si="366"/>
        <v>121.19020704600851</v>
      </c>
      <c r="AJ136" s="179">
        <f t="shared" si="366"/>
        <v>191.04747803633231</v>
      </c>
      <c r="AK136" s="4">
        <f t="shared" ref="AK136" si="367">AK185</f>
        <v>230.78437593042577</v>
      </c>
      <c r="AL136" s="4">
        <f>AL185</f>
        <v>312.23768508234082</v>
      </c>
      <c r="AM136" s="4">
        <f>AM185</f>
        <v>351.97458297643425</v>
      </c>
      <c r="AN136" s="314">
        <f t="shared" ref="AN136:AR136" si="368">AN185</f>
        <v>543.02206101276659</v>
      </c>
      <c r="AO136" s="4">
        <f t="shared" si="368"/>
        <v>266.08230651194975</v>
      </c>
      <c r="AP136" s="4">
        <f t="shared" si="368"/>
        <v>309.77607523605394</v>
      </c>
      <c r="AQ136" s="4">
        <f t="shared" si="368"/>
        <v>316.88248428693356</v>
      </c>
      <c r="AR136" s="179">
        <f t="shared" si="368"/>
        <v>395.07856766118238</v>
      </c>
      <c r="AS136" s="4">
        <f t="shared" si="365"/>
        <v>575.85838174800369</v>
      </c>
      <c r="AT136" s="4">
        <f>AT185</f>
        <v>711.96105194811594</v>
      </c>
      <c r="AU136" s="4">
        <f>AU185</f>
        <v>892.7408660349372</v>
      </c>
      <c r="AV136" s="314">
        <f t="shared" ref="AV136" si="369">AV185</f>
        <v>1287.8194336961196</v>
      </c>
      <c r="AW136" s="4">
        <f t="shared" si="365"/>
        <v>567.8534118421851</v>
      </c>
      <c r="AX136" s="4">
        <f t="shared" si="365"/>
        <v>709.81676480273154</v>
      </c>
      <c r="AY136" s="11">
        <f t="shared" si="365"/>
        <v>710.1519289688041</v>
      </c>
      <c r="AZ136" s="181">
        <f t="shared" si="365"/>
        <v>852.18231476256494</v>
      </c>
      <c r="BA136" s="4">
        <f t="shared" si="365"/>
        <v>1277.6701766449166</v>
      </c>
      <c r="BB136" s="11">
        <f t="shared" si="365"/>
        <v>1562.334243731369</v>
      </c>
      <c r="BC136" s="11">
        <f t="shared" si="365"/>
        <v>1988.425401112652</v>
      </c>
      <c r="BD136" s="603">
        <f t="shared" si="365"/>
        <v>2840.6077158752169</v>
      </c>
      <c r="BE136" s="11">
        <f t="shared" si="365"/>
        <v>775.40072096609958</v>
      </c>
      <c r="BF136" s="11">
        <f t="shared" si="365"/>
        <v>969.25090120762422</v>
      </c>
      <c r="BG136" s="11">
        <f t="shared" si="365"/>
        <v>969.25090120762434</v>
      </c>
      <c r="BH136" s="181">
        <f t="shared" si="365"/>
        <v>1163.1010814491492</v>
      </c>
      <c r="BI136" s="11">
        <f t="shared" si="365"/>
        <v>1744.6516221737238</v>
      </c>
      <c r="BJ136" s="11">
        <f t="shared" si="365"/>
        <v>2132.3519826567749</v>
      </c>
      <c r="BK136" s="11">
        <f t="shared" si="365"/>
        <v>2713.9025233813481</v>
      </c>
      <c r="BL136" s="603">
        <f t="shared" si="365"/>
        <v>3877.0036048304974</v>
      </c>
      <c r="BM136" s="11">
        <f t="shared" si="365"/>
        <v>1010.5471974900375</v>
      </c>
      <c r="BN136" s="11">
        <f t="shared" si="365"/>
        <v>1263.1839968625468</v>
      </c>
      <c r="BO136" s="11">
        <f t="shared" si="365"/>
        <v>1263.1839968625468</v>
      </c>
      <c r="BP136" s="181">
        <f t="shared" si="365"/>
        <v>1515.8207962350562</v>
      </c>
      <c r="BQ136" s="11">
        <f t="shared" si="365"/>
        <v>2273.7311943525842</v>
      </c>
      <c r="BR136" s="11">
        <f t="shared" si="365"/>
        <v>2779.0047930976034</v>
      </c>
      <c r="BS136" s="11">
        <f t="shared" si="365"/>
        <v>3536.915191215131</v>
      </c>
      <c r="BT136" s="603">
        <f t="shared" si="365"/>
        <v>5052.7359874501872</v>
      </c>
      <c r="BU136" s="11">
        <f t="shared" si="365"/>
        <v>1257.862316553789</v>
      </c>
      <c r="BV136" s="11">
        <f t="shared" si="365"/>
        <v>1572.3278956922363</v>
      </c>
      <c r="BW136" s="11">
        <f t="shared" si="365"/>
        <v>1572.3278956922361</v>
      </c>
      <c r="BX136" s="181">
        <f t="shared" si="365"/>
        <v>1886.793474830683</v>
      </c>
      <c r="BY136" s="11">
        <f t="shared" si="365"/>
        <v>2830.1902122460251</v>
      </c>
      <c r="BZ136" s="11">
        <f t="shared" si="365"/>
        <v>3459.1213705229202</v>
      </c>
      <c r="CA136" s="11">
        <f t="shared" si="365"/>
        <v>4402.5181079382619</v>
      </c>
      <c r="CB136" s="603">
        <f t="shared" ref="CB136:CJ136" si="370">CB185</f>
        <v>6289.3115827689444</v>
      </c>
      <c r="CC136" s="11">
        <f t="shared" si="370"/>
        <v>1440.414560388785</v>
      </c>
      <c r="CD136" s="11">
        <f t="shared" si="370"/>
        <v>1800.5182004859812</v>
      </c>
      <c r="CE136" s="11">
        <f t="shared" si="370"/>
        <v>1800.5182004859812</v>
      </c>
      <c r="CF136" s="181">
        <f t="shared" si="370"/>
        <v>2160.6218405831773</v>
      </c>
      <c r="CG136" s="11">
        <f t="shared" si="370"/>
        <v>3240.9327608747662</v>
      </c>
      <c r="CH136" s="11">
        <f t="shared" si="370"/>
        <v>3961.1400410691572</v>
      </c>
      <c r="CI136" s="11">
        <f t="shared" si="370"/>
        <v>5041.450961360747</v>
      </c>
      <c r="CJ136" s="603">
        <f t="shared" si="370"/>
        <v>7202.0728019439239</v>
      </c>
    </row>
    <row r="137" spans="1:88" x14ac:dyDescent="0.2">
      <c r="A137" s="186" t="s">
        <v>784</v>
      </c>
      <c r="B137" s="681"/>
      <c r="C137" s="272"/>
      <c r="D137" s="272"/>
      <c r="E137" s="272"/>
      <c r="F137" s="272"/>
      <c r="G137" s="272"/>
      <c r="H137" s="272"/>
      <c r="I137" s="272"/>
      <c r="J137" s="272"/>
      <c r="K137" s="272"/>
      <c r="L137" s="272"/>
      <c r="M137" s="278"/>
      <c r="N137" s="186">
        <f t="shared" ref="N137:BY137" si="371">N135+N136</f>
        <v>0</v>
      </c>
      <c r="O137" s="186">
        <f t="shared" si="371"/>
        <v>0</v>
      </c>
      <c r="P137" s="186">
        <f t="shared" si="371"/>
        <v>90.71487983986232</v>
      </c>
      <c r="Q137" s="186">
        <f t="shared" si="371"/>
        <v>545.70808745588806</v>
      </c>
      <c r="R137" s="186"/>
      <c r="S137" s="186">
        <f t="shared" si="371"/>
        <v>1643.2985396236475</v>
      </c>
      <c r="T137" s="186"/>
      <c r="U137" s="186">
        <f>U135+U136</f>
        <v>3213.4292877028133</v>
      </c>
      <c r="V137" s="186">
        <f>V135+V136</f>
        <v>1608.6623237575575</v>
      </c>
      <c r="W137" s="186">
        <f t="shared" si="371"/>
        <v>1290.8926044005011</v>
      </c>
      <c r="X137" s="284">
        <f t="shared" si="371"/>
        <v>1897.9360630281435</v>
      </c>
      <c r="Y137" s="186">
        <f t="shared" si="371"/>
        <v>603.07962989131829</v>
      </c>
      <c r="Z137" s="186">
        <f t="shared" si="371"/>
        <v>683.19382343744496</v>
      </c>
      <c r="AA137" s="186">
        <f t="shared" si="371"/>
        <v>637.19082330507308</v>
      </c>
      <c r="AB137" s="283">
        <f t="shared" si="371"/>
        <v>1523.2984990615948</v>
      </c>
      <c r="AC137" s="186">
        <f t="shared" si="371"/>
        <v>1286.2734533287633</v>
      </c>
      <c r="AD137" s="186">
        <f>AD135+AD136</f>
        <v>2160.4893223666677</v>
      </c>
      <c r="AE137" s="186">
        <f>AE135+AE136</f>
        <v>1923.4642766338361</v>
      </c>
      <c r="AF137" s="341">
        <f t="shared" ref="AF137:AJ137" si="372">AF135+AF136</f>
        <v>3446.7627756954312</v>
      </c>
      <c r="AG137" s="186">
        <f t="shared" si="372"/>
        <v>999.49380329431631</v>
      </c>
      <c r="AH137" s="186">
        <f t="shared" si="372"/>
        <v>769.56737393517221</v>
      </c>
      <c r="AI137" s="186">
        <f t="shared" si="372"/>
        <v>915.78500103251349</v>
      </c>
      <c r="AJ137" s="283">
        <f t="shared" si="372"/>
        <v>1031.9691610809757</v>
      </c>
      <c r="AK137" s="186">
        <f t="shared" ref="AK137" si="373">AK135+AK136</f>
        <v>1769.0611772294885</v>
      </c>
      <c r="AL137" s="186">
        <f>AL135+AL136</f>
        <v>1947.7541621134892</v>
      </c>
      <c r="AM137" s="186">
        <f>AM135+AM136</f>
        <v>2684.846178262002</v>
      </c>
      <c r="AN137" s="341">
        <f t="shared" ref="AN137:AR137" si="374">AN135+AN136</f>
        <v>3716.8153393429779</v>
      </c>
      <c r="AO137" s="186">
        <f t="shared" si="374"/>
        <v>1007.9001751385001</v>
      </c>
      <c r="AP137" s="186">
        <f t="shared" si="374"/>
        <v>1149.1601948607461</v>
      </c>
      <c r="AQ137" s="186">
        <f t="shared" si="374"/>
        <v>1249.4295302387934</v>
      </c>
      <c r="AR137" s="283">
        <f t="shared" si="374"/>
        <v>1306.6518989538561</v>
      </c>
      <c r="AS137" s="186">
        <f t="shared" si="371"/>
        <v>2157.0603699992462</v>
      </c>
      <c r="AT137" s="186">
        <f>AT135+AT136</f>
        <v>2556.0814291926495</v>
      </c>
      <c r="AU137" s="186">
        <f>AU135+AU136</f>
        <v>3406.4899002380398</v>
      </c>
      <c r="AV137" s="341">
        <f t="shared" ref="AV137" si="375">AV135+AV136</f>
        <v>4713.1417991918952</v>
      </c>
      <c r="AW137" s="186">
        <f t="shared" si="371"/>
        <v>1766.0153374439356</v>
      </c>
      <c r="AX137" s="186">
        <f t="shared" si="371"/>
        <v>1761.8780339493399</v>
      </c>
      <c r="AY137" s="285">
        <f t="shared" si="371"/>
        <v>1730.1974646830899</v>
      </c>
      <c r="AZ137" s="728">
        <f t="shared" si="371"/>
        <v>1959.4965250850191</v>
      </c>
      <c r="BA137" s="186">
        <f t="shared" si="371"/>
        <v>3527.8933713932756</v>
      </c>
      <c r="BB137" s="285">
        <f t="shared" si="371"/>
        <v>3689.6939897681086</v>
      </c>
      <c r="BC137" s="285">
        <f t="shared" si="371"/>
        <v>5259.7566511126524</v>
      </c>
      <c r="BD137" s="301">
        <f t="shared" si="371"/>
        <v>7219.2531761976716</v>
      </c>
      <c r="BE137" s="285">
        <f t="shared" si="371"/>
        <v>1776.6618134030746</v>
      </c>
      <c r="BF137" s="285">
        <f t="shared" si="371"/>
        <v>1989.9026133924983</v>
      </c>
      <c r="BG137" s="285">
        <f t="shared" si="371"/>
        <v>1991.6653970059438</v>
      </c>
      <c r="BH137" s="728">
        <f t="shared" si="371"/>
        <v>2911.9377064413284</v>
      </c>
      <c r="BI137" s="285">
        <f t="shared" si="371"/>
        <v>3766.5644267955731</v>
      </c>
      <c r="BJ137" s="285">
        <f t="shared" si="371"/>
        <v>4903.6031034472744</v>
      </c>
      <c r="BK137" s="285">
        <f t="shared" si="371"/>
        <v>5758.2298238015173</v>
      </c>
      <c r="BL137" s="301">
        <f t="shared" si="371"/>
        <v>8670.1675302428448</v>
      </c>
      <c r="BM137" s="285">
        <f t="shared" si="371"/>
        <v>2164.9890946328951</v>
      </c>
      <c r="BN137" s="285">
        <f t="shared" si="371"/>
        <v>2434.065731148261</v>
      </c>
      <c r="BO137" s="285">
        <f t="shared" si="371"/>
        <v>2437.7190282911188</v>
      </c>
      <c r="BP137" s="728">
        <f t="shared" si="371"/>
        <v>3392.4891268004558</v>
      </c>
      <c r="BQ137" s="285">
        <f t="shared" si="371"/>
        <v>4599.0548257811561</v>
      </c>
      <c r="BR137" s="285">
        <f t="shared" si="371"/>
        <v>5830.2081550915755</v>
      </c>
      <c r="BS137" s="285">
        <f t="shared" si="371"/>
        <v>7036.7738540722748</v>
      </c>
      <c r="BT137" s="301">
        <f t="shared" si="371"/>
        <v>10429.262980872731</v>
      </c>
      <c r="BU137" s="285">
        <f t="shared" si="371"/>
        <v>2470.2089709521647</v>
      </c>
      <c r="BV137" s="285">
        <f t="shared" si="371"/>
        <v>2780.9211548757567</v>
      </c>
      <c r="BW137" s="285">
        <f t="shared" si="371"/>
        <v>2784.6745500906118</v>
      </c>
      <c r="BX137" s="728">
        <f t="shared" si="371"/>
        <v>3818.3338566912589</v>
      </c>
      <c r="BY137" s="285">
        <f t="shared" si="371"/>
        <v>5251.1301258279209</v>
      </c>
      <c r="BZ137" s="285">
        <f t="shared" ref="BZ137:CJ137" si="376">BZ135+BZ136</f>
        <v>6603.0084067818725</v>
      </c>
      <c r="CA137" s="285">
        <f t="shared" si="376"/>
        <v>8035.8046759185336</v>
      </c>
      <c r="CB137" s="301">
        <f t="shared" si="376"/>
        <v>11854.138532609792</v>
      </c>
      <c r="CC137" s="285">
        <f t="shared" si="376"/>
        <v>2624.9768570839315</v>
      </c>
      <c r="CD137" s="285">
        <f t="shared" si="376"/>
        <v>2983.2179778467007</v>
      </c>
      <c r="CE137" s="285">
        <f t="shared" si="376"/>
        <v>2985.0804971811276</v>
      </c>
      <c r="CF137" s="728">
        <f t="shared" si="376"/>
        <v>4034.6146086905878</v>
      </c>
      <c r="CG137" s="285">
        <f t="shared" si="376"/>
        <v>5608.1948349306322</v>
      </c>
      <c r="CH137" s="285">
        <f t="shared" si="376"/>
        <v>7019.6951058717132</v>
      </c>
      <c r="CI137" s="285">
        <f t="shared" si="376"/>
        <v>8593.275332111758</v>
      </c>
      <c r="CJ137" s="301">
        <f t="shared" si="376"/>
        <v>12627.889940802346</v>
      </c>
    </row>
    <row r="138" spans="1:88" x14ac:dyDescent="0.2">
      <c r="A138" s="4" t="s">
        <v>785</v>
      </c>
      <c r="B138" s="681"/>
      <c r="C138" s="272"/>
      <c r="D138" s="272"/>
      <c r="E138" s="272"/>
      <c r="F138" s="272"/>
      <c r="G138" s="272"/>
      <c r="H138" s="272"/>
      <c r="I138" s="272"/>
      <c r="J138" s="272"/>
      <c r="K138" s="272"/>
      <c r="L138" s="272"/>
      <c r="M138" s="278"/>
      <c r="N138" s="4">
        <f>N141-N139-N137-N134</f>
        <v>980.70032804827861</v>
      </c>
      <c r="O138" s="4">
        <f>O160+O161</f>
        <v>896.34527436627388</v>
      </c>
      <c r="P138" s="4">
        <f t="shared" ref="P138:CA138" si="377">P160+P161</f>
        <v>792.63113147175352</v>
      </c>
      <c r="Q138" s="4">
        <f t="shared" si="377"/>
        <v>583.25275654284326</v>
      </c>
      <c r="S138" s="4">
        <f t="shared" si="377"/>
        <v>663.43638228814848</v>
      </c>
      <c r="U138" s="4">
        <f t="shared" si="377"/>
        <v>294.32170892332789</v>
      </c>
      <c r="V138" s="4">
        <f>V160+V161</f>
        <v>267.69087523726159</v>
      </c>
      <c r="W138" s="4">
        <f t="shared" si="377"/>
        <v>231.03185561977207</v>
      </c>
      <c r="X138" s="180">
        <f t="shared" si="377"/>
        <v>725.04528546015376</v>
      </c>
      <c r="Y138" s="4">
        <f t="shared" si="377"/>
        <v>335.48258406321543</v>
      </c>
      <c r="Z138" s="4">
        <f t="shared" si="377"/>
        <v>343.55137376903599</v>
      </c>
      <c r="AA138" s="4">
        <f t="shared" si="377"/>
        <v>274.30690074160191</v>
      </c>
      <c r="AB138" s="179">
        <f t="shared" si="377"/>
        <v>-768.23012029858012</v>
      </c>
      <c r="AC138" s="4">
        <f t="shared" si="377"/>
        <v>679.03395783225142</v>
      </c>
      <c r="AD138" s="4">
        <f>AD160+AD161</f>
        <v>-493.92321955697821</v>
      </c>
      <c r="AE138" s="4">
        <f>AE160+AE161</f>
        <v>953.34085857385332</v>
      </c>
      <c r="AF138" s="314">
        <f t="shared" ref="AF138:AJ138" si="378">AF160+AF161</f>
        <v>185.11073827527321</v>
      </c>
      <c r="AG138" s="4">
        <f t="shared" si="378"/>
        <v>79.478059271733969</v>
      </c>
      <c r="AH138" s="4">
        <f t="shared" si="378"/>
        <v>370.63523684459136</v>
      </c>
      <c r="AI138" s="4">
        <f t="shared" si="378"/>
        <v>138.15475520074807</v>
      </c>
      <c r="AJ138" s="179">
        <f t="shared" si="378"/>
        <v>-110.78021583112688</v>
      </c>
      <c r="AK138" s="4">
        <f t="shared" ref="AK138" si="379">AK160+AK161</f>
        <v>450.11329611632539</v>
      </c>
      <c r="AL138" s="4">
        <f>AL160+AL161</f>
        <v>27.374539369621203</v>
      </c>
      <c r="AM138" s="4">
        <f>AM160+AM161</f>
        <v>588.26805131707351</v>
      </c>
      <c r="AN138" s="314">
        <f t="shared" ref="AN138:AR138" si="380">AN160+AN161</f>
        <v>477.48783548594656</v>
      </c>
      <c r="AO138" s="4">
        <f t="shared" si="380"/>
        <v>343.9218626798704</v>
      </c>
      <c r="AP138" s="4">
        <f t="shared" si="380"/>
        <v>355.41614446670553</v>
      </c>
      <c r="AQ138" s="4">
        <f t="shared" si="380"/>
        <v>388.63483072768622</v>
      </c>
      <c r="AR138" s="179">
        <f t="shared" si="380"/>
        <v>-507.32289834584117</v>
      </c>
      <c r="AS138" s="4">
        <f t="shared" si="377"/>
        <v>699.33800714657593</v>
      </c>
      <c r="AT138" s="4">
        <f>AT160+AT161</f>
        <v>-118.68806761815492</v>
      </c>
      <c r="AU138" s="4">
        <f>AU160+AU161</f>
        <v>1087.9728378742623</v>
      </c>
      <c r="AV138" s="314">
        <f t="shared" ref="AV138" si="381">AV160+AV161</f>
        <v>580.6499395284211</v>
      </c>
      <c r="AW138" s="4">
        <f t="shared" si="377"/>
        <v>112.73927127721589</v>
      </c>
      <c r="AX138" s="4">
        <f t="shared" si="377"/>
        <v>172.36610419335076</v>
      </c>
      <c r="AY138" s="11">
        <f t="shared" si="377"/>
        <v>234.6183664471906</v>
      </c>
      <c r="AZ138" s="181">
        <f t="shared" si="377"/>
        <v>234.6183664471906</v>
      </c>
      <c r="BA138" s="4">
        <f t="shared" si="377"/>
        <v>285.10537547056663</v>
      </c>
      <c r="BB138" s="11">
        <f t="shared" si="377"/>
        <v>469.23673289438119</v>
      </c>
      <c r="BC138" s="11">
        <f t="shared" si="377"/>
        <v>519.85836413316633</v>
      </c>
      <c r="BD138" s="603">
        <f t="shared" si="377"/>
        <v>754.4767305803573</v>
      </c>
      <c r="BE138" s="11">
        <f t="shared" si="377"/>
        <v>172.73823072610293</v>
      </c>
      <c r="BF138" s="11">
        <f t="shared" si="377"/>
        <v>172.73823072610293</v>
      </c>
      <c r="BG138" s="11">
        <f t="shared" si="377"/>
        <v>172.73823072610293</v>
      </c>
      <c r="BH138" s="181">
        <f t="shared" si="377"/>
        <v>211.18946748109249</v>
      </c>
      <c r="BI138" s="11">
        <f t="shared" si="377"/>
        <v>345.47646145220585</v>
      </c>
      <c r="BJ138" s="11">
        <f t="shared" si="377"/>
        <v>383.9276982071957</v>
      </c>
      <c r="BK138" s="11">
        <f t="shared" si="377"/>
        <v>518.21469217830884</v>
      </c>
      <c r="BL138" s="603">
        <f t="shared" si="377"/>
        <v>729.40415965940133</v>
      </c>
      <c r="BM138" s="11">
        <f t="shared" si="377"/>
        <v>174.02758123129462</v>
      </c>
      <c r="BN138" s="11">
        <f t="shared" si="377"/>
        <v>174.02758123129462</v>
      </c>
      <c r="BO138" s="11">
        <f t="shared" si="377"/>
        <v>174.02758123129462</v>
      </c>
      <c r="BP138" s="181">
        <f t="shared" si="377"/>
        <v>213.48877282721429</v>
      </c>
      <c r="BQ138" s="11">
        <f t="shared" si="377"/>
        <v>348.05516246258924</v>
      </c>
      <c r="BR138" s="11">
        <f t="shared" si="377"/>
        <v>387.51635405850902</v>
      </c>
      <c r="BS138" s="11">
        <f t="shared" si="377"/>
        <v>522.08274369388391</v>
      </c>
      <c r="BT138" s="603">
        <f t="shared" si="377"/>
        <v>735.57151652109815</v>
      </c>
      <c r="BU138" s="11">
        <f t="shared" si="377"/>
        <v>173.86822021525137</v>
      </c>
      <c r="BV138" s="11">
        <f t="shared" si="377"/>
        <v>173.86822021525137</v>
      </c>
      <c r="BW138" s="11">
        <f t="shared" si="377"/>
        <v>173.86822021525137</v>
      </c>
      <c r="BX138" s="181">
        <f t="shared" si="377"/>
        <v>214.02079313941164</v>
      </c>
      <c r="BY138" s="11">
        <f t="shared" si="377"/>
        <v>347.73644043050274</v>
      </c>
      <c r="BZ138" s="11">
        <f t="shared" si="377"/>
        <v>387.88901335466312</v>
      </c>
      <c r="CA138" s="11">
        <f t="shared" si="377"/>
        <v>521.60466064575417</v>
      </c>
      <c r="CB138" s="603">
        <f t="shared" ref="CB138:CJ138" si="382">CB160+CB161</f>
        <v>735.62545378516575</v>
      </c>
      <c r="CC138" s="11">
        <f t="shared" si="382"/>
        <v>167.83377254863376</v>
      </c>
      <c r="CD138" s="11">
        <f t="shared" si="382"/>
        <v>167.83377254863376</v>
      </c>
      <c r="CE138" s="11">
        <f t="shared" si="382"/>
        <v>167.83377254863376</v>
      </c>
      <c r="CF138" s="181">
        <f t="shared" si="382"/>
        <v>207.29983096467851</v>
      </c>
      <c r="CG138" s="11">
        <f t="shared" si="382"/>
        <v>335.66754509726752</v>
      </c>
      <c r="CH138" s="11">
        <f t="shared" si="382"/>
        <v>375.13360351331221</v>
      </c>
      <c r="CI138" s="11">
        <f t="shared" si="382"/>
        <v>503.50131764590128</v>
      </c>
      <c r="CJ138" s="603">
        <f t="shared" si="382"/>
        <v>710.80114861057973</v>
      </c>
    </row>
    <row r="139" spans="1:88" x14ac:dyDescent="0.2">
      <c r="A139" s="4" t="s">
        <v>786</v>
      </c>
      <c r="B139" s="681"/>
      <c r="C139" s="272"/>
      <c r="D139" s="272"/>
      <c r="E139" s="272"/>
      <c r="F139" s="272"/>
      <c r="G139" s="272"/>
      <c r="H139" s="272"/>
      <c r="I139" s="272"/>
      <c r="J139" s="272"/>
      <c r="K139" s="272"/>
      <c r="L139" s="272"/>
      <c r="M139" s="278"/>
      <c r="N139" s="4">
        <f>N186+N187</f>
        <v>500.27967195172232</v>
      </c>
      <c r="O139" s="4">
        <f>O186+O187</f>
        <v>819.25384854342906</v>
      </c>
      <c r="P139" s="4">
        <f t="shared" ref="P139:CA139" si="383">P186+P187</f>
        <v>781.4757413271102</v>
      </c>
      <c r="Q139" s="4">
        <f t="shared" si="383"/>
        <v>927.95542939307938</v>
      </c>
      <c r="S139" s="4">
        <f>S186+S187</f>
        <v>1080.7767542350975</v>
      </c>
      <c r="U139" s="4">
        <f t="shared" si="383"/>
        <v>1331.4763043880725</v>
      </c>
      <c r="V139" s="4">
        <f>V186+V187</f>
        <v>1170.9609412115965</v>
      </c>
      <c r="W139" s="4">
        <f t="shared" si="383"/>
        <v>1135.4427254390139</v>
      </c>
      <c r="X139" s="180">
        <f t="shared" si="383"/>
        <v>1176.9524013318908</v>
      </c>
      <c r="Y139" s="4">
        <f t="shared" si="383"/>
        <v>217.58839528558477</v>
      </c>
      <c r="Z139" s="4">
        <f t="shared" si="383"/>
        <v>204.69256227151183</v>
      </c>
      <c r="AA139" s="4">
        <f t="shared" si="383"/>
        <v>292.30423685775605</v>
      </c>
      <c r="AB139" s="179">
        <f t="shared" si="383"/>
        <v>752.08693604066457</v>
      </c>
      <c r="AC139" s="4">
        <f t="shared" si="383"/>
        <v>422.2809575570966</v>
      </c>
      <c r="AD139" s="4">
        <f>AD186+AD187</f>
        <v>1044.3911728984208</v>
      </c>
      <c r="AE139" s="4">
        <f>AE186+AE187</f>
        <v>714.58519441485259</v>
      </c>
      <c r="AF139" s="314">
        <f t="shared" ref="AF139:AJ139" si="384">AF186+AF187</f>
        <v>1466.6721304555172</v>
      </c>
      <c r="AG139" s="4">
        <f t="shared" si="384"/>
        <v>303.59944409328529</v>
      </c>
      <c r="AH139" s="4">
        <f t="shared" si="384"/>
        <v>450.58128901886795</v>
      </c>
      <c r="AI139" s="4">
        <f t="shared" si="384"/>
        <v>291.10349334970761</v>
      </c>
      <c r="AJ139" s="179">
        <f t="shared" si="384"/>
        <v>518.38405795880817</v>
      </c>
      <c r="AK139" s="4">
        <f t="shared" ref="AK139" si="385">AK186+AK187</f>
        <v>754.18073311215323</v>
      </c>
      <c r="AL139" s="4">
        <f>AL186+AL187</f>
        <v>809.48755130851589</v>
      </c>
      <c r="AM139" s="4">
        <f>AM186+AM187</f>
        <v>1045.284226461861</v>
      </c>
      <c r="AN139" s="314">
        <f t="shared" ref="AN139:AR139" si="386">AN186+AN187</f>
        <v>1563.6682844206691</v>
      </c>
      <c r="AO139" s="4">
        <f t="shared" si="386"/>
        <v>292.21028510828228</v>
      </c>
      <c r="AP139" s="4">
        <f t="shared" si="386"/>
        <v>349.05132334070424</v>
      </c>
      <c r="AQ139" s="4">
        <f t="shared" si="386"/>
        <v>358.06443691506047</v>
      </c>
      <c r="AR139" s="179">
        <f t="shared" si="386"/>
        <v>632.33299623279117</v>
      </c>
      <c r="AS139" s="4">
        <f t="shared" si="383"/>
        <v>641.26160844898664</v>
      </c>
      <c r="AT139" s="4">
        <f>AT186+AT187</f>
        <v>990.39743314785164</v>
      </c>
      <c r="AU139" s="4">
        <f>AU186+AU187</f>
        <v>999.3260453640471</v>
      </c>
      <c r="AV139" s="314">
        <f t="shared" ref="AV139" si="387">AV186+AV187</f>
        <v>1631.6590415968381</v>
      </c>
      <c r="AW139" s="4">
        <f t="shared" si="383"/>
        <v>285.91524036127157</v>
      </c>
      <c r="AX139" s="4">
        <f t="shared" si="383"/>
        <v>323.47720143627214</v>
      </c>
      <c r="AY139" s="11">
        <f t="shared" si="383"/>
        <v>409.44724990879098</v>
      </c>
      <c r="AZ139" s="181">
        <f t="shared" si="383"/>
        <v>652.72542597186691</v>
      </c>
      <c r="BA139" s="4">
        <f t="shared" si="383"/>
        <v>609.39244179754371</v>
      </c>
      <c r="BB139" s="11">
        <f t="shared" si="383"/>
        <v>1062.1726758806578</v>
      </c>
      <c r="BC139" s="11">
        <f t="shared" si="383"/>
        <v>1019.1274371072523</v>
      </c>
      <c r="BD139" s="603">
        <f t="shared" si="383"/>
        <v>1671.8528630791193</v>
      </c>
      <c r="BE139" s="11">
        <f t="shared" si="383"/>
        <v>376.76393577059088</v>
      </c>
      <c r="BF139" s="11">
        <f t="shared" si="383"/>
        <v>416.93139503687348</v>
      </c>
      <c r="BG139" s="11">
        <f t="shared" si="383"/>
        <v>416.93139503687343</v>
      </c>
      <c r="BH139" s="181">
        <f t="shared" si="383"/>
        <v>457.09885430315597</v>
      </c>
      <c r="BI139" s="11">
        <f t="shared" si="383"/>
        <v>793.69533080746442</v>
      </c>
      <c r="BJ139" s="11">
        <f t="shared" si="383"/>
        <v>874.03024934002997</v>
      </c>
      <c r="BK139" s="11">
        <f t="shared" si="383"/>
        <v>1210.6267258443379</v>
      </c>
      <c r="BL139" s="603">
        <f t="shared" si="383"/>
        <v>1667.7255801474937</v>
      </c>
      <c r="BM139" s="11">
        <f t="shared" si="383"/>
        <v>436.20817223983062</v>
      </c>
      <c r="BN139" s="11">
        <f t="shared" si="383"/>
        <v>480.33224759568265</v>
      </c>
      <c r="BO139" s="11">
        <f t="shared" si="383"/>
        <v>480.33224759568265</v>
      </c>
      <c r="BP139" s="181">
        <f t="shared" si="383"/>
        <v>524.45632295153462</v>
      </c>
      <c r="BQ139" s="11">
        <f t="shared" si="383"/>
        <v>916.54041983551326</v>
      </c>
      <c r="BR139" s="11">
        <f t="shared" si="383"/>
        <v>1004.7885705472174</v>
      </c>
      <c r="BS139" s="11">
        <f t="shared" si="383"/>
        <v>1396.8726674311959</v>
      </c>
      <c r="BT139" s="603">
        <f t="shared" si="383"/>
        <v>1921.3289903827306</v>
      </c>
      <c r="BU139" s="11">
        <f t="shared" si="383"/>
        <v>461.96658186852238</v>
      </c>
      <c r="BV139" s="11">
        <f t="shared" si="383"/>
        <v>510.02397127909614</v>
      </c>
      <c r="BW139" s="11">
        <f t="shared" si="383"/>
        <v>510.02397127909614</v>
      </c>
      <c r="BX139" s="181">
        <f t="shared" si="383"/>
        <v>558.08136068967008</v>
      </c>
      <c r="BY139" s="11">
        <f t="shared" si="383"/>
        <v>971.99055314761858</v>
      </c>
      <c r="BZ139" s="11">
        <f t="shared" si="383"/>
        <v>1068.1053319687664</v>
      </c>
      <c r="CA139" s="11">
        <f t="shared" si="383"/>
        <v>1482.0145244267148</v>
      </c>
      <c r="CB139" s="603">
        <f t="shared" ref="CB139:CJ139" si="388">CB186+CB187</f>
        <v>2040.0958851163846</v>
      </c>
      <c r="CC139" s="11">
        <f t="shared" si="388"/>
        <v>427.07313561803261</v>
      </c>
      <c r="CD139" s="11">
        <f t="shared" si="388"/>
        <v>477.6337012099043</v>
      </c>
      <c r="CE139" s="11">
        <f t="shared" si="388"/>
        <v>477.63370120990442</v>
      </c>
      <c r="CF139" s="181">
        <f t="shared" si="388"/>
        <v>528.19426680177617</v>
      </c>
      <c r="CG139" s="11">
        <f t="shared" si="388"/>
        <v>904.70683682793697</v>
      </c>
      <c r="CH139" s="11">
        <f t="shared" si="388"/>
        <v>1005.8279680116802</v>
      </c>
      <c r="CI139" s="11">
        <f t="shared" si="388"/>
        <v>1382.340538037841</v>
      </c>
      <c r="CJ139" s="603">
        <f t="shared" si="388"/>
        <v>1910.5348048396172</v>
      </c>
    </row>
    <row r="140" spans="1:88" x14ac:dyDescent="0.2">
      <c r="A140" s="186" t="s">
        <v>787</v>
      </c>
      <c r="B140" s="681"/>
      <c r="C140" s="272"/>
      <c r="D140" s="272"/>
      <c r="E140" s="272"/>
      <c r="F140" s="272"/>
      <c r="G140" s="272"/>
      <c r="H140" s="272"/>
      <c r="I140" s="272"/>
      <c r="J140" s="272"/>
      <c r="K140" s="272"/>
      <c r="L140" s="272"/>
      <c r="M140" s="278"/>
      <c r="N140" s="186">
        <f>N138+N139</f>
        <v>1480.9800000000009</v>
      </c>
      <c r="O140" s="186">
        <f t="shared" ref="O140:BZ140" si="389">O138+O139</f>
        <v>1715.5991229097031</v>
      </c>
      <c r="P140" s="186">
        <f t="shared" si="389"/>
        <v>1574.1068727988636</v>
      </c>
      <c r="Q140" s="186">
        <f t="shared" si="389"/>
        <v>1511.2081859359228</v>
      </c>
      <c r="R140" s="186"/>
      <c r="S140" s="186">
        <f t="shared" si="389"/>
        <v>1744.213136523246</v>
      </c>
      <c r="T140" s="186"/>
      <c r="U140" s="186">
        <f t="shared" si="389"/>
        <v>1625.7980133114004</v>
      </c>
      <c r="V140" s="186">
        <f>V138+V139</f>
        <v>1438.651816448858</v>
      </c>
      <c r="W140" s="186">
        <f t="shared" si="389"/>
        <v>1366.474581058786</v>
      </c>
      <c r="X140" s="284">
        <f t="shared" si="389"/>
        <v>1901.9976867920445</v>
      </c>
      <c r="Y140" s="186">
        <f t="shared" si="389"/>
        <v>553.07097934880017</v>
      </c>
      <c r="Z140" s="186">
        <f t="shared" si="389"/>
        <v>548.24393604054785</v>
      </c>
      <c r="AA140" s="186">
        <f t="shared" si="389"/>
        <v>566.61113759935802</v>
      </c>
      <c r="AB140" s="283">
        <f t="shared" si="389"/>
        <v>-16.14318425791555</v>
      </c>
      <c r="AC140" s="186">
        <f t="shared" si="389"/>
        <v>1101.314915389348</v>
      </c>
      <c r="AD140" s="186">
        <f>AD138+AD139</f>
        <v>550.46795334144258</v>
      </c>
      <c r="AE140" s="186">
        <f>AE138+AE139</f>
        <v>1667.926052988706</v>
      </c>
      <c r="AF140" s="341">
        <f t="shared" ref="AF140:AJ140" si="390">AF138+AF139</f>
        <v>1651.7828687307904</v>
      </c>
      <c r="AG140" s="186">
        <f t="shared" si="390"/>
        <v>383.07750336501925</v>
      </c>
      <c r="AH140" s="186">
        <f t="shared" si="390"/>
        <v>821.21652586345931</v>
      </c>
      <c r="AI140" s="186">
        <f t="shared" si="390"/>
        <v>429.25824855045568</v>
      </c>
      <c r="AJ140" s="283">
        <f t="shared" si="390"/>
        <v>407.60384212768128</v>
      </c>
      <c r="AK140" s="186">
        <f t="shared" ref="AK140" si="391">AK138+AK139</f>
        <v>1204.2940292284786</v>
      </c>
      <c r="AL140" s="186">
        <f>AL138+AL139</f>
        <v>836.86209067813706</v>
      </c>
      <c r="AM140" s="186">
        <f>AM138+AM139</f>
        <v>1633.5522777789345</v>
      </c>
      <c r="AN140" s="341">
        <f t="shared" ref="AN140:AR140" si="392">AN138+AN139</f>
        <v>2041.1561199066157</v>
      </c>
      <c r="AO140" s="186">
        <f t="shared" si="392"/>
        <v>636.13214778815268</v>
      </c>
      <c r="AP140" s="186">
        <f t="shared" si="392"/>
        <v>704.46746780740978</v>
      </c>
      <c r="AQ140" s="186">
        <f t="shared" si="392"/>
        <v>746.69926764274669</v>
      </c>
      <c r="AR140" s="283">
        <f t="shared" si="392"/>
        <v>125.01009788695001</v>
      </c>
      <c r="AS140" s="186">
        <f t="shared" si="389"/>
        <v>1340.5996155955627</v>
      </c>
      <c r="AT140" s="186">
        <f>AT138+AT139</f>
        <v>871.7093655296967</v>
      </c>
      <c r="AU140" s="186">
        <f>AU138+AU139</f>
        <v>2087.2988832383094</v>
      </c>
      <c r="AV140" s="341">
        <f t="shared" ref="AV140" si="393">AV138+AV139</f>
        <v>2212.3089811252594</v>
      </c>
      <c r="AW140" s="186">
        <f t="shared" si="389"/>
        <v>398.65451163848746</v>
      </c>
      <c r="AX140" s="186">
        <f t="shared" si="389"/>
        <v>495.84330562962293</v>
      </c>
      <c r="AY140" s="285">
        <f t="shared" si="389"/>
        <v>644.06561635598155</v>
      </c>
      <c r="AZ140" s="728">
        <f t="shared" si="389"/>
        <v>887.34379241905754</v>
      </c>
      <c r="BA140" s="186">
        <f t="shared" si="389"/>
        <v>894.49781726811034</v>
      </c>
      <c r="BB140" s="285">
        <f t="shared" si="389"/>
        <v>1531.4094087750391</v>
      </c>
      <c r="BC140" s="285">
        <f t="shared" si="389"/>
        <v>1538.9858012404186</v>
      </c>
      <c r="BD140" s="301">
        <f t="shared" si="389"/>
        <v>2426.3295936594768</v>
      </c>
      <c r="BE140" s="285">
        <f t="shared" si="389"/>
        <v>549.5021664966938</v>
      </c>
      <c r="BF140" s="285">
        <f t="shared" si="389"/>
        <v>589.66962576297647</v>
      </c>
      <c r="BG140" s="285">
        <f t="shared" si="389"/>
        <v>589.66962576297635</v>
      </c>
      <c r="BH140" s="728">
        <f t="shared" si="389"/>
        <v>668.28832178424841</v>
      </c>
      <c r="BI140" s="285">
        <f t="shared" si="389"/>
        <v>1139.1717922596704</v>
      </c>
      <c r="BJ140" s="285">
        <f t="shared" si="389"/>
        <v>1257.9579475472256</v>
      </c>
      <c r="BK140" s="285">
        <f t="shared" si="389"/>
        <v>1728.8414180226468</v>
      </c>
      <c r="BL140" s="301">
        <f t="shared" si="389"/>
        <v>2397.129739806895</v>
      </c>
      <c r="BM140" s="285">
        <f t="shared" si="389"/>
        <v>610.23575347112524</v>
      </c>
      <c r="BN140" s="285">
        <f t="shared" si="389"/>
        <v>654.35982882697726</v>
      </c>
      <c r="BO140" s="285">
        <f t="shared" si="389"/>
        <v>654.35982882697726</v>
      </c>
      <c r="BP140" s="728">
        <f t="shared" si="389"/>
        <v>737.94509577874896</v>
      </c>
      <c r="BQ140" s="285">
        <f t="shared" si="389"/>
        <v>1264.5955822981025</v>
      </c>
      <c r="BR140" s="285">
        <f t="shared" si="389"/>
        <v>1392.3049246057265</v>
      </c>
      <c r="BS140" s="285">
        <f t="shared" si="389"/>
        <v>1918.9554111250798</v>
      </c>
      <c r="BT140" s="301">
        <f t="shared" si="389"/>
        <v>2656.9005069038285</v>
      </c>
      <c r="BU140" s="285">
        <f t="shared" si="389"/>
        <v>635.83480208377375</v>
      </c>
      <c r="BV140" s="285">
        <f t="shared" si="389"/>
        <v>683.89219149434757</v>
      </c>
      <c r="BW140" s="285">
        <f t="shared" si="389"/>
        <v>683.89219149434757</v>
      </c>
      <c r="BX140" s="728">
        <f t="shared" si="389"/>
        <v>772.10215382908177</v>
      </c>
      <c r="BY140" s="285">
        <f t="shared" si="389"/>
        <v>1319.7269935781214</v>
      </c>
      <c r="BZ140" s="285">
        <f t="shared" si="389"/>
        <v>1455.9943453234296</v>
      </c>
      <c r="CA140" s="285">
        <f t="shared" ref="CA140:CJ140" si="394">CA138+CA139</f>
        <v>2003.619185072469</v>
      </c>
      <c r="CB140" s="301">
        <f t="shared" si="394"/>
        <v>2775.7213389015506</v>
      </c>
      <c r="CC140" s="285">
        <f t="shared" si="394"/>
        <v>594.90690816666643</v>
      </c>
      <c r="CD140" s="285">
        <f t="shared" si="394"/>
        <v>645.46747375853806</v>
      </c>
      <c r="CE140" s="285">
        <f t="shared" si="394"/>
        <v>645.46747375853818</v>
      </c>
      <c r="CF140" s="728">
        <f t="shared" si="394"/>
        <v>735.49409776645462</v>
      </c>
      <c r="CG140" s="285">
        <f t="shared" si="394"/>
        <v>1240.3743819252045</v>
      </c>
      <c r="CH140" s="285">
        <f t="shared" si="394"/>
        <v>1380.9615715249925</v>
      </c>
      <c r="CI140" s="285">
        <f t="shared" si="394"/>
        <v>1885.8418556837423</v>
      </c>
      <c r="CJ140" s="301">
        <f t="shared" si="394"/>
        <v>2621.3359534501969</v>
      </c>
    </row>
    <row r="141" spans="1:88" x14ac:dyDescent="0.2">
      <c r="A141" s="717" t="s">
        <v>763</v>
      </c>
      <c r="B141" s="718"/>
      <c r="C141" s="719"/>
      <c r="D141" s="719"/>
      <c r="E141" s="719"/>
      <c r="F141" s="719"/>
      <c r="G141" s="719"/>
      <c r="H141" s="719"/>
      <c r="I141" s="719"/>
      <c r="J141" s="719"/>
      <c r="K141" s="719"/>
      <c r="L141" s="719"/>
      <c r="M141" s="726"/>
      <c r="N141" s="531">
        <f>N5</f>
        <v>5380.9800000000005</v>
      </c>
      <c r="O141" s="531">
        <f>O5</f>
        <v>6523.2999999999993</v>
      </c>
      <c r="P141" s="531">
        <f>P5</f>
        <v>6855.4299999999994</v>
      </c>
      <c r="Q141" s="531">
        <f t="shared" ref="Q141:CB141" si="395">Q134+Q137+Q140</f>
        <v>7204.8899999999994</v>
      </c>
      <c r="R141" s="531">
        <f>+R98</f>
        <v>7204.89</v>
      </c>
      <c r="S141" s="531">
        <f t="shared" si="395"/>
        <v>8361.6</v>
      </c>
      <c r="T141" s="531"/>
      <c r="U141" s="531">
        <f>U134+U137+U140</f>
        <v>9274.6499999999978</v>
      </c>
      <c r="V141" s="531">
        <f>V134+V137+V140</f>
        <v>5057.58</v>
      </c>
      <c r="W141" s="531">
        <f t="shared" si="395"/>
        <v>4760.96</v>
      </c>
      <c r="X141" s="532">
        <f t="shared" si="395"/>
        <v>6939.380000000001</v>
      </c>
      <c r="Y141" s="531">
        <f t="shared" si="395"/>
        <v>2035.5</v>
      </c>
      <c r="Z141" s="531">
        <f t="shared" si="395"/>
        <v>2222.25</v>
      </c>
      <c r="AA141" s="531">
        <f t="shared" si="395"/>
        <v>2312.25</v>
      </c>
      <c r="AB141" s="727">
        <f t="shared" si="395"/>
        <v>2693.28</v>
      </c>
      <c r="AC141" s="531">
        <f t="shared" si="395"/>
        <v>4257.75</v>
      </c>
      <c r="AD141" s="531">
        <f>AD134+AD137+AD140</f>
        <v>5005.53</v>
      </c>
      <c r="AE141" s="531">
        <f>AE134+AE137+AE140</f>
        <v>6570</v>
      </c>
      <c r="AF141" s="1365">
        <f t="shared" ref="AF141:AJ141" si="396">AF134+AF137+AF140</f>
        <v>9263.2800000000007</v>
      </c>
      <c r="AG141" s="531">
        <f t="shared" si="396"/>
        <v>2384.69</v>
      </c>
      <c r="AH141" s="531">
        <f t="shared" si="396"/>
        <v>2654.8900000000003</v>
      </c>
      <c r="AI141" s="531">
        <f t="shared" si="396"/>
        <v>2637.81</v>
      </c>
      <c r="AJ141" s="727">
        <f t="shared" si="396"/>
        <v>3107.69</v>
      </c>
      <c r="AK141" s="531">
        <f t="shared" ref="AK141" si="397">AK134+AK137+AK140</f>
        <v>5039.58</v>
      </c>
      <c r="AL141" s="531">
        <f>AL134+AL137+AL140</f>
        <v>5745.5</v>
      </c>
      <c r="AM141" s="531">
        <f>AM134+AM137+AM140</f>
        <v>7677.3900000000012</v>
      </c>
      <c r="AN141" s="1365">
        <f t="shared" ref="AN141:AR141" si="398">AN134+AN137+AN140</f>
        <v>10785.080000000002</v>
      </c>
      <c r="AO141" s="531">
        <f t="shared" si="398"/>
        <v>2836.6800000000003</v>
      </c>
      <c r="AP141" s="531">
        <f t="shared" si="398"/>
        <v>3120.7100000000005</v>
      </c>
      <c r="AQ141" s="531">
        <f t="shared" si="398"/>
        <v>3295.8599999999992</v>
      </c>
      <c r="AR141" s="727">
        <f t="shared" si="398"/>
        <v>3281.150000000001</v>
      </c>
      <c r="AS141" s="531">
        <f t="shared" si="395"/>
        <v>5957.3900000000012</v>
      </c>
      <c r="AT141" s="531">
        <f>AT134+AT137+AT140</f>
        <v>6577.0100000000011</v>
      </c>
      <c r="AU141" s="531">
        <f>AU134+AU137+AU140</f>
        <v>9253.25</v>
      </c>
      <c r="AV141" s="1365">
        <f t="shared" ref="AV141" si="399">AV134+AV137+AV140</f>
        <v>12534.400000000001</v>
      </c>
      <c r="AW141" s="531">
        <f t="shared" si="395"/>
        <v>3550.5599999999995</v>
      </c>
      <c r="AX141" s="531">
        <f t="shared" si="395"/>
        <v>3700.0600000000004</v>
      </c>
      <c r="AY141" s="533">
        <f t="shared" si="395"/>
        <v>3754.6287810492004</v>
      </c>
      <c r="AZ141" s="720">
        <f t="shared" si="395"/>
        <v>4772.3663834716472</v>
      </c>
      <c r="BA141" s="531">
        <f t="shared" si="395"/>
        <v>7250.62</v>
      </c>
      <c r="BB141" s="533">
        <f t="shared" si="395"/>
        <v>8526.9951645208457</v>
      </c>
      <c r="BC141" s="533">
        <f t="shared" si="395"/>
        <v>11008.672408281345</v>
      </c>
      <c r="BD141" s="721">
        <f t="shared" si="395"/>
        <v>15781.038791752992</v>
      </c>
      <c r="BE141" s="533">
        <f t="shared" si="395"/>
        <v>3614.6867413719488</v>
      </c>
      <c r="BF141" s="533">
        <f t="shared" si="395"/>
        <v>4189.5995898927595</v>
      </c>
      <c r="BG141" s="533">
        <f t="shared" si="395"/>
        <v>4190.5275720356167</v>
      </c>
      <c r="BH141" s="720">
        <f t="shared" si="395"/>
        <v>5516.3319788022745</v>
      </c>
      <c r="BI141" s="533">
        <f t="shared" si="395"/>
        <v>7804.2863312647096</v>
      </c>
      <c r="BJ141" s="533">
        <f t="shared" si="395"/>
        <v>9706.8595508378967</v>
      </c>
      <c r="BK141" s="533">
        <f t="shared" si="395"/>
        <v>11994.813903300324</v>
      </c>
      <c r="BL141" s="721">
        <f t="shared" si="395"/>
        <v>17511.145882102599</v>
      </c>
      <c r="BM141" s="533">
        <f t="shared" si="395"/>
        <v>4033.5382711768771</v>
      </c>
      <c r="BN141" s="533">
        <f t="shared" si="395"/>
        <v>4660.7059841913087</v>
      </c>
      <c r="BO141" s="533">
        <f t="shared" si="395"/>
        <v>4663.544141834167</v>
      </c>
      <c r="BP141" s="720">
        <f t="shared" si="395"/>
        <v>6021.0825921157957</v>
      </c>
      <c r="BQ141" s="533">
        <f t="shared" si="395"/>
        <v>8694.2442553681867</v>
      </c>
      <c r="BR141" s="533">
        <f t="shared" si="395"/>
        <v>10684.626733949965</v>
      </c>
      <c r="BS141" s="533">
        <f t="shared" si="395"/>
        <v>13357.788397202352</v>
      </c>
      <c r="BT141" s="721">
        <f t="shared" si="395"/>
        <v>19378.870989318148</v>
      </c>
      <c r="BU141" s="533">
        <f t="shared" si="395"/>
        <v>4286.2667103417562</v>
      </c>
      <c r="BV141" s="533">
        <f t="shared" si="395"/>
        <v>4939.5001494882754</v>
      </c>
      <c r="BW141" s="533">
        <f t="shared" si="395"/>
        <v>4942.4643866843289</v>
      </c>
      <c r="BX141" s="720">
        <f t="shared" si="395"/>
        <v>6363.8323254125307</v>
      </c>
      <c r="BY141" s="533">
        <f t="shared" si="395"/>
        <v>9225.7668598300315</v>
      </c>
      <c r="BZ141" s="533">
        <f t="shared" si="395"/>
        <v>11306.296712096862</v>
      </c>
      <c r="CA141" s="533">
        <f t="shared" si="395"/>
        <v>14168.231246514362</v>
      </c>
      <c r="CB141" s="721">
        <f t="shared" si="395"/>
        <v>20532.06357192689</v>
      </c>
      <c r="CC141" s="533">
        <f t="shared" ref="CC141:CJ141" si="400">CC134+CC137+CC140</f>
        <v>4279.2859896675736</v>
      </c>
      <c r="CD141" s="533">
        <f t="shared" si="400"/>
        <v>4952.3847234116856</v>
      </c>
      <c r="CE141" s="533">
        <f t="shared" si="400"/>
        <v>4953.5092311264152</v>
      </c>
      <c r="CF141" s="720">
        <f t="shared" si="400"/>
        <v>6361.4374971945408</v>
      </c>
      <c r="CG141" s="533">
        <f t="shared" si="400"/>
        <v>9231.6707130792602</v>
      </c>
      <c r="CH141" s="533">
        <f t="shared" si="400"/>
        <v>11314.946728320952</v>
      </c>
      <c r="CI141" s="533">
        <f t="shared" si="400"/>
        <v>14185.179944205673</v>
      </c>
      <c r="CJ141" s="721">
        <f t="shared" si="400"/>
        <v>20546.617441400213</v>
      </c>
    </row>
    <row r="142" spans="1:88" x14ac:dyDescent="0.2">
      <c r="A142" s="680"/>
      <c r="B142" s="681"/>
      <c r="C142" s="272"/>
      <c r="D142" s="272"/>
      <c r="E142" s="272"/>
      <c r="F142" s="272"/>
      <c r="G142" s="272"/>
      <c r="H142" s="272"/>
      <c r="I142" s="272"/>
      <c r="J142" s="272"/>
      <c r="K142" s="272"/>
      <c r="L142" s="272"/>
      <c r="M142" s="278"/>
      <c r="N142" s="186"/>
      <c r="O142" s="278"/>
      <c r="P142" s="278"/>
      <c r="Q142" s="278"/>
      <c r="R142" s="278"/>
      <c r="S142" s="278"/>
      <c r="T142" s="278"/>
      <c r="U142" s="278"/>
      <c r="V142" s="278"/>
      <c r="W142" s="278"/>
      <c r="X142" s="250"/>
      <c r="Y142" s="278"/>
      <c r="Z142" s="278"/>
      <c r="AA142" s="278"/>
      <c r="AB142" s="298"/>
      <c r="AC142" s="278"/>
      <c r="AD142" s="278"/>
      <c r="AE142" s="278"/>
      <c r="AF142" s="691"/>
      <c r="AG142" s="278"/>
      <c r="AH142" s="278"/>
      <c r="AI142" s="278"/>
      <c r="AJ142" s="298"/>
      <c r="AK142" s="278"/>
      <c r="AL142" s="278"/>
      <c r="AM142" s="278"/>
      <c r="AN142" s="691"/>
      <c r="AO142" s="278"/>
      <c r="AP142" s="278"/>
      <c r="AQ142" s="278"/>
      <c r="AR142" s="298"/>
      <c r="AS142" s="278"/>
      <c r="AT142" s="278"/>
      <c r="AU142" s="278"/>
      <c r="AV142" s="602"/>
      <c r="AW142" s="278"/>
      <c r="AX142" s="278"/>
      <c r="AY142" s="278"/>
      <c r="AZ142" s="298"/>
      <c r="BA142" s="278"/>
      <c r="BB142" s="278"/>
      <c r="BC142" s="278"/>
      <c r="BD142" s="691"/>
      <c r="BE142" s="278"/>
      <c r="BF142" s="278"/>
      <c r="BG142" s="278"/>
      <c r="BH142" s="298"/>
      <c r="BI142" s="278"/>
      <c r="BJ142" s="278"/>
      <c r="BK142" s="278"/>
      <c r="BL142" s="691"/>
      <c r="BM142" s="278"/>
      <c r="BN142" s="278"/>
      <c r="BO142" s="278"/>
      <c r="BP142" s="298"/>
      <c r="BQ142" s="278"/>
      <c r="BR142" s="278"/>
      <c r="BS142" s="278"/>
      <c r="BT142" s="691"/>
      <c r="BU142" s="278"/>
      <c r="BV142" s="278"/>
      <c r="BW142" s="278"/>
      <c r="BX142" s="298"/>
      <c r="BY142" s="278"/>
      <c r="BZ142" s="278"/>
      <c r="CA142" s="278"/>
      <c r="CB142" s="691"/>
      <c r="CC142" s="278"/>
      <c r="CD142" s="278"/>
      <c r="CE142" s="278"/>
      <c r="CF142" s="298"/>
      <c r="CG142" s="278"/>
      <c r="CH142" s="278"/>
      <c r="CI142" s="278"/>
      <c r="CJ142" s="691"/>
    </row>
    <row r="143" spans="1:88" outlineLevel="1" x14ac:dyDescent="0.2">
      <c r="A143" s="4" t="s">
        <v>779</v>
      </c>
      <c r="B143" s="681"/>
      <c r="C143" s="272"/>
      <c r="D143" s="272"/>
      <c r="E143" s="272"/>
      <c r="F143" s="272"/>
      <c r="G143" s="272"/>
      <c r="H143" s="272"/>
      <c r="I143" s="272"/>
      <c r="J143" s="272"/>
      <c r="K143" s="272"/>
      <c r="L143" s="272"/>
      <c r="M143" s="278"/>
      <c r="N143" s="4">
        <f>N132*N$114</f>
        <v>2266.5825</v>
      </c>
      <c r="O143" s="4">
        <f>O166</f>
        <v>2593.8504375000002</v>
      </c>
      <c r="P143" s="4">
        <f t="shared" ref="P143:CA143" si="401">P166</f>
        <v>2661.8752456593561</v>
      </c>
      <c r="Q143" s="4">
        <f>Q166</f>
        <v>2304.4394063987152</v>
      </c>
      <c r="S143" s="4">
        <f>S158</f>
        <v>1463.5066066289846</v>
      </c>
      <c r="U143" s="4">
        <f t="shared" si="401"/>
        <v>695.06905793231363</v>
      </c>
      <c r="V143" s="4">
        <f>V166</f>
        <v>279.62604795696302</v>
      </c>
      <c r="W143" s="4">
        <f t="shared" si="401"/>
        <v>164.34696023630119</v>
      </c>
      <c r="X143" s="180">
        <f t="shared" si="401"/>
        <v>86.263847222432489</v>
      </c>
      <c r="Y143" s="4">
        <f t="shared" si="401"/>
        <v>19.922378008149355</v>
      </c>
      <c r="Z143" s="4">
        <f t="shared" si="401"/>
        <v>11.953426804889613</v>
      </c>
      <c r="AA143" s="4">
        <f t="shared" si="401"/>
        <v>18.59421947427273</v>
      </c>
      <c r="AB143" s="179">
        <f t="shared" si="401"/>
        <v>18.59421947427273</v>
      </c>
      <c r="AC143" s="4">
        <f t="shared" si="401"/>
        <v>31.875804813038968</v>
      </c>
      <c r="AD143" s="4">
        <f>AD166</f>
        <v>37.188438948545461</v>
      </c>
      <c r="AE143" s="4">
        <f>AE166</f>
        <v>61.095292558324687</v>
      </c>
      <c r="AF143" s="314">
        <f t="shared" ref="AF143:AJ143" si="402">AF166</f>
        <v>80.602850283176124</v>
      </c>
      <c r="AG143" s="4">
        <f t="shared" si="402"/>
        <v>18.35847133450963</v>
      </c>
      <c r="AH143" s="4">
        <f t="shared" si="402"/>
        <v>22.768990914912926</v>
      </c>
      <c r="AI143" s="4">
        <f t="shared" si="402"/>
        <v>18.632238012304949</v>
      </c>
      <c r="AJ143" s="179">
        <f t="shared" si="402"/>
        <v>27.328356012862141</v>
      </c>
      <c r="AK143" s="4">
        <f t="shared" ref="AK143" si="403">AK166</f>
        <v>41.483703647102466</v>
      </c>
      <c r="AL143" s="4">
        <f>AL166</f>
        <v>45.96059402516709</v>
      </c>
      <c r="AM143" s="4">
        <f>AM166</f>
        <v>59.759700261727502</v>
      </c>
      <c r="AN143" s="314">
        <f t="shared" ref="AN143:AR143" si="404">AN166</f>
        <v>87.444297672269556</v>
      </c>
      <c r="AO143" s="4">
        <f t="shared" si="404"/>
        <v>18</v>
      </c>
      <c r="AP143" s="4">
        <f t="shared" si="404"/>
        <v>18.399999999999999</v>
      </c>
      <c r="AQ143" s="4">
        <f t="shared" si="404"/>
        <v>17.399999999999999</v>
      </c>
      <c r="AR143" s="179">
        <f t="shared" si="404"/>
        <v>8.6000000000000014</v>
      </c>
      <c r="AS143" s="4">
        <f t="shared" si="401"/>
        <v>36.4</v>
      </c>
      <c r="AT143" s="4">
        <f>AT166</f>
        <v>26</v>
      </c>
      <c r="AU143" s="4">
        <f>AU166</f>
        <v>53.8</v>
      </c>
      <c r="AV143" s="314">
        <f t="shared" ref="AV143" si="405">AV166</f>
        <v>62.4</v>
      </c>
      <c r="AW143" s="4">
        <f t="shared" si="401"/>
        <v>17.64</v>
      </c>
      <c r="AX143" s="4">
        <f t="shared" si="401"/>
        <v>12.543999999999997</v>
      </c>
      <c r="AY143" s="11">
        <f t="shared" si="401"/>
        <v>10.583999999999998</v>
      </c>
      <c r="AZ143" s="181">
        <f t="shared" si="401"/>
        <v>6.8399601161858978</v>
      </c>
      <c r="BA143" s="4">
        <f t="shared" si="401"/>
        <v>30.183999999999997</v>
      </c>
      <c r="BB143" s="11">
        <f t="shared" si="401"/>
        <v>17.423960116185896</v>
      </c>
      <c r="BC143" s="11">
        <f t="shared" si="401"/>
        <v>40.767999999999994</v>
      </c>
      <c r="BD143" s="603">
        <f t="shared" si="401"/>
        <v>47.607960116185893</v>
      </c>
      <c r="BE143" s="11">
        <f t="shared" si="401"/>
        <v>6.7227999999999994</v>
      </c>
      <c r="BF143" s="11">
        <f t="shared" si="401"/>
        <v>7.6831999999999976</v>
      </c>
      <c r="BG143" s="11">
        <f t="shared" si="401"/>
        <v>6.7227999999999994</v>
      </c>
      <c r="BH143" s="181">
        <f t="shared" si="401"/>
        <v>13.905784974916386</v>
      </c>
      <c r="BI143" s="11">
        <f t="shared" si="401"/>
        <v>14.405999999999997</v>
      </c>
      <c r="BJ143" s="11">
        <f t="shared" si="401"/>
        <v>20.628584974916386</v>
      </c>
      <c r="BK143" s="11">
        <f t="shared" si="401"/>
        <v>21.128799999999998</v>
      </c>
      <c r="BL143" s="603">
        <f t="shared" si="401"/>
        <v>35.034584974916385</v>
      </c>
      <c r="BM143" s="11">
        <f t="shared" si="401"/>
        <v>6.5883439999999993</v>
      </c>
      <c r="BN143" s="11">
        <f t="shared" si="401"/>
        <v>7.5295359999999967</v>
      </c>
      <c r="BO143" s="11">
        <f t="shared" si="401"/>
        <v>6.5883439999999993</v>
      </c>
      <c r="BP143" s="181">
        <f t="shared" si="401"/>
        <v>13.552230555239287</v>
      </c>
      <c r="BQ143" s="11">
        <f t="shared" si="401"/>
        <v>14.117879999999996</v>
      </c>
      <c r="BR143" s="11">
        <f t="shared" si="401"/>
        <v>20.140574555239287</v>
      </c>
      <c r="BS143" s="11">
        <f t="shared" si="401"/>
        <v>20.706223999999995</v>
      </c>
      <c r="BT143" s="603">
        <f t="shared" si="401"/>
        <v>34.258454555239283</v>
      </c>
      <c r="BU143" s="11">
        <f t="shared" si="401"/>
        <v>6.4565771199999986</v>
      </c>
      <c r="BV143" s="11">
        <f t="shared" si="401"/>
        <v>7.3789452799999999</v>
      </c>
      <c r="BW143" s="11">
        <f t="shared" si="401"/>
        <v>6.4565771199999986</v>
      </c>
      <c r="BX143" s="181">
        <f t="shared" si="401"/>
        <v>13.26362587980697</v>
      </c>
      <c r="BY143" s="11">
        <f t="shared" si="401"/>
        <v>13.835522399999999</v>
      </c>
      <c r="BZ143" s="11">
        <f t="shared" si="401"/>
        <v>19.720202999806968</v>
      </c>
      <c r="CA143" s="11">
        <f t="shared" si="401"/>
        <v>20.292099519999997</v>
      </c>
      <c r="CB143" s="603">
        <f t="shared" ref="CB143:CJ143" si="406">CB166</f>
        <v>33.555725399806967</v>
      </c>
      <c r="CC143" s="11">
        <f t="shared" si="406"/>
        <v>6.3274455775999998</v>
      </c>
      <c r="CD143" s="11">
        <f t="shared" si="406"/>
        <v>7.2313663743999994</v>
      </c>
      <c r="CE143" s="11">
        <f t="shared" si="406"/>
        <v>6.3274455775999998</v>
      </c>
      <c r="CF143" s="181">
        <f t="shared" si="406"/>
        <v>12.216917122250297</v>
      </c>
      <c r="CG143" s="11">
        <f t="shared" si="406"/>
        <v>13.558811951999999</v>
      </c>
      <c r="CH143" s="11">
        <f t="shared" si="406"/>
        <v>18.544362699850296</v>
      </c>
      <c r="CI143" s="11">
        <f t="shared" si="406"/>
        <v>19.886257529599998</v>
      </c>
      <c r="CJ143" s="603">
        <f t="shared" si="406"/>
        <v>32.103174651850296</v>
      </c>
    </row>
    <row r="144" spans="1:88" outlineLevel="1" x14ac:dyDescent="0.2">
      <c r="A144" s="4" t="s">
        <v>780</v>
      </c>
      <c r="B144" s="681"/>
      <c r="C144" s="272"/>
      <c r="D144" s="272"/>
      <c r="E144" s="272"/>
      <c r="F144" s="272"/>
      <c r="G144" s="272"/>
      <c r="H144" s="272"/>
      <c r="I144" s="272"/>
      <c r="J144" s="272"/>
      <c r="K144" s="272"/>
      <c r="L144" s="272"/>
      <c r="M144" s="278"/>
      <c r="N144" s="4">
        <f>N133*N$114</f>
        <v>2770.2675000000004</v>
      </c>
      <c r="O144" s="4">
        <f>O192</f>
        <v>3093.0080168587274</v>
      </c>
      <c r="P144" s="4">
        <f t="shared" ref="P144:CA144" si="407">P192</f>
        <v>3425.8200676689339</v>
      </c>
      <c r="Q144" s="4">
        <f t="shared" si="407"/>
        <v>3739.2817486392978</v>
      </c>
      <c r="S144" s="4">
        <f>S192</f>
        <v>4142.4864263244644</v>
      </c>
      <c r="U144" s="4">
        <f>U192</f>
        <v>4418.9733139982973</v>
      </c>
      <c r="V144" s="4">
        <f t="shared" si="407"/>
        <v>2034.1899566654527</v>
      </c>
      <c r="W144" s="4">
        <f t="shared" si="407"/>
        <v>2294.7530399617922</v>
      </c>
      <c r="X144" s="180">
        <f t="shared" si="407"/>
        <v>3382.82425922626</v>
      </c>
      <c r="Y144" s="4">
        <f t="shared" si="407"/>
        <v>950</v>
      </c>
      <c r="Z144" s="4">
        <f t="shared" si="407"/>
        <v>1089.3282018316529</v>
      </c>
      <c r="AA144" s="4">
        <f t="shared" si="407"/>
        <v>1214</v>
      </c>
      <c r="AB144" s="179">
        <f t="shared" si="407"/>
        <v>1278.5122466831308</v>
      </c>
      <c r="AC144" s="4">
        <f t="shared" si="407"/>
        <v>2039.3282018316529</v>
      </c>
      <c r="AD144" s="4">
        <f>AD192</f>
        <v>2492.5122466831308</v>
      </c>
      <c r="AE144" s="4">
        <f>AE192</f>
        <v>3253.3282018316531</v>
      </c>
      <c r="AF144" s="314">
        <f t="shared" ref="AF144" si="408">AF192</f>
        <v>4531.8404485147839</v>
      </c>
      <c r="AG144" s="4">
        <f>AG192</f>
        <v>1090.4858628469358</v>
      </c>
      <c r="AH144" s="4">
        <f t="shared" ref="AH144:AJ144" si="409">AH192</f>
        <v>1145.0101559892826</v>
      </c>
      <c r="AI144" s="4">
        <f t="shared" si="409"/>
        <v>1417.6316217010165</v>
      </c>
      <c r="AJ144" s="179">
        <f t="shared" si="409"/>
        <v>1799.3016736974439</v>
      </c>
      <c r="AK144" s="4">
        <f t="shared" ref="AK144" si="410">AK192</f>
        <v>2235.4960188362184</v>
      </c>
      <c r="AL144" s="4">
        <f>AL192</f>
        <v>3216.9332953984604</v>
      </c>
      <c r="AM144" s="4">
        <f>AM192</f>
        <v>3653.1276405372346</v>
      </c>
      <c r="AN144" s="314">
        <f t="shared" ref="AN144" si="411">AN192</f>
        <v>5452.4293142346787</v>
      </c>
      <c r="AO144" s="4">
        <f>AO192</f>
        <v>1280.1969964943389</v>
      </c>
      <c r="AP144" s="4">
        <f t="shared" ref="AP144:AR144" si="412">AP192</f>
        <v>1405.0942644450063</v>
      </c>
      <c r="AQ144" s="4">
        <f t="shared" si="412"/>
        <v>1467.54289842034</v>
      </c>
      <c r="AR144" s="179">
        <f t="shared" si="412"/>
        <v>2092.0292381736763</v>
      </c>
      <c r="AS144" s="4">
        <f t="shared" si="407"/>
        <v>2685.2912609393452</v>
      </c>
      <c r="AT144" s="4">
        <f>AT192</f>
        <v>3559.5721365940162</v>
      </c>
      <c r="AU144" s="4">
        <f>AU192</f>
        <v>4152.8341593596851</v>
      </c>
      <c r="AV144" s="314">
        <f t="shared" ref="AV144" si="413">AV192</f>
        <v>6244.8633975333614</v>
      </c>
      <c r="AW144" s="4">
        <f t="shared" si="407"/>
        <v>1565.7394974233314</v>
      </c>
      <c r="AX144" s="4">
        <f t="shared" si="407"/>
        <v>1635.3279195310354</v>
      </c>
      <c r="AY144" s="11">
        <f t="shared" si="407"/>
        <v>1565.7394974233314</v>
      </c>
      <c r="AZ144" s="181">
        <f t="shared" si="407"/>
        <v>2192.0352963926634</v>
      </c>
      <c r="BA144" s="4">
        <f t="shared" si="407"/>
        <v>3201.0674169543668</v>
      </c>
      <c r="BB144" s="11">
        <f t="shared" si="407"/>
        <v>3757.7747938159951</v>
      </c>
      <c r="BC144" s="11">
        <f t="shared" si="407"/>
        <v>4766.8069143776984</v>
      </c>
      <c r="BD144" s="603">
        <f t="shared" si="407"/>
        <v>6958.8422107703618</v>
      </c>
      <c r="BE144" s="11">
        <f t="shared" si="407"/>
        <v>1475.6622983945811</v>
      </c>
      <c r="BF144" s="11">
        <f t="shared" si="407"/>
        <v>1844.5778729932265</v>
      </c>
      <c r="BG144" s="11">
        <f t="shared" si="407"/>
        <v>1844.5778729932263</v>
      </c>
      <c r="BH144" s="181">
        <f t="shared" si="407"/>
        <v>2213.4934475918712</v>
      </c>
      <c r="BI144" s="11">
        <f t="shared" si="407"/>
        <v>3320.2401713878075</v>
      </c>
      <c r="BJ144" s="11">
        <f t="shared" si="407"/>
        <v>4058.0713205850975</v>
      </c>
      <c r="BK144" s="11">
        <f t="shared" si="407"/>
        <v>5164.8180443810343</v>
      </c>
      <c r="BL144" s="603">
        <f t="shared" si="407"/>
        <v>7378.3114919729051</v>
      </c>
      <c r="BM144" s="11">
        <f t="shared" si="407"/>
        <v>1446.309629032577</v>
      </c>
      <c r="BN144" s="11">
        <f t="shared" si="407"/>
        <v>1807.887036290721</v>
      </c>
      <c r="BO144" s="11">
        <f t="shared" si="407"/>
        <v>1807.8870362907212</v>
      </c>
      <c r="BP144" s="181">
        <f t="shared" si="407"/>
        <v>2169.4644435488653</v>
      </c>
      <c r="BQ144" s="11">
        <f t="shared" si="407"/>
        <v>3254.196665323298</v>
      </c>
      <c r="BR144" s="11">
        <f t="shared" si="407"/>
        <v>3977.3514798395868</v>
      </c>
      <c r="BS144" s="11">
        <f t="shared" si="407"/>
        <v>5062.0837016140194</v>
      </c>
      <c r="BT144" s="603">
        <f t="shared" si="407"/>
        <v>7231.5481451628848</v>
      </c>
      <c r="BU144" s="11">
        <f t="shared" si="407"/>
        <v>1372.9883922482074</v>
      </c>
      <c r="BV144" s="11">
        <f t="shared" si="407"/>
        <v>1716.2354903102589</v>
      </c>
      <c r="BW144" s="11">
        <f t="shared" si="407"/>
        <v>1716.2354903102591</v>
      </c>
      <c r="BX144" s="181">
        <f t="shared" si="407"/>
        <v>2059.4825883723111</v>
      </c>
      <c r="BY144" s="11">
        <f t="shared" si="407"/>
        <v>3089.2238825584664</v>
      </c>
      <c r="BZ144" s="11">
        <f t="shared" si="407"/>
        <v>3775.7180786825702</v>
      </c>
      <c r="CA144" s="11">
        <f t="shared" si="407"/>
        <v>4805.459372868725</v>
      </c>
      <c r="CB144" s="603">
        <f t="shared" ref="CB144:CJ144" si="414">CB192</f>
        <v>6864.9419612410366</v>
      </c>
      <c r="CC144" s="11">
        <f t="shared" si="414"/>
        <v>1291.2343776627429</v>
      </c>
      <c r="CD144" s="11">
        <f t="shared" si="414"/>
        <v>1614.0429720784284</v>
      </c>
      <c r="CE144" s="11">
        <f t="shared" si="414"/>
        <v>1614.0429720784284</v>
      </c>
      <c r="CF144" s="181">
        <f t="shared" si="414"/>
        <v>1936.851566494114</v>
      </c>
      <c r="CG144" s="11">
        <f t="shared" si="414"/>
        <v>2905.2773497411713</v>
      </c>
      <c r="CH144" s="11">
        <f t="shared" si="414"/>
        <v>3550.8945385725424</v>
      </c>
      <c r="CI144" s="11">
        <f t="shared" si="414"/>
        <v>4519.3203218195995</v>
      </c>
      <c r="CJ144" s="603">
        <f t="shared" si="414"/>
        <v>6456.1718883137137</v>
      </c>
    </row>
    <row r="145" spans="1:88" outlineLevel="1" x14ac:dyDescent="0.2">
      <c r="A145" s="186" t="s">
        <v>781</v>
      </c>
      <c r="B145" s="681"/>
      <c r="C145" s="272"/>
      <c r="D145" s="272"/>
      <c r="E145" s="272"/>
      <c r="F145" s="272"/>
      <c r="G145" s="272"/>
      <c r="H145" s="272"/>
      <c r="I145" s="272"/>
      <c r="J145" s="272"/>
      <c r="K145" s="272"/>
      <c r="L145" s="272"/>
      <c r="M145" s="278"/>
      <c r="N145" s="186">
        <f>SUM(N143:N144)</f>
        <v>5036.8500000000004</v>
      </c>
      <c r="O145" s="186">
        <f>SUM(O143:O144)</f>
        <v>5686.8584543587276</v>
      </c>
      <c r="P145" s="186">
        <f t="shared" ref="P145:CA145" si="415">SUM(P143:P144)</f>
        <v>6087.6953133282896</v>
      </c>
      <c r="Q145" s="186">
        <f t="shared" si="415"/>
        <v>6043.7211550380125</v>
      </c>
      <c r="R145" s="186"/>
      <c r="S145" s="186">
        <f t="shared" si="415"/>
        <v>5605.9930329534491</v>
      </c>
      <c r="T145" s="186"/>
      <c r="U145" s="186">
        <f t="shared" si="415"/>
        <v>5114.0423719306109</v>
      </c>
      <c r="V145" s="186">
        <f t="shared" si="415"/>
        <v>2313.8160046224157</v>
      </c>
      <c r="W145" s="186">
        <f t="shared" si="415"/>
        <v>2459.1000001980933</v>
      </c>
      <c r="X145" s="284">
        <f t="shared" si="415"/>
        <v>3469.0881064486925</v>
      </c>
      <c r="Y145" s="186">
        <f t="shared" si="415"/>
        <v>969.92237800814939</v>
      </c>
      <c r="Z145" s="186">
        <f t="shared" si="415"/>
        <v>1101.2816286365426</v>
      </c>
      <c r="AA145" s="186">
        <f t="shared" si="415"/>
        <v>1232.5942194742727</v>
      </c>
      <c r="AB145" s="283">
        <f t="shared" si="415"/>
        <v>1297.1064661574035</v>
      </c>
      <c r="AC145" s="186">
        <f t="shared" si="415"/>
        <v>2071.2040066446921</v>
      </c>
      <c r="AD145" s="186">
        <f>SUM(AD143:AD144)</f>
        <v>2529.7006856316762</v>
      </c>
      <c r="AE145" s="186">
        <f>SUM(AE143:AE144)</f>
        <v>3314.4234943899778</v>
      </c>
      <c r="AF145" s="341">
        <f t="shared" ref="AF145:AJ145" si="416">SUM(AF143:AF144)</f>
        <v>4612.4432987979599</v>
      </c>
      <c r="AG145" s="186">
        <f t="shared" si="416"/>
        <v>1108.8443341814454</v>
      </c>
      <c r="AH145" s="186">
        <f t="shared" si="416"/>
        <v>1167.7791469041954</v>
      </c>
      <c r="AI145" s="186">
        <f t="shared" si="416"/>
        <v>1436.2638597133214</v>
      </c>
      <c r="AJ145" s="283">
        <f t="shared" si="416"/>
        <v>1826.630029710306</v>
      </c>
      <c r="AK145" s="186">
        <f t="shared" ref="AK145" si="417">SUM(AK143:AK144)</f>
        <v>2276.979722483321</v>
      </c>
      <c r="AL145" s="186">
        <f>SUM(AL143:AL144)</f>
        <v>3262.8938894236276</v>
      </c>
      <c r="AM145" s="186">
        <f>SUM(AM143:AM144)</f>
        <v>3712.8873407989622</v>
      </c>
      <c r="AN145" s="341">
        <f t="shared" ref="AN145:AR145" si="418">SUM(AN143:AN144)</f>
        <v>5539.8736119069481</v>
      </c>
      <c r="AO145" s="186">
        <f t="shared" si="418"/>
        <v>1298.1969964943389</v>
      </c>
      <c r="AP145" s="186">
        <f t="shared" si="418"/>
        <v>1423.4942644450064</v>
      </c>
      <c r="AQ145" s="186">
        <f t="shared" si="418"/>
        <v>1484.94289842034</v>
      </c>
      <c r="AR145" s="283">
        <f t="shared" si="418"/>
        <v>2100.6292381736762</v>
      </c>
      <c r="AS145" s="186">
        <f t="shared" si="415"/>
        <v>2721.6912609393453</v>
      </c>
      <c r="AT145" s="186">
        <f>SUM(AT143:AT144)</f>
        <v>3585.5721365940162</v>
      </c>
      <c r="AU145" s="186">
        <f>SUM(AU143:AU144)</f>
        <v>4206.6341593596853</v>
      </c>
      <c r="AV145" s="341">
        <f t="shared" ref="AV145" si="419">SUM(AV143:AV144)</f>
        <v>6307.2633975333611</v>
      </c>
      <c r="AW145" s="186">
        <f t="shared" si="415"/>
        <v>1583.3794974233315</v>
      </c>
      <c r="AX145" s="186">
        <f t="shared" si="415"/>
        <v>1647.8719195310355</v>
      </c>
      <c r="AY145" s="285">
        <f t="shared" si="415"/>
        <v>1576.3234974233314</v>
      </c>
      <c r="AZ145" s="728">
        <f t="shared" si="415"/>
        <v>2198.8752565088494</v>
      </c>
      <c r="BA145" s="186">
        <f t="shared" si="415"/>
        <v>3231.251416954367</v>
      </c>
      <c r="BB145" s="285">
        <f t="shared" si="415"/>
        <v>3775.1987539321808</v>
      </c>
      <c r="BC145" s="285">
        <f t="shared" si="415"/>
        <v>4807.5749143776984</v>
      </c>
      <c r="BD145" s="301">
        <f t="shared" si="415"/>
        <v>7006.4501708865473</v>
      </c>
      <c r="BE145" s="285">
        <f t="shared" si="415"/>
        <v>1482.3850983945811</v>
      </c>
      <c r="BF145" s="285">
        <f t="shared" si="415"/>
        <v>1852.2610729932264</v>
      </c>
      <c r="BG145" s="285">
        <f t="shared" si="415"/>
        <v>1851.3006729932263</v>
      </c>
      <c r="BH145" s="728">
        <f t="shared" si="415"/>
        <v>2227.3992325667878</v>
      </c>
      <c r="BI145" s="285">
        <f t="shared" si="415"/>
        <v>3334.6461713878075</v>
      </c>
      <c r="BJ145" s="285">
        <f t="shared" si="415"/>
        <v>4078.699905560014</v>
      </c>
      <c r="BK145" s="285">
        <f t="shared" si="415"/>
        <v>5185.9468443810347</v>
      </c>
      <c r="BL145" s="301">
        <f t="shared" si="415"/>
        <v>7413.3460769478215</v>
      </c>
      <c r="BM145" s="285">
        <f t="shared" si="415"/>
        <v>1452.8979730325771</v>
      </c>
      <c r="BN145" s="285">
        <f t="shared" si="415"/>
        <v>1815.416572290721</v>
      </c>
      <c r="BO145" s="285">
        <f t="shared" si="415"/>
        <v>1814.4753802907212</v>
      </c>
      <c r="BP145" s="728">
        <f t="shared" si="415"/>
        <v>2183.0166741041048</v>
      </c>
      <c r="BQ145" s="285">
        <f t="shared" si="415"/>
        <v>3268.3145453232978</v>
      </c>
      <c r="BR145" s="285">
        <f t="shared" si="415"/>
        <v>3997.492054394826</v>
      </c>
      <c r="BS145" s="285">
        <f t="shared" si="415"/>
        <v>5082.789925614019</v>
      </c>
      <c r="BT145" s="301">
        <f t="shared" si="415"/>
        <v>7265.8065997181238</v>
      </c>
      <c r="BU145" s="285">
        <f t="shared" si="415"/>
        <v>1379.4449693682075</v>
      </c>
      <c r="BV145" s="285">
        <f t="shared" si="415"/>
        <v>1723.6144355902588</v>
      </c>
      <c r="BW145" s="285">
        <f t="shared" si="415"/>
        <v>1722.6920674302592</v>
      </c>
      <c r="BX145" s="728">
        <f t="shared" si="415"/>
        <v>2072.7462142521181</v>
      </c>
      <c r="BY145" s="285">
        <f t="shared" si="415"/>
        <v>3103.0594049584665</v>
      </c>
      <c r="BZ145" s="285">
        <f t="shared" si="415"/>
        <v>3795.4382816823772</v>
      </c>
      <c r="CA145" s="285">
        <f t="shared" si="415"/>
        <v>4825.7514723887252</v>
      </c>
      <c r="CB145" s="301">
        <f t="shared" ref="CB145:CJ145" si="420">SUM(CB143:CB144)</f>
        <v>6898.4976866408433</v>
      </c>
      <c r="CC145" s="285">
        <f t="shared" si="420"/>
        <v>1297.5618232403428</v>
      </c>
      <c r="CD145" s="285">
        <f t="shared" si="420"/>
        <v>1621.2743384528285</v>
      </c>
      <c r="CE145" s="285">
        <f t="shared" si="420"/>
        <v>1620.3704176560284</v>
      </c>
      <c r="CF145" s="728">
        <f t="shared" si="420"/>
        <v>1949.0684836163643</v>
      </c>
      <c r="CG145" s="285">
        <f t="shared" si="420"/>
        <v>2918.8361616931711</v>
      </c>
      <c r="CH145" s="285">
        <f t="shared" si="420"/>
        <v>3569.4389012723927</v>
      </c>
      <c r="CI145" s="285">
        <f t="shared" si="420"/>
        <v>4539.2065793491993</v>
      </c>
      <c r="CJ145" s="301">
        <f t="shared" si="420"/>
        <v>6488.2750629655638</v>
      </c>
    </row>
    <row r="146" spans="1:88" outlineLevel="1" x14ac:dyDescent="0.2">
      <c r="A146" s="4" t="s">
        <v>782</v>
      </c>
      <c r="B146" s="681"/>
      <c r="C146" s="272"/>
      <c r="D146" s="272"/>
      <c r="E146" s="272"/>
      <c r="F146" s="272"/>
      <c r="G146" s="272"/>
      <c r="H146" s="272"/>
      <c r="I146" s="272"/>
      <c r="J146" s="272"/>
      <c r="K146" s="272"/>
      <c r="L146" s="272"/>
      <c r="M146" s="278"/>
      <c r="N146" s="4">
        <f>N135*N$114</f>
        <v>0</v>
      </c>
      <c r="O146" s="4">
        <f>O167</f>
        <v>0</v>
      </c>
      <c r="P146" s="4">
        <f t="shared" ref="P146:CA146" si="421">P167</f>
        <v>106.39303190161017</v>
      </c>
      <c r="Q146" s="4">
        <f t="shared" si="421"/>
        <v>640.66129467321252</v>
      </c>
      <c r="S146" s="4">
        <f>S167</f>
        <v>1939.0922767559039</v>
      </c>
      <c r="U146" s="4">
        <f>U167</f>
        <v>3705.0839687213438</v>
      </c>
      <c r="V146" s="4">
        <f>V167</f>
        <v>1851.5703346449484</v>
      </c>
      <c r="W146" s="4">
        <f t="shared" si="421"/>
        <v>1509.0534545441858</v>
      </c>
      <c r="X146" s="180">
        <f t="shared" si="421"/>
        <v>2097.2193496460986</v>
      </c>
      <c r="Y146" s="4">
        <f t="shared" si="421"/>
        <v>650.19683177012405</v>
      </c>
      <c r="Z146" s="4">
        <f t="shared" si="421"/>
        <v>744.3510177914809</v>
      </c>
      <c r="AA146" s="4">
        <f t="shared" si="421"/>
        <v>691.05619551524114</v>
      </c>
      <c r="AB146" s="179">
        <f t="shared" si="421"/>
        <v>703.49165404636369</v>
      </c>
      <c r="AC146" s="4">
        <f t="shared" si="421"/>
        <v>1394.5478495616051</v>
      </c>
      <c r="AD146" s="4">
        <f>AD167</f>
        <v>1394.5478495616051</v>
      </c>
      <c r="AE146" s="4">
        <f>AE167</f>
        <v>2085.604045076846</v>
      </c>
      <c r="AF146" s="314">
        <f t="shared" ref="AF146:AJ146" si="422">AF167</f>
        <v>3749.2886023513183</v>
      </c>
      <c r="AG146" s="4">
        <f t="shared" si="422"/>
        <v>986.25783109794725</v>
      </c>
      <c r="AH146" s="4">
        <f t="shared" si="422"/>
        <v>709.91400364554636</v>
      </c>
      <c r="AI146" s="4">
        <f t="shared" si="422"/>
        <v>882.79481611900724</v>
      </c>
      <c r="AJ146" s="179">
        <f t="shared" si="422"/>
        <v>919.5443415693187</v>
      </c>
      <c r="AK146" s="4">
        <f t="shared" ref="AK146" si="423">AK167</f>
        <v>1695.1810350315673</v>
      </c>
      <c r="AL146" s="4">
        <f>AL167</f>
        <v>1802.3391576883259</v>
      </c>
      <c r="AM146" s="4">
        <f>AM167</f>
        <v>2578.9666508625005</v>
      </c>
      <c r="AN146" s="314">
        <f t="shared" ref="AN146:AR146" si="424">AN167</f>
        <v>3497.5201927198932</v>
      </c>
      <c r="AO146" s="4">
        <f t="shared" si="424"/>
        <v>807.46875</v>
      </c>
      <c r="AP146" s="4">
        <f t="shared" si="424"/>
        <v>942.13124999999991</v>
      </c>
      <c r="AQ146" s="4">
        <f t="shared" si="424"/>
        <v>1065.4349999999999</v>
      </c>
      <c r="AR146" s="179">
        <f t="shared" si="424"/>
        <v>1036.7400000000002</v>
      </c>
      <c r="AS146" s="4">
        <f t="shared" si="421"/>
        <v>1749.6</v>
      </c>
      <c r="AT146" s="4">
        <f>AT167</f>
        <v>2102.1750000000002</v>
      </c>
      <c r="AU146" s="4">
        <f>AU167</f>
        <v>2815.0349999999999</v>
      </c>
      <c r="AV146" s="314">
        <f t="shared" ref="AV146" si="425">AV167</f>
        <v>3851.7750000000001</v>
      </c>
      <c r="AW146" s="4">
        <f t="shared" si="421"/>
        <v>1368.9</v>
      </c>
      <c r="AX146" s="4">
        <f t="shared" si="421"/>
        <v>1201.98</v>
      </c>
      <c r="AY146" s="11">
        <f t="shared" si="421"/>
        <v>1164.8520000000001</v>
      </c>
      <c r="AZ146" s="181">
        <f t="shared" si="421"/>
        <v>1264.5094041015634</v>
      </c>
      <c r="BA146" s="4">
        <f t="shared" si="421"/>
        <v>2570.88</v>
      </c>
      <c r="BB146" s="11">
        <f t="shared" si="421"/>
        <v>2429.3614041015635</v>
      </c>
      <c r="BC146" s="11">
        <f t="shared" si="421"/>
        <v>3735.732</v>
      </c>
      <c r="BD146" s="603">
        <f t="shared" si="421"/>
        <v>5000.2414041015636</v>
      </c>
      <c r="BE146" s="11">
        <f t="shared" si="421"/>
        <v>1151.9040000000002</v>
      </c>
      <c r="BF146" s="11">
        <f t="shared" si="421"/>
        <v>1174.2120000000002</v>
      </c>
      <c r="BG146" s="11">
        <f t="shared" si="421"/>
        <v>1176.2400000000002</v>
      </c>
      <c r="BH146" s="181">
        <f t="shared" si="421"/>
        <v>2011.9546428913045</v>
      </c>
      <c r="BI146" s="11">
        <f t="shared" si="421"/>
        <v>2326.1160000000004</v>
      </c>
      <c r="BJ146" s="11">
        <f t="shared" si="421"/>
        <v>3188.1946428913047</v>
      </c>
      <c r="BK146" s="11">
        <f t="shared" si="421"/>
        <v>3502.3560000000007</v>
      </c>
      <c r="BL146" s="603">
        <f t="shared" si="421"/>
        <v>5514.3106428913052</v>
      </c>
      <c r="BM146" s="11">
        <f t="shared" si="421"/>
        <v>1332.9638400000006</v>
      </c>
      <c r="BN146" s="11">
        <f t="shared" si="421"/>
        <v>1351.9459200000003</v>
      </c>
      <c r="BO146" s="11">
        <f t="shared" si="421"/>
        <v>1356.1641600000005</v>
      </c>
      <c r="BP146" s="181">
        <f t="shared" si="421"/>
        <v>2166.8747734363378</v>
      </c>
      <c r="BQ146" s="11">
        <f t="shared" si="421"/>
        <v>2684.9097600000009</v>
      </c>
      <c r="BR146" s="11">
        <f t="shared" si="421"/>
        <v>3523.0389334363385</v>
      </c>
      <c r="BS146" s="11">
        <f t="shared" si="421"/>
        <v>4041.0739200000016</v>
      </c>
      <c r="BT146" s="603">
        <f t="shared" si="421"/>
        <v>6207.9486934363395</v>
      </c>
      <c r="BU146" s="11">
        <f t="shared" si="421"/>
        <v>1416.9911808000004</v>
      </c>
      <c r="BV146" s="11">
        <f t="shared" si="421"/>
        <v>1412.6042112000007</v>
      </c>
      <c r="BW146" s="11">
        <f t="shared" si="421"/>
        <v>1416.9911808000004</v>
      </c>
      <c r="BX146" s="181">
        <f t="shared" si="421"/>
        <v>2257.5850533556504</v>
      </c>
      <c r="BY146" s="11">
        <f t="shared" si="421"/>
        <v>2829.5953920000011</v>
      </c>
      <c r="BZ146" s="11">
        <f t="shared" si="421"/>
        <v>3674.576234155651</v>
      </c>
      <c r="CA146" s="11">
        <f t="shared" si="421"/>
        <v>4246.5865728000017</v>
      </c>
      <c r="CB146" s="603">
        <f t="shared" ref="CB146:CJ146" si="426">CB167</f>
        <v>6504.1716261556521</v>
      </c>
      <c r="CC146" s="11">
        <f t="shared" si="426"/>
        <v>1450.8585861120005</v>
      </c>
      <c r="CD146" s="11">
        <f t="shared" si="426"/>
        <v>1448.5773619200004</v>
      </c>
      <c r="CE146" s="11">
        <f t="shared" si="426"/>
        <v>1450.8585861120005</v>
      </c>
      <c r="CF146" s="181">
        <f t="shared" si="426"/>
        <v>2295.2769183233218</v>
      </c>
      <c r="CG146" s="11">
        <f t="shared" si="426"/>
        <v>2899.4359480320009</v>
      </c>
      <c r="CH146" s="11">
        <f t="shared" si="426"/>
        <v>3746.1355044353222</v>
      </c>
      <c r="CI146" s="11">
        <f t="shared" si="426"/>
        <v>4350.2945341440009</v>
      </c>
      <c r="CJ146" s="603">
        <f t="shared" si="426"/>
        <v>6645.5714524673231</v>
      </c>
    </row>
    <row r="147" spans="1:88" outlineLevel="1" x14ac:dyDescent="0.2">
      <c r="A147" s="4" t="s">
        <v>783</v>
      </c>
      <c r="B147" s="681"/>
      <c r="C147" s="272"/>
      <c r="D147" s="272"/>
      <c r="E147" s="272"/>
      <c r="F147" s="272"/>
      <c r="G147" s="272"/>
      <c r="H147" s="272"/>
      <c r="I147" s="272"/>
      <c r="J147" s="272"/>
      <c r="K147" s="272"/>
      <c r="L147" s="272"/>
      <c r="M147" s="278"/>
      <c r="N147" s="4">
        <f>N136*N$114</f>
        <v>0</v>
      </c>
      <c r="O147" s="4">
        <f t="shared" ref="O147:AV147" si="427">O193</f>
        <v>0</v>
      </c>
      <c r="P147" s="4">
        <f t="shared" si="427"/>
        <v>0</v>
      </c>
      <c r="Q147" s="4">
        <f t="shared" si="427"/>
        <v>0</v>
      </c>
      <c r="S147" s="4">
        <f>S193</f>
        <v>0</v>
      </c>
      <c r="U147" s="4">
        <f t="shared" si="427"/>
        <v>0</v>
      </c>
      <c r="V147" s="4">
        <f t="shared" si="427"/>
        <v>0</v>
      </c>
      <c r="W147" s="4">
        <f t="shared" si="427"/>
        <v>0</v>
      </c>
      <c r="X147" s="180">
        <f t="shared" si="427"/>
        <v>0</v>
      </c>
      <c r="Y147" s="4">
        <f t="shared" si="427"/>
        <v>15</v>
      </c>
      <c r="Z147" s="4">
        <f t="shared" si="427"/>
        <v>15</v>
      </c>
      <c r="AA147" s="4">
        <f t="shared" si="427"/>
        <v>17.5</v>
      </c>
      <c r="AB147" s="179">
        <f t="shared" si="427"/>
        <v>20.501171731371443</v>
      </c>
      <c r="AC147" s="4">
        <f t="shared" si="427"/>
        <v>30</v>
      </c>
      <c r="AD147" s="4">
        <f t="shared" si="427"/>
        <v>38.001171731371443</v>
      </c>
      <c r="AE147" s="4">
        <f t="shared" si="427"/>
        <v>47.5</v>
      </c>
      <c r="AF147" s="314">
        <f t="shared" ref="AF147:AJ147" si="428">AF193</f>
        <v>68.001171731371443</v>
      </c>
      <c r="AG147" s="4">
        <f t="shared" si="428"/>
        <v>119.68206224721376</v>
      </c>
      <c r="AH147" s="4">
        <f t="shared" si="428"/>
        <v>134.64232002811545</v>
      </c>
      <c r="AI147" s="4">
        <f t="shared" si="428"/>
        <v>134.64232002811548</v>
      </c>
      <c r="AJ147" s="179">
        <f t="shared" si="428"/>
        <v>209.4436089326241</v>
      </c>
      <c r="AK147" s="4">
        <f t="shared" ref="AK147:AL147" si="429">AK193</f>
        <v>254.32438227532921</v>
      </c>
      <c r="AL147" s="4">
        <f t="shared" si="429"/>
        <v>344.08592896073958</v>
      </c>
      <c r="AM147" s="4">
        <f t="shared" ref="AM147:AR147" si="430">AM193</f>
        <v>388.96670230344466</v>
      </c>
      <c r="AN147" s="314">
        <f t="shared" si="430"/>
        <v>598.41031123606876</v>
      </c>
      <c r="AO147" s="4">
        <f t="shared" si="430"/>
        <v>289.63059063825733</v>
      </c>
      <c r="AP147" s="4">
        <f t="shared" si="430"/>
        <v>347.55670876590875</v>
      </c>
      <c r="AQ147" s="4">
        <f t="shared" si="430"/>
        <v>362.03823829782164</v>
      </c>
      <c r="AR147" s="179">
        <f t="shared" si="430"/>
        <v>448.92741548929882</v>
      </c>
      <c r="AS147" s="4">
        <f t="shared" si="427"/>
        <v>637.18729940416608</v>
      </c>
      <c r="AT147" s="4">
        <f t="shared" si="427"/>
        <v>810.96565378712046</v>
      </c>
      <c r="AU147" s="4">
        <f t="shared" si="427"/>
        <v>999.22553770198772</v>
      </c>
      <c r="AV147" s="314">
        <f t="shared" si="427"/>
        <v>1448.1529531912865</v>
      </c>
      <c r="AW147" s="4">
        <f t="shared" ref="AW147:BC147" si="431">AW193</f>
        <v>648.77252302969657</v>
      </c>
      <c r="AX147" s="4">
        <f t="shared" si="431"/>
        <v>810.96565378712069</v>
      </c>
      <c r="AY147" s="11">
        <f t="shared" si="431"/>
        <v>810.96565378712069</v>
      </c>
      <c r="AZ147" s="181">
        <f t="shared" si="431"/>
        <v>973.1587845445448</v>
      </c>
      <c r="BA147" s="4">
        <f t="shared" si="431"/>
        <v>1459.7381768168173</v>
      </c>
      <c r="BB147" s="11">
        <f t="shared" si="431"/>
        <v>1784.1244383316655</v>
      </c>
      <c r="BC147" s="11">
        <f t="shared" si="431"/>
        <v>2270.7038306039381</v>
      </c>
      <c r="BD147" s="603">
        <f>BD193</f>
        <v>3243.8626151484827</v>
      </c>
      <c r="BE147" s="11">
        <f t="shared" ref="BE147:BK147" si="432">BE193</f>
        <v>892.06221916583297</v>
      </c>
      <c r="BF147" s="11">
        <f t="shared" si="432"/>
        <v>1115.0777739572909</v>
      </c>
      <c r="BG147" s="11">
        <f t="shared" si="432"/>
        <v>1115.0777739572911</v>
      </c>
      <c r="BH147" s="181">
        <f t="shared" si="432"/>
        <v>1338.0933287487494</v>
      </c>
      <c r="BI147" s="11">
        <f t="shared" si="432"/>
        <v>2007.139993123124</v>
      </c>
      <c r="BJ147" s="11">
        <f t="shared" si="432"/>
        <v>2453.1711027060405</v>
      </c>
      <c r="BK147" s="11">
        <f t="shared" si="432"/>
        <v>3122.2177670804149</v>
      </c>
      <c r="BL147" s="603">
        <f>BL193</f>
        <v>4460.3110958291645</v>
      </c>
      <c r="BM147" s="11">
        <f t="shared" ref="BM147:BS147" si="433">BM193</f>
        <v>1166.8173826689094</v>
      </c>
      <c r="BN147" s="11">
        <f t="shared" si="433"/>
        <v>1458.5217283361367</v>
      </c>
      <c r="BO147" s="11">
        <f t="shared" si="433"/>
        <v>1458.5217283361367</v>
      </c>
      <c r="BP147" s="181">
        <f t="shared" si="433"/>
        <v>1750.2260740033639</v>
      </c>
      <c r="BQ147" s="11">
        <f t="shared" si="433"/>
        <v>2625.3391110050461</v>
      </c>
      <c r="BR147" s="11">
        <f t="shared" si="433"/>
        <v>3208.7478023395006</v>
      </c>
      <c r="BS147" s="11">
        <f t="shared" si="433"/>
        <v>4083.8608393411828</v>
      </c>
      <c r="BT147" s="603">
        <f>BT193</f>
        <v>5834.0869133445467</v>
      </c>
      <c r="BU147" s="11">
        <f t="shared" ref="BU147:CA147" si="434">BU193</f>
        <v>1470.189902162826</v>
      </c>
      <c r="BV147" s="11">
        <f t="shared" si="434"/>
        <v>1837.7373777035327</v>
      </c>
      <c r="BW147" s="11">
        <f t="shared" si="434"/>
        <v>1837.7373777035325</v>
      </c>
      <c r="BX147" s="181">
        <f t="shared" si="434"/>
        <v>2205.2848532442385</v>
      </c>
      <c r="BY147" s="11">
        <f t="shared" si="434"/>
        <v>3307.9272798663587</v>
      </c>
      <c r="BZ147" s="11">
        <f t="shared" si="434"/>
        <v>4043.0222309477713</v>
      </c>
      <c r="CA147" s="11">
        <f t="shared" si="434"/>
        <v>5145.6646575698915</v>
      </c>
      <c r="CB147" s="603">
        <f>CB193</f>
        <v>7350.94951081413</v>
      </c>
      <c r="CC147" s="11">
        <f t="shared" ref="CC147:CI147" si="435">CC193</f>
        <v>1764.2278825953913</v>
      </c>
      <c r="CD147" s="11">
        <f t="shared" si="435"/>
        <v>2205.284853244239</v>
      </c>
      <c r="CE147" s="11">
        <f t="shared" si="435"/>
        <v>2205.284853244239</v>
      </c>
      <c r="CF147" s="181">
        <f t="shared" si="435"/>
        <v>2646.3418238930867</v>
      </c>
      <c r="CG147" s="11">
        <f t="shared" si="435"/>
        <v>3969.5127358396303</v>
      </c>
      <c r="CH147" s="11">
        <f t="shared" si="435"/>
        <v>4851.6266771373257</v>
      </c>
      <c r="CI147" s="11">
        <f t="shared" si="435"/>
        <v>6174.7975890838698</v>
      </c>
      <c r="CJ147" s="603">
        <f>CJ193</f>
        <v>8821.139412976956</v>
      </c>
    </row>
    <row r="148" spans="1:88" outlineLevel="1" x14ac:dyDescent="0.2">
      <c r="A148" s="186" t="s">
        <v>784</v>
      </c>
      <c r="B148" s="681"/>
      <c r="C148" s="272"/>
      <c r="D148" s="272"/>
      <c r="E148" s="272"/>
      <c r="F148" s="272"/>
      <c r="G148" s="272"/>
      <c r="H148" s="272"/>
      <c r="I148" s="272"/>
      <c r="J148" s="272"/>
      <c r="K148" s="272"/>
      <c r="L148" s="272"/>
      <c r="M148" s="278"/>
      <c r="N148" s="186">
        <f t="shared" ref="N148:BY148" si="436">SUM(N146:N147)</f>
        <v>0</v>
      </c>
      <c r="O148" s="186">
        <f t="shared" si="436"/>
        <v>0</v>
      </c>
      <c r="P148" s="186">
        <f t="shared" si="436"/>
        <v>106.39303190161017</v>
      </c>
      <c r="Q148" s="186">
        <f t="shared" si="436"/>
        <v>640.66129467321252</v>
      </c>
      <c r="R148" s="186"/>
      <c r="S148" s="186">
        <f>SUM(S146:S147)</f>
        <v>1939.0922767559039</v>
      </c>
      <c r="T148" s="186"/>
      <c r="U148" s="186">
        <f t="shared" si="436"/>
        <v>3705.0839687213438</v>
      </c>
      <c r="V148" s="186">
        <f t="shared" si="436"/>
        <v>1851.5703346449484</v>
      </c>
      <c r="W148" s="186">
        <f t="shared" si="436"/>
        <v>1509.0534545441858</v>
      </c>
      <c r="X148" s="284">
        <f t="shared" si="436"/>
        <v>2097.2193496460986</v>
      </c>
      <c r="Y148" s="186">
        <f t="shared" si="436"/>
        <v>665.19683177012405</v>
      </c>
      <c r="Z148" s="186">
        <f t="shared" si="436"/>
        <v>759.3510177914809</v>
      </c>
      <c r="AA148" s="186">
        <f t="shared" si="436"/>
        <v>708.55619551524114</v>
      </c>
      <c r="AB148" s="283">
        <f t="shared" si="436"/>
        <v>723.99282577773511</v>
      </c>
      <c r="AC148" s="186">
        <f t="shared" si="436"/>
        <v>1424.5478495616051</v>
      </c>
      <c r="AD148" s="186">
        <f>SUM(AD146:AD147)</f>
        <v>1432.5490212929765</v>
      </c>
      <c r="AE148" s="186">
        <f>SUM(AE146:AE147)</f>
        <v>2133.104045076846</v>
      </c>
      <c r="AF148" s="341">
        <f t="shared" ref="AF148:AJ148" si="437">SUM(AF146:AF147)</f>
        <v>3817.2897740826897</v>
      </c>
      <c r="AG148" s="186">
        <f t="shared" si="437"/>
        <v>1105.939893345161</v>
      </c>
      <c r="AH148" s="186">
        <f t="shared" si="437"/>
        <v>844.55632367366184</v>
      </c>
      <c r="AI148" s="186">
        <f t="shared" si="437"/>
        <v>1017.4371361471227</v>
      </c>
      <c r="AJ148" s="283">
        <f t="shared" si="437"/>
        <v>1128.9879505019428</v>
      </c>
      <c r="AK148" s="186">
        <f t="shared" ref="AK148" si="438">SUM(AK146:AK147)</f>
        <v>1949.5054173068966</v>
      </c>
      <c r="AL148" s="186">
        <f>SUM(AL146:AL147)</f>
        <v>2146.4250866490656</v>
      </c>
      <c r="AM148" s="186">
        <f>SUM(AM146:AM147)</f>
        <v>2967.9333531659449</v>
      </c>
      <c r="AN148" s="341">
        <f t="shared" ref="AN148:AR148" si="439">SUM(AN146:AN147)</f>
        <v>4095.9305039559622</v>
      </c>
      <c r="AO148" s="186">
        <f t="shared" si="439"/>
        <v>1097.0993406382572</v>
      </c>
      <c r="AP148" s="186">
        <f t="shared" si="439"/>
        <v>1289.6879587659087</v>
      </c>
      <c r="AQ148" s="186">
        <f t="shared" si="439"/>
        <v>1427.4732382978216</v>
      </c>
      <c r="AR148" s="283">
        <f t="shared" si="439"/>
        <v>1485.6674154892989</v>
      </c>
      <c r="AS148" s="186">
        <f t="shared" si="436"/>
        <v>2386.7872994041659</v>
      </c>
      <c r="AT148" s="186">
        <f>SUM(AT146:AT147)</f>
        <v>2913.1406537871208</v>
      </c>
      <c r="AU148" s="186">
        <f>SUM(AU146:AU147)</f>
        <v>3814.2605377019877</v>
      </c>
      <c r="AV148" s="341">
        <f t="shared" ref="AV148" si="440">SUM(AV146:AV147)</f>
        <v>5299.9279531912871</v>
      </c>
      <c r="AW148" s="186">
        <f t="shared" si="436"/>
        <v>2017.6725230296965</v>
      </c>
      <c r="AX148" s="186">
        <f t="shared" si="436"/>
        <v>2012.9456537871206</v>
      </c>
      <c r="AY148" s="285">
        <f t="shared" si="436"/>
        <v>1975.8176537871209</v>
      </c>
      <c r="AZ148" s="728">
        <f t="shared" si="436"/>
        <v>2237.6681886461083</v>
      </c>
      <c r="BA148" s="186">
        <f t="shared" si="436"/>
        <v>4030.6181768168171</v>
      </c>
      <c r="BB148" s="285">
        <f t="shared" si="436"/>
        <v>4213.4858424332288</v>
      </c>
      <c r="BC148" s="285">
        <f t="shared" si="436"/>
        <v>6006.4358306039376</v>
      </c>
      <c r="BD148" s="301">
        <f t="shared" si="436"/>
        <v>8244.1040192500459</v>
      </c>
      <c r="BE148" s="285">
        <f t="shared" si="436"/>
        <v>2043.9662191658331</v>
      </c>
      <c r="BF148" s="285">
        <f t="shared" si="436"/>
        <v>2289.2897739572909</v>
      </c>
      <c r="BG148" s="285">
        <f t="shared" si="436"/>
        <v>2291.3177739572911</v>
      </c>
      <c r="BH148" s="728">
        <f t="shared" si="436"/>
        <v>3350.0479716400541</v>
      </c>
      <c r="BI148" s="285">
        <f t="shared" si="436"/>
        <v>4333.2559931231244</v>
      </c>
      <c r="BJ148" s="285">
        <f t="shared" si="436"/>
        <v>5641.3657455973453</v>
      </c>
      <c r="BK148" s="285">
        <f t="shared" si="436"/>
        <v>6624.5737670804156</v>
      </c>
      <c r="BL148" s="301">
        <f t="shared" si="436"/>
        <v>9974.6217387204706</v>
      </c>
      <c r="BM148" s="285">
        <f t="shared" si="436"/>
        <v>2499.7812226689102</v>
      </c>
      <c r="BN148" s="285">
        <f t="shared" si="436"/>
        <v>2810.4676483361372</v>
      </c>
      <c r="BO148" s="285">
        <f t="shared" si="436"/>
        <v>2814.6858883361374</v>
      </c>
      <c r="BP148" s="728">
        <f t="shared" si="436"/>
        <v>3917.1008474397017</v>
      </c>
      <c r="BQ148" s="285">
        <f t="shared" si="436"/>
        <v>5310.2488710050475</v>
      </c>
      <c r="BR148" s="285">
        <f t="shared" si="436"/>
        <v>6731.7867357758387</v>
      </c>
      <c r="BS148" s="285">
        <f t="shared" si="436"/>
        <v>8124.934759341184</v>
      </c>
      <c r="BT148" s="301">
        <f t="shared" si="436"/>
        <v>12042.035606780886</v>
      </c>
      <c r="BU148" s="285">
        <f t="shared" si="436"/>
        <v>2887.1810829628266</v>
      </c>
      <c r="BV148" s="285">
        <f t="shared" si="436"/>
        <v>3250.3415889035332</v>
      </c>
      <c r="BW148" s="285">
        <f t="shared" si="436"/>
        <v>3254.7285585035329</v>
      </c>
      <c r="BX148" s="728">
        <f t="shared" si="436"/>
        <v>4462.869906599889</v>
      </c>
      <c r="BY148" s="285">
        <f t="shared" si="436"/>
        <v>6137.5226718663598</v>
      </c>
      <c r="BZ148" s="285">
        <f t="shared" ref="BZ148:CJ148" si="441">SUM(BZ146:BZ147)</f>
        <v>7717.5984651034223</v>
      </c>
      <c r="CA148" s="285">
        <f t="shared" si="441"/>
        <v>9392.2512303698932</v>
      </c>
      <c r="CB148" s="301">
        <f t="shared" si="441"/>
        <v>13855.121136969781</v>
      </c>
      <c r="CC148" s="285">
        <f t="shared" si="441"/>
        <v>3215.0864687073918</v>
      </c>
      <c r="CD148" s="285">
        <f t="shared" si="441"/>
        <v>3653.8622151642394</v>
      </c>
      <c r="CE148" s="285">
        <f t="shared" si="441"/>
        <v>3656.1434393562395</v>
      </c>
      <c r="CF148" s="728">
        <f t="shared" si="441"/>
        <v>4941.6187422164085</v>
      </c>
      <c r="CG148" s="285">
        <f t="shared" si="441"/>
        <v>6868.9486838716311</v>
      </c>
      <c r="CH148" s="285">
        <f t="shared" si="441"/>
        <v>8597.7621815726488</v>
      </c>
      <c r="CI148" s="285">
        <f t="shared" si="441"/>
        <v>10525.092123227871</v>
      </c>
      <c r="CJ148" s="301">
        <f t="shared" si="441"/>
        <v>15466.710865444278</v>
      </c>
    </row>
    <row r="149" spans="1:88" outlineLevel="1" x14ac:dyDescent="0.2">
      <c r="A149" s="4" t="s">
        <v>785</v>
      </c>
      <c r="B149" s="681"/>
      <c r="C149" s="272"/>
      <c r="D149" s="272"/>
      <c r="E149" s="272"/>
      <c r="F149" s="272"/>
      <c r="G149" s="272"/>
      <c r="H149" s="272"/>
      <c r="I149" s="272"/>
      <c r="J149" s="272"/>
      <c r="K149" s="272"/>
      <c r="L149" s="272"/>
      <c r="M149" s="278"/>
      <c r="N149" s="4">
        <f>N138*N$114</f>
        <v>1266.574473674352</v>
      </c>
      <c r="O149" s="4">
        <f>O168+O169</f>
        <v>1060.2549600879838</v>
      </c>
      <c r="P149" s="4">
        <f t="shared" ref="P149:CA149" si="442">P168+P169</f>
        <v>929.62069073729617</v>
      </c>
      <c r="Q149" s="4">
        <f t="shared" si="442"/>
        <v>684.73873618129801</v>
      </c>
      <c r="S149" s="4">
        <f>S168+S169</f>
        <v>782.85493110001516</v>
      </c>
      <c r="U149" s="4">
        <f t="shared" si="442"/>
        <v>339.35293038859709</v>
      </c>
      <c r="V149" s="4">
        <f t="shared" si="442"/>
        <v>308.11219739808803</v>
      </c>
      <c r="W149" s="4">
        <f t="shared" si="442"/>
        <v>270.07623921951358</v>
      </c>
      <c r="X149" s="180">
        <f t="shared" si="442"/>
        <v>801.1750404334698</v>
      </c>
      <c r="Y149" s="4">
        <f t="shared" si="442"/>
        <v>370.03729022172661</v>
      </c>
      <c r="Z149" s="4">
        <f t="shared" si="442"/>
        <v>381.99281807749207</v>
      </c>
      <c r="AA149" s="4">
        <f t="shared" si="442"/>
        <v>305.0292736246613</v>
      </c>
      <c r="AB149" s="179">
        <f t="shared" si="442"/>
        <v>-852.04923928401467</v>
      </c>
      <c r="AC149" s="4">
        <f t="shared" si="442"/>
        <v>752.03010829921845</v>
      </c>
      <c r="AD149" s="4">
        <f>AD168+AD169</f>
        <v>-547.01996565935337</v>
      </c>
      <c r="AE149" s="4">
        <f>AE168+AE169</f>
        <v>1057.05938192388</v>
      </c>
      <c r="AF149" s="314">
        <f t="shared" ref="AF149:AJ149" si="443">AF168+AF169</f>
        <v>205.01014263986508</v>
      </c>
      <c r="AG149" s="4">
        <f t="shared" si="443"/>
        <v>87.942472584173629</v>
      </c>
      <c r="AH149" s="4">
        <f t="shared" si="443"/>
        <v>407.44782142177064</v>
      </c>
      <c r="AI149" s="4">
        <f t="shared" si="443"/>
        <v>153.48993302803115</v>
      </c>
      <c r="AJ149" s="179">
        <f t="shared" si="443"/>
        <v>-123.32319064270864</v>
      </c>
      <c r="AK149" s="4">
        <f t="shared" ref="AK149" si="444">AK168+AK169</f>
        <v>496.02485232019058</v>
      </c>
      <c r="AL149" s="4">
        <f>AL168+AL169</f>
        <v>30.166742385322522</v>
      </c>
      <c r="AM149" s="4">
        <f>AM168+AM169</f>
        <v>648.88022703397542</v>
      </c>
      <c r="AN149" s="314">
        <f t="shared" ref="AN149:AR149" si="445">AN168+AN169</f>
        <v>526.19159470551313</v>
      </c>
      <c r="AO149" s="4">
        <f t="shared" si="445"/>
        <v>374.35894752703894</v>
      </c>
      <c r="AP149" s="4">
        <f t="shared" si="445"/>
        <v>399.45855738064722</v>
      </c>
      <c r="AQ149" s="4">
        <f t="shared" si="445"/>
        <v>444.01529410638159</v>
      </c>
      <c r="AR149" s="179">
        <f t="shared" si="445"/>
        <v>-564.89194201435839</v>
      </c>
      <c r="AS149" s="4">
        <f t="shared" si="442"/>
        <v>773.81750490768627</v>
      </c>
      <c r="AT149" s="4">
        <f>AT168+AT169</f>
        <v>-120.87664790797677</v>
      </c>
      <c r="AU149" s="4">
        <f>AU168+AU169</f>
        <v>1217.8327990140676</v>
      </c>
      <c r="AV149" s="314">
        <f t="shared" ref="AV149" si="446">AV168+AV169</f>
        <v>652.94085699970947</v>
      </c>
      <c r="AW149" s="4">
        <f t="shared" si="442"/>
        <v>128.80461743421915</v>
      </c>
      <c r="AX149" s="4">
        <f t="shared" si="442"/>
        <v>196.92827404090281</v>
      </c>
      <c r="AY149" s="11">
        <f t="shared" si="442"/>
        <v>267.92497376243887</v>
      </c>
      <c r="AZ149" s="181">
        <f t="shared" si="442"/>
        <v>267.92497376243887</v>
      </c>
      <c r="BA149" s="4">
        <f t="shared" si="442"/>
        <v>325.73289147512241</v>
      </c>
      <c r="BB149" s="11">
        <f t="shared" si="442"/>
        <v>535.84994752487773</v>
      </c>
      <c r="BC149" s="11">
        <f t="shared" si="442"/>
        <v>593.65786523756083</v>
      </c>
      <c r="BD149" s="603">
        <f t="shared" si="442"/>
        <v>861.58283900000004</v>
      </c>
      <c r="BE149" s="11">
        <f t="shared" si="442"/>
        <v>198.72724549999998</v>
      </c>
      <c r="BF149" s="11">
        <f t="shared" si="442"/>
        <v>198.72724549999998</v>
      </c>
      <c r="BG149" s="11">
        <f t="shared" si="442"/>
        <v>198.72724549999998</v>
      </c>
      <c r="BH149" s="181">
        <f t="shared" si="442"/>
        <v>242.96359280000007</v>
      </c>
      <c r="BI149" s="11">
        <f t="shared" si="442"/>
        <v>397.45449099999996</v>
      </c>
      <c r="BJ149" s="11">
        <f t="shared" si="442"/>
        <v>441.69083830000011</v>
      </c>
      <c r="BK149" s="11">
        <f t="shared" si="442"/>
        <v>596.18173649999994</v>
      </c>
      <c r="BL149" s="603">
        <f t="shared" si="442"/>
        <v>839.14532930000007</v>
      </c>
      <c r="BM149" s="11">
        <f t="shared" si="442"/>
        <v>200.93906286500001</v>
      </c>
      <c r="BN149" s="11">
        <f t="shared" si="442"/>
        <v>200.93906286500001</v>
      </c>
      <c r="BO149" s="11">
        <f t="shared" si="442"/>
        <v>200.93906286500001</v>
      </c>
      <c r="BP149" s="181">
        <f t="shared" si="442"/>
        <v>246.50250058400002</v>
      </c>
      <c r="BQ149" s="11">
        <f t="shared" si="442"/>
        <v>401.87812573000002</v>
      </c>
      <c r="BR149" s="11">
        <f t="shared" si="442"/>
        <v>447.441563449</v>
      </c>
      <c r="BS149" s="11">
        <f t="shared" si="442"/>
        <v>602.81718859500006</v>
      </c>
      <c r="BT149" s="603">
        <f t="shared" si="442"/>
        <v>849.31968917900008</v>
      </c>
      <c r="BU149" s="11">
        <f t="shared" si="442"/>
        <v>203.21723475095001</v>
      </c>
      <c r="BV149" s="11">
        <f t="shared" si="442"/>
        <v>203.21723475095001</v>
      </c>
      <c r="BW149" s="11">
        <f t="shared" si="442"/>
        <v>203.21723475095001</v>
      </c>
      <c r="BX149" s="181">
        <f t="shared" si="442"/>
        <v>250.14757560152003</v>
      </c>
      <c r="BY149" s="11">
        <f t="shared" si="442"/>
        <v>406.43446950190003</v>
      </c>
      <c r="BZ149" s="11">
        <f t="shared" si="442"/>
        <v>453.36481035247004</v>
      </c>
      <c r="CA149" s="11">
        <f t="shared" si="442"/>
        <v>609.65170425284998</v>
      </c>
      <c r="CB149" s="603">
        <f t="shared" ref="CB149:CJ149" si="447">CB168+CB169</f>
        <v>859.79927985437007</v>
      </c>
      <c r="CC149" s="11">
        <f t="shared" si="447"/>
        <v>205.5637517934785</v>
      </c>
      <c r="CD149" s="11">
        <f t="shared" si="447"/>
        <v>205.5637517934785</v>
      </c>
      <c r="CE149" s="11">
        <f t="shared" si="447"/>
        <v>205.5637517934785</v>
      </c>
      <c r="CF149" s="181">
        <f t="shared" si="447"/>
        <v>253.90200286956556</v>
      </c>
      <c r="CG149" s="11">
        <f t="shared" si="447"/>
        <v>411.127503586957</v>
      </c>
      <c r="CH149" s="11">
        <f t="shared" si="447"/>
        <v>459.46575466304409</v>
      </c>
      <c r="CI149" s="11">
        <f t="shared" si="447"/>
        <v>616.69125538043556</v>
      </c>
      <c r="CJ149" s="603">
        <f t="shared" si="447"/>
        <v>870.5932582500011</v>
      </c>
    </row>
    <row r="150" spans="1:88" outlineLevel="1" x14ac:dyDescent="0.2">
      <c r="A150" s="4" t="s">
        <v>786</v>
      </c>
      <c r="B150" s="681"/>
      <c r="C150" s="272"/>
      <c r="D150" s="272"/>
      <c r="E150" s="272"/>
      <c r="F150" s="272"/>
      <c r="G150" s="272"/>
      <c r="H150" s="272"/>
      <c r="I150" s="272"/>
      <c r="J150" s="272"/>
      <c r="K150" s="272"/>
      <c r="L150" s="272"/>
      <c r="M150" s="278"/>
      <c r="N150" s="4">
        <f>N139*N$114</f>
        <v>646.11119632564942</v>
      </c>
      <c r="O150" s="4">
        <f t="shared" ref="O150:BZ150" si="448">O194+O195</f>
        <v>969.06625307247043</v>
      </c>
      <c r="P150" s="4">
        <f t="shared" si="448"/>
        <v>916.53732688751666</v>
      </c>
      <c r="Q150" s="4">
        <f t="shared" si="448"/>
        <v>1089.4196741074752</v>
      </c>
      <c r="S150" s="4">
        <f>S194+S195</f>
        <v>1275.3165699974152</v>
      </c>
      <c r="U150" s="4">
        <f>U194+U195</f>
        <v>1535.1921789594476</v>
      </c>
      <c r="V150" s="4">
        <f t="shared" si="448"/>
        <v>1347.7760433345472</v>
      </c>
      <c r="W150" s="4">
        <f t="shared" si="448"/>
        <v>1327.3325460382073</v>
      </c>
      <c r="X150" s="180">
        <f t="shared" si="448"/>
        <v>1300.5324034717391</v>
      </c>
      <c r="Y150" s="4">
        <f t="shared" si="448"/>
        <v>240</v>
      </c>
      <c r="Z150" s="4">
        <f t="shared" si="448"/>
        <v>227.67616049448446</v>
      </c>
      <c r="AA150" s="4">
        <f t="shared" si="448"/>
        <v>325.04231138582469</v>
      </c>
      <c r="AB150" s="179">
        <f t="shared" si="448"/>
        <v>831.62091259917611</v>
      </c>
      <c r="AC150" s="4">
        <f t="shared" si="448"/>
        <v>467.67616049448446</v>
      </c>
      <c r="AD150" s="4">
        <f>AD194+AD195</f>
        <v>1156.6632239850007</v>
      </c>
      <c r="AE150" s="4">
        <f>AE194+AE195</f>
        <v>792.71847188030915</v>
      </c>
      <c r="AF150" s="314">
        <f t="shared" ref="AF150:AJ150" si="449">AF194+AF195</f>
        <v>1624.3393844794853</v>
      </c>
      <c r="AG150" s="4">
        <f t="shared" si="449"/>
        <v>335.93278488922022</v>
      </c>
      <c r="AH150" s="4">
        <f t="shared" si="449"/>
        <v>495.1743830003727</v>
      </c>
      <c r="AI150" s="4">
        <f t="shared" si="449"/>
        <v>323.41598111152524</v>
      </c>
      <c r="AJ150" s="179">
        <f t="shared" si="449"/>
        <v>568.63930043045934</v>
      </c>
      <c r="AK150" s="4">
        <f t="shared" ref="AK150" si="450">AK194+AK195</f>
        <v>831.10716788959292</v>
      </c>
      <c r="AL150" s="4">
        <f>AL194+AL195</f>
        <v>892.05528154198453</v>
      </c>
      <c r="AM150" s="4">
        <f>AM194+AM195</f>
        <v>1154.5231490011181</v>
      </c>
      <c r="AN150" s="314">
        <f t="shared" ref="AN150:AR150" si="451">AN194+AN195</f>
        <v>1723.1624494315774</v>
      </c>
      <c r="AO150" s="4">
        <f t="shared" si="451"/>
        <v>318.07089534036527</v>
      </c>
      <c r="AP150" s="4">
        <f t="shared" si="451"/>
        <v>391.48507440843832</v>
      </c>
      <c r="AQ150" s="4">
        <f t="shared" si="451"/>
        <v>409.08861917545664</v>
      </c>
      <c r="AR150" s="179">
        <f t="shared" si="451"/>
        <v>716.15600335138436</v>
      </c>
      <c r="AS150" s="4">
        <f t="shared" si="448"/>
        <v>709.55596974880359</v>
      </c>
      <c r="AT150" s="4">
        <f>AT194+AT195</f>
        <v>1125.2446225268409</v>
      </c>
      <c r="AU150" s="4">
        <f>AU194+AU195</f>
        <v>1118.6445889242602</v>
      </c>
      <c r="AV150" s="314">
        <f t="shared" ref="AV150" si="452">AV194+AV195</f>
        <v>1834.8005922756447</v>
      </c>
      <c r="AW150" s="4">
        <f t="shared" si="448"/>
        <v>326.65816211275273</v>
      </c>
      <c r="AX150" s="4">
        <f t="shared" si="448"/>
        <v>369.57270264094097</v>
      </c>
      <c r="AY150" s="11">
        <f t="shared" si="448"/>
        <v>467.57270264094097</v>
      </c>
      <c r="AZ150" s="181">
        <f t="shared" si="448"/>
        <v>745.38683938434372</v>
      </c>
      <c r="BA150" s="4">
        <f t="shared" si="448"/>
        <v>696.23086475369371</v>
      </c>
      <c r="BB150" s="11">
        <f t="shared" si="448"/>
        <v>1212.9595420252847</v>
      </c>
      <c r="BC150" s="11">
        <f t="shared" si="448"/>
        <v>1163.8035673946347</v>
      </c>
      <c r="BD150" s="603">
        <f t="shared" si="448"/>
        <v>1909.1904067789783</v>
      </c>
      <c r="BE150" s="11">
        <f t="shared" si="448"/>
        <v>433.44926507988225</v>
      </c>
      <c r="BF150" s="11">
        <f t="shared" si="448"/>
        <v>479.6600460122097</v>
      </c>
      <c r="BG150" s="11">
        <f t="shared" si="448"/>
        <v>479.6600460122097</v>
      </c>
      <c r="BH150" s="181">
        <f t="shared" si="448"/>
        <v>525.87082694453716</v>
      </c>
      <c r="BI150" s="11">
        <f t="shared" si="448"/>
        <v>913.10931109209196</v>
      </c>
      <c r="BJ150" s="11">
        <f t="shared" si="448"/>
        <v>1005.5308729567469</v>
      </c>
      <c r="BK150" s="11">
        <f t="shared" si="448"/>
        <v>1392.7693571043017</v>
      </c>
      <c r="BL150" s="603">
        <f t="shared" si="448"/>
        <v>1918.6401840488388</v>
      </c>
      <c r="BM150" s="11">
        <f t="shared" si="448"/>
        <v>503.66304423568079</v>
      </c>
      <c r="BN150" s="11">
        <f t="shared" si="448"/>
        <v>554.61043021357182</v>
      </c>
      <c r="BO150" s="11">
        <f t="shared" si="448"/>
        <v>554.61043021357182</v>
      </c>
      <c r="BP150" s="181">
        <f t="shared" si="448"/>
        <v>605.55781619146273</v>
      </c>
      <c r="BQ150" s="11">
        <f t="shared" si="448"/>
        <v>1058.2734744492525</v>
      </c>
      <c r="BR150" s="11">
        <f t="shared" si="448"/>
        <v>1160.1682464050346</v>
      </c>
      <c r="BS150" s="11">
        <f t="shared" si="448"/>
        <v>1612.8839046628243</v>
      </c>
      <c r="BT150" s="603">
        <f t="shared" si="448"/>
        <v>2218.4417208542873</v>
      </c>
      <c r="BU150" s="11">
        <f t="shared" si="448"/>
        <v>539.94669755315385</v>
      </c>
      <c r="BV150" s="11">
        <f t="shared" si="448"/>
        <v>596.1161905937787</v>
      </c>
      <c r="BW150" s="11">
        <f t="shared" si="448"/>
        <v>596.1161905937787</v>
      </c>
      <c r="BX150" s="181">
        <f t="shared" si="448"/>
        <v>652.28568363440365</v>
      </c>
      <c r="BY150" s="11">
        <f t="shared" si="448"/>
        <v>1136.0628881469324</v>
      </c>
      <c r="BZ150" s="11">
        <f t="shared" si="448"/>
        <v>1248.4018742281824</v>
      </c>
      <c r="CA150" s="11">
        <f t="shared" ref="CA150:CJ150" si="453">CA194+CA195</f>
        <v>1732.1790787407112</v>
      </c>
      <c r="CB150" s="603">
        <f t="shared" si="453"/>
        <v>2384.4647623751148</v>
      </c>
      <c r="CC150" s="11">
        <f t="shared" si="453"/>
        <v>523.08158670751686</v>
      </c>
      <c r="CD150" s="11">
        <f t="shared" si="453"/>
        <v>585.00845278480574</v>
      </c>
      <c r="CE150" s="11">
        <f t="shared" si="453"/>
        <v>585.00845278480574</v>
      </c>
      <c r="CF150" s="181">
        <f t="shared" si="453"/>
        <v>646.93531886209485</v>
      </c>
      <c r="CG150" s="11">
        <f t="shared" si="453"/>
        <v>1108.0900394923226</v>
      </c>
      <c r="CH150" s="11">
        <f t="shared" si="453"/>
        <v>1231.9437716469006</v>
      </c>
      <c r="CI150" s="11">
        <f t="shared" si="453"/>
        <v>1693.0984922771286</v>
      </c>
      <c r="CJ150" s="603">
        <f t="shared" si="453"/>
        <v>2340.033811139223</v>
      </c>
    </row>
    <row r="151" spans="1:88" outlineLevel="1" x14ac:dyDescent="0.2">
      <c r="A151" s="186" t="s">
        <v>787</v>
      </c>
      <c r="B151" s="681"/>
      <c r="C151" s="272"/>
      <c r="D151" s="272"/>
      <c r="E151" s="272"/>
      <c r="F151" s="272"/>
      <c r="G151" s="272"/>
      <c r="H151" s="272"/>
      <c r="I151" s="272"/>
      <c r="J151" s="272"/>
      <c r="K151" s="272"/>
      <c r="L151" s="272"/>
      <c r="M151" s="278"/>
      <c r="N151" s="186">
        <f>N149+N150</f>
        <v>1912.6856700000014</v>
      </c>
      <c r="O151" s="186">
        <f t="shared" ref="O151:BZ151" si="454">SUM(O149:O150)</f>
        <v>2029.3212131604541</v>
      </c>
      <c r="P151" s="186">
        <f t="shared" si="454"/>
        <v>1846.1580176248128</v>
      </c>
      <c r="Q151" s="186">
        <f t="shared" si="454"/>
        <v>1774.1584102887732</v>
      </c>
      <c r="R151" s="186"/>
      <c r="S151" s="186">
        <f>SUM(S149:S150)</f>
        <v>2058.1715010974303</v>
      </c>
      <c r="T151" s="186"/>
      <c r="U151" s="186">
        <f t="shared" si="454"/>
        <v>1874.5451093480447</v>
      </c>
      <c r="V151" s="186">
        <f t="shared" si="454"/>
        <v>1655.8882407326353</v>
      </c>
      <c r="W151" s="186">
        <f t="shared" si="454"/>
        <v>1597.4087852577209</v>
      </c>
      <c r="X151" s="284">
        <f t="shared" si="454"/>
        <v>2101.7074439052089</v>
      </c>
      <c r="Y151" s="186">
        <f t="shared" si="454"/>
        <v>610.03729022172661</v>
      </c>
      <c r="Z151" s="186">
        <f t="shared" si="454"/>
        <v>609.6689785719766</v>
      </c>
      <c r="AA151" s="186">
        <f t="shared" si="454"/>
        <v>630.07158501048593</v>
      </c>
      <c r="AB151" s="283">
        <f t="shared" si="454"/>
        <v>-20.428326684838567</v>
      </c>
      <c r="AC151" s="186">
        <f t="shared" si="454"/>
        <v>1219.706268793703</v>
      </c>
      <c r="AD151" s="186">
        <f>SUM(AD149:AD150)</f>
        <v>609.64325832564737</v>
      </c>
      <c r="AE151" s="186">
        <f>SUM(AE149:AE150)</f>
        <v>1849.7778538041891</v>
      </c>
      <c r="AF151" s="341">
        <f t="shared" ref="AF151:AJ151" si="455">SUM(AF149:AF150)</f>
        <v>1829.3495271193503</v>
      </c>
      <c r="AG151" s="186">
        <f t="shared" si="455"/>
        <v>423.87525747339384</v>
      </c>
      <c r="AH151" s="186">
        <f t="shared" si="455"/>
        <v>902.62220442214334</v>
      </c>
      <c r="AI151" s="186">
        <f t="shared" si="455"/>
        <v>476.90591413955639</v>
      </c>
      <c r="AJ151" s="283">
        <f t="shared" si="455"/>
        <v>445.31610978775069</v>
      </c>
      <c r="AK151" s="186">
        <f t="shared" ref="AK151" si="456">SUM(AK149:AK150)</f>
        <v>1327.1320202097836</v>
      </c>
      <c r="AL151" s="186">
        <f>SUM(AL149:AL150)</f>
        <v>922.22202392730708</v>
      </c>
      <c r="AM151" s="186">
        <f>SUM(AM149:AM150)</f>
        <v>1803.4033760350935</v>
      </c>
      <c r="AN151" s="341">
        <f t="shared" ref="AN151:AR151" si="457">SUM(AN149:AN150)</f>
        <v>2249.3540441370906</v>
      </c>
      <c r="AO151" s="186">
        <f t="shared" si="457"/>
        <v>692.4298428674042</v>
      </c>
      <c r="AP151" s="186">
        <f t="shared" si="457"/>
        <v>790.94363178908554</v>
      </c>
      <c r="AQ151" s="186">
        <f t="shared" si="457"/>
        <v>853.10391328183823</v>
      </c>
      <c r="AR151" s="283">
        <f t="shared" si="457"/>
        <v>151.26406133702596</v>
      </c>
      <c r="AS151" s="186">
        <f t="shared" si="454"/>
        <v>1483.3734746564899</v>
      </c>
      <c r="AT151" s="186">
        <f>SUM(AT149:AT150)</f>
        <v>1004.3679746188641</v>
      </c>
      <c r="AU151" s="186">
        <f>SUM(AU149:AU150)</f>
        <v>2336.4773879383279</v>
      </c>
      <c r="AV151" s="341">
        <f t="shared" ref="AV151" si="458">SUM(AV149:AV150)</f>
        <v>2487.7414492753542</v>
      </c>
      <c r="AW151" s="186">
        <f t="shared" si="454"/>
        <v>455.46277954697189</v>
      </c>
      <c r="AX151" s="186">
        <f t="shared" si="454"/>
        <v>566.50097668184378</v>
      </c>
      <c r="AY151" s="285">
        <f t="shared" si="454"/>
        <v>735.49767640337984</v>
      </c>
      <c r="AZ151" s="728">
        <f t="shared" si="454"/>
        <v>1013.3118131467826</v>
      </c>
      <c r="BA151" s="186">
        <f t="shared" si="454"/>
        <v>1021.9637562288161</v>
      </c>
      <c r="BB151" s="285">
        <f t="shared" si="454"/>
        <v>1748.8094895501624</v>
      </c>
      <c r="BC151" s="285">
        <f t="shared" si="454"/>
        <v>1757.4614326321955</v>
      </c>
      <c r="BD151" s="301">
        <f t="shared" si="454"/>
        <v>2770.7732457789784</v>
      </c>
      <c r="BE151" s="285">
        <f t="shared" si="454"/>
        <v>632.17651057988223</v>
      </c>
      <c r="BF151" s="285">
        <f t="shared" si="454"/>
        <v>678.38729151220969</v>
      </c>
      <c r="BG151" s="285">
        <f t="shared" si="454"/>
        <v>678.38729151220969</v>
      </c>
      <c r="BH151" s="728">
        <f t="shared" si="454"/>
        <v>768.83441974453717</v>
      </c>
      <c r="BI151" s="285">
        <f t="shared" si="454"/>
        <v>1310.5638020920919</v>
      </c>
      <c r="BJ151" s="285">
        <f t="shared" si="454"/>
        <v>1447.2217112567469</v>
      </c>
      <c r="BK151" s="285">
        <f t="shared" si="454"/>
        <v>1988.9510936043016</v>
      </c>
      <c r="BL151" s="301">
        <f t="shared" si="454"/>
        <v>2757.7855133488388</v>
      </c>
      <c r="BM151" s="285">
        <f t="shared" si="454"/>
        <v>704.60210710068077</v>
      </c>
      <c r="BN151" s="285">
        <f t="shared" si="454"/>
        <v>755.5494930785718</v>
      </c>
      <c r="BO151" s="285">
        <f t="shared" si="454"/>
        <v>755.5494930785718</v>
      </c>
      <c r="BP151" s="728">
        <f t="shared" si="454"/>
        <v>852.06031677546275</v>
      </c>
      <c r="BQ151" s="285">
        <f t="shared" si="454"/>
        <v>1460.1516001792525</v>
      </c>
      <c r="BR151" s="285">
        <f t="shared" si="454"/>
        <v>1607.6098098540347</v>
      </c>
      <c r="BS151" s="285">
        <f t="shared" si="454"/>
        <v>2215.7010932578241</v>
      </c>
      <c r="BT151" s="301">
        <f t="shared" si="454"/>
        <v>3067.7614100332876</v>
      </c>
      <c r="BU151" s="285">
        <f t="shared" si="454"/>
        <v>743.16393230410381</v>
      </c>
      <c r="BV151" s="285">
        <f t="shared" si="454"/>
        <v>799.33342534472877</v>
      </c>
      <c r="BW151" s="285">
        <f t="shared" si="454"/>
        <v>799.33342534472877</v>
      </c>
      <c r="BX151" s="728">
        <f t="shared" si="454"/>
        <v>902.43325923592374</v>
      </c>
      <c r="BY151" s="285">
        <f t="shared" si="454"/>
        <v>1542.4973576488323</v>
      </c>
      <c r="BZ151" s="285">
        <f t="shared" si="454"/>
        <v>1701.7666845806525</v>
      </c>
      <c r="CA151" s="285">
        <f t="shared" ref="CA151:CJ151" si="459">SUM(CA149:CA150)</f>
        <v>2341.8307829935611</v>
      </c>
      <c r="CB151" s="301">
        <f t="shared" si="459"/>
        <v>3244.2640422294849</v>
      </c>
      <c r="CC151" s="285">
        <f t="shared" si="459"/>
        <v>728.64533850099542</v>
      </c>
      <c r="CD151" s="285">
        <f t="shared" si="459"/>
        <v>790.5722045782843</v>
      </c>
      <c r="CE151" s="285">
        <f t="shared" si="459"/>
        <v>790.5722045782843</v>
      </c>
      <c r="CF151" s="728">
        <f t="shared" si="459"/>
        <v>900.83732173166038</v>
      </c>
      <c r="CG151" s="285">
        <f t="shared" si="459"/>
        <v>1519.2175430792795</v>
      </c>
      <c r="CH151" s="285">
        <f t="shared" si="459"/>
        <v>1691.4095263099448</v>
      </c>
      <c r="CI151" s="285">
        <f t="shared" si="459"/>
        <v>2309.789747657564</v>
      </c>
      <c r="CJ151" s="301">
        <f t="shared" si="459"/>
        <v>3210.6270693892238</v>
      </c>
    </row>
    <row r="152" spans="1:88" outlineLevel="1" x14ac:dyDescent="0.2">
      <c r="A152" s="717" t="s">
        <v>774</v>
      </c>
      <c r="B152" s="718"/>
      <c r="C152" s="719"/>
      <c r="D152" s="719"/>
      <c r="E152" s="719"/>
      <c r="F152" s="719"/>
      <c r="G152" s="719"/>
      <c r="H152" s="719"/>
      <c r="I152" s="719"/>
      <c r="J152" s="719"/>
      <c r="K152" s="719"/>
      <c r="L152" s="719"/>
      <c r="M152" s="726"/>
      <c r="N152" s="419">
        <f>N145+N148+N151</f>
        <v>6949.535670000002</v>
      </c>
      <c r="O152" s="419">
        <f t="shared" ref="O152:BZ152" si="460">O145+O148+O151</f>
        <v>7716.1796675191817</v>
      </c>
      <c r="P152" s="419">
        <f t="shared" si="460"/>
        <v>8040.2463628547121</v>
      </c>
      <c r="Q152" s="419">
        <f>Q145+Q148+Q151</f>
        <v>8458.5408599999992</v>
      </c>
      <c r="R152" s="419">
        <f>+R118</f>
        <v>8458.5408599999992</v>
      </c>
      <c r="S152" s="419">
        <f>S145+S148+S151</f>
        <v>9603.2568108067826</v>
      </c>
      <c r="T152" s="419"/>
      <c r="U152" s="419">
        <f>U145+U148+U151</f>
        <v>10693.671449999998</v>
      </c>
      <c r="V152" s="419">
        <f t="shared" si="460"/>
        <v>5821.2745799999993</v>
      </c>
      <c r="W152" s="419">
        <f t="shared" si="460"/>
        <v>5565.5622399999993</v>
      </c>
      <c r="X152" s="729">
        <f t="shared" si="460"/>
        <v>7668.0149000000001</v>
      </c>
      <c r="Y152" s="419">
        <f t="shared" si="460"/>
        <v>2245.1565000000001</v>
      </c>
      <c r="Z152" s="419">
        <f t="shared" si="460"/>
        <v>2470.3016250000001</v>
      </c>
      <c r="AA152" s="419">
        <f t="shared" si="460"/>
        <v>2571.2219999999998</v>
      </c>
      <c r="AB152" s="779">
        <f t="shared" si="460"/>
        <v>2000.6709652503</v>
      </c>
      <c r="AC152" s="419">
        <f t="shared" si="460"/>
        <v>4715.4581250000001</v>
      </c>
      <c r="AD152" s="419">
        <f>AD145+AD148+AD151</f>
        <v>4571.8929652503002</v>
      </c>
      <c r="AE152" s="419">
        <f>AE145+AE148+AE151</f>
        <v>7297.3053932710136</v>
      </c>
      <c r="AF152" s="1367">
        <f t="shared" ref="AF152:AJ152" si="461">AF145+AF148+AF151</f>
        <v>10259.0826</v>
      </c>
      <c r="AG152" s="419">
        <f t="shared" si="461"/>
        <v>2638.6594850000006</v>
      </c>
      <c r="AH152" s="419">
        <f t="shared" si="461"/>
        <v>2914.9576750000006</v>
      </c>
      <c r="AI152" s="419">
        <f t="shared" si="461"/>
        <v>2930.6069100000004</v>
      </c>
      <c r="AJ152" s="779">
        <f t="shared" si="461"/>
        <v>3400.9340899999993</v>
      </c>
      <c r="AK152" s="419">
        <f t="shared" ref="AK152" si="462">AK145+AK148+AK151</f>
        <v>5553.6171600000016</v>
      </c>
      <c r="AL152" s="419">
        <f>AL145+AL148+AL151</f>
        <v>6331.5410000000002</v>
      </c>
      <c r="AM152" s="419">
        <f>AM145+AM148+AM151</f>
        <v>8484.2240700000002</v>
      </c>
      <c r="AN152" s="1367">
        <f t="shared" ref="AN152:AR152" si="463">AN145+AN148+AN151</f>
        <v>11885.158159999999</v>
      </c>
      <c r="AO152" s="419">
        <f t="shared" si="463"/>
        <v>3087.7261800000001</v>
      </c>
      <c r="AP152" s="419">
        <f t="shared" si="463"/>
        <v>3504.1258550000007</v>
      </c>
      <c r="AQ152" s="419">
        <f t="shared" si="463"/>
        <v>3765.5200499999996</v>
      </c>
      <c r="AR152" s="779">
        <f t="shared" si="463"/>
        <v>3737.560715000001</v>
      </c>
      <c r="AS152" s="419">
        <f t="shared" si="460"/>
        <v>6591.8520350000008</v>
      </c>
      <c r="AT152" s="419">
        <f>AT145+AT148+AT151</f>
        <v>7503.0807650000006</v>
      </c>
      <c r="AU152" s="419">
        <f>AU145+AU148+AU151</f>
        <v>10357.372085000001</v>
      </c>
      <c r="AV152" s="1367">
        <f t="shared" ref="AV152" si="464">AV145+AV148+AV151</f>
        <v>14094.932800000002</v>
      </c>
      <c r="AW152" s="419">
        <f t="shared" si="460"/>
        <v>4056.5147999999999</v>
      </c>
      <c r="AX152" s="419">
        <f t="shared" si="460"/>
        <v>4227.31855</v>
      </c>
      <c r="AY152" s="731">
        <f t="shared" si="460"/>
        <v>4287.6388276138323</v>
      </c>
      <c r="AZ152" s="730">
        <f t="shared" si="460"/>
        <v>5449.8552583017399</v>
      </c>
      <c r="BA152" s="419">
        <f t="shared" si="460"/>
        <v>8283.833349999999</v>
      </c>
      <c r="BB152" s="731">
        <f t="shared" si="460"/>
        <v>9737.4940859155722</v>
      </c>
      <c r="BC152" s="731">
        <f t="shared" si="460"/>
        <v>12571.47217761383</v>
      </c>
      <c r="BD152" s="732">
        <f t="shared" si="460"/>
        <v>18021.327435915573</v>
      </c>
      <c r="BE152" s="731">
        <f t="shared" si="460"/>
        <v>4158.5278281402962</v>
      </c>
      <c r="BF152" s="731">
        <f t="shared" si="460"/>
        <v>4819.9381384627268</v>
      </c>
      <c r="BG152" s="731">
        <f t="shared" si="460"/>
        <v>4821.0057384627271</v>
      </c>
      <c r="BH152" s="730">
        <f t="shared" si="460"/>
        <v>6346.2816239513795</v>
      </c>
      <c r="BI152" s="731">
        <f t="shared" si="460"/>
        <v>8978.4659666030238</v>
      </c>
      <c r="BJ152" s="731">
        <f t="shared" si="460"/>
        <v>11167.287362414107</v>
      </c>
      <c r="BK152" s="731">
        <f t="shared" si="460"/>
        <v>13799.471705065753</v>
      </c>
      <c r="BL152" s="732">
        <f t="shared" si="460"/>
        <v>20145.75332901713</v>
      </c>
      <c r="BM152" s="731">
        <f t="shared" si="460"/>
        <v>4657.2813028021683</v>
      </c>
      <c r="BN152" s="731">
        <f t="shared" si="460"/>
        <v>5381.4337137054299</v>
      </c>
      <c r="BO152" s="731">
        <f t="shared" si="460"/>
        <v>5384.7107617054298</v>
      </c>
      <c r="BP152" s="730">
        <f t="shared" si="460"/>
        <v>6952.1778383192695</v>
      </c>
      <c r="BQ152" s="731">
        <f t="shared" si="460"/>
        <v>10038.715016507598</v>
      </c>
      <c r="BR152" s="731">
        <f t="shared" si="460"/>
        <v>12336.8886000247</v>
      </c>
      <c r="BS152" s="731">
        <f t="shared" si="460"/>
        <v>15423.425778213026</v>
      </c>
      <c r="BT152" s="732">
        <f t="shared" si="460"/>
        <v>22375.603616532295</v>
      </c>
      <c r="BU152" s="731">
        <f t="shared" si="460"/>
        <v>5009.7899846351374</v>
      </c>
      <c r="BV152" s="731">
        <f t="shared" si="460"/>
        <v>5773.2894498385213</v>
      </c>
      <c r="BW152" s="731">
        <f t="shared" si="460"/>
        <v>5776.7540512785199</v>
      </c>
      <c r="BX152" s="730">
        <f t="shared" si="460"/>
        <v>7438.0493800879303</v>
      </c>
      <c r="BY152" s="731">
        <f t="shared" si="460"/>
        <v>10783.079434473659</v>
      </c>
      <c r="BZ152" s="731">
        <f t="shared" si="460"/>
        <v>13214.803431366452</v>
      </c>
      <c r="CA152" s="731">
        <f t="shared" ref="CA152:CJ152" si="465">CA145+CA148+CA151</f>
        <v>16559.83348575218</v>
      </c>
      <c r="CB152" s="732">
        <f t="shared" si="465"/>
        <v>23997.882865840111</v>
      </c>
      <c r="CC152" s="731">
        <f t="shared" si="465"/>
        <v>5241.2936304487303</v>
      </c>
      <c r="CD152" s="731">
        <f t="shared" si="465"/>
        <v>6065.7087581953519</v>
      </c>
      <c r="CE152" s="731">
        <f t="shared" si="465"/>
        <v>6067.0860615905522</v>
      </c>
      <c r="CF152" s="730">
        <f t="shared" si="465"/>
        <v>7791.5245475644333</v>
      </c>
      <c r="CG152" s="731">
        <f t="shared" si="465"/>
        <v>11307.002388644081</v>
      </c>
      <c r="CH152" s="731">
        <f t="shared" si="465"/>
        <v>13858.610609154986</v>
      </c>
      <c r="CI152" s="731">
        <f t="shared" si="465"/>
        <v>17374.088450234634</v>
      </c>
      <c r="CJ152" s="732">
        <f t="shared" si="465"/>
        <v>25165.612997799064</v>
      </c>
    </row>
    <row r="153" spans="1:88" outlineLevel="1" x14ac:dyDescent="0.2">
      <c r="A153" s="680"/>
      <c r="B153" s="681"/>
      <c r="C153" s="272"/>
      <c r="D153" s="272"/>
      <c r="E153" s="272"/>
      <c r="F153" s="272"/>
      <c r="G153" s="272"/>
      <c r="H153" s="272"/>
      <c r="I153" s="272"/>
      <c r="J153" s="272"/>
      <c r="K153" s="272"/>
      <c r="L153" s="272"/>
      <c r="M153" s="278"/>
      <c r="N153" s="186"/>
      <c r="O153" s="278"/>
      <c r="P153" s="278"/>
      <c r="Q153" s="278"/>
      <c r="R153" s="278"/>
      <c r="S153" s="278"/>
      <c r="T153" s="278"/>
      <c r="U153" s="278"/>
      <c r="V153" s="278"/>
      <c r="W153" s="278"/>
      <c r="X153" s="250"/>
      <c r="Y153" s="278"/>
      <c r="Z153" s="278"/>
      <c r="AA153" s="278"/>
      <c r="AB153" s="298"/>
      <c r="AC153" s="278"/>
      <c r="AD153" s="278"/>
      <c r="AE153" s="278"/>
      <c r="AF153" s="691"/>
      <c r="AG153" s="278"/>
      <c r="AH153" s="278"/>
      <c r="AI153" s="278"/>
      <c r="AJ153" s="298"/>
      <c r="AK153" s="278"/>
      <c r="AL153" s="278"/>
      <c r="AM153" s="278"/>
      <c r="AN153" s="691"/>
      <c r="AO153" s="278"/>
      <c r="AP153" s="278"/>
      <c r="AQ153" s="278"/>
      <c r="AR153" s="298"/>
      <c r="AS153" s="278"/>
      <c r="AT153" s="278"/>
      <c r="AU153" s="278"/>
      <c r="AV153" s="691"/>
      <c r="AW153" s="278"/>
      <c r="AX153" s="278"/>
      <c r="AY153" s="278"/>
      <c r="AZ153" s="298"/>
      <c r="BA153" s="278"/>
      <c r="BB153" s="278"/>
      <c r="BC153" s="278"/>
      <c r="BD153" s="691"/>
      <c r="BE153" s="278"/>
      <c r="BF153" s="278"/>
      <c r="BG153" s="278"/>
      <c r="BH153" s="298"/>
      <c r="BI153" s="278"/>
      <c r="BJ153" s="278"/>
      <c r="BK153" s="278"/>
      <c r="BL153" s="691"/>
      <c r="BM153" s="278"/>
      <c r="BN153" s="278"/>
      <c r="BO153" s="278"/>
      <c r="BP153" s="298"/>
      <c r="BQ153" s="278"/>
      <c r="BR153" s="278"/>
      <c r="BS153" s="278"/>
      <c r="BT153" s="691"/>
      <c r="BU153" s="278"/>
      <c r="BV153" s="278"/>
      <c r="BW153" s="278"/>
      <c r="BX153" s="298"/>
      <c r="BY153" s="278"/>
      <c r="BZ153" s="278"/>
      <c r="CA153" s="278"/>
      <c r="CB153" s="691"/>
      <c r="CC153" s="278"/>
      <c r="CD153" s="278"/>
      <c r="CE153" s="278"/>
      <c r="CF153" s="298"/>
      <c r="CG153" s="278"/>
      <c r="CH153" s="278"/>
      <c r="CI153" s="278"/>
      <c r="CJ153" s="691"/>
    </row>
    <row r="154" spans="1:88" outlineLevel="1" x14ac:dyDescent="0.2">
      <c r="A154" s="693"/>
      <c r="B154" s="681"/>
      <c r="C154" s="272"/>
      <c r="D154" s="272"/>
      <c r="E154" s="272"/>
      <c r="F154" s="272"/>
      <c r="G154" s="272"/>
      <c r="H154" s="272"/>
      <c r="I154" s="272"/>
      <c r="J154" s="272"/>
      <c r="K154" s="272"/>
      <c r="L154" s="272"/>
      <c r="M154" s="278"/>
      <c r="N154" s="278"/>
      <c r="O154" s="278"/>
      <c r="P154" s="278"/>
      <c r="Q154" s="278"/>
      <c r="R154" s="278"/>
      <c r="U154" s="278"/>
      <c r="V154" s="278"/>
      <c r="W154" s="278"/>
      <c r="X154" s="250"/>
      <c r="Y154" s="278"/>
      <c r="Z154" s="278"/>
      <c r="AA154" s="278"/>
      <c r="AB154" s="298"/>
      <c r="AC154" s="278"/>
      <c r="AD154" s="278"/>
      <c r="AE154" s="278"/>
      <c r="AF154" s="691"/>
      <c r="AG154" s="278"/>
      <c r="AH154" s="278"/>
      <c r="AI154" s="278"/>
      <c r="AJ154" s="298"/>
      <c r="AK154" s="278"/>
      <c r="AL154" s="278"/>
      <c r="AM154" s="278"/>
      <c r="AN154" s="691"/>
      <c r="AO154" s="278"/>
      <c r="AP154" s="278"/>
      <c r="AQ154" s="278"/>
      <c r="AR154" s="298"/>
      <c r="AS154" s="278"/>
      <c r="AT154" s="278"/>
      <c r="AU154" s="278"/>
      <c r="AV154" s="691"/>
      <c r="AW154" s="278"/>
      <c r="AX154" s="278"/>
      <c r="AY154" s="278"/>
      <c r="AZ154" s="298"/>
      <c r="BA154" s="278"/>
      <c r="BB154" s="278"/>
      <c r="BC154" s="278"/>
      <c r="BD154" s="691"/>
      <c r="BE154" s="278"/>
      <c r="BF154" s="278"/>
      <c r="BG154" s="278"/>
      <c r="BH154" s="298"/>
      <c r="BI154" s="278"/>
      <c r="BJ154" s="278"/>
      <c r="BK154" s="278"/>
      <c r="BL154" s="691"/>
      <c r="BM154" s="278"/>
      <c r="BN154" s="278"/>
      <c r="BO154" s="278"/>
      <c r="BP154" s="298"/>
      <c r="BQ154" s="278"/>
      <c r="BR154" s="278"/>
      <c r="BS154" s="278"/>
      <c r="BT154" s="691"/>
      <c r="BU154" s="278"/>
      <c r="BV154" s="278"/>
      <c r="BW154" s="278"/>
      <c r="BX154" s="298"/>
      <c r="BY154" s="278"/>
      <c r="BZ154" s="278"/>
      <c r="CA154" s="278"/>
      <c r="CB154" s="691"/>
      <c r="CC154" s="278"/>
      <c r="CD154" s="278"/>
      <c r="CE154" s="278"/>
      <c r="CF154" s="298"/>
      <c r="CG154" s="278"/>
      <c r="CH154" s="278"/>
      <c r="CI154" s="278"/>
      <c r="CJ154" s="691"/>
    </row>
    <row r="155" spans="1:88" x14ac:dyDescent="0.2">
      <c r="A155" s="733" t="s">
        <v>788</v>
      </c>
      <c r="B155" s="734"/>
      <c r="C155" s="735"/>
      <c r="D155" s="735"/>
      <c r="E155" s="735"/>
      <c r="F155" s="735"/>
      <c r="G155" s="735"/>
      <c r="H155" s="735"/>
      <c r="I155" s="735"/>
      <c r="J155" s="735"/>
      <c r="K155" s="735"/>
      <c r="L155" s="735"/>
      <c r="M155" s="735"/>
      <c r="N155" s="735"/>
      <c r="O155" s="735"/>
      <c r="P155" s="735"/>
      <c r="Q155" s="735"/>
      <c r="R155" s="735"/>
      <c r="S155" s="735"/>
      <c r="T155" s="735"/>
      <c r="U155" s="735"/>
      <c r="V155" s="735"/>
      <c r="W155" s="735"/>
      <c r="X155" s="736"/>
      <c r="Y155" s="735"/>
      <c r="Z155" s="735"/>
      <c r="AA155" s="735"/>
      <c r="AB155" s="737"/>
      <c r="AC155" s="735"/>
      <c r="AD155" s="735"/>
      <c r="AE155" s="735"/>
      <c r="AF155" s="738"/>
      <c r="AG155" s="735"/>
      <c r="AH155" s="735"/>
      <c r="AI155" s="735"/>
      <c r="AJ155" s="737"/>
      <c r="AK155" s="735"/>
      <c r="AL155" s="735"/>
      <c r="AM155" s="735"/>
      <c r="AN155" s="738"/>
      <c r="AO155" s="735"/>
      <c r="AP155" s="735"/>
      <c r="AQ155" s="735"/>
      <c r="AR155" s="737"/>
      <c r="AS155" s="735"/>
      <c r="AT155" s="735"/>
      <c r="AU155" s="735"/>
      <c r="AV155" s="738"/>
      <c r="AW155" s="735"/>
      <c r="AX155" s="735"/>
      <c r="AY155" s="735"/>
      <c r="AZ155" s="737"/>
      <c r="BA155" s="735"/>
      <c r="BB155" s="735"/>
      <c r="BC155" s="735"/>
      <c r="BD155" s="738"/>
      <c r="BE155" s="735"/>
      <c r="BF155" s="735"/>
      <c r="BG155" s="735"/>
      <c r="BH155" s="737"/>
      <c r="BI155" s="735"/>
      <c r="BJ155" s="735"/>
      <c r="BK155" s="735"/>
      <c r="BL155" s="738"/>
      <c r="BM155" s="735"/>
      <c r="BN155" s="735"/>
      <c r="BO155" s="735"/>
      <c r="BP155" s="737"/>
      <c r="BQ155" s="735"/>
      <c r="BR155" s="735"/>
      <c r="BS155" s="735"/>
      <c r="BT155" s="738"/>
      <c r="BU155" s="735"/>
      <c r="BV155" s="735"/>
      <c r="BW155" s="735"/>
      <c r="BX155" s="737"/>
      <c r="BY155" s="735"/>
      <c r="BZ155" s="735"/>
      <c r="CA155" s="735"/>
      <c r="CB155" s="738"/>
      <c r="CC155" s="735"/>
      <c r="CD155" s="735"/>
      <c r="CE155" s="735"/>
      <c r="CF155" s="737"/>
      <c r="CG155" s="735"/>
      <c r="CH155" s="735"/>
      <c r="CI155" s="735"/>
      <c r="CJ155" s="738"/>
    </row>
    <row r="156" spans="1:88" x14ac:dyDescent="0.2">
      <c r="A156" s="186"/>
      <c r="B156" s="681"/>
      <c r="C156" s="272"/>
      <c r="D156" s="272"/>
      <c r="E156" s="272"/>
      <c r="F156" s="272"/>
      <c r="G156" s="272"/>
      <c r="H156" s="272"/>
      <c r="I156" s="272"/>
      <c r="J156" s="272"/>
      <c r="K156" s="272"/>
      <c r="L156" s="272"/>
      <c r="M156" s="272"/>
      <c r="N156" s="272"/>
      <c r="O156" s="272"/>
      <c r="P156" s="272"/>
      <c r="Q156" s="272"/>
      <c r="R156" s="272"/>
      <c r="S156" s="272"/>
      <c r="T156" s="272"/>
      <c r="U156" s="272"/>
      <c r="V156" s="272"/>
      <c r="W156" s="272"/>
      <c r="X156" s="275"/>
      <c r="Y156" s="272"/>
      <c r="Z156" s="272"/>
      <c r="AA156" s="272"/>
      <c r="AB156" s="248"/>
      <c r="AC156" s="272"/>
      <c r="AD156" s="272"/>
      <c r="AE156" s="272"/>
      <c r="AF156" s="602"/>
      <c r="AG156" s="272"/>
      <c r="AH156" s="272"/>
      <c r="AI156" s="272"/>
      <c r="AJ156" s="248"/>
      <c r="AK156" s="272"/>
      <c r="AL156" s="272"/>
      <c r="AM156" s="272"/>
      <c r="AN156" s="602"/>
      <c r="AO156" s="272"/>
      <c r="AP156" s="272"/>
      <c r="AQ156" s="272"/>
      <c r="AR156" s="248"/>
      <c r="AS156" s="272"/>
      <c r="AT156" s="272"/>
      <c r="AU156" s="272"/>
      <c r="AV156" s="602"/>
      <c r="AW156" s="272"/>
      <c r="AX156" s="272"/>
      <c r="AY156" s="272"/>
      <c r="AZ156" s="248"/>
      <c r="BA156" s="272"/>
      <c r="BB156" s="272"/>
      <c r="BC156" s="272"/>
      <c r="BD156" s="602"/>
      <c r="BE156" s="272"/>
      <c r="BF156" s="272"/>
      <c r="BG156" s="272"/>
      <c r="BH156" s="248"/>
      <c r="BI156" s="272"/>
      <c r="BJ156" s="272"/>
      <c r="BK156" s="272"/>
      <c r="BL156" s="602"/>
      <c r="BM156" s="272"/>
      <c r="BN156" s="272"/>
      <c r="BO156" s="272"/>
      <c r="BP156" s="248"/>
      <c r="BQ156" s="272"/>
      <c r="BR156" s="272"/>
      <c r="BS156" s="272"/>
      <c r="BT156" s="602"/>
      <c r="BU156" s="272"/>
      <c r="BV156" s="272"/>
      <c r="BW156" s="272"/>
      <c r="BX156" s="248"/>
      <c r="BY156" s="272"/>
      <c r="BZ156" s="272"/>
      <c r="CA156" s="272"/>
      <c r="CB156" s="602"/>
      <c r="CC156" s="272"/>
      <c r="CD156" s="272"/>
      <c r="CE156" s="272"/>
      <c r="CF156" s="248"/>
      <c r="CG156" s="272"/>
      <c r="CH156" s="272"/>
      <c r="CI156" s="272"/>
      <c r="CJ156" s="602"/>
    </row>
    <row r="157" spans="1:88" x14ac:dyDescent="0.2">
      <c r="A157" s="186" t="s">
        <v>789</v>
      </c>
      <c r="B157" s="681"/>
      <c r="C157" s="272"/>
      <c r="D157" s="272"/>
      <c r="E157" s="272"/>
      <c r="F157" s="272"/>
      <c r="G157" s="272"/>
      <c r="H157" s="272"/>
      <c r="I157" s="272"/>
      <c r="J157" s="272"/>
      <c r="K157" s="272"/>
      <c r="L157" s="272"/>
      <c r="M157" s="278"/>
      <c r="N157" s="141"/>
      <c r="O157" s="278"/>
      <c r="P157" s="278"/>
      <c r="Q157" s="278"/>
      <c r="R157" s="278"/>
      <c r="S157" s="278"/>
      <c r="T157" s="278"/>
      <c r="U157" s="278"/>
      <c r="V157" s="278"/>
      <c r="W157" s="278"/>
      <c r="X157" s="250"/>
      <c r="Y157" s="278"/>
      <c r="Z157" s="278"/>
      <c r="AA157" s="278"/>
      <c r="AB157" s="298"/>
      <c r="AC157" s="278"/>
      <c r="AD157" s="278"/>
      <c r="AE157" s="278"/>
      <c r="AF157" s="691"/>
      <c r="AG157" s="278"/>
      <c r="AH157" s="278"/>
      <c r="AI157" s="278"/>
      <c r="AJ157" s="298"/>
      <c r="AK157" s="278"/>
      <c r="AL157" s="278"/>
      <c r="AM157" s="278"/>
      <c r="AN157" s="691"/>
      <c r="AO157" s="278"/>
      <c r="AP157" s="278"/>
      <c r="AQ157" s="278"/>
      <c r="AR157" s="298"/>
      <c r="AS157" s="278"/>
      <c r="AT157" s="278"/>
      <c r="AU157" s="278"/>
      <c r="AV157" s="691"/>
      <c r="AW157" s="278"/>
      <c r="AX157" s="278"/>
      <c r="AY157" s="278"/>
      <c r="AZ157" s="298"/>
      <c r="BA157" s="278"/>
      <c r="BB157" s="278"/>
      <c r="BC157" s="278"/>
      <c r="BD157" s="691"/>
      <c r="BE157" s="278"/>
      <c r="BF157" s="278"/>
      <c r="BG157" s="278"/>
      <c r="BH157" s="298"/>
      <c r="BI157" s="278"/>
      <c r="BJ157" s="278"/>
      <c r="BK157" s="278"/>
      <c r="BL157" s="691"/>
      <c r="BM157" s="278"/>
      <c r="BN157" s="278"/>
      <c r="BO157" s="278"/>
      <c r="BP157" s="298"/>
      <c r="BQ157" s="278"/>
      <c r="BR157" s="278"/>
      <c r="BS157" s="278"/>
      <c r="BT157" s="691"/>
      <c r="BU157" s="278"/>
      <c r="BV157" s="278"/>
      <c r="BW157" s="278"/>
      <c r="BX157" s="298"/>
      <c r="BY157" s="278"/>
      <c r="BZ157" s="278"/>
      <c r="CA157" s="278"/>
      <c r="CB157" s="691"/>
      <c r="CC157" s="278"/>
      <c r="CD157" s="278"/>
      <c r="CE157" s="278"/>
      <c r="CF157" s="298"/>
      <c r="CG157" s="278"/>
      <c r="CH157" s="278"/>
      <c r="CI157" s="278"/>
      <c r="CJ157" s="691"/>
    </row>
    <row r="158" spans="1:88" x14ac:dyDescent="0.2">
      <c r="A158" s="4" t="s">
        <v>790</v>
      </c>
      <c r="B158" s="197"/>
      <c r="C158" s="272"/>
      <c r="D158" s="272"/>
      <c r="E158" s="272"/>
      <c r="F158" s="272"/>
      <c r="G158" s="272"/>
      <c r="H158" s="272"/>
      <c r="I158" s="272"/>
      <c r="J158" s="272"/>
      <c r="K158" s="272"/>
      <c r="L158" s="272"/>
      <c r="M158" s="278"/>
      <c r="N158" s="739">
        <f t="shared" ref="N158:Y160" si="466">N166/N$114</f>
        <v>1885.2855894308943</v>
      </c>
      <c r="O158" s="739">
        <f t="shared" si="466"/>
        <v>2192.8551806756759</v>
      </c>
      <c r="P158" s="739">
        <f t="shared" si="466"/>
        <v>2269.6194359984024</v>
      </c>
      <c r="Q158" s="739">
        <f t="shared" si="466"/>
        <v>1962.8955761488205</v>
      </c>
      <c r="R158" s="739"/>
      <c r="S158" s="739">
        <f>S166/S$114</f>
        <v>1463.5066066289846</v>
      </c>
      <c r="T158" s="739"/>
      <c r="U158" s="740">
        <f t="shared" ref="U158:CF161" si="467">U166/U$114</f>
        <v>602.83526273401003</v>
      </c>
      <c r="V158" s="740">
        <f t="shared" si="467"/>
        <v>242.94183141352136</v>
      </c>
      <c r="W158" s="740">
        <f t="shared" si="467"/>
        <v>140.58764776415842</v>
      </c>
      <c r="X158" s="741">
        <f t="shared" si="467"/>
        <v>78.066830065549766</v>
      </c>
      <c r="Y158" s="740">
        <f t="shared" si="467"/>
        <v>18.061992754441846</v>
      </c>
      <c r="Z158" s="740">
        <f>AC158-Y158</f>
        <v>10.719772313764899</v>
      </c>
      <c r="AA158" s="740">
        <f t="shared" ref="AA158:AA160" si="468">AA166/AA$114</f>
        <v>16.721420390533034</v>
      </c>
      <c r="AB158" s="760">
        <f>AD158-AA158</f>
        <v>27.275911862412485</v>
      </c>
      <c r="AC158" s="740">
        <f t="shared" si="467"/>
        <v>28.781765068206745</v>
      </c>
      <c r="AD158" s="740">
        <f>AF158-AC158</f>
        <v>43.997332252945519</v>
      </c>
      <c r="AE158" s="740">
        <f>Y158+Z158+AA158</f>
        <v>45.503185458739779</v>
      </c>
      <c r="AF158" s="1368">
        <f t="shared" ref="AF158:AG158" si="469">AF166/AF$114</f>
        <v>72.779097321152264</v>
      </c>
      <c r="AG158" s="740">
        <f t="shared" si="469"/>
        <v>16.59147883823735</v>
      </c>
      <c r="AH158" s="740">
        <f>AK158-AG158</f>
        <v>21.05253536058521</v>
      </c>
      <c r="AI158" s="740">
        <f t="shared" ref="AI158:AI160" si="470">AI166/AI$114</f>
        <v>16.77069128020247</v>
      </c>
      <c r="AJ158" s="760">
        <f>AL158-AI158</f>
        <v>24.935836873306684</v>
      </c>
      <c r="AK158" s="740">
        <f t="shared" ref="AK158" si="471">AK166/AK$114</f>
        <v>37.644014198822561</v>
      </c>
      <c r="AL158" s="740">
        <f>AN158-AK158</f>
        <v>41.706528153509154</v>
      </c>
      <c r="AM158" s="740">
        <f>AG158+AH158+AI158</f>
        <v>54.414705479025031</v>
      </c>
      <c r="AN158" s="1368">
        <f t="shared" ref="AN158:AO158" si="472">AN166/AN$114</f>
        <v>79.350542352331715</v>
      </c>
      <c r="AO158" s="740">
        <f t="shared" si="472"/>
        <v>16.536518144235185</v>
      </c>
      <c r="AP158" s="740">
        <f>AS158-AO158</f>
        <v>16.360002416090165</v>
      </c>
      <c r="AQ158" s="740">
        <f t="shared" ref="AQ158:AQ160" si="473">AQ166/AQ$114</f>
        <v>15.229759299781179</v>
      </c>
      <c r="AR158" s="760">
        <f>AT158-AQ158</f>
        <v>7.3650496196622512</v>
      </c>
      <c r="AS158" s="740">
        <f t="shared" si="467"/>
        <v>32.896520560325349</v>
      </c>
      <c r="AT158" s="740">
        <f>AV158-AS158</f>
        <v>22.59480891944343</v>
      </c>
      <c r="AU158" s="740">
        <f>AO158+AP158+AQ158</f>
        <v>48.126279860106528</v>
      </c>
      <c r="AV158" s="1368">
        <f t="shared" ref="AV158" si="474">AV166/AV$114</f>
        <v>55.49132947976878</v>
      </c>
      <c r="AW158" s="740">
        <f t="shared" si="467"/>
        <v>15.439824945295404</v>
      </c>
      <c r="AX158" s="740">
        <f>BA158-AW158</f>
        <v>10.979431072210064</v>
      </c>
      <c r="AY158" s="743">
        <f t="shared" si="467"/>
        <v>9.2682692307692278</v>
      </c>
      <c r="AZ158" s="742">
        <f t="shared" si="467"/>
        <v>5.9896628764677331</v>
      </c>
      <c r="BA158" s="740">
        <f t="shared" si="467"/>
        <v>26.419256017505468</v>
      </c>
      <c r="BB158" s="743">
        <f t="shared" si="467"/>
        <v>15.257932107236961</v>
      </c>
      <c r="BC158" s="743">
        <f t="shared" si="467"/>
        <v>35.699999999999996</v>
      </c>
      <c r="BD158" s="744">
        <f t="shared" si="467"/>
        <v>41.689662876467736</v>
      </c>
      <c r="BE158" s="743">
        <f t="shared" si="467"/>
        <v>5.8436102941176467</v>
      </c>
      <c r="BF158" s="743">
        <f t="shared" si="467"/>
        <v>6.6784117647058805</v>
      </c>
      <c r="BG158" s="743">
        <f t="shared" si="467"/>
        <v>5.8436102941176467</v>
      </c>
      <c r="BH158" s="742">
        <f t="shared" si="467"/>
        <v>12.087223809604318</v>
      </c>
      <c r="BI158" s="743">
        <f t="shared" si="467"/>
        <v>12.522022058823527</v>
      </c>
      <c r="BJ158" s="743">
        <f t="shared" si="467"/>
        <v>17.930834103721974</v>
      </c>
      <c r="BK158" s="743">
        <f t="shared" si="467"/>
        <v>18.365632352941176</v>
      </c>
      <c r="BL158" s="744">
        <f t="shared" si="467"/>
        <v>30.452856162545491</v>
      </c>
      <c r="BM158" s="743">
        <f t="shared" si="467"/>
        <v>5.7059764999999985</v>
      </c>
      <c r="BN158" s="743">
        <f t="shared" si="467"/>
        <v>6.5211159999999966</v>
      </c>
      <c r="BO158" s="743">
        <f t="shared" si="467"/>
        <v>5.7059764999999985</v>
      </c>
      <c r="BP158" s="742">
        <f t="shared" si="467"/>
        <v>11.737199677305453</v>
      </c>
      <c r="BQ158" s="743">
        <f t="shared" si="467"/>
        <v>12.227092499999996</v>
      </c>
      <c r="BR158" s="743">
        <f t="shared" si="467"/>
        <v>17.443176177305457</v>
      </c>
      <c r="BS158" s="743">
        <f t="shared" si="467"/>
        <v>17.933068999999993</v>
      </c>
      <c r="BT158" s="744">
        <f t="shared" si="467"/>
        <v>29.670268677305447</v>
      </c>
      <c r="BU158" s="743">
        <f t="shared" si="467"/>
        <v>5.524106131611779</v>
      </c>
      <c r="BV158" s="743">
        <f t="shared" si="467"/>
        <v>6.3132641504134632</v>
      </c>
      <c r="BW158" s="743">
        <f t="shared" si="467"/>
        <v>5.524106131611779</v>
      </c>
      <c r="BX158" s="742">
        <f t="shared" si="467"/>
        <v>11.348068130880836</v>
      </c>
      <c r="BY158" s="743">
        <f t="shared" si="467"/>
        <v>11.837370282025242</v>
      </c>
      <c r="BZ158" s="743">
        <f t="shared" si="467"/>
        <v>16.872174262492621</v>
      </c>
      <c r="CA158" s="743">
        <f t="shared" si="467"/>
        <v>17.361476413637021</v>
      </c>
      <c r="CB158" s="744">
        <f t="shared" si="467"/>
        <v>28.709544544517858</v>
      </c>
      <c r="CC158" s="743">
        <f t="shared" si="467"/>
        <v>5.1660813378794712</v>
      </c>
      <c r="CD158" s="743">
        <f t="shared" si="467"/>
        <v>5.9040929575765384</v>
      </c>
      <c r="CE158" s="743">
        <f t="shared" si="467"/>
        <v>5.1660813378794712</v>
      </c>
      <c r="CF158" s="742">
        <f t="shared" si="467"/>
        <v>9.974576118854019</v>
      </c>
      <c r="CG158" s="743">
        <f t="shared" ref="CG158:CJ161" si="475">CG166/CG$114</f>
        <v>11.07017429545601</v>
      </c>
      <c r="CH158" s="743">
        <f t="shared" si="475"/>
        <v>15.140657456733486</v>
      </c>
      <c r="CI158" s="743">
        <f t="shared" si="475"/>
        <v>16.236255633335478</v>
      </c>
      <c r="CJ158" s="744">
        <f t="shared" si="475"/>
        <v>26.210831752189495</v>
      </c>
    </row>
    <row r="159" spans="1:88" x14ac:dyDescent="0.2">
      <c r="A159" s="4" t="s">
        <v>791</v>
      </c>
      <c r="B159" s="197"/>
      <c r="C159" s="272"/>
      <c r="D159" s="272"/>
      <c r="E159" s="272"/>
      <c r="F159" s="272"/>
      <c r="G159" s="272"/>
      <c r="H159" s="272"/>
      <c r="I159" s="272"/>
      <c r="J159" s="272"/>
      <c r="K159" s="272"/>
      <c r="L159" s="272"/>
      <c r="M159" s="278"/>
      <c r="N159" s="739">
        <f t="shared" si="466"/>
        <v>0</v>
      </c>
      <c r="O159" s="739">
        <f t="shared" si="466"/>
        <v>0</v>
      </c>
      <c r="P159" s="739">
        <f t="shared" si="466"/>
        <v>90.71487983986232</v>
      </c>
      <c r="Q159" s="739">
        <f t="shared" si="466"/>
        <v>545.70808745588806</v>
      </c>
      <c r="R159" s="739"/>
      <c r="S159" s="739">
        <f>S167/S$114</f>
        <v>1643.2985396236475</v>
      </c>
      <c r="T159" s="739"/>
      <c r="U159" s="740">
        <f t="shared" si="467"/>
        <v>3213.4292877028133</v>
      </c>
      <c r="V159" s="740">
        <f t="shared" si="467"/>
        <v>1608.6623237575575</v>
      </c>
      <c r="W159" s="740">
        <f t="shared" si="467"/>
        <v>1290.8926044005011</v>
      </c>
      <c r="X159" s="741">
        <f t="shared" si="467"/>
        <v>1897.9360630281435</v>
      </c>
      <c r="Y159" s="740">
        <f t="shared" si="467"/>
        <v>589.48035518596919</v>
      </c>
      <c r="Z159" s="740">
        <f t="shared" ref="Z159:Z161" si="476">AC159-Y159</f>
        <v>669.70506202541253</v>
      </c>
      <c r="AA159" s="740">
        <f t="shared" si="468"/>
        <v>621.45341323313062</v>
      </c>
      <c r="AB159" s="760">
        <f>AD159-AA159</f>
        <v>1504.7233387214637</v>
      </c>
      <c r="AC159" s="740">
        <f t="shared" si="467"/>
        <v>1259.1854172113817</v>
      </c>
      <c r="AD159" s="740">
        <f t="shared" ref="AD159:AD161" si="477">AF159-AC159</f>
        <v>2126.1767519545942</v>
      </c>
      <c r="AE159" s="740">
        <f t="shared" ref="AE159:AE161" si="478">Y159+Z159+AA159</f>
        <v>1880.6388304445122</v>
      </c>
      <c r="AF159" s="1368">
        <f t="shared" ref="AF159:AG159" si="479">AF167/AF$114</f>
        <v>3385.362169165976</v>
      </c>
      <c r="AG159" s="740">
        <f t="shared" si="479"/>
        <v>891.3310719366898</v>
      </c>
      <c r="AH159" s="740">
        <f t="shared" ref="AH159:AH161" si="480">AK159-AG159</f>
        <v>646.94572936237296</v>
      </c>
      <c r="AI159" s="740">
        <f t="shared" si="470"/>
        <v>794.59479398650501</v>
      </c>
      <c r="AJ159" s="760">
        <f>AL159-AI159</f>
        <v>840.92168304464349</v>
      </c>
      <c r="AK159" s="740">
        <f t="shared" ref="AK159" si="481">AK167/AK$114</f>
        <v>1538.2768012990628</v>
      </c>
      <c r="AL159" s="740">
        <f t="shared" ref="AL159:AL161" si="482">AN159-AK159</f>
        <v>1635.5164770311485</v>
      </c>
      <c r="AM159" s="740">
        <f t="shared" ref="AM159:AM161" si="483">AG159+AH159+AI159</f>
        <v>2332.8715952855678</v>
      </c>
      <c r="AN159" s="1368">
        <f t="shared" ref="AN159:AO159" si="484">AN167/AN$114</f>
        <v>3173.7932783302113</v>
      </c>
      <c r="AO159" s="740">
        <f t="shared" si="484"/>
        <v>741.81786862655031</v>
      </c>
      <c r="AP159" s="740">
        <f t="shared" ref="AP159:AP161" si="485">AS159-AO159</f>
        <v>839.38411962469218</v>
      </c>
      <c r="AQ159" s="740">
        <f t="shared" si="473"/>
        <v>932.5470459518599</v>
      </c>
      <c r="AR159" s="760">
        <f>AT159-AQ159</f>
        <v>911.57333129267363</v>
      </c>
      <c r="AS159" s="740">
        <f t="shared" si="467"/>
        <v>1581.2019882512425</v>
      </c>
      <c r="AT159" s="740">
        <f t="shared" ref="AT159:AT161" si="486">AV159-AS159</f>
        <v>1844.1203772445335</v>
      </c>
      <c r="AU159" s="740">
        <f t="shared" ref="AU159:AU161" si="487">AO159+AP159+AQ159</f>
        <v>2513.7490342031024</v>
      </c>
      <c r="AV159" s="1368">
        <f t="shared" ref="AV159" si="488">AV167/AV$114</f>
        <v>3425.322365495776</v>
      </c>
      <c r="AW159" s="740">
        <f t="shared" si="467"/>
        <v>1198.1619256017505</v>
      </c>
      <c r="AX159" s="740">
        <f t="shared" ref="AX159:AX161" si="489">BA159-AW159</f>
        <v>1052.0612691466083</v>
      </c>
      <c r="AY159" s="743">
        <f t="shared" si="467"/>
        <v>1020.0455357142857</v>
      </c>
      <c r="AZ159" s="742">
        <f t="shared" si="467"/>
        <v>1107.3142103224541</v>
      </c>
      <c r="BA159" s="740">
        <f t="shared" si="467"/>
        <v>2250.2231947483588</v>
      </c>
      <c r="BB159" s="743">
        <f t="shared" si="467"/>
        <v>2127.3597460367396</v>
      </c>
      <c r="BC159" s="743">
        <f t="shared" si="467"/>
        <v>3271.3312500000002</v>
      </c>
      <c r="BD159" s="744">
        <f t="shared" si="467"/>
        <v>4378.6454603224547</v>
      </c>
      <c r="BE159" s="743">
        <f t="shared" si="467"/>
        <v>1001.261092436975</v>
      </c>
      <c r="BF159" s="743">
        <f t="shared" si="467"/>
        <v>1020.6517121848741</v>
      </c>
      <c r="BG159" s="743">
        <f t="shared" si="467"/>
        <v>1022.4144957983195</v>
      </c>
      <c r="BH159" s="742">
        <f t="shared" si="467"/>
        <v>1748.8366249921789</v>
      </c>
      <c r="BI159" s="743">
        <f t="shared" si="467"/>
        <v>2021.9128046218491</v>
      </c>
      <c r="BJ159" s="743">
        <f t="shared" si="467"/>
        <v>2771.2511207905</v>
      </c>
      <c r="BK159" s="743">
        <f t="shared" si="467"/>
        <v>3044.3273004201687</v>
      </c>
      <c r="BL159" s="744">
        <f t="shared" si="467"/>
        <v>4793.1639254123475</v>
      </c>
      <c r="BM159" s="743">
        <f t="shared" si="467"/>
        <v>1154.4418971428574</v>
      </c>
      <c r="BN159" s="743">
        <f t="shared" si="467"/>
        <v>1170.8817342857144</v>
      </c>
      <c r="BO159" s="743">
        <f t="shared" si="467"/>
        <v>1174.5350314285718</v>
      </c>
      <c r="BP159" s="742">
        <f t="shared" si="467"/>
        <v>1876.6683305653996</v>
      </c>
      <c r="BQ159" s="743">
        <f t="shared" si="467"/>
        <v>2325.3236314285718</v>
      </c>
      <c r="BR159" s="743">
        <f t="shared" si="467"/>
        <v>3051.2033619939721</v>
      </c>
      <c r="BS159" s="743">
        <f t="shared" si="467"/>
        <v>3499.8586628571438</v>
      </c>
      <c r="BT159" s="744">
        <f t="shared" si="467"/>
        <v>5376.5269934225435</v>
      </c>
      <c r="BU159" s="743">
        <f t="shared" si="467"/>
        <v>1212.3466543983757</v>
      </c>
      <c r="BV159" s="743">
        <f t="shared" si="467"/>
        <v>1208.5932591835201</v>
      </c>
      <c r="BW159" s="743">
        <f t="shared" si="467"/>
        <v>1212.3466543983757</v>
      </c>
      <c r="BX159" s="742">
        <f t="shared" si="467"/>
        <v>1931.540381860576</v>
      </c>
      <c r="BY159" s="743">
        <f t="shared" si="467"/>
        <v>2420.9399135818958</v>
      </c>
      <c r="BZ159" s="743">
        <f t="shared" si="467"/>
        <v>3143.8870362589523</v>
      </c>
      <c r="CA159" s="743">
        <f t="shared" si="467"/>
        <v>3633.2865679802717</v>
      </c>
      <c r="CB159" s="744">
        <f t="shared" si="467"/>
        <v>5564.8269498408472</v>
      </c>
      <c r="CC159" s="743">
        <f t="shared" si="467"/>
        <v>1184.5622966951462</v>
      </c>
      <c r="CD159" s="743">
        <f t="shared" si="467"/>
        <v>1182.6997773607197</v>
      </c>
      <c r="CE159" s="743">
        <f t="shared" si="467"/>
        <v>1184.5622966951462</v>
      </c>
      <c r="CF159" s="742">
        <f t="shared" si="467"/>
        <v>1873.9927681074105</v>
      </c>
      <c r="CG159" s="743">
        <f t="shared" si="475"/>
        <v>2367.2620740558659</v>
      </c>
      <c r="CH159" s="743">
        <f t="shared" si="475"/>
        <v>3058.5550648025555</v>
      </c>
      <c r="CI159" s="743">
        <f t="shared" si="475"/>
        <v>3551.824370751011</v>
      </c>
      <c r="CJ159" s="744">
        <f t="shared" si="475"/>
        <v>5425.8171388584215</v>
      </c>
    </row>
    <row r="160" spans="1:88" x14ac:dyDescent="0.2">
      <c r="A160" s="4" t="s">
        <v>792</v>
      </c>
      <c r="B160" s="197"/>
      <c r="C160" s="272"/>
      <c r="D160" s="272"/>
      <c r="E160" s="272"/>
      <c r="F160" s="272"/>
      <c r="G160" s="272"/>
      <c r="H160" s="272"/>
      <c r="I160" s="272"/>
      <c r="J160" s="272"/>
      <c r="K160" s="272"/>
      <c r="L160" s="272"/>
      <c r="M160" s="278"/>
      <c r="N160" s="739">
        <f>N168/N$114</f>
        <v>141.25341457557201</v>
      </c>
      <c r="O160" s="739">
        <f t="shared" si="466"/>
        <v>124.62419178465231</v>
      </c>
      <c r="P160" s="739">
        <f t="shared" si="466"/>
        <v>-4.9880018841367972</v>
      </c>
      <c r="Q160" s="739">
        <f t="shared" si="466"/>
        <v>30.347292160278148</v>
      </c>
      <c r="R160" s="739"/>
      <c r="S160" s="739">
        <f>S168/S$114</f>
        <v>216.72816368494659</v>
      </c>
      <c r="T160" s="739"/>
      <c r="U160" s="740">
        <f t="shared" si="466"/>
        <v>-213.79935466574216</v>
      </c>
      <c r="V160" s="740">
        <f t="shared" si="466"/>
        <v>-134.62433381736238</v>
      </c>
      <c r="W160" s="740">
        <f t="shared" si="466"/>
        <v>-40.868227217566165</v>
      </c>
      <c r="X160" s="741">
        <f t="shared" si="466"/>
        <v>475.87426693057125</v>
      </c>
      <c r="Y160" s="740">
        <f t="shared" si="466"/>
        <v>284.32421176854621</v>
      </c>
      <c r="Z160" s="740">
        <f t="shared" si="476"/>
        <v>283.38828867490577</v>
      </c>
      <c r="AA160" s="740">
        <f t="shared" si="468"/>
        <v>201.81609928737601</v>
      </c>
      <c r="AB160" s="760">
        <f>AD160-AA160</f>
        <v>-835.21532599484055</v>
      </c>
      <c r="AC160" s="740">
        <f t="shared" si="467"/>
        <v>567.71250044345197</v>
      </c>
      <c r="AD160" s="740">
        <f t="shared" si="477"/>
        <v>-633.39922670746455</v>
      </c>
      <c r="AE160" s="740">
        <f t="shared" si="478"/>
        <v>769.52859973082798</v>
      </c>
      <c r="AF160" s="1368">
        <f t="shared" ref="AF160:AG160" si="490">AF168/AF$114</f>
        <v>-65.686726264012577</v>
      </c>
      <c r="AG160" s="740">
        <f t="shared" si="490"/>
        <v>4.2494301596522988</v>
      </c>
      <c r="AH160" s="740">
        <f t="shared" si="480"/>
        <v>312.48920690818147</v>
      </c>
      <c r="AI160" s="740">
        <f t="shared" si="470"/>
        <v>70.120045394371203</v>
      </c>
      <c r="AJ160" s="760">
        <f>AL160-AI160</f>
        <v>-140.88573937697271</v>
      </c>
      <c r="AK160" s="740">
        <f t="shared" ref="AK160" si="491">AK168/AK$114</f>
        <v>316.73863706783379</v>
      </c>
      <c r="AL160" s="740">
        <f t="shared" si="482"/>
        <v>-70.765693982601505</v>
      </c>
      <c r="AM160" s="740">
        <f t="shared" si="483"/>
        <v>386.85868246220502</v>
      </c>
      <c r="AN160" s="1368">
        <f t="shared" ref="AN160:AO160" si="492">AN168/AN$114</f>
        <v>245.97294308523229</v>
      </c>
      <c r="AO160" s="740">
        <f t="shared" si="492"/>
        <v>273.33077402575924</v>
      </c>
      <c r="AP160" s="740">
        <f t="shared" si="485"/>
        <v>272.79168861110139</v>
      </c>
      <c r="AQ160" s="740">
        <f t="shared" si="473"/>
        <v>308.34419615438208</v>
      </c>
      <c r="AR160" s="760">
        <f>AT160-AQ160</f>
        <v>-583.49755518990037</v>
      </c>
      <c r="AS160" s="740">
        <f t="shared" si="467"/>
        <v>546.12246263686063</v>
      </c>
      <c r="AT160" s="740">
        <f t="shared" si="486"/>
        <v>-275.15335903551829</v>
      </c>
      <c r="AU160" s="740">
        <f t="shared" si="487"/>
        <v>854.46665879124271</v>
      </c>
      <c r="AV160" s="1368">
        <f t="shared" ref="AV160" si="493">AV168/AV$114</f>
        <v>270.96910360134234</v>
      </c>
      <c r="AW160" s="740">
        <f t="shared" si="467"/>
        <v>30.105233640454394</v>
      </c>
      <c r="AX160" s="740">
        <f t="shared" si="489"/>
        <v>78.211572902322331</v>
      </c>
      <c r="AY160" s="743">
        <f t="shared" si="467"/>
        <v>164.73772729025376</v>
      </c>
      <c r="AZ160" s="742">
        <f t="shared" si="467"/>
        <v>164.73772729025376</v>
      </c>
      <c r="BA160" s="740">
        <f t="shared" si="467"/>
        <v>108.31680654277672</v>
      </c>
      <c r="BB160" s="743">
        <f t="shared" si="467"/>
        <v>329.47545458050752</v>
      </c>
      <c r="BC160" s="743">
        <f t="shared" si="467"/>
        <v>273.1056793031525</v>
      </c>
      <c r="BD160" s="744">
        <f t="shared" si="467"/>
        <v>437.84340659340666</v>
      </c>
      <c r="BE160" s="743">
        <f t="shared" si="467"/>
        <v>108.65283613445378</v>
      </c>
      <c r="BF160" s="743">
        <f t="shared" si="467"/>
        <v>108.65283613445378</v>
      </c>
      <c r="BG160" s="743">
        <f t="shared" si="467"/>
        <v>108.65283613445378</v>
      </c>
      <c r="BH160" s="742">
        <f t="shared" si="467"/>
        <v>108.65283613445378</v>
      </c>
      <c r="BI160" s="743">
        <f t="shared" si="467"/>
        <v>217.30567226890756</v>
      </c>
      <c r="BJ160" s="743">
        <f t="shared" si="467"/>
        <v>217.3056722689077</v>
      </c>
      <c r="BK160" s="743">
        <f t="shared" si="467"/>
        <v>325.95850840336135</v>
      </c>
      <c r="BL160" s="744">
        <f t="shared" si="467"/>
        <v>434.61134453781511</v>
      </c>
      <c r="BM160" s="743">
        <f t="shared" si="467"/>
        <v>108.25892857142856</v>
      </c>
      <c r="BN160" s="743">
        <f t="shared" si="467"/>
        <v>108.25892857142856</v>
      </c>
      <c r="BO160" s="743">
        <f t="shared" si="467"/>
        <v>108.25892857142856</v>
      </c>
      <c r="BP160" s="742">
        <f t="shared" si="467"/>
        <v>108.25892857142856</v>
      </c>
      <c r="BQ160" s="743">
        <f t="shared" si="467"/>
        <v>216.51785714285711</v>
      </c>
      <c r="BR160" s="743">
        <f t="shared" si="467"/>
        <v>216.51785714285717</v>
      </c>
      <c r="BS160" s="743">
        <f t="shared" si="467"/>
        <v>324.77678571428567</v>
      </c>
      <c r="BT160" s="744">
        <f t="shared" si="467"/>
        <v>433.03571428571422</v>
      </c>
      <c r="BU160" s="743">
        <f t="shared" si="467"/>
        <v>106.94726534165096</v>
      </c>
      <c r="BV160" s="743">
        <f t="shared" si="467"/>
        <v>106.94726534165096</v>
      </c>
      <c r="BW160" s="743">
        <f t="shared" si="467"/>
        <v>106.94726534165096</v>
      </c>
      <c r="BX160" s="742">
        <f t="shared" si="467"/>
        <v>106.94726534165096</v>
      </c>
      <c r="BY160" s="743">
        <f t="shared" si="467"/>
        <v>213.89453068330192</v>
      </c>
      <c r="BZ160" s="743">
        <f t="shared" si="467"/>
        <v>213.89453068330195</v>
      </c>
      <c r="CA160" s="743">
        <f t="shared" si="467"/>
        <v>320.84179602495288</v>
      </c>
      <c r="CB160" s="744">
        <f t="shared" si="467"/>
        <v>427.78906136660385</v>
      </c>
      <c r="CC160" s="743">
        <f t="shared" si="467"/>
        <v>102.05700852189246</v>
      </c>
      <c r="CD160" s="743">
        <f t="shared" si="467"/>
        <v>102.05700852189246</v>
      </c>
      <c r="CE160" s="743">
        <f t="shared" si="467"/>
        <v>102.05700852189246</v>
      </c>
      <c r="CF160" s="742">
        <f t="shared" si="467"/>
        <v>102.05700852189246</v>
      </c>
      <c r="CG160" s="743">
        <f t="shared" si="475"/>
        <v>204.11401704378491</v>
      </c>
      <c r="CH160" s="743">
        <f t="shared" si="475"/>
        <v>204.11401704378483</v>
      </c>
      <c r="CI160" s="743">
        <f t="shared" si="475"/>
        <v>306.17102556567733</v>
      </c>
      <c r="CJ160" s="744">
        <f t="shared" si="475"/>
        <v>408.22803408756977</v>
      </c>
    </row>
    <row r="161" spans="1:88" x14ac:dyDescent="0.2">
      <c r="A161" s="4" t="s">
        <v>793</v>
      </c>
      <c r="B161" s="197"/>
      <c r="C161" s="272"/>
      <c r="D161" s="272"/>
      <c r="E161" s="272"/>
      <c r="F161" s="272"/>
      <c r="G161" s="272"/>
      <c r="H161" s="272"/>
      <c r="I161" s="272"/>
      <c r="J161" s="272"/>
      <c r="K161" s="272"/>
      <c r="L161" s="272"/>
      <c r="M161" s="278"/>
      <c r="N161" s="739">
        <f>N169/N$114</f>
        <v>709.16132404181178</v>
      </c>
      <c r="O161" s="739">
        <f>O169/O$114</f>
        <v>771.72108258162154</v>
      </c>
      <c r="P161" s="739">
        <f>P169/P$114</f>
        <v>797.61913335589031</v>
      </c>
      <c r="Q161" s="739">
        <f>Q169/Q$114</f>
        <v>552.90546438256513</v>
      </c>
      <c r="R161" s="739"/>
      <c r="S161" s="739">
        <f>S169/S$114</f>
        <v>446.70821860320189</v>
      </c>
      <c r="T161" s="739"/>
      <c r="U161" s="740">
        <f>U169/U$114</f>
        <v>508.12106358907005</v>
      </c>
      <c r="V161" s="740">
        <f>V169/V$114</f>
        <v>402.31520905462395</v>
      </c>
      <c r="W161" s="740">
        <f>W169/W$114</f>
        <v>271.90008283733823</v>
      </c>
      <c r="X161" s="741">
        <f>X169/X$114</f>
        <v>249.17101852958245</v>
      </c>
      <c r="Y161" s="740">
        <f>Y169/Y$114</f>
        <v>51.158372294669221</v>
      </c>
      <c r="Z161" s="740">
        <f t="shared" si="476"/>
        <v>60.16308509413021</v>
      </c>
      <c r="AA161" s="740">
        <f>AA169/AA$114</f>
        <v>72.490801454225931</v>
      </c>
      <c r="AB161" s="760">
        <f>AD161-AA161</f>
        <v>66.985205696260408</v>
      </c>
      <c r="AC161" s="740">
        <f>AC169/AC$114</f>
        <v>111.32145738879943</v>
      </c>
      <c r="AD161" s="740">
        <f t="shared" si="477"/>
        <v>139.47600715048634</v>
      </c>
      <c r="AE161" s="740">
        <f t="shared" si="478"/>
        <v>183.81225884302535</v>
      </c>
      <c r="AF161" s="1368">
        <f>AF169/AF$114</f>
        <v>250.79746453928578</v>
      </c>
      <c r="AG161" s="740">
        <f>AG169/AG$114</f>
        <v>75.228629112081663</v>
      </c>
      <c r="AH161" s="740">
        <f t="shared" si="480"/>
        <v>58.146029936409903</v>
      </c>
      <c r="AI161" s="740">
        <f>AI169/AI$114</f>
        <v>68.034709806376881</v>
      </c>
      <c r="AJ161" s="760">
        <f>AL161-AI161</f>
        <v>30.105523545845827</v>
      </c>
      <c r="AK161" s="740">
        <f>AK169/AK$114</f>
        <v>133.37465904849157</v>
      </c>
      <c r="AL161" s="740">
        <f t="shared" si="482"/>
        <v>98.140233352222708</v>
      </c>
      <c r="AM161" s="740">
        <f t="shared" si="483"/>
        <v>201.40936885486843</v>
      </c>
      <c r="AN161" s="1368">
        <f>AN169/AN$114</f>
        <v>231.51489240071427</v>
      </c>
      <c r="AO161" s="740">
        <f>AO169/AO$114</f>
        <v>70.591088654111161</v>
      </c>
      <c r="AP161" s="740">
        <f t="shared" si="485"/>
        <v>82.624455855604168</v>
      </c>
      <c r="AQ161" s="740">
        <f>AQ169/AQ$114</f>
        <v>80.29063457330416</v>
      </c>
      <c r="AR161" s="760">
        <f>AT161-AQ161</f>
        <v>76.174656844059214</v>
      </c>
      <c r="AS161" s="740">
        <f>AS169/AS$114</f>
        <v>153.21554450971533</v>
      </c>
      <c r="AT161" s="740">
        <f t="shared" si="486"/>
        <v>156.46529141736337</v>
      </c>
      <c r="AU161" s="740">
        <f t="shared" si="487"/>
        <v>233.5061790830195</v>
      </c>
      <c r="AV161" s="1368">
        <f>AV169/AV$114</f>
        <v>309.6808359270787</v>
      </c>
      <c r="AW161" s="740">
        <f t="shared" si="467"/>
        <v>82.634037636761491</v>
      </c>
      <c r="AX161" s="740">
        <f t="shared" si="489"/>
        <v>94.154531291028434</v>
      </c>
      <c r="AY161" s="743">
        <f t="shared" si="467"/>
        <v>69.880639156936837</v>
      </c>
      <c r="AZ161" s="742">
        <f t="shared" si="467"/>
        <v>69.880639156936837</v>
      </c>
      <c r="BA161" s="740">
        <f t="shared" si="467"/>
        <v>176.78856892778992</v>
      </c>
      <c r="BB161" s="743">
        <f t="shared" si="467"/>
        <v>139.76127831387367</v>
      </c>
      <c r="BC161" s="743">
        <f t="shared" si="467"/>
        <v>246.75268483001378</v>
      </c>
      <c r="BD161" s="744">
        <f t="shared" si="467"/>
        <v>316.63332398695059</v>
      </c>
      <c r="BE161" s="743">
        <f t="shared" si="467"/>
        <v>64.085394591649148</v>
      </c>
      <c r="BF161" s="743">
        <f t="shared" si="467"/>
        <v>64.085394591649148</v>
      </c>
      <c r="BG161" s="743">
        <f t="shared" si="467"/>
        <v>64.085394591649148</v>
      </c>
      <c r="BH161" s="742">
        <f t="shared" si="467"/>
        <v>102.5366313466387</v>
      </c>
      <c r="BI161" s="743">
        <f t="shared" si="467"/>
        <v>128.1707891832983</v>
      </c>
      <c r="BJ161" s="743">
        <f t="shared" si="467"/>
        <v>166.62202593828798</v>
      </c>
      <c r="BK161" s="743">
        <f t="shared" si="467"/>
        <v>192.25618377494749</v>
      </c>
      <c r="BL161" s="744">
        <f t="shared" si="467"/>
        <v>294.79281512158622</v>
      </c>
      <c r="BM161" s="743">
        <f t="shared" si="467"/>
        <v>65.768652659866078</v>
      </c>
      <c r="BN161" s="743">
        <f t="shared" si="467"/>
        <v>65.768652659866078</v>
      </c>
      <c r="BO161" s="743">
        <f t="shared" si="467"/>
        <v>65.768652659866078</v>
      </c>
      <c r="BP161" s="742">
        <f t="shared" si="467"/>
        <v>105.22984425578572</v>
      </c>
      <c r="BQ161" s="743">
        <f t="shared" si="467"/>
        <v>131.53730531973216</v>
      </c>
      <c r="BR161" s="743">
        <f t="shared" si="467"/>
        <v>170.99849691565183</v>
      </c>
      <c r="BS161" s="743">
        <f t="shared" si="467"/>
        <v>197.30595797959822</v>
      </c>
      <c r="BT161" s="744">
        <f t="shared" si="467"/>
        <v>302.53580223538393</v>
      </c>
      <c r="BU161" s="743">
        <f t="shared" si="467"/>
        <v>66.920954873600422</v>
      </c>
      <c r="BV161" s="743">
        <f t="shared" si="467"/>
        <v>66.920954873600422</v>
      </c>
      <c r="BW161" s="743">
        <f t="shared" si="467"/>
        <v>66.920954873600422</v>
      </c>
      <c r="BX161" s="742">
        <f t="shared" si="467"/>
        <v>107.07352779776069</v>
      </c>
      <c r="BY161" s="743">
        <f t="shared" si="467"/>
        <v>133.84190974720084</v>
      </c>
      <c r="BZ161" s="743">
        <f t="shared" si="467"/>
        <v>173.99448267136114</v>
      </c>
      <c r="CA161" s="743">
        <f t="shared" si="467"/>
        <v>200.76286462080125</v>
      </c>
      <c r="CB161" s="744">
        <f t="shared" si="467"/>
        <v>307.83639241856196</v>
      </c>
      <c r="CC161" s="743">
        <f t="shared" si="467"/>
        <v>65.776764026741319</v>
      </c>
      <c r="CD161" s="743">
        <f t="shared" si="467"/>
        <v>65.776764026741319</v>
      </c>
      <c r="CE161" s="743">
        <f t="shared" si="467"/>
        <v>65.776764026741319</v>
      </c>
      <c r="CF161" s="742">
        <f t="shared" si="467"/>
        <v>105.24282244278606</v>
      </c>
      <c r="CG161" s="743">
        <f t="shared" si="475"/>
        <v>131.55352805348264</v>
      </c>
      <c r="CH161" s="743">
        <f t="shared" si="475"/>
        <v>171.01958646952735</v>
      </c>
      <c r="CI161" s="743">
        <f t="shared" si="475"/>
        <v>197.33029208022396</v>
      </c>
      <c r="CJ161" s="744">
        <f t="shared" si="475"/>
        <v>302.57311452301002</v>
      </c>
    </row>
    <row r="162" spans="1:88" x14ac:dyDescent="0.2">
      <c r="A162" s="717" t="s">
        <v>794</v>
      </c>
      <c r="B162" s="745"/>
      <c r="C162" s="719"/>
      <c r="D162" s="719"/>
      <c r="E162" s="719"/>
      <c r="F162" s="719"/>
      <c r="G162" s="719"/>
      <c r="H162" s="719"/>
      <c r="I162" s="719"/>
      <c r="J162" s="719"/>
      <c r="K162" s="719"/>
      <c r="L162" s="719"/>
      <c r="M162" s="726"/>
      <c r="N162" s="746">
        <f t="shared" ref="N162:S162" si="494">N96</f>
        <v>2735.7003280482782</v>
      </c>
      <c r="O162" s="746">
        <f t="shared" si="494"/>
        <v>3089.2004550419492</v>
      </c>
      <c r="P162" s="746">
        <f t="shared" si="494"/>
        <v>3152.9654473100181</v>
      </c>
      <c r="Q162" s="746">
        <f t="shared" si="494"/>
        <v>3387.5364201475531</v>
      </c>
      <c r="R162" s="746">
        <f t="shared" si="494"/>
        <v>3091.8564201475529</v>
      </c>
      <c r="S162" s="746">
        <f t="shared" si="494"/>
        <v>3770.2415285407797</v>
      </c>
      <c r="T162" s="746"/>
      <c r="U162" s="531">
        <f t="shared" ref="U162:CF162" si="495">SUM(U158:U161)</f>
        <v>4110.5862593601514</v>
      </c>
      <c r="V162" s="531">
        <f t="shared" si="495"/>
        <v>2119.2950304083406</v>
      </c>
      <c r="W162" s="531">
        <f t="shared" si="495"/>
        <v>1662.5121077844317</v>
      </c>
      <c r="X162" s="532">
        <f t="shared" si="495"/>
        <v>2701.0481785538468</v>
      </c>
      <c r="Y162" s="531">
        <f t="shared" si="495"/>
        <v>943.02493200362642</v>
      </c>
      <c r="Z162" s="531">
        <f t="shared" si="495"/>
        <v>1023.9762081082134</v>
      </c>
      <c r="AA162" s="531">
        <f t="shared" si="495"/>
        <v>912.48173436526554</v>
      </c>
      <c r="AB162" s="727">
        <f t="shared" si="495"/>
        <v>763.769130285296</v>
      </c>
      <c r="AC162" s="531">
        <f t="shared" si="495"/>
        <v>1967.00114011184</v>
      </c>
      <c r="AD162" s="531">
        <f t="shared" si="495"/>
        <v>1676.2508646505614</v>
      </c>
      <c r="AE162" s="531">
        <f t="shared" si="495"/>
        <v>2879.4828744771057</v>
      </c>
      <c r="AF162" s="1365">
        <f t="shared" ref="AF162:AJ162" si="496">SUM(AF158:AF161)</f>
        <v>3643.2520047624012</v>
      </c>
      <c r="AG162" s="531">
        <f t="shared" si="496"/>
        <v>987.40061004666109</v>
      </c>
      <c r="AH162" s="531">
        <f t="shared" si="496"/>
        <v>1038.6335015675495</v>
      </c>
      <c r="AI162" s="531">
        <f t="shared" si="496"/>
        <v>949.52024046745566</v>
      </c>
      <c r="AJ162" s="727">
        <f t="shared" si="496"/>
        <v>755.07730408682335</v>
      </c>
      <c r="AK162" s="531">
        <f t="shared" ref="AK162:AL162" si="497">SUM(AK158:AK161)</f>
        <v>2026.0341116142108</v>
      </c>
      <c r="AL162" s="531">
        <f t="shared" si="497"/>
        <v>1704.597544554279</v>
      </c>
      <c r="AM162" s="531">
        <f t="shared" ref="AM162:AR162" si="498">SUM(AM158:AM161)</f>
        <v>2975.5543520816664</v>
      </c>
      <c r="AN162" s="1365">
        <f t="shared" si="498"/>
        <v>3730.6316561684894</v>
      </c>
      <c r="AO162" s="531">
        <f t="shared" si="498"/>
        <v>1102.276249450656</v>
      </c>
      <c r="AP162" s="531">
        <f t="shared" si="498"/>
        <v>1211.1602665074879</v>
      </c>
      <c r="AQ162" s="531">
        <f t="shared" si="498"/>
        <v>1336.4116359793275</v>
      </c>
      <c r="AR162" s="727">
        <f t="shared" si="498"/>
        <v>411.61548256649473</v>
      </c>
      <c r="AS162" s="531">
        <f t="shared" si="495"/>
        <v>2313.4365159581439</v>
      </c>
      <c r="AT162" s="531">
        <f t="shared" si="495"/>
        <v>1748.0271185458223</v>
      </c>
      <c r="AU162" s="531">
        <f t="shared" si="495"/>
        <v>3649.8481519374709</v>
      </c>
      <c r="AV162" s="1365">
        <f t="shared" si="495"/>
        <v>4061.4636345039657</v>
      </c>
      <c r="AW162" s="531">
        <f t="shared" si="495"/>
        <v>1326.3410218242616</v>
      </c>
      <c r="AX162" s="531">
        <f t="shared" si="495"/>
        <v>1235.4068044121691</v>
      </c>
      <c r="AY162" s="533">
        <f t="shared" si="495"/>
        <v>1263.9321713922457</v>
      </c>
      <c r="AZ162" s="720">
        <f t="shared" si="495"/>
        <v>1347.9222396461125</v>
      </c>
      <c r="BA162" s="531">
        <f t="shared" si="495"/>
        <v>2561.7478262364311</v>
      </c>
      <c r="BB162" s="533">
        <f t="shared" si="495"/>
        <v>2611.8544110383582</v>
      </c>
      <c r="BC162" s="533">
        <f t="shared" si="495"/>
        <v>3826.8896141331661</v>
      </c>
      <c r="BD162" s="721">
        <f t="shared" si="495"/>
        <v>5174.8118537792807</v>
      </c>
      <c r="BE162" s="533">
        <f t="shared" si="495"/>
        <v>1179.8429334571956</v>
      </c>
      <c r="BF162" s="533">
        <f t="shared" si="495"/>
        <v>1200.0683546756829</v>
      </c>
      <c r="BG162" s="533">
        <f t="shared" si="495"/>
        <v>1200.9963368185402</v>
      </c>
      <c r="BH162" s="720">
        <f t="shared" si="495"/>
        <v>1972.1133162828755</v>
      </c>
      <c r="BI162" s="533">
        <f t="shared" si="495"/>
        <v>2379.9112881328788</v>
      </c>
      <c r="BJ162" s="533">
        <f t="shared" si="495"/>
        <v>3173.1096531014177</v>
      </c>
      <c r="BK162" s="533">
        <f t="shared" si="495"/>
        <v>3580.9076249514192</v>
      </c>
      <c r="BL162" s="721">
        <f t="shared" si="495"/>
        <v>5553.0209412342947</v>
      </c>
      <c r="BM162" s="533">
        <f t="shared" si="495"/>
        <v>1334.1754548741521</v>
      </c>
      <c r="BN162" s="533">
        <f t="shared" si="495"/>
        <v>1351.4304315170091</v>
      </c>
      <c r="BO162" s="533">
        <f t="shared" si="495"/>
        <v>1354.2685891598665</v>
      </c>
      <c r="BP162" s="720">
        <f t="shared" si="495"/>
        <v>2101.8943030699193</v>
      </c>
      <c r="BQ162" s="533">
        <f t="shared" si="495"/>
        <v>2685.6058863911608</v>
      </c>
      <c r="BR162" s="533">
        <f t="shared" si="495"/>
        <v>3456.1628922297864</v>
      </c>
      <c r="BS162" s="533">
        <f t="shared" si="495"/>
        <v>4039.8744755510279</v>
      </c>
      <c r="BT162" s="721">
        <f t="shared" si="495"/>
        <v>6141.7687786209472</v>
      </c>
      <c r="BU162" s="533">
        <f t="shared" si="495"/>
        <v>1391.7389807452389</v>
      </c>
      <c r="BV162" s="533">
        <f t="shared" si="495"/>
        <v>1388.7747435491851</v>
      </c>
      <c r="BW162" s="533">
        <f t="shared" si="495"/>
        <v>1391.7389807452389</v>
      </c>
      <c r="BX162" s="720">
        <f t="shared" si="495"/>
        <v>2156.9092431308682</v>
      </c>
      <c r="BY162" s="533">
        <f t="shared" si="495"/>
        <v>2780.5137242944243</v>
      </c>
      <c r="BZ162" s="533">
        <f t="shared" si="495"/>
        <v>3548.6482238761082</v>
      </c>
      <c r="CA162" s="533">
        <f t="shared" si="495"/>
        <v>4172.2527050396629</v>
      </c>
      <c r="CB162" s="721">
        <f t="shared" si="495"/>
        <v>6329.1619481705311</v>
      </c>
      <c r="CC162" s="533">
        <f t="shared" si="495"/>
        <v>1357.5621505816594</v>
      </c>
      <c r="CD162" s="533">
        <f t="shared" si="495"/>
        <v>1356.43764286693</v>
      </c>
      <c r="CE162" s="533">
        <f t="shared" si="495"/>
        <v>1357.5621505816594</v>
      </c>
      <c r="CF162" s="720">
        <f t="shared" si="495"/>
        <v>2091.2671751909429</v>
      </c>
      <c r="CG162" s="533">
        <f t="shared" ref="CG162:CJ162" si="499">SUM(CG158:CG161)</f>
        <v>2713.9997934485896</v>
      </c>
      <c r="CH162" s="533">
        <f t="shared" si="499"/>
        <v>3448.8293257726014</v>
      </c>
      <c r="CI162" s="533">
        <f t="shared" si="499"/>
        <v>4071.5619440302476</v>
      </c>
      <c r="CJ162" s="721">
        <f t="shared" si="499"/>
        <v>6162.8291192211909</v>
      </c>
    </row>
    <row r="163" spans="1:88" x14ac:dyDescent="0.2">
      <c r="A163" s="202" t="s">
        <v>795</v>
      </c>
      <c r="B163" s="197"/>
      <c r="C163" s="272"/>
      <c r="D163" s="272"/>
      <c r="E163" s="272"/>
      <c r="F163" s="272"/>
      <c r="G163" s="272"/>
      <c r="H163" s="272"/>
      <c r="I163" s="272"/>
      <c r="J163" s="272"/>
      <c r="K163" s="272"/>
      <c r="L163" s="272"/>
      <c r="M163" s="278"/>
      <c r="N163" s="747"/>
      <c r="O163" s="694">
        <f t="shared" ref="O163:X163" si="500">O162/N162-1</f>
        <v>0.1292174158731294</v>
      </c>
      <c r="P163" s="694">
        <f t="shared" si="500"/>
        <v>2.0641260803907047E-2</v>
      </c>
      <c r="Q163" s="706">
        <f t="shared" si="500"/>
        <v>7.439693734597097E-2</v>
      </c>
      <c r="R163" s="706"/>
      <c r="S163" s="694">
        <f>S162/R162-1</f>
        <v>0.21941028825680475</v>
      </c>
      <c r="T163" s="694"/>
      <c r="U163" s="638">
        <f>U162/S162-1</f>
        <v>9.0271333611642079E-2</v>
      </c>
      <c r="V163" s="638">
        <f t="shared" si="500"/>
        <v>-0.4844299823212499</v>
      </c>
      <c r="W163" s="638">
        <f t="shared" si="500"/>
        <v>-0.21553531531468606</v>
      </c>
      <c r="X163" s="649">
        <f t="shared" si="500"/>
        <v>0.62467880137933762</v>
      </c>
      <c r="Y163" s="638"/>
      <c r="Z163" s="638"/>
      <c r="AA163" s="638"/>
      <c r="AB163" s="657"/>
      <c r="AC163" s="638"/>
      <c r="AD163" s="638"/>
      <c r="AE163" s="638"/>
      <c r="AF163" s="748">
        <f>AF162/X162-1</f>
        <v>0.34882895969408967</v>
      </c>
      <c r="AG163" s="638"/>
      <c r="AH163" s="638"/>
      <c r="AI163" s="638"/>
      <c r="AJ163" s="657"/>
      <c r="AK163" s="638"/>
      <c r="AL163" s="638"/>
      <c r="AM163" s="638"/>
      <c r="AN163" s="748">
        <f>AN162/AF162-1</f>
        <v>2.3983971268489501E-2</v>
      </c>
      <c r="AO163" s="638"/>
      <c r="AP163" s="638"/>
      <c r="AQ163" s="638"/>
      <c r="AR163" s="657"/>
      <c r="AS163" s="638"/>
      <c r="AT163" s="638"/>
      <c r="AU163" s="638"/>
      <c r="AV163" s="748">
        <f>AV162/AN162-1</f>
        <v>8.8679882879473038E-2</v>
      </c>
      <c r="AW163" s="638"/>
      <c r="AX163" s="638"/>
      <c r="AY163" s="638"/>
      <c r="AZ163" s="657"/>
      <c r="BA163" s="638"/>
      <c r="BB163" s="638"/>
      <c r="BC163" s="638"/>
      <c r="BD163" s="652">
        <f>BD162/AV162-1</f>
        <v>0.27412487700663357</v>
      </c>
      <c r="BE163" s="638"/>
      <c r="BF163" s="638"/>
      <c r="BG163" s="638"/>
      <c r="BH163" s="657"/>
      <c r="BI163" s="638"/>
      <c r="BJ163" s="638"/>
      <c r="BK163" s="638"/>
      <c r="BL163" s="652">
        <f>BL162/BD162-1</f>
        <v>7.3086538823396996E-2</v>
      </c>
      <c r="BM163" s="638"/>
      <c r="BN163" s="638"/>
      <c r="BO163" s="638"/>
      <c r="BP163" s="657"/>
      <c r="BQ163" s="638"/>
      <c r="BR163" s="638"/>
      <c r="BS163" s="638"/>
      <c r="BT163" s="652">
        <f>BT162/BL162-1</f>
        <v>0.10602298165578117</v>
      </c>
      <c r="BU163" s="638"/>
      <c r="BV163" s="638"/>
      <c r="BW163" s="638"/>
      <c r="BX163" s="657"/>
      <c r="BY163" s="638"/>
      <c r="BZ163" s="638"/>
      <c r="CA163" s="638"/>
      <c r="CB163" s="652">
        <f>CB162/BT162-1</f>
        <v>3.0511270662270107E-2</v>
      </c>
      <c r="CC163" s="638"/>
      <c r="CD163" s="638"/>
      <c r="CE163" s="638"/>
      <c r="CF163" s="657"/>
      <c r="CG163" s="638"/>
      <c r="CH163" s="638"/>
      <c r="CI163" s="638"/>
      <c r="CJ163" s="652">
        <f>CJ162/CB162-1</f>
        <v>-2.6280387563383356E-2</v>
      </c>
    </row>
    <row r="164" spans="1:88" x14ac:dyDescent="0.2">
      <c r="A164" s="202"/>
      <c r="B164" s="197"/>
      <c r="C164" s="272"/>
      <c r="D164" s="272"/>
      <c r="E164" s="272"/>
      <c r="F164" s="272"/>
      <c r="G164" s="272"/>
      <c r="H164" s="272"/>
      <c r="I164" s="272"/>
      <c r="J164" s="272"/>
      <c r="K164" s="272"/>
      <c r="L164" s="272"/>
      <c r="M164" s="269"/>
      <c r="N164" s="747"/>
      <c r="O164" s="694"/>
      <c r="P164" s="694"/>
      <c r="Q164" s="694"/>
      <c r="R164" s="694"/>
      <c r="S164" s="694"/>
      <c r="T164" s="694"/>
      <c r="U164" s="638"/>
      <c r="V164" s="638"/>
      <c r="W164" s="638"/>
      <c r="X164" s="649"/>
      <c r="Y164" s="638"/>
      <c r="Z164" s="638"/>
      <c r="AA164" s="638"/>
      <c r="AB164" s="657"/>
      <c r="AC164" s="638"/>
      <c r="AD164" s="638"/>
      <c r="AE164" s="638"/>
      <c r="AF164" s="748"/>
      <c r="AG164" s="638"/>
      <c r="AH164" s="638"/>
      <c r="AI164" s="638"/>
      <c r="AJ164" s="657"/>
      <c r="AK164" s="638"/>
      <c r="AL164" s="638"/>
      <c r="AM164" s="638"/>
      <c r="AN164" s="748"/>
      <c r="AO164" s="638"/>
      <c r="AP164" s="638"/>
      <c r="AQ164" s="638"/>
      <c r="AR164" s="657"/>
      <c r="AS164" s="638"/>
      <c r="AT164" s="638"/>
      <c r="AU164" s="638"/>
      <c r="AV164" s="748"/>
      <c r="AW164" s="638"/>
      <c r="AX164" s="638"/>
      <c r="AY164" s="638"/>
      <c r="AZ164" s="657"/>
      <c r="BA164" s="638"/>
      <c r="BB164" s="638"/>
      <c r="BC164" s="638"/>
      <c r="BD164" s="748"/>
      <c r="BE164" s="638"/>
      <c r="BF164" s="638"/>
      <c r="BG164" s="638"/>
      <c r="BH164" s="657"/>
      <c r="BI164" s="638"/>
      <c r="BJ164" s="638"/>
      <c r="BK164" s="638"/>
      <c r="BL164" s="748"/>
      <c r="BM164" s="638"/>
      <c r="BN164" s="638"/>
      <c r="BO164" s="638"/>
      <c r="BP164" s="657"/>
      <c r="BQ164" s="638"/>
      <c r="BR164" s="638"/>
      <c r="BS164" s="638"/>
      <c r="BT164" s="748"/>
      <c r="BU164" s="638"/>
      <c r="BV164" s="638"/>
      <c r="BW164" s="638"/>
      <c r="BX164" s="657"/>
      <c r="BY164" s="638"/>
      <c r="BZ164" s="638"/>
      <c r="CA164" s="638"/>
      <c r="CB164" s="748"/>
      <c r="CC164" s="638"/>
      <c r="CD164" s="638"/>
      <c r="CE164" s="638"/>
      <c r="CF164" s="657"/>
      <c r="CG164" s="638"/>
      <c r="CH164" s="638"/>
      <c r="CI164" s="638"/>
      <c r="CJ164" s="748"/>
    </row>
    <row r="165" spans="1:88" outlineLevel="1" x14ac:dyDescent="0.2">
      <c r="A165" s="186" t="s">
        <v>796</v>
      </c>
      <c r="B165" s="197"/>
      <c r="C165" s="272"/>
      <c r="D165" s="272"/>
      <c r="E165" s="272"/>
      <c r="F165" s="272"/>
      <c r="G165" s="272"/>
      <c r="H165" s="272"/>
      <c r="I165" s="272"/>
      <c r="J165" s="272"/>
      <c r="K165" s="272"/>
      <c r="L165" s="272"/>
      <c r="M165" s="269"/>
      <c r="N165" s="747"/>
      <c r="O165" s="269"/>
      <c r="P165" s="269"/>
      <c r="Q165" s="269"/>
      <c r="R165" s="269"/>
      <c r="S165" s="269"/>
      <c r="T165" s="269"/>
      <c r="U165" s="278"/>
      <c r="V165" s="278"/>
      <c r="W165" s="278"/>
      <c r="X165" s="250"/>
      <c r="Y165" s="278"/>
      <c r="Z165" s="278"/>
      <c r="AA165" s="278"/>
      <c r="AB165" s="298"/>
      <c r="AC165" s="278"/>
      <c r="AD165" s="278"/>
      <c r="AE165" s="278"/>
      <c r="AF165" s="691"/>
      <c r="AG165" s="278"/>
      <c r="AH165" s="278"/>
      <c r="AI165" s="278"/>
      <c r="AJ165" s="298"/>
      <c r="AK165" s="278"/>
      <c r="AL165" s="278"/>
      <c r="AM165" s="278"/>
      <c r="AN165" s="691"/>
      <c r="AO165" s="278"/>
      <c r="AP165" s="278"/>
      <c r="AQ165" s="278"/>
      <c r="AR165" s="298"/>
      <c r="AS165" s="278"/>
      <c r="AT165" s="278"/>
      <c r="AU165" s="278"/>
      <c r="AV165" s="691"/>
      <c r="AW165" s="278"/>
      <c r="AX165" s="278"/>
      <c r="AY165" s="278"/>
      <c r="AZ165" s="298"/>
      <c r="BA165" s="278"/>
      <c r="BB165" s="278"/>
      <c r="BC165" s="278"/>
      <c r="BD165" s="691"/>
      <c r="BE165" s="278"/>
      <c r="BF165" s="278"/>
      <c r="BG165" s="278"/>
      <c r="BH165" s="298"/>
      <c r="BI165" s="278"/>
      <c r="BJ165" s="278"/>
      <c r="BK165" s="278"/>
      <c r="BL165" s="691"/>
      <c r="BM165" s="278"/>
      <c r="BN165" s="278"/>
      <c r="BO165" s="278"/>
      <c r="BP165" s="298"/>
      <c r="BQ165" s="278"/>
      <c r="BR165" s="278"/>
      <c r="BS165" s="278"/>
      <c r="BT165" s="691"/>
      <c r="BU165" s="278"/>
      <c r="BV165" s="278"/>
      <c r="BW165" s="278"/>
      <c r="BX165" s="298"/>
      <c r="BY165" s="278"/>
      <c r="BZ165" s="278"/>
      <c r="CA165" s="278"/>
      <c r="CB165" s="691"/>
      <c r="CC165" s="278"/>
      <c r="CD165" s="278"/>
      <c r="CE165" s="278"/>
      <c r="CF165" s="298"/>
      <c r="CG165" s="278"/>
      <c r="CH165" s="278"/>
      <c r="CI165" s="278"/>
      <c r="CJ165" s="691"/>
    </row>
    <row r="166" spans="1:88" outlineLevel="1" x14ac:dyDescent="0.2">
      <c r="A166" s="4" t="s">
        <v>790</v>
      </c>
      <c r="B166" s="197"/>
      <c r="C166" s="272"/>
      <c r="D166" s="272"/>
      <c r="E166" s="272"/>
      <c r="F166" s="272"/>
      <c r="G166" s="272"/>
      <c r="H166" s="272"/>
      <c r="I166" s="272"/>
      <c r="J166" s="272"/>
      <c r="K166" s="272"/>
      <c r="L166" s="272"/>
      <c r="M166" s="269"/>
      <c r="N166" s="739">
        <f>'Civil OE'!B11</f>
        <v>2434.8463387500001</v>
      </c>
      <c r="O166" s="739">
        <f>'Civil OE'!C11</f>
        <v>2593.8504375000002</v>
      </c>
      <c r="P166" s="739">
        <f>'Civil OE'!D11</f>
        <v>2661.8752456593561</v>
      </c>
      <c r="Q166" s="739">
        <f>'Civil OE'!E11</f>
        <v>2304.4394063987152</v>
      </c>
      <c r="R166" s="199"/>
      <c r="S166" s="739">
        <f>'Civil OE'!F11</f>
        <v>1726.9377958222017</v>
      </c>
      <c r="T166" s="739"/>
      <c r="U166" s="740">
        <f>'Civil OE'!G11</f>
        <v>695.06905793231363</v>
      </c>
      <c r="V166" s="740">
        <f>'Civil OE'!H11</f>
        <v>279.62604795696302</v>
      </c>
      <c r="W166" s="740">
        <f>'Civil OE'!I11</f>
        <v>164.34696023630119</v>
      </c>
      <c r="X166" s="741">
        <f>'Civil OE'!J11</f>
        <v>86.263847222432489</v>
      </c>
      <c r="Y166" s="740">
        <f>'Civil OE'!K11</f>
        <v>19.922378008149355</v>
      </c>
      <c r="Z166" s="740">
        <f>'Civil OE'!L11</f>
        <v>11.953426804889613</v>
      </c>
      <c r="AA166" s="740">
        <f>'Civil OE'!M11</f>
        <v>18.59421947427273</v>
      </c>
      <c r="AB166" s="760">
        <f>'Civil OE'!N11</f>
        <v>18.59421947427273</v>
      </c>
      <c r="AC166" s="740">
        <f>'Civil OE'!O11</f>
        <v>31.875804813038968</v>
      </c>
      <c r="AD166" s="740">
        <f>'Civil OE'!P11</f>
        <v>37.188438948545461</v>
      </c>
      <c r="AE166" s="740">
        <f>'Civil OE'!Q11</f>
        <v>61.095292558324687</v>
      </c>
      <c r="AF166" s="1368">
        <f>'Civil OE'!R11</f>
        <v>80.602850283176124</v>
      </c>
      <c r="AG166" s="740">
        <f>'Civil OE'!S11</f>
        <v>18.35847133450963</v>
      </c>
      <c r="AH166" s="740">
        <f>'Civil OE'!T11</f>
        <v>22.768990914912926</v>
      </c>
      <c r="AI166" s="740">
        <f>'Civil OE'!U11</f>
        <v>18.632238012304949</v>
      </c>
      <c r="AJ166" s="760">
        <f>'Civil OE'!V11</f>
        <v>27.328356012862141</v>
      </c>
      <c r="AK166" s="740">
        <f>'Civil OE'!W11</f>
        <v>41.483703647102466</v>
      </c>
      <c r="AL166" s="740">
        <f>'Civil OE'!X11</f>
        <v>45.96059402516709</v>
      </c>
      <c r="AM166" s="740">
        <f>'Civil OE'!Y11</f>
        <v>59.759700261727502</v>
      </c>
      <c r="AN166" s="1368">
        <f>'Civil OE'!Z11</f>
        <v>87.444297672269556</v>
      </c>
      <c r="AO166" s="740">
        <f>'Civil OE'!AA11</f>
        <v>18</v>
      </c>
      <c r="AP166" s="740">
        <f>'Civil OE'!AB11</f>
        <v>18.399999999999999</v>
      </c>
      <c r="AQ166" s="740">
        <f>'Civil OE'!AC11</f>
        <v>17.399999999999999</v>
      </c>
      <c r="AR166" s="760">
        <f>'Civil OE'!AD11</f>
        <v>8.6000000000000014</v>
      </c>
      <c r="AS166" s="740">
        <f>'Civil OE'!AE11</f>
        <v>36.4</v>
      </c>
      <c r="AT166" s="740">
        <f>'Civil OE'!AF11</f>
        <v>26</v>
      </c>
      <c r="AU166" s="740">
        <f>'Civil OE'!AG11</f>
        <v>53.8</v>
      </c>
      <c r="AV166" s="1368">
        <f>'Civil OE'!AH11</f>
        <v>62.4</v>
      </c>
      <c r="AW166" s="740">
        <f>'Civil OE'!AI11</f>
        <v>17.64</v>
      </c>
      <c r="AX166" s="740">
        <f>'Civil OE'!AJ11</f>
        <v>12.543999999999997</v>
      </c>
      <c r="AY166" s="743">
        <f>'Civil OE'!AK11</f>
        <v>10.583999999999998</v>
      </c>
      <c r="AZ166" s="742">
        <f>'Civil OE'!AL11</f>
        <v>6.8399601161858978</v>
      </c>
      <c r="BA166" s="740">
        <f>'Civil OE'!AM11</f>
        <v>30.183999999999997</v>
      </c>
      <c r="BB166" s="743">
        <f>'Civil OE'!AN11</f>
        <v>17.423960116185896</v>
      </c>
      <c r="BC166" s="743">
        <f>'Civil OE'!AO11</f>
        <v>40.767999999999994</v>
      </c>
      <c r="BD166" s="744">
        <f>'Civil OE'!AP11</f>
        <v>47.607960116185893</v>
      </c>
      <c r="BE166" s="743">
        <f>'Civil OE'!AQ11</f>
        <v>6.7227999999999994</v>
      </c>
      <c r="BF166" s="743">
        <f>'Civil OE'!AR11</f>
        <v>7.6831999999999976</v>
      </c>
      <c r="BG166" s="743">
        <f>'Civil OE'!AS11</f>
        <v>6.7227999999999994</v>
      </c>
      <c r="BH166" s="742">
        <f>'Civil OE'!AT11</f>
        <v>13.905784974916386</v>
      </c>
      <c r="BI166" s="743">
        <f>'Civil OE'!AU11</f>
        <v>14.405999999999997</v>
      </c>
      <c r="BJ166" s="743">
        <f>'Civil OE'!AV11</f>
        <v>20.628584974916386</v>
      </c>
      <c r="BK166" s="743">
        <f>'Civil OE'!AW11</f>
        <v>21.128799999999998</v>
      </c>
      <c r="BL166" s="744">
        <f>'Civil OE'!AX11</f>
        <v>35.034584974916385</v>
      </c>
      <c r="BM166" s="743">
        <f>'Civil OE'!AY11</f>
        <v>6.5883439999999993</v>
      </c>
      <c r="BN166" s="743">
        <f>'Civil OE'!AZ11</f>
        <v>7.5295359999999967</v>
      </c>
      <c r="BO166" s="743">
        <f>'Civil OE'!BA11</f>
        <v>6.5883439999999993</v>
      </c>
      <c r="BP166" s="742">
        <f>'Civil OE'!BB11</f>
        <v>13.552230555239287</v>
      </c>
      <c r="BQ166" s="743">
        <f>'Civil OE'!BC11</f>
        <v>14.117879999999996</v>
      </c>
      <c r="BR166" s="743">
        <f>'Civil OE'!BD11</f>
        <v>20.140574555239287</v>
      </c>
      <c r="BS166" s="743">
        <f>'Civil OE'!BE11</f>
        <v>20.706223999999995</v>
      </c>
      <c r="BT166" s="744">
        <f>'Civil OE'!BF11</f>
        <v>34.258454555239283</v>
      </c>
      <c r="BU166" s="743">
        <f>'Civil OE'!BG11</f>
        <v>6.4565771199999986</v>
      </c>
      <c r="BV166" s="743">
        <f>'Civil OE'!BH11</f>
        <v>7.3789452799999999</v>
      </c>
      <c r="BW166" s="743">
        <f>'Civil OE'!BI11</f>
        <v>6.4565771199999986</v>
      </c>
      <c r="BX166" s="742">
        <f>'Civil OE'!BJ11</f>
        <v>13.26362587980697</v>
      </c>
      <c r="BY166" s="743">
        <f>'Civil OE'!BK11</f>
        <v>13.835522399999999</v>
      </c>
      <c r="BZ166" s="743">
        <f>'Civil OE'!BL11</f>
        <v>19.720202999806968</v>
      </c>
      <c r="CA166" s="743">
        <f>'Civil OE'!BM11</f>
        <v>20.292099519999997</v>
      </c>
      <c r="CB166" s="744">
        <f>'Civil OE'!BN11</f>
        <v>33.555725399806967</v>
      </c>
      <c r="CC166" s="743">
        <f>'Civil OE'!BO11</f>
        <v>6.3274455775999998</v>
      </c>
      <c r="CD166" s="743">
        <f>'Civil OE'!BP11</f>
        <v>7.2313663743999994</v>
      </c>
      <c r="CE166" s="743">
        <f>'Civil OE'!BQ11</f>
        <v>6.3274455775999998</v>
      </c>
      <c r="CF166" s="742">
        <f>'Civil OE'!BR11</f>
        <v>12.216917122250297</v>
      </c>
      <c r="CG166" s="743">
        <f>'Civil OE'!BS11</f>
        <v>13.558811951999999</v>
      </c>
      <c r="CH166" s="743">
        <f>'Civil OE'!BT11</f>
        <v>18.544362699850296</v>
      </c>
      <c r="CI166" s="743">
        <f>'Civil OE'!BU11</f>
        <v>19.886257529599998</v>
      </c>
      <c r="CJ166" s="744">
        <f>'Civil OE'!BV11</f>
        <v>32.103174651850296</v>
      </c>
    </row>
    <row r="167" spans="1:88" outlineLevel="1" x14ac:dyDescent="0.2">
      <c r="A167" s="4" t="s">
        <v>791</v>
      </c>
      <c r="B167" s="197"/>
      <c r="C167" s="272"/>
      <c r="D167" s="272"/>
      <c r="E167" s="272"/>
      <c r="F167" s="272"/>
      <c r="G167" s="272"/>
      <c r="H167" s="272"/>
      <c r="I167" s="272"/>
      <c r="J167" s="272"/>
      <c r="K167" s="272"/>
      <c r="L167" s="272"/>
      <c r="M167" s="269"/>
      <c r="N167" s="739">
        <f>'Civil OE'!B12</f>
        <v>0</v>
      </c>
      <c r="O167" s="739">
        <f>'Civil OE'!C12</f>
        <v>0</v>
      </c>
      <c r="P167" s="739">
        <f>'Civil OE'!D12</f>
        <v>106.39303190161017</v>
      </c>
      <c r="Q167" s="739">
        <f>'Civil OE'!E12</f>
        <v>640.66129467321252</v>
      </c>
      <c r="S167" s="739">
        <f>'Civil OE'!F12</f>
        <v>1939.0922767559039</v>
      </c>
      <c r="T167" s="739"/>
      <c r="U167" s="740">
        <f>'Civil OE'!G12</f>
        <v>3705.0839687213438</v>
      </c>
      <c r="V167" s="740">
        <f>'Civil OE'!H12</f>
        <v>1851.5703346449484</v>
      </c>
      <c r="W167" s="740">
        <f>'Civil OE'!I12</f>
        <v>1509.0534545441858</v>
      </c>
      <c r="X167" s="741">
        <f>'Civil OE'!J12</f>
        <v>2097.2193496460986</v>
      </c>
      <c r="Y167" s="740">
        <f>'Civil OE'!K12</f>
        <v>650.19683177012405</v>
      </c>
      <c r="Z167" s="740">
        <f>'Civil OE'!L12</f>
        <v>744.3510177914809</v>
      </c>
      <c r="AA167" s="740">
        <f>'Civil OE'!M12</f>
        <v>691.05619551524114</v>
      </c>
      <c r="AB167" s="760">
        <f>'Civil OE'!N12</f>
        <v>703.49165404636369</v>
      </c>
      <c r="AC167" s="740">
        <f>'Civil OE'!O12</f>
        <v>1394.5478495616051</v>
      </c>
      <c r="AD167" s="740">
        <f>'Civil OE'!P12</f>
        <v>1394.5478495616051</v>
      </c>
      <c r="AE167" s="740">
        <f>'Civil OE'!Q12</f>
        <v>2085.604045076846</v>
      </c>
      <c r="AF167" s="1368">
        <f>'Civil OE'!R12</f>
        <v>3749.2886023513183</v>
      </c>
      <c r="AG167" s="740">
        <f>'Civil OE'!S12</f>
        <v>986.25783109794725</v>
      </c>
      <c r="AH167" s="740">
        <f>'Civil OE'!T12</f>
        <v>709.91400364554636</v>
      </c>
      <c r="AI167" s="740">
        <f>'Civil OE'!U12</f>
        <v>882.79481611900724</v>
      </c>
      <c r="AJ167" s="760">
        <f>'Civil OE'!V12</f>
        <v>919.5443415693187</v>
      </c>
      <c r="AK167" s="740">
        <f>'Civil OE'!W12</f>
        <v>1695.1810350315673</v>
      </c>
      <c r="AL167" s="740">
        <f>'Civil OE'!X12</f>
        <v>1802.3391576883259</v>
      </c>
      <c r="AM167" s="740">
        <f>'Civil OE'!Y12</f>
        <v>2578.9666508625005</v>
      </c>
      <c r="AN167" s="1368">
        <f>'Civil OE'!Z12</f>
        <v>3497.5201927198932</v>
      </c>
      <c r="AO167" s="740">
        <f>'Civil OE'!AA12</f>
        <v>807.46875</v>
      </c>
      <c r="AP167" s="740">
        <f>'Civil OE'!AB12</f>
        <v>942.13124999999991</v>
      </c>
      <c r="AQ167" s="740">
        <f>'Civil OE'!AC12</f>
        <v>1065.4349999999999</v>
      </c>
      <c r="AR167" s="760">
        <f>'Civil OE'!AD12</f>
        <v>1036.7400000000002</v>
      </c>
      <c r="AS167" s="740">
        <f>'Civil OE'!AE12</f>
        <v>1749.6</v>
      </c>
      <c r="AT167" s="740">
        <f>'Civil OE'!AF12</f>
        <v>2102.1750000000002</v>
      </c>
      <c r="AU167" s="740">
        <f>'Civil OE'!AG12</f>
        <v>2815.0349999999999</v>
      </c>
      <c r="AV167" s="1368">
        <f>'Civil OE'!AH12</f>
        <v>3851.7750000000001</v>
      </c>
      <c r="AW167" s="740">
        <f>'Civil OE'!AI12</f>
        <v>1368.9</v>
      </c>
      <c r="AX167" s="740">
        <f>'Civil OE'!AJ12</f>
        <v>1201.98</v>
      </c>
      <c r="AY167" s="743">
        <f>'Civil OE'!AK12</f>
        <v>1164.8520000000001</v>
      </c>
      <c r="AZ167" s="742">
        <f>'Civil OE'!AL12</f>
        <v>1264.5094041015634</v>
      </c>
      <c r="BA167" s="740">
        <f>'Civil OE'!AM12</f>
        <v>2570.88</v>
      </c>
      <c r="BB167" s="743">
        <f>'Civil OE'!AN12</f>
        <v>2429.3614041015635</v>
      </c>
      <c r="BC167" s="743">
        <f>'Civil OE'!AO12</f>
        <v>3735.732</v>
      </c>
      <c r="BD167" s="744">
        <f>'Civil OE'!AP12</f>
        <v>5000.2414041015636</v>
      </c>
      <c r="BE167" s="743">
        <f>'Civil OE'!AQ12</f>
        <v>1151.9040000000002</v>
      </c>
      <c r="BF167" s="743">
        <f>'Civil OE'!AR12</f>
        <v>1174.2120000000002</v>
      </c>
      <c r="BG167" s="743">
        <f>'Civil OE'!AS12</f>
        <v>1176.2400000000002</v>
      </c>
      <c r="BH167" s="742">
        <f>'Civil OE'!AT12</f>
        <v>2011.9546428913045</v>
      </c>
      <c r="BI167" s="743">
        <f>'Civil OE'!AU12</f>
        <v>2326.1160000000004</v>
      </c>
      <c r="BJ167" s="743">
        <f>'Civil OE'!AV12</f>
        <v>3188.1946428913047</v>
      </c>
      <c r="BK167" s="743">
        <f>'Civil OE'!AW12</f>
        <v>3502.3560000000007</v>
      </c>
      <c r="BL167" s="744">
        <f>'Civil OE'!AX12</f>
        <v>5514.3106428913052</v>
      </c>
      <c r="BM167" s="743">
        <f>'Civil OE'!AY12</f>
        <v>1332.9638400000006</v>
      </c>
      <c r="BN167" s="743">
        <f>'Civil OE'!AZ12</f>
        <v>1351.9459200000003</v>
      </c>
      <c r="BO167" s="743">
        <f>'Civil OE'!BA12</f>
        <v>1356.1641600000005</v>
      </c>
      <c r="BP167" s="742">
        <f>'Civil OE'!BB12</f>
        <v>2166.8747734363378</v>
      </c>
      <c r="BQ167" s="743">
        <f>'Civil OE'!BC12</f>
        <v>2684.9097600000009</v>
      </c>
      <c r="BR167" s="743">
        <f>'Civil OE'!BD12</f>
        <v>3523.0389334363385</v>
      </c>
      <c r="BS167" s="743">
        <f>'Civil OE'!BE12</f>
        <v>4041.0739200000016</v>
      </c>
      <c r="BT167" s="744">
        <f>'Civil OE'!BF12</f>
        <v>6207.9486934363395</v>
      </c>
      <c r="BU167" s="743">
        <f>'Civil OE'!BG12</f>
        <v>1416.9911808000004</v>
      </c>
      <c r="BV167" s="743">
        <f>'Civil OE'!BH12</f>
        <v>1412.6042112000007</v>
      </c>
      <c r="BW167" s="743">
        <f>'Civil OE'!BI12</f>
        <v>1416.9911808000004</v>
      </c>
      <c r="BX167" s="742">
        <f>'Civil OE'!BJ12</f>
        <v>2257.5850533556504</v>
      </c>
      <c r="BY167" s="743">
        <f>'Civil OE'!BK12</f>
        <v>2829.5953920000011</v>
      </c>
      <c r="BZ167" s="743">
        <f>'Civil OE'!BL12</f>
        <v>3674.576234155651</v>
      </c>
      <c r="CA167" s="743">
        <f>'Civil OE'!BM12</f>
        <v>4246.5865728000017</v>
      </c>
      <c r="CB167" s="744">
        <f>'Civil OE'!BN12</f>
        <v>6504.1716261556521</v>
      </c>
      <c r="CC167" s="743">
        <f>'Civil OE'!BO12</f>
        <v>1450.8585861120005</v>
      </c>
      <c r="CD167" s="743">
        <f>'Civil OE'!BP12</f>
        <v>1448.5773619200004</v>
      </c>
      <c r="CE167" s="743">
        <f>'Civil OE'!BQ12</f>
        <v>1450.8585861120005</v>
      </c>
      <c r="CF167" s="742">
        <f>'Civil OE'!BR12</f>
        <v>2295.2769183233218</v>
      </c>
      <c r="CG167" s="743">
        <f>'Civil OE'!BS12</f>
        <v>2899.4359480320009</v>
      </c>
      <c r="CH167" s="743">
        <f>'Civil OE'!BT12</f>
        <v>3746.1355044353222</v>
      </c>
      <c r="CI167" s="743">
        <f>'Civil OE'!BU12</f>
        <v>4350.2945341440009</v>
      </c>
      <c r="CJ167" s="744">
        <f>'Civil OE'!BV12</f>
        <v>6645.5714524673231</v>
      </c>
    </row>
    <row r="168" spans="1:88" outlineLevel="1" x14ac:dyDescent="0.2">
      <c r="A168" s="4" t="s">
        <v>792</v>
      </c>
      <c r="B168" s="197"/>
      <c r="C168" s="272"/>
      <c r="D168" s="272"/>
      <c r="E168" s="272"/>
      <c r="F168" s="272"/>
      <c r="G168" s="272"/>
      <c r="H168" s="272"/>
      <c r="I168" s="272"/>
      <c r="J168" s="272"/>
      <c r="K168" s="272"/>
      <c r="L168" s="272"/>
      <c r="M168" s="269"/>
      <c r="N168" s="739">
        <f>'Civil OE'!B9</f>
        <v>182.42878492435125</v>
      </c>
      <c r="O168" s="739">
        <f>'Civil OE'!C9</f>
        <v>147.41352608798388</v>
      </c>
      <c r="P168" s="739">
        <f>'Civil OE'!D9</f>
        <v>-5.8500727170787741</v>
      </c>
      <c r="Q168" s="739">
        <f>'Civil OE'!E9</f>
        <v>35.627720996166545</v>
      </c>
      <c r="R168" s="199"/>
      <c r="S168" s="739">
        <f>'Civil OE'!F9</f>
        <v>255.73923314823696</v>
      </c>
      <c r="T168" s="739"/>
      <c r="U168" s="740">
        <f>'Civil OE'!G9</f>
        <v>-246.51065592960072</v>
      </c>
      <c r="V168" s="740">
        <f>'Civil OE'!H9</f>
        <v>-154.95260822378407</v>
      </c>
      <c r="W168" s="740">
        <f>'Civil OE'!I9</f>
        <v>-47.774957617334849</v>
      </c>
      <c r="X168" s="741">
        <f>'Civil OE'!J9</f>
        <v>525.84106495828121</v>
      </c>
      <c r="Y168" s="740">
        <f>'Civil OE'!K9</f>
        <v>313.60960558070644</v>
      </c>
      <c r="Z168" s="740">
        <f>'Civil OE'!L9</f>
        <v>315.13198866041682</v>
      </c>
      <c r="AA168" s="740">
        <f>'Civil OE'!M9</f>
        <v>224.41950240756208</v>
      </c>
      <c r="AB168" s="760">
        <f>'Civil OE'!N9</f>
        <v>-925.90914598607901</v>
      </c>
      <c r="AC168" s="740">
        <f>'Civil OE'!O9</f>
        <v>628.74159424112304</v>
      </c>
      <c r="AD168" s="740">
        <f>'Civil OE'!P9</f>
        <v>-701.48964357851696</v>
      </c>
      <c r="AE168" s="740">
        <f>'Civil OE'!Q9</f>
        <v>853.16109664868532</v>
      </c>
      <c r="AF168" s="1368">
        <f>'Civil OE'!R9</f>
        <v>-72.748049337393923</v>
      </c>
      <c r="AG168" s="740">
        <f>'Civil OE'!S9</f>
        <v>4.7019944716552686</v>
      </c>
      <c r="AH168" s="740">
        <f>'Civil OE'!T9</f>
        <v>343.70942526285131</v>
      </c>
      <c r="AI168" s="740">
        <f>'Civil OE'!U9</f>
        <v>77.903370433146421</v>
      </c>
      <c r="AJ168" s="760">
        <f>'Civil OE'!V9</f>
        <v>-155.88716520197332</v>
      </c>
      <c r="AK168" s="740">
        <f>'Civil OE'!W9</f>
        <v>349.04597804875289</v>
      </c>
      <c r="AL168" s="740">
        <f>'Civil OE'!X9</f>
        <v>-77.983794768826897</v>
      </c>
      <c r="AM168" s="740">
        <f>'Civil OE'!Y9</f>
        <v>426.31479016765297</v>
      </c>
      <c r="AN168" s="1368">
        <f>'Civil OE'!Z9</f>
        <v>271.06218327992599</v>
      </c>
      <c r="AO168" s="740">
        <f>'Civil OE'!AA9</f>
        <v>297.52054752703896</v>
      </c>
      <c r="AP168" s="740">
        <f>'Civil OE'!AB9</f>
        <v>306.76395738064724</v>
      </c>
      <c r="AQ168" s="740">
        <f>'Civil OE'!AC9</f>
        <v>352.28324410638157</v>
      </c>
      <c r="AR168" s="760">
        <f>'Civil OE'!AD9</f>
        <v>-651.86299201435838</v>
      </c>
      <c r="AS168" s="740">
        <f>'Civil OE'!AE9</f>
        <v>604.28450490768626</v>
      </c>
      <c r="AT168" s="740">
        <f>'Civil OE'!AF9</f>
        <v>-299.57974790797681</v>
      </c>
      <c r="AU168" s="740">
        <f>'Civil OE'!AG9</f>
        <v>956.56774901406766</v>
      </c>
      <c r="AV168" s="1368">
        <f>'Civil OE'!AH9</f>
        <v>304.70475699970945</v>
      </c>
      <c r="AW168" s="740">
        <f>'Civil OE'!AI9</f>
        <v>34.395229434219146</v>
      </c>
      <c r="AX168" s="740">
        <f>'Civil OE'!AJ9</f>
        <v>89.35672204090281</v>
      </c>
      <c r="AY168" s="743">
        <f>'Civil OE'!AK9</f>
        <v>188.12402426243881</v>
      </c>
      <c r="AZ168" s="742">
        <f>'Civil OE'!AL9</f>
        <v>188.12402426243881</v>
      </c>
      <c r="BA168" s="740">
        <f>'Civil OE'!AM9</f>
        <v>123.75195147512241</v>
      </c>
      <c r="BB168" s="743">
        <f>'Civil OE'!AN9</f>
        <v>376.24804852487762</v>
      </c>
      <c r="BC168" s="743">
        <f>'Civil OE'!AO9</f>
        <v>311.87597573756079</v>
      </c>
      <c r="BD168" s="744">
        <f>'Civil OE'!AP9</f>
        <v>500</v>
      </c>
      <c r="BE168" s="743">
        <f>'Civil OE'!AQ9</f>
        <v>125</v>
      </c>
      <c r="BF168" s="743">
        <f>'Civil OE'!AR9</f>
        <v>125</v>
      </c>
      <c r="BG168" s="743">
        <f>'Civil OE'!AS9</f>
        <v>125</v>
      </c>
      <c r="BH168" s="742">
        <f>'Civil OE'!AT9</f>
        <v>125</v>
      </c>
      <c r="BI168" s="743">
        <f>'Civil OE'!AU9</f>
        <v>250</v>
      </c>
      <c r="BJ168" s="743">
        <f>'Civil OE'!AV9</f>
        <v>250</v>
      </c>
      <c r="BK168" s="743">
        <f>'Civil OE'!AW9</f>
        <v>375</v>
      </c>
      <c r="BL168" s="744">
        <f>'Civil OE'!AX9</f>
        <v>500</v>
      </c>
      <c r="BM168" s="743">
        <f>'Civil OE'!AY9</f>
        <v>125</v>
      </c>
      <c r="BN168" s="743">
        <f>'Civil OE'!AZ9</f>
        <v>125</v>
      </c>
      <c r="BO168" s="743">
        <f>'Civil OE'!BA9</f>
        <v>125</v>
      </c>
      <c r="BP168" s="742">
        <f>'Civil OE'!BB9</f>
        <v>125</v>
      </c>
      <c r="BQ168" s="743">
        <f>'Civil OE'!BC9</f>
        <v>250</v>
      </c>
      <c r="BR168" s="743">
        <f>'Civil OE'!BD9</f>
        <v>250</v>
      </c>
      <c r="BS168" s="743">
        <f>'Civil OE'!BE9</f>
        <v>375</v>
      </c>
      <c r="BT168" s="744">
        <f>'Civil OE'!BF9</f>
        <v>500</v>
      </c>
      <c r="BU168" s="743">
        <f>'Civil OE'!BG9</f>
        <v>125</v>
      </c>
      <c r="BV168" s="743">
        <f>'Civil OE'!BH9</f>
        <v>125</v>
      </c>
      <c r="BW168" s="743">
        <f>'Civil OE'!BI9</f>
        <v>125</v>
      </c>
      <c r="BX168" s="742">
        <f>'Civil OE'!BJ9</f>
        <v>125</v>
      </c>
      <c r="BY168" s="743">
        <f>'Civil OE'!BK9</f>
        <v>250</v>
      </c>
      <c r="BZ168" s="743">
        <f>'Civil OE'!BL9</f>
        <v>250</v>
      </c>
      <c r="CA168" s="743">
        <f>'Civil OE'!BM9</f>
        <v>375</v>
      </c>
      <c r="CB168" s="744">
        <f>'Civil OE'!BN9</f>
        <v>500</v>
      </c>
      <c r="CC168" s="743">
        <f>'Civil OE'!BO9</f>
        <v>125</v>
      </c>
      <c r="CD168" s="743">
        <f>'Civil OE'!BP9</f>
        <v>125</v>
      </c>
      <c r="CE168" s="743">
        <f>'Civil OE'!BQ9</f>
        <v>125</v>
      </c>
      <c r="CF168" s="742">
        <f>'Civil OE'!BR9</f>
        <v>125</v>
      </c>
      <c r="CG168" s="743">
        <f>'Civil OE'!BS9</f>
        <v>250</v>
      </c>
      <c r="CH168" s="743">
        <f>'Civil OE'!BT9</f>
        <v>250</v>
      </c>
      <c r="CI168" s="743">
        <f>'Civil OE'!BU9</f>
        <v>375</v>
      </c>
      <c r="CJ168" s="744">
        <f>'Civil OE'!BV9</f>
        <v>500</v>
      </c>
    </row>
    <row r="169" spans="1:88" outlineLevel="1" x14ac:dyDescent="0.2">
      <c r="A169" s="4" t="s">
        <v>793</v>
      </c>
      <c r="B169" s="197"/>
      <c r="C169" s="272"/>
      <c r="D169" s="272"/>
      <c r="E169" s="272"/>
      <c r="F169" s="272"/>
      <c r="G169" s="272"/>
      <c r="H169" s="272"/>
      <c r="I169" s="272"/>
      <c r="J169" s="272"/>
      <c r="K169" s="272"/>
      <c r="L169" s="272"/>
      <c r="M169" s="269"/>
      <c r="N169" s="739">
        <f>'Civil OE'!B20</f>
        <v>915.88184999999999</v>
      </c>
      <c r="O169" s="739">
        <f>'Civil OE'!C20</f>
        <v>912.84143399999994</v>
      </c>
      <c r="P169" s="739">
        <f>'Civil OE'!D20</f>
        <v>935.47076345437495</v>
      </c>
      <c r="Q169" s="739">
        <f>'Civil OE'!E20</f>
        <v>649.11101518513146</v>
      </c>
      <c r="R169" s="199"/>
      <c r="S169" s="739">
        <f>'Civil OE'!F20</f>
        <v>527.1156979517782</v>
      </c>
      <c r="T169" s="739"/>
      <c r="U169" s="740">
        <f>'Civil OE'!G20</f>
        <v>585.8635863181978</v>
      </c>
      <c r="V169" s="740">
        <f>'Civil OE'!H20</f>
        <v>463.0648056218721</v>
      </c>
      <c r="W169" s="740">
        <f>'Civil OE'!I20</f>
        <v>317.85119683684843</v>
      </c>
      <c r="X169" s="741">
        <f>'Civil OE'!J20</f>
        <v>275.33397547518859</v>
      </c>
      <c r="Y169" s="740">
        <f>'Civil OE'!K20</f>
        <v>56.42768464102015</v>
      </c>
      <c r="Z169" s="740">
        <f>'Civil OE'!L20</f>
        <v>66.860829417075223</v>
      </c>
      <c r="AA169" s="740">
        <f>'Civil OE'!M20</f>
        <v>80.609771217099222</v>
      </c>
      <c r="AB169" s="760">
        <f>'Civil OE'!N20</f>
        <v>73.859906702064364</v>
      </c>
      <c r="AC169" s="740">
        <f>'Civil OE'!O20</f>
        <v>123.28851405809536</v>
      </c>
      <c r="AD169" s="740">
        <f>'Civil OE'!P20</f>
        <v>154.46967791916359</v>
      </c>
      <c r="AE169" s="740">
        <f>'Civil OE'!Q20</f>
        <v>203.89828527519461</v>
      </c>
      <c r="AF169" s="1368">
        <f>'Civil OE'!R20</f>
        <v>277.758191977259</v>
      </c>
      <c r="AG169" s="740">
        <f>'Civil OE'!S20</f>
        <v>83.24047811251836</v>
      </c>
      <c r="AH169" s="740">
        <f>'Civil OE'!T20</f>
        <v>63.73839615891935</v>
      </c>
      <c r="AI169" s="740">
        <f>'Civil OE'!U20</f>
        <v>75.586562594884725</v>
      </c>
      <c r="AJ169" s="760">
        <f>'Civil OE'!V20</f>
        <v>32.563974559264679</v>
      </c>
      <c r="AK169" s="740">
        <f>'Civil OE'!W20</f>
        <v>146.97887427143772</v>
      </c>
      <c r="AL169" s="740">
        <f>'Civil OE'!X20</f>
        <v>108.15053715414942</v>
      </c>
      <c r="AM169" s="740">
        <f>'Civil OE'!Y20</f>
        <v>222.56543686632247</v>
      </c>
      <c r="AN169" s="1368">
        <f>'Civil OE'!Z20</f>
        <v>255.12941142558714</v>
      </c>
      <c r="AO169" s="740">
        <f>'Civil OE'!AA20</f>
        <v>76.838399999999993</v>
      </c>
      <c r="AP169" s="740">
        <f>'Civil OE'!AB20</f>
        <v>92.694599999999994</v>
      </c>
      <c r="AQ169" s="740">
        <f>'Civil OE'!AC20</f>
        <v>91.732050000000001</v>
      </c>
      <c r="AR169" s="760">
        <f>'Civil OE'!AD20</f>
        <v>86.97105000000002</v>
      </c>
      <c r="AS169" s="740">
        <f>'Civil OE'!AE20</f>
        <v>169.53300000000002</v>
      </c>
      <c r="AT169" s="740">
        <f>'Civil OE'!AF20</f>
        <v>178.70310000000003</v>
      </c>
      <c r="AU169" s="740">
        <f>'Civil OE'!AG20</f>
        <v>261.26504999999997</v>
      </c>
      <c r="AV169" s="1368">
        <f>'Civil OE'!AH20</f>
        <v>348.23610000000002</v>
      </c>
      <c r="AW169" s="740">
        <f>'Civil OE'!AI20</f>
        <v>94.409388000000007</v>
      </c>
      <c r="AX169" s="740">
        <f>'Civil OE'!AJ20</f>
        <v>107.571552</v>
      </c>
      <c r="AY169" s="743">
        <f>'Civil OE'!AK20</f>
        <v>79.80094950000003</v>
      </c>
      <c r="AZ169" s="742">
        <f>'Civil OE'!AL20</f>
        <v>79.80094950000003</v>
      </c>
      <c r="BA169" s="740">
        <f>'Civil OE'!AM20</f>
        <v>201.98094</v>
      </c>
      <c r="BB169" s="743">
        <f>'Civil OE'!AN20</f>
        <v>159.60189900000006</v>
      </c>
      <c r="BC169" s="743">
        <f>'Civil OE'!AO20</f>
        <v>281.78188950000003</v>
      </c>
      <c r="BD169" s="744">
        <f>'Civil OE'!AP20</f>
        <v>361.58283900000004</v>
      </c>
      <c r="BE169" s="743">
        <f>'Civil OE'!AQ20</f>
        <v>73.727245499999995</v>
      </c>
      <c r="BF169" s="743">
        <f>'Civil OE'!AR20</f>
        <v>73.727245499999995</v>
      </c>
      <c r="BG169" s="743">
        <f>'Civil OE'!AS20</f>
        <v>73.727245499999995</v>
      </c>
      <c r="BH169" s="742">
        <f>'Civil OE'!AT20</f>
        <v>117.96359280000006</v>
      </c>
      <c r="BI169" s="743">
        <f>'Civil OE'!AU20</f>
        <v>147.45449099999999</v>
      </c>
      <c r="BJ169" s="743">
        <f>'Civil OE'!AV20</f>
        <v>191.69083830000008</v>
      </c>
      <c r="BK169" s="743">
        <f>'Civil OE'!AW20</f>
        <v>221.1817365</v>
      </c>
      <c r="BL169" s="744">
        <f>'Civil OE'!AX20</f>
        <v>339.14532930000007</v>
      </c>
      <c r="BM169" s="743">
        <f>'Civil OE'!AY20</f>
        <v>75.939062865000011</v>
      </c>
      <c r="BN169" s="743">
        <f>'Civil OE'!AZ20</f>
        <v>75.939062865000011</v>
      </c>
      <c r="BO169" s="743">
        <f>'Civil OE'!BA20</f>
        <v>75.939062865000011</v>
      </c>
      <c r="BP169" s="742">
        <f>'Civil OE'!BB20</f>
        <v>121.50250058400002</v>
      </c>
      <c r="BQ169" s="743">
        <f>'Civil OE'!BC20</f>
        <v>151.87812573000002</v>
      </c>
      <c r="BR169" s="743">
        <f>'Civil OE'!BD20</f>
        <v>197.44156344900003</v>
      </c>
      <c r="BS169" s="743">
        <f>'Civil OE'!BE20</f>
        <v>227.81718859500003</v>
      </c>
      <c r="BT169" s="744">
        <f>'Civil OE'!BF20</f>
        <v>349.31968917900002</v>
      </c>
      <c r="BU169" s="743">
        <f>'Civil OE'!BG20</f>
        <v>78.217234750950013</v>
      </c>
      <c r="BV169" s="743">
        <f>'Civil OE'!BH20</f>
        <v>78.217234750950013</v>
      </c>
      <c r="BW169" s="743">
        <f>'Civil OE'!BI20</f>
        <v>78.217234750950013</v>
      </c>
      <c r="BX169" s="742">
        <f>'Civil OE'!BJ20</f>
        <v>125.14757560152003</v>
      </c>
      <c r="BY169" s="743">
        <f>'Civil OE'!BK20</f>
        <v>156.43446950190003</v>
      </c>
      <c r="BZ169" s="743">
        <f>'Civil OE'!BL20</f>
        <v>203.36481035247004</v>
      </c>
      <c r="CA169" s="743">
        <f>'Civil OE'!BM20</f>
        <v>234.65170425285001</v>
      </c>
      <c r="CB169" s="744">
        <f>'Civil OE'!BN20</f>
        <v>359.79927985437007</v>
      </c>
      <c r="CC169" s="743">
        <f>'Civil OE'!BO20</f>
        <v>80.563751793478517</v>
      </c>
      <c r="CD169" s="743">
        <f>'Civil OE'!BP20</f>
        <v>80.563751793478517</v>
      </c>
      <c r="CE169" s="743">
        <f>'Civil OE'!BQ20</f>
        <v>80.563751793478517</v>
      </c>
      <c r="CF169" s="742">
        <f>'Civil OE'!BR20</f>
        <v>128.90200286956556</v>
      </c>
      <c r="CG169" s="743">
        <f>'Civil OE'!BS20</f>
        <v>161.12750358695703</v>
      </c>
      <c r="CH169" s="743">
        <f>'Civil OE'!BT20</f>
        <v>209.46575466304409</v>
      </c>
      <c r="CI169" s="743">
        <f>'Civil OE'!BU20</f>
        <v>241.69125538043556</v>
      </c>
      <c r="CJ169" s="744">
        <f>'Civil OE'!BV20</f>
        <v>370.59325825000116</v>
      </c>
    </row>
    <row r="170" spans="1:88" outlineLevel="1" x14ac:dyDescent="0.2">
      <c r="A170" s="717" t="s">
        <v>797</v>
      </c>
      <c r="B170" s="718"/>
      <c r="C170" s="719"/>
      <c r="D170" s="719"/>
      <c r="E170" s="719"/>
      <c r="F170" s="719"/>
      <c r="G170" s="719"/>
      <c r="H170" s="719"/>
      <c r="I170" s="719"/>
      <c r="J170" s="719"/>
      <c r="K170" s="719"/>
      <c r="L170" s="719"/>
      <c r="M170" s="749"/>
      <c r="N170" s="750">
        <f>SUM(N166:N169)</f>
        <v>3533.1569736743513</v>
      </c>
      <c r="O170" s="750">
        <f>SUM(O166:O169)</f>
        <v>3654.105397587984</v>
      </c>
      <c r="P170" s="750">
        <f>SUM(P166:P169)</f>
        <v>3697.8889682982626</v>
      </c>
      <c r="Q170" s="750">
        <f>SUM(Q166:Q169)</f>
        <v>3629.8394372532257</v>
      </c>
      <c r="R170" s="746"/>
      <c r="S170" s="750">
        <f>SUM(S166:S169)</f>
        <v>4448.8850036781205</v>
      </c>
      <c r="T170" s="750"/>
      <c r="U170" s="751">
        <f t="shared" ref="U170:BC170" si="501">SUM(U166:U169)</f>
        <v>4739.5059570422545</v>
      </c>
      <c r="V170" s="751">
        <f t="shared" si="501"/>
        <v>2439.3085799999994</v>
      </c>
      <c r="W170" s="751">
        <f t="shared" si="501"/>
        <v>1943.4766540000005</v>
      </c>
      <c r="X170" s="752">
        <f t="shared" si="501"/>
        <v>2984.658237302001</v>
      </c>
      <c r="Y170" s="751">
        <f t="shared" si="501"/>
        <v>1040.1565000000001</v>
      </c>
      <c r="Z170" s="751">
        <f t="shared" si="501"/>
        <v>1138.2972626738626</v>
      </c>
      <c r="AA170" s="751">
        <f t="shared" si="501"/>
        <v>1014.6796886141751</v>
      </c>
      <c r="AB170" s="761">
        <f t="shared" si="501"/>
        <v>-129.96336576337828</v>
      </c>
      <c r="AC170" s="751">
        <f t="shared" si="501"/>
        <v>2178.4537626738625</v>
      </c>
      <c r="AD170" s="751">
        <f>SUM(AD166:AD169)</f>
        <v>884.71632285079704</v>
      </c>
      <c r="AE170" s="751">
        <f>SUM(AE166:AE169)</f>
        <v>3203.7587195590509</v>
      </c>
      <c r="AF170" s="1369">
        <f t="shared" si="501"/>
        <v>4034.9015952743594</v>
      </c>
      <c r="AG170" s="751">
        <f t="shared" ref="AG170:AI170" si="502">SUM(AG166:AG169)</f>
        <v>1092.5587750166305</v>
      </c>
      <c r="AH170" s="751">
        <f t="shared" si="502"/>
        <v>1140.1308159822299</v>
      </c>
      <c r="AI170" s="751">
        <f t="shared" si="502"/>
        <v>1054.9169871593433</v>
      </c>
      <c r="AJ170" s="761">
        <f t="shared" si="501"/>
        <v>823.54950693947228</v>
      </c>
      <c r="AK170" s="751">
        <f t="shared" ref="AK170" si="503">SUM(AK166:AK169)</f>
        <v>2232.6895909988602</v>
      </c>
      <c r="AL170" s="751">
        <f t="shared" si="501"/>
        <v>1878.4664940988155</v>
      </c>
      <c r="AM170" s="751">
        <f>SUM(AM166:AM169)</f>
        <v>3287.6065781582038</v>
      </c>
      <c r="AN170" s="1369">
        <f t="shared" ref="AN170:AR170" si="504">SUM(AN166:AN169)</f>
        <v>4111.1560850976757</v>
      </c>
      <c r="AO170" s="751">
        <f t="shared" si="504"/>
        <v>1199.8276975270392</v>
      </c>
      <c r="AP170" s="751">
        <f t="shared" si="504"/>
        <v>1359.9898073806471</v>
      </c>
      <c r="AQ170" s="751">
        <f t="shared" si="504"/>
        <v>1526.8502941063816</v>
      </c>
      <c r="AR170" s="761">
        <f t="shared" si="504"/>
        <v>480.44805798564175</v>
      </c>
      <c r="AS170" s="751">
        <f t="shared" si="501"/>
        <v>2559.8175049076863</v>
      </c>
      <c r="AT170" s="751">
        <f t="shared" ref="AT170" si="505">SUM(AT166:AT169)</f>
        <v>2007.2983520920234</v>
      </c>
      <c r="AU170" s="751">
        <f>SUM(AU166:AU169)</f>
        <v>4086.6677990140679</v>
      </c>
      <c r="AV170" s="1369">
        <f t="shared" ref="AV170" si="506">SUM(AV166:AV169)</f>
        <v>4567.1158569997096</v>
      </c>
      <c r="AW170" s="751">
        <f t="shared" si="501"/>
        <v>1515.3446174342193</v>
      </c>
      <c r="AX170" s="751">
        <f t="shared" si="501"/>
        <v>1411.4522740409029</v>
      </c>
      <c r="AY170" s="754">
        <f t="shared" si="501"/>
        <v>1443.360973762439</v>
      </c>
      <c r="AZ170" s="753">
        <f t="shared" si="501"/>
        <v>1539.2743379801882</v>
      </c>
      <c r="BA170" s="751">
        <f t="shared" si="501"/>
        <v>2926.7968914751227</v>
      </c>
      <c r="BB170" s="754">
        <f t="shared" si="501"/>
        <v>2982.635311742627</v>
      </c>
      <c r="BC170" s="754">
        <f t="shared" si="501"/>
        <v>4370.1578652375611</v>
      </c>
      <c r="BD170" s="755">
        <f>SUM(BD166:BD169)</f>
        <v>5909.4322032177488</v>
      </c>
      <c r="BE170" s="754">
        <f t="shared" ref="BE170:BK170" si="507">SUM(BE166:BE169)</f>
        <v>1357.3540455000002</v>
      </c>
      <c r="BF170" s="754">
        <f t="shared" si="507"/>
        <v>1380.6224455000001</v>
      </c>
      <c r="BG170" s="754">
        <f t="shared" si="507"/>
        <v>1381.6900455000002</v>
      </c>
      <c r="BH170" s="753">
        <f t="shared" si="507"/>
        <v>2268.8240206662208</v>
      </c>
      <c r="BI170" s="754">
        <f t="shared" si="507"/>
        <v>2737.9764910000004</v>
      </c>
      <c r="BJ170" s="754">
        <f t="shared" si="507"/>
        <v>3650.5140661662213</v>
      </c>
      <c r="BK170" s="754">
        <f t="shared" si="507"/>
        <v>4119.6665365000008</v>
      </c>
      <c r="BL170" s="755">
        <f>SUM(BL166:BL169)</f>
        <v>6388.4905571662221</v>
      </c>
      <c r="BM170" s="754">
        <f t="shared" ref="BM170:BS170" si="508">SUM(BM166:BM169)</f>
        <v>1540.4912468650007</v>
      </c>
      <c r="BN170" s="754">
        <f t="shared" si="508"/>
        <v>1560.4145188650004</v>
      </c>
      <c r="BO170" s="754">
        <f t="shared" si="508"/>
        <v>1563.6915668650006</v>
      </c>
      <c r="BP170" s="753">
        <f t="shared" si="508"/>
        <v>2426.9295045755771</v>
      </c>
      <c r="BQ170" s="754">
        <f t="shared" si="508"/>
        <v>3100.9057657300009</v>
      </c>
      <c r="BR170" s="754">
        <f t="shared" si="508"/>
        <v>3990.6210714405779</v>
      </c>
      <c r="BS170" s="754">
        <f t="shared" si="508"/>
        <v>4664.5973325950017</v>
      </c>
      <c r="BT170" s="755">
        <f>SUM(BT166:BT169)</f>
        <v>7091.5268371705788</v>
      </c>
      <c r="BU170" s="754">
        <f t="shared" ref="BU170:CA170" si="509">SUM(BU166:BU169)</f>
        <v>1626.6649926709504</v>
      </c>
      <c r="BV170" s="754">
        <f t="shared" si="509"/>
        <v>1623.2003912309506</v>
      </c>
      <c r="BW170" s="754">
        <f t="shared" si="509"/>
        <v>1626.6649926709504</v>
      </c>
      <c r="BX170" s="753">
        <f t="shared" si="509"/>
        <v>2520.9962548369776</v>
      </c>
      <c r="BY170" s="754">
        <f t="shared" si="509"/>
        <v>3249.8653839019012</v>
      </c>
      <c r="BZ170" s="754">
        <f t="shared" si="509"/>
        <v>4147.6612475079282</v>
      </c>
      <c r="CA170" s="754">
        <f t="shared" si="509"/>
        <v>4876.5303765728522</v>
      </c>
      <c r="CB170" s="755">
        <f>SUM(CB166:CB169)</f>
        <v>7397.526631409829</v>
      </c>
      <c r="CC170" s="754">
        <f t="shared" ref="CC170:CI170" si="510">SUM(CC166:CC169)</f>
        <v>1662.749783483079</v>
      </c>
      <c r="CD170" s="754">
        <f t="shared" si="510"/>
        <v>1661.372480087879</v>
      </c>
      <c r="CE170" s="754">
        <f t="shared" si="510"/>
        <v>1662.749783483079</v>
      </c>
      <c r="CF170" s="753">
        <f t="shared" si="510"/>
        <v>2561.3958383151376</v>
      </c>
      <c r="CG170" s="754">
        <f t="shared" si="510"/>
        <v>3324.1222635709578</v>
      </c>
      <c r="CH170" s="754">
        <f t="shared" si="510"/>
        <v>4224.1456217982168</v>
      </c>
      <c r="CI170" s="754">
        <f t="shared" si="510"/>
        <v>4986.8720470540366</v>
      </c>
      <c r="CJ170" s="755">
        <f>SUM(CJ166:CJ169)</f>
        <v>7548.2678853691741</v>
      </c>
    </row>
    <row r="171" spans="1:88" outlineLevel="1" x14ac:dyDescent="0.2">
      <c r="A171" s="202" t="s">
        <v>798</v>
      </c>
      <c r="B171" s="681"/>
      <c r="C171" s="272"/>
      <c r="D171" s="272"/>
      <c r="E171" s="272"/>
      <c r="F171" s="272"/>
      <c r="G171" s="272"/>
      <c r="H171" s="272"/>
      <c r="I171" s="272"/>
      <c r="J171" s="272"/>
      <c r="K171" s="272"/>
      <c r="L171" s="272"/>
      <c r="M171" s="269"/>
      <c r="N171" s="756"/>
      <c r="O171" s="694">
        <f>O170/N170-1</f>
        <v>3.4232394658607834E-2</v>
      </c>
      <c r="P171" s="694">
        <f>P170/O170-1</f>
        <v>1.1982021848406355E-2</v>
      </c>
      <c r="Q171" s="706">
        <f>Q170/P170-1</f>
        <v>-1.8402264542938029E-2</v>
      </c>
      <c r="R171" s="706"/>
      <c r="S171" s="706">
        <f>S170/Q170-1</f>
        <v>0.22564236809457427</v>
      </c>
      <c r="T171" s="706"/>
      <c r="U171" s="638">
        <f>U170/S170-1</f>
        <v>6.5324447164595734E-2</v>
      </c>
      <c r="V171" s="638">
        <f>V170/U170-1</f>
        <v>-0.4853242928462782</v>
      </c>
      <c r="W171" s="638">
        <f>W170/V170-1</f>
        <v>-0.20326740538911192</v>
      </c>
      <c r="X171" s="649">
        <f>X170/W170-1</f>
        <v>0.5357314589599389</v>
      </c>
      <c r="Y171" s="638"/>
      <c r="Z171" s="638"/>
      <c r="AA171" s="638"/>
      <c r="AB171" s="657"/>
      <c r="AC171" s="638"/>
      <c r="AD171" s="638"/>
      <c r="AE171" s="638"/>
      <c r="AF171" s="748">
        <f>AF170/X170-1</f>
        <v>0.35188060892416684</v>
      </c>
      <c r="AG171" s="638"/>
      <c r="AH171" s="638"/>
      <c r="AI171" s="638"/>
      <c r="AJ171" s="657"/>
      <c r="AK171" s="638"/>
      <c r="AL171" s="638"/>
      <c r="AM171" s="638"/>
      <c r="AN171" s="748">
        <f>AN170/AF170-1</f>
        <v>1.8898723555643926E-2</v>
      </c>
      <c r="AO171" s="638"/>
      <c r="AP171" s="638"/>
      <c r="AQ171" s="638"/>
      <c r="AR171" s="657"/>
      <c r="AS171" s="638"/>
      <c r="AT171" s="638"/>
      <c r="AU171" s="638"/>
      <c r="AV171" s="748">
        <f>AV170/AN170-1</f>
        <v>0.11090792041557851</v>
      </c>
      <c r="AW171" s="638"/>
      <c r="AX171" s="638"/>
      <c r="AY171" s="638"/>
      <c r="AZ171" s="657"/>
      <c r="BA171" s="638"/>
      <c r="BB171" s="638"/>
      <c r="BC171" s="638"/>
      <c r="BD171" s="652">
        <f>BD170/AN170-1</f>
        <v>0.43741373007912654</v>
      </c>
      <c r="BE171" s="638"/>
      <c r="BF171" s="638"/>
      <c r="BG171" s="638"/>
      <c r="BH171" s="657"/>
      <c r="BI171" s="638"/>
      <c r="BJ171" s="638"/>
      <c r="BK171" s="638"/>
      <c r="BL171" s="652">
        <f>BL170/AV170-1</f>
        <v>0.39880194792409629</v>
      </c>
      <c r="BM171" s="638"/>
      <c r="BN171" s="638"/>
      <c r="BO171" s="638"/>
      <c r="BP171" s="657"/>
      <c r="BQ171" s="638"/>
      <c r="BR171" s="638"/>
      <c r="BS171" s="638"/>
      <c r="BT171" s="652">
        <f>BT170/BD170-1</f>
        <v>0.20003523067904339</v>
      </c>
      <c r="BU171" s="638"/>
      <c r="BV171" s="638"/>
      <c r="BW171" s="638"/>
      <c r="BX171" s="657"/>
      <c r="BY171" s="638"/>
      <c r="BZ171" s="638"/>
      <c r="CA171" s="638"/>
      <c r="CB171" s="652">
        <f>CB170/BL170-1</f>
        <v>0.15794592873143265</v>
      </c>
      <c r="CC171" s="638"/>
      <c r="CD171" s="638"/>
      <c r="CE171" s="638"/>
      <c r="CF171" s="657"/>
      <c r="CG171" s="638"/>
      <c r="CH171" s="638"/>
      <c r="CI171" s="638"/>
      <c r="CJ171" s="652">
        <f>CJ170/BT170-1</f>
        <v>6.4406588127759123E-2</v>
      </c>
    </row>
    <row r="172" spans="1:88" outlineLevel="1" x14ac:dyDescent="0.2">
      <c r="A172" s="186"/>
      <c r="B172" s="681"/>
      <c r="C172" s="272"/>
      <c r="D172" s="272"/>
      <c r="E172" s="272"/>
      <c r="F172" s="272"/>
      <c r="G172" s="272"/>
      <c r="H172" s="272"/>
      <c r="I172" s="272"/>
      <c r="J172" s="272"/>
      <c r="K172" s="272"/>
      <c r="L172" s="272"/>
      <c r="M172" s="269"/>
      <c r="N172" s="756"/>
      <c r="O172" s="756"/>
      <c r="P172" s="756"/>
      <c r="Q172" s="756"/>
      <c r="R172" s="756"/>
      <c r="S172" s="756">
        <v>0</v>
      </c>
      <c r="T172" s="756"/>
      <c r="U172" s="638"/>
      <c r="V172" s="638"/>
      <c r="W172" s="638"/>
      <c r="X172" s="649"/>
      <c r="Y172" s="638"/>
      <c r="Z172" s="638"/>
      <c r="AA172" s="638"/>
      <c r="AB172" s="657"/>
      <c r="AC172" s="638"/>
      <c r="AD172" s="638"/>
      <c r="AE172" s="638"/>
      <c r="AF172" s="748"/>
      <c r="AG172" s="638"/>
      <c r="AH172" s="638"/>
      <c r="AI172" s="638"/>
      <c r="AJ172" s="657"/>
      <c r="AK172" s="638"/>
      <c r="AL172" s="638"/>
      <c r="AM172" s="638"/>
      <c r="AN172" s="748"/>
      <c r="AO172" s="638"/>
      <c r="AP172" s="638"/>
      <c r="AQ172" s="638"/>
      <c r="AR172" s="657"/>
      <c r="AS172" s="638"/>
      <c r="AT172" s="638"/>
      <c r="AU172" s="638"/>
      <c r="AV172" s="748"/>
      <c r="AW172" s="638"/>
      <c r="AX172" s="638"/>
      <c r="AY172" s="638"/>
      <c r="AZ172" s="657"/>
      <c r="BA172" s="638"/>
      <c r="BB172" s="638"/>
      <c r="BC172" s="638"/>
      <c r="BD172" s="748"/>
      <c r="BE172" s="638"/>
      <c r="BF172" s="638"/>
      <c r="BG172" s="638"/>
      <c r="BH172" s="657"/>
      <c r="BI172" s="638"/>
      <c r="BJ172" s="638"/>
      <c r="BK172" s="638"/>
      <c r="BL172" s="748"/>
      <c r="BM172" s="638"/>
      <c r="BN172" s="638"/>
      <c r="BO172" s="638"/>
      <c r="BP172" s="657"/>
      <c r="BQ172" s="638"/>
      <c r="BR172" s="638"/>
      <c r="BS172" s="638"/>
      <c r="BT172" s="748"/>
      <c r="BU172" s="638"/>
      <c r="BV172" s="638"/>
      <c r="BW172" s="638"/>
      <c r="BX172" s="657"/>
      <c r="BY172" s="638"/>
      <c r="BZ172" s="638"/>
      <c r="CA172" s="638"/>
      <c r="CB172" s="748"/>
      <c r="CC172" s="638"/>
      <c r="CD172" s="638"/>
      <c r="CE172" s="638"/>
      <c r="CF172" s="657"/>
      <c r="CG172" s="638"/>
      <c r="CH172" s="638"/>
      <c r="CI172" s="638"/>
      <c r="CJ172" s="748"/>
    </row>
    <row r="173" spans="1:88" outlineLevel="1" x14ac:dyDescent="0.2">
      <c r="A173" s="186" t="s">
        <v>799</v>
      </c>
      <c r="B173" s="681"/>
      <c r="C173" s="272"/>
      <c r="D173" s="272"/>
      <c r="E173" s="272"/>
      <c r="F173" s="272"/>
      <c r="G173" s="272"/>
      <c r="H173" s="272"/>
      <c r="I173" s="272"/>
      <c r="J173" s="272"/>
      <c r="K173" s="272"/>
      <c r="L173" s="272"/>
      <c r="M173" s="278"/>
      <c r="N173" s="689"/>
      <c r="O173" s="462"/>
      <c r="P173" s="689"/>
      <c r="Q173" s="689"/>
      <c r="R173" s="689"/>
      <c r="S173" s="689"/>
      <c r="T173" s="689"/>
      <c r="U173" s="689"/>
      <c r="V173" s="689"/>
      <c r="W173" s="689"/>
      <c r="X173" s="757"/>
      <c r="Y173" s="689"/>
      <c r="Z173" s="689"/>
      <c r="AA173" s="689"/>
      <c r="AB173" s="758"/>
      <c r="AC173" s="689"/>
      <c r="AD173" s="689"/>
      <c r="AE173" s="689"/>
      <c r="AF173" s="759"/>
      <c r="AG173" s="689"/>
      <c r="AH173" s="689"/>
      <c r="AI173" s="689"/>
      <c r="AJ173" s="758"/>
      <c r="AK173" s="689"/>
      <c r="AL173" s="689"/>
      <c r="AM173" s="689"/>
      <c r="AN173" s="759"/>
      <c r="AO173" s="689"/>
      <c r="AP173" s="689"/>
      <c r="AQ173" s="689"/>
      <c r="AR173" s="758"/>
      <c r="AS173" s="689"/>
      <c r="AT173" s="689"/>
      <c r="AU173" s="689"/>
      <c r="AV173" s="759"/>
      <c r="AW173" s="689"/>
      <c r="AX173" s="689"/>
      <c r="AY173" s="689"/>
      <c r="AZ173" s="758"/>
      <c r="BA173" s="689"/>
      <c r="BB173" s="689"/>
      <c r="BC173" s="689"/>
      <c r="BD173" s="759"/>
      <c r="BE173" s="689"/>
      <c r="BF173" s="689"/>
      <c r="BG173" s="689"/>
      <c r="BH173" s="758"/>
      <c r="BI173" s="689"/>
      <c r="BJ173" s="689"/>
      <c r="BK173" s="689"/>
      <c r="BL173" s="759"/>
      <c r="BM173" s="689"/>
      <c r="BN173" s="689"/>
      <c r="BO173" s="689"/>
      <c r="BP173" s="758"/>
      <c r="BQ173" s="689"/>
      <c r="BR173" s="689"/>
      <c r="BS173" s="689"/>
      <c r="BT173" s="759"/>
      <c r="BU173" s="689"/>
      <c r="BV173" s="689"/>
      <c r="BW173" s="689"/>
      <c r="BX173" s="758"/>
      <c r="BY173" s="689"/>
      <c r="BZ173" s="689"/>
      <c r="CA173" s="689"/>
      <c r="CB173" s="759"/>
      <c r="CC173" s="689"/>
      <c r="CD173" s="689"/>
      <c r="CE173" s="689"/>
      <c r="CF173" s="758"/>
      <c r="CG173" s="689"/>
      <c r="CH173" s="689"/>
      <c r="CI173" s="689"/>
      <c r="CJ173" s="759"/>
    </row>
    <row r="174" spans="1:88" outlineLevel="1" x14ac:dyDescent="0.2">
      <c r="A174" s="4" t="s">
        <v>790</v>
      </c>
      <c r="B174" s="681"/>
      <c r="C174" s="272"/>
      <c r="D174" s="272"/>
      <c r="E174" s="272"/>
      <c r="F174" s="272"/>
      <c r="G174" s="272"/>
      <c r="H174" s="272"/>
      <c r="I174" s="272"/>
      <c r="J174" s="272"/>
      <c r="K174" s="272"/>
      <c r="L174" s="272"/>
      <c r="M174" s="278"/>
      <c r="N174" s="740">
        <f>'Civil OE'!B30</f>
        <v>365.22695081249998</v>
      </c>
      <c r="O174" s="740">
        <f>'Civil OE'!C30</f>
        <v>389.07756562500003</v>
      </c>
      <c r="P174" s="740">
        <f>'Civil OE'!D30</f>
        <v>399.28128684890339</v>
      </c>
      <c r="Q174" s="740">
        <f>'Civil OE'!E30</f>
        <v>345.66591095980726</v>
      </c>
      <c r="R174" s="740"/>
      <c r="S174" s="740">
        <f>'Civil OE'!F30</f>
        <v>328.11818120621831</v>
      </c>
      <c r="T174" s="740"/>
      <c r="U174" s="740">
        <f>'Civil OE'!G30</f>
        <v>139.01381158646274</v>
      </c>
      <c r="V174" s="740">
        <f>'Civil OE'!H30</f>
        <v>55.925209591392608</v>
      </c>
      <c r="W174" s="740">
        <f>'Civil OE'!I30</f>
        <v>32.869392047260241</v>
      </c>
      <c r="X174" s="741">
        <f>'Civil OE'!J30</f>
        <v>12.939577083364872</v>
      </c>
      <c r="Y174" s="740"/>
      <c r="Z174" s="740"/>
      <c r="AA174" s="740"/>
      <c r="AB174" s="760"/>
      <c r="AC174" s="740">
        <f>'Civil OE'!O30</f>
        <v>3.1875804813038968</v>
      </c>
      <c r="AD174" s="740">
        <f>'Civil OE'!P30</f>
        <v>4.8727045470137167</v>
      </c>
      <c r="AE174" s="740"/>
      <c r="AF174" s="1368">
        <f>'Civil OE'!R30</f>
        <v>8.0602850283176135</v>
      </c>
      <c r="AG174" s="740"/>
      <c r="AH174" s="740"/>
      <c r="AI174" s="740"/>
      <c r="AJ174" s="760"/>
      <c r="AK174" s="740">
        <f>'Civil OE'!W30</f>
        <v>4.1483703647102468</v>
      </c>
      <c r="AL174" s="740">
        <f>'Civil OE'!X30</f>
        <v>4.5960594025167092</v>
      </c>
      <c r="AM174" s="740"/>
      <c r="AN174" s="1368">
        <f>'Civil OE'!Z30</f>
        <v>8.744429767226956</v>
      </c>
      <c r="AO174" s="740"/>
      <c r="AP174" s="740"/>
      <c r="AQ174" s="740"/>
      <c r="AR174" s="760"/>
      <c r="AS174" s="740">
        <f>'Civil OE'!AE30</f>
        <v>3.64</v>
      </c>
      <c r="AT174" s="740">
        <f>'Civil OE'!AF30</f>
        <v>2.6</v>
      </c>
      <c r="AU174" s="740"/>
      <c r="AV174" s="1368">
        <f>'Civil OE'!AH30</f>
        <v>6.24</v>
      </c>
      <c r="AW174" s="740"/>
      <c r="AX174" s="740"/>
      <c r="AY174" s="740"/>
      <c r="AZ174" s="760"/>
      <c r="BA174" s="740">
        <f>'Civil OE'!AM30</f>
        <v>3.0183999999999997</v>
      </c>
      <c r="BB174" s="743">
        <f>'Civil OE'!AN30</f>
        <v>1.7423960116185899</v>
      </c>
      <c r="BC174" s="743"/>
      <c r="BD174" s="744">
        <f>'Civil OE'!AP30</f>
        <v>4.7607960116185897</v>
      </c>
      <c r="BE174" s="740"/>
      <c r="BF174" s="740"/>
      <c r="BG174" s="740"/>
      <c r="BH174" s="760"/>
      <c r="BI174" s="743">
        <f>'Civil OE'!AU30</f>
        <v>1.4405999999999999</v>
      </c>
      <c r="BJ174" s="743">
        <f>'Civil OE'!AV30</f>
        <v>2.0628584974916389</v>
      </c>
      <c r="BK174" s="743"/>
      <c r="BL174" s="744">
        <f>'Civil OE'!AX30</f>
        <v>3.5034584974916387</v>
      </c>
      <c r="BM174" s="740"/>
      <c r="BN174" s="740"/>
      <c r="BO174" s="740"/>
      <c r="BP174" s="760"/>
      <c r="BQ174" s="743">
        <f>'Civil OE'!BC30</f>
        <v>1.4117879999999996</v>
      </c>
      <c r="BR174" s="743">
        <f>'Civil OE'!BD30</f>
        <v>2.014057455523929</v>
      </c>
      <c r="BS174" s="743"/>
      <c r="BT174" s="744">
        <f>'Civil OE'!BF30</f>
        <v>3.4258454555239286</v>
      </c>
      <c r="BU174" s="740"/>
      <c r="BV174" s="740"/>
      <c r="BW174" s="740"/>
      <c r="BX174" s="760"/>
      <c r="BY174" s="743">
        <f>'Civil OE'!BK30</f>
        <v>1.38355224</v>
      </c>
      <c r="BZ174" s="743">
        <f>'Civil OE'!BL30</f>
        <v>1.9720202999806971</v>
      </c>
      <c r="CA174" s="743"/>
      <c r="CB174" s="744">
        <f>'Civil OE'!BN30</f>
        <v>3.355572539980697</v>
      </c>
      <c r="CC174" s="740"/>
      <c r="CD174" s="740"/>
      <c r="CE174" s="740"/>
      <c r="CF174" s="760"/>
      <c r="CG174" s="743">
        <f>'Civil OE'!BS30</f>
        <v>1.3558811952000001</v>
      </c>
      <c r="CH174" s="743">
        <f>'Civil OE'!BT30</f>
        <v>1.8544362699850299</v>
      </c>
      <c r="CI174" s="743"/>
      <c r="CJ174" s="744">
        <f>'Civil OE'!BV30</f>
        <v>3.2103174651850299</v>
      </c>
    </row>
    <row r="175" spans="1:88" outlineLevel="1" x14ac:dyDescent="0.2">
      <c r="A175" s="4" t="s">
        <v>791</v>
      </c>
      <c r="B175" s="681"/>
      <c r="C175" s="272"/>
      <c r="D175" s="272"/>
      <c r="E175" s="272"/>
      <c r="F175" s="272"/>
      <c r="G175" s="272"/>
      <c r="H175" s="272"/>
      <c r="I175" s="272"/>
      <c r="J175" s="272"/>
      <c r="K175" s="272"/>
      <c r="L175" s="272"/>
      <c r="M175" s="278"/>
      <c r="N175" s="740">
        <f>'Civil OE'!B31</f>
        <v>0</v>
      </c>
      <c r="O175" s="740">
        <f>'Civil OE'!C31</f>
        <v>0</v>
      </c>
      <c r="P175" s="740">
        <f>'Civil OE'!D31</f>
        <v>-63.835819140966102</v>
      </c>
      <c r="Q175" s="740">
        <f>'Civil OE'!E31</f>
        <v>-490.33064733660626</v>
      </c>
      <c r="R175" s="740"/>
      <c r="S175" s="740">
        <f>'Civil OE'!F31</f>
        <v>-995.63691070236155</v>
      </c>
      <c r="T175" s="740"/>
      <c r="U175" s="740">
        <f>'Civil OE'!G31</f>
        <v>-1296.7793890524702</v>
      </c>
      <c r="V175" s="740">
        <f>'Civil OE'!H31</f>
        <v>-555.47110039348445</v>
      </c>
      <c r="W175" s="740">
        <f>'Civil OE'!I31</f>
        <v>-301.81069090883716</v>
      </c>
      <c r="X175" s="741">
        <f>'Civil OE'!J31</f>
        <v>-209.72193496460989</v>
      </c>
      <c r="Y175" s="740"/>
      <c r="Z175" s="740"/>
      <c r="AA175" s="740"/>
      <c r="AB175" s="760"/>
      <c r="AC175" s="740">
        <f>'Civil OE'!O31</f>
        <v>0</v>
      </c>
      <c r="AD175" s="740">
        <f>'Civil OE'!P31</f>
        <v>0</v>
      </c>
      <c r="AE175" s="740"/>
      <c r="AF175" s="1368">
        <f>'Civil OE'!R31</f>
        <v>0</v>
      </c>
      <c r="AG175" s="740"/>
      <c r="AH175" s="740"/>
      <c r="AI175" s="740"/>
      <c r="AJ175" s="760"/>
      <c r="AK175" s="740">
        <f>'Civil OE'!W31</f>
        <v>-169.51810350315674</v>
      </c>
      <c r="AL175" s="740">
        <f>'Civil OE'!X31</f>
        <v>256.95610832115409</v>
      </c>
      <c r="AM175" s="740"/>
      <c r="AN175" s="1368">
        <f>'Civil OE'!Z31</f>
        <v>87.438004817997339</v>
      </c>
      <c r="AO175" s="740"/>
      <c r="AP175" s="740"/>
      <c r="AQ175" s="740"/>
      <c r="AR175" s="760"/>
      <c r="AS175" s="740">
        <f>'Civil OE'!AE31</f>
        <v>87.48</v>
      </c>
      <c r="AT175" s="740">
        <f>'Civil OE'!AF31</f>
        <v>105.10875</v>
      </c>
      <c r="AU175" s="740"/>
      <c r="AV175" s="1368">
        <f>'Civil OE'!AH31</f>
        <v>192.58875</v>
      </c>
      <c r="AW175" s="740"/>
      <c r="AX175" s="740"/>
      <c r="AY175" s="740"/>
      <c r="AZ175" s="760"/>
      <c r="BA175" s="740">
        <f>'Civil OE'!AM31</f>
        <v>192.816</v>
      </c>
      <c r="BB175" s="743">
        <f>'Civil OE'!AN31</f>
        <v>182.20210530761724</v>
      </c>
      <c r="BC175" s="743"/>
      <c r="BD175" s="744">
        <f>'Civil OE'!AP31</f>
        <v>375.01810530761725</v>
      </c>
      <c r="BE175" s="740"/>
      <c r="BF175" s="740"/>
      <c r="BG175" s="740"/>
      <c r="BH175" s="760"/>
      <c r="BI175" s="743">
        <f>'Civil OE'!AU31</f>
        <v>174.45870000000002</v>
      </c>
      <c r="BJ175" s="743">
        <f>'Civil OE'!AV31</f>
        <v>239.11459821684787</v>
      </c>
      <c r="BK175" s="743"/>
      <c r="BL175" s="744">
        <f>'Civil OE'!AX31</f>
        <v>413.57329821684789</v>
      </c>
      <c r="BM175" s="740"/>
      <c r="BN175" s="740"/>
      <c r="BO175" s="740"/>
      <c r="BP175" s="760"/>
      <c r="BQ175" s="743">
        <f>'Civil OE'!BC31</f>
        <v>201.36823200000006</v>
      </c>
      <c r="BR175" s="743">
        <f>'Civil OE'!BD31</f>
        <v>264.2279200077254</v>
      </c>
      <c r="BS175" s="743"/>
      <c r="BT175" s="744">
        <f>'Civil OE'!BF31</f>
        <v>465.59615200772544</v>
      </c>
      <c r="BU175" s="740"/>
      <c r="BV175" s="740"/>
      <c r="BW175" s="740"/>
      <c r="BX175" s="760"/>
      <c r="BY175" s="743">
        <f>'Civil OE'!BK31</f>
        <v>212.21965440000008</v>
      </c>
      <c r="BZ175" s="743">
        <f>'Civil OE'!BL31</f>
        <v>275.59321756167378</v>
      </c>
      <c r="CA175" s="743"/>
      <c r="CB175" s="744">
        <f>'Civil OE'!BN31</f>
        <v>487.81287196167386</v>
      </c>
      <c r="CC175" s="740"/>
      <c r="CD175" s="740"/>
      <c r="CE175" s="740"/>
      <c r="CF175" s="760"/>
      <c r="CG175" s="743">
        <f>'Civil OE'!BS31</f>
        <v>217.45769610240006</v>
      </c>
      <c r="CH175" s="743">
        <f>'Civil OE'!BT31</f>
        <v>280.96016283264913</v>
      </c>
      <c r="CI175" s="743"/>
      <c r="CJ175" s="744">
        <f>'Civil OE'!BV31</f>
        <v>498.4178589350492</v>
      </c>
    </row>
    <row r="176" spans="1:88" outlineLevel="1" x14ac:dyDescent="0.2">
      <c r="A176" s="4" t="s">
        <v>792</v>
      </c>
      <c r="B176" s="681"/>
      <c r="C176" s="272"/>
      <c r="D176" s="272"/>
      <c r="E176" s="272"/>
      <c r="F176" s="272"/>
      <c r="G176" s="272"/>
      <c r="H176" s="272"/>
      <c r="I176" s="272"/>
      <c r="J176" s="272"/>
      <c r="K176" s="272"/>
      <c r="L176" s="272"/>
      <c r="M176" s="278"/>
      <c r="N176" s="740">
        <f>'Civil OE'!B32</f>
        <v>3.6485756984870252</v>
      </c>
      <c r="O176" s="740">
        <f>'Civil OE'!C32</f>
        <v>2.9482705217596776</v>
      </c>
      <c r="P176" s="740">
        <f>'Civil OE'!D32</f>
        <v>-0.11700145434157548</v>
      </c>
      <c r="Q176" s="740">
        <f>'Civil OE'!E32</f>
        <v>0.71255441992333091</v>
      </c>
      <c r="R176" s="740"/>
      <c r="S176" s="740">
        <f>'Civil OE'!F32</f>
        <v>5.1147846629647393</v>
      </c>
      <c r="T176" s="740"/>
      <c r="U176" s="740">
        <f>'Civil OE'!G32</f>
        <v>-4.9302131185920146</v>
      </c>
      <c r="V176" s="740">
        <f>'Civil OE'!H32</f>
        <v>-3.0990521644756814</v>
      </c>
      <c r="W176" s="740">
        <f>'Civil OE'!I32</f>
        <v>-0.95549915234669702</v>
      </c>
      <c r="X176" s="741">
        <f>'Civil OE'!J32</f>
        <v>10.516821299165624</v>
      </c>
      <c r="Y176" s="740"/>
      <c r="Z176" s="740"/>
      <c r="AA176" s="740"/>
      <c r="AB176" s="760"/>
      <c r="AC176" s="740">
        <f>'Civil OE'!O32</f>
        <v>12.57483188482246</v>
      </c>
      <c r="AD176" s="740">
        <f>'Civil OE'!P32</f>
        <v>-14.029792871570338</v>
      </c>
      <c r="AE176" s="740"/>
      <c r="AF176" s="1368">
        <f>'Civil OE'!R32</f>
        <v>-1.4549609867478785</v>
      </c>
      <c r="AG176" s="740"/>
      <c r="AH176" s="740"/>
      <c r="AI176" s="740"/>
      <c r="AJ176" s="760"/>
      <c r="AK176" s="740">
        <f>'Civil OE'!W32</f>
        <v>6.9809195609750576</v>
      </c>
      <c r="AL176" s="740">
        <f>'Civil OE'!X32</f>
        <v>-1.5596758953765377</v>
      </c>
      <c r="AM176" s="740"/>
      <c r="AN176" s="1368">
        <f>'Civil OE'!Z32</f>
        <v>5.4212436655985199</v>
      </c>
      <c r="AO176" s="740"/>
      <c r="AP176" s="740"/>
      <c r="AQ176" s="740"/>
      <c r="AR176" s="760"/>
      <c r="AS176" s="740">
        <f>'Civil OE'!AE32</f>
        <v>12.085690098153725</v>
      </c>
      <c r="AT176" s="740">
        <f>'Civil OE'!AF32</f>
        <v>-5.9915949581595358</v>
      </c>
      <c r="AU176" s="740"/>
      <c r="AV176" s="1368">
        <f>'Civil OE'!AH32</f>
        <v>6.0940951399941889</v>
      </c>
      <c r="AW176" s="740"/>
      <c r="AX176" s="740"/>
      <c r="AY176" s="740"/>
      <c r="AZ176" s="760"/>
      <c r="BA176" s="740">
        <f>'Civil OE'!AM32</f>
        <v>2.4750390295024483</v>
      </c>
      <c r="BB176" s="743">
        <f>'Civil OE'!AN32</f>
        <v>7.5249609704975517</v>
      </c>
      <c r="BC176" s="743"/>
      <c r="BD176" s="744">
        <f>'Civil OE'!AP32</f>
        <v>10</v>
      </c>
      <c r="BE176" s="740"/>
      <c r="BF176" s="740"/>
      <c r="BG176" s="740"/>
      <c r="BH176" s="760"/>
      <c r="BI176" s="743">
        <f>'Civil OE'!AU32</f>
        <v>5</v>
      </c>
      <c r="BJ176" s="743">
        <f>'Civil OE'!AV32</f>
        <v>5</v>
      </c>
      <c r="BK176" s="743"/>
      <c r="BL176" s="744">
        <f>'Civil OE'!AX32</f>
        <v>10</v>
      </c>
      <c r="BM176" s="740"/>
      <c r="BN176" s="740"/>
      <c r="BO176" s="740"/>
      <c r="BP176" s="760"/>
      <c r="BQ176" s="743">
        <f>'Civil OE'!BC32</f>
        <v>5</v>
      </c>
      <c r="BR176" s="743">
        <f>'Civil OE'!BD32</f>
        <v>5</v>
      </c>
      <c r="BS176" s="743"/>
      <c r="BT176" s="744">
        <f>'Civil OE'!BF32</f>
        <v>10</v>
      </c>
      <c r="BU176" s="740"/>
      <c r="BV176" s="740"/>
      <c r="BW176" s="740"/>
      <c r="BX176" s="760"/>
      <c r="BY176" s="743">
        <f>'Civil OE'!BK32</f>
        <v>5</v>
      </c>
      <c r="BZ176" s="743">
        <f>'Civil OE'!BL32</f>
        <v>5</v>
      </c>
      <c r="CA176" s="743"/>
      <c r="CB176" s="744">
        <f>'Civil OE'!BN32</f>
        <v>10</v>
      </c>
      <c r="CC176" s="740"/>
      <c r="CD176" s="740"/>
      <c r="CE176" s="740"/>
      <c r="CF176" s="760"/>
      <c r="CG176" s="743">
        <f>'Civil OE'!BS32</f>
        <v>5</v>
      </c>
      <c r="CH176" s="743">
        <f>'Civil OE'!BT32</f>
        <v>5</v>
      </c>
      <c r="CI176" s="743"/>
      <c r="CJ176" s="744">
        <f>'Civil OE'!BV32</f>
        <v>10</v>
      </c>
    </row>
    <row r="177" spans="1:88" outlineLevel="1" x14ac:dyDescent="0.2">
      <c r="A177" s="4" t="s">
        <v>793</v>
      </c>
      <c r="B177" s="681"/>
      <c r="C177" s="272"/>
      <c r="D177" s="272"/>
      <c r="E177" s="272"/>
      <c r="F177" s="272"/>
      <c r="G177" s="272"/>
      <c r="H177" s="272"/>
      <c r="I177" s="272"/>
      <c r="J177" s="272"/>
      <c r="K177" s="272"/>
      <c r="L177" s="272"/>
      <c r="M177" s="278"/>
      <c r="N177" s="740">
        <f>'Civil OE'!B33</f>
        <v>0</v>
      </c>
      <c r="O177" s="740">
        <f>'Civil OE'!C33</f>
        <v>0</v>
      </c>
      <c r="P177" s="740">
        <f>'Civil OE'!D33</f>
        <v>0</v>
      </c>
      <c r="Q177" s="740">
        <f>'Civil OE'!E33</f>
        <v>0</v>
      </c>
      <c r="R177" s="740"/>
      <c r="S177" s="740">
        <f>'Civil OE'!F33</f>
        <v>0</v>
      </c>
      <c r="T177" s="740"/>
      <c r="U177" s="740">
        <f>'Civil OE'!G33</f>
        <v>0</v>
      </c>
      <c r="V177" s="740">
        <f>'Civil OE'!H33</f>
        <v>0</v>
      </c>
      <c r="W177" s="740">
        <f>'Civil OE'!I33</f>
        <v>0</v>
      </c>
      <c r="X177" s="741">
        <f>'Civil OE'!J33</f>
        <v>0</v>
      </c>
      <c r="Y177" s="740"/>
      <c r="Z177" s="740"/>
      <c r="AA177" s="740"/>
      <c r="AB177" s="760"/>
      <c r="AC177" s="740">
        <f>'Civil OE'!O33</f>
        <v>0</v>
      </c>
      <c r="AD177" s="740">
        <f>'Civil OE'!P33</f>
        <v>0</v>
      </c>
      <c r="AE177" s="740"/>
      <c r="AF177" s="1368">
        <f>'Civil OE'!R33</f>
        <v>0</v>
      </c>
      <c r="AG177" s="740"/>
      <c r="AH177" s="740"/>
      <c r="AI177" s="740"/>
      <c r="AJ177" s="760"/>
      <c r="AK177" s="740">
        <f>'Civil OE'!W33</f>
        <v>0</v>
      </c>
      <c r="AL177" s="740">
        <f>'Civil OE'!X33</f>
        <v>0</v>
      </c>
      <c r="AM177" s="740"/>
      <c r="AN177" s="1368">
        <f>'Civil OE'!Z33</f>
        <v>0</v>
      </c>
      <c r="AO177" s="740"/>
      <c r="AP177" s="740"/>
      <c r="AQ177" s="740"/>
      <c r="AR177" s="760"/>
      <c r="AS177" s="740">
        <f>'Civil OE'!AE33</f>
        <v>0</v>
      </c>
      <c r="AT177" s="740">
        <f>'Civil OE'!AF33</f>
        <v>0</v>
      </c>
      <c r="AU177" s="740"/>
      <c r="AV177" s="1368">
        <f>'Civil OE'!AH33</f>
        <v>0</v>
      </c>
      <c r="AW177" s="740"/>
      <c r="AX177" s="740"/>
      <c r="AY177" s="740"/>
      <c r="AZ177" s="760"/>
      <c r="BA177" s="740">
        <f>'Civil OE'!AM33</f>
        <v>0</v>
      </c>
      <c r="BB177" s="743">
        <f>'Civil OE'!AN33</f>
        <v>0</v>
      </c>
      <c r="BC177" s="743"/>
      <c r="BD177" s="744">
        <f>'Civil OE'!AP33</f>
        <v>0</v>
      </c>
      <c r="BE177" s="740"/>
      <c r="BF177" s="740"/>
      <c r="BG177" s="740"/>
      <c r="BH177" s="760"/>
      <c r="BI177" s="743">
        <f>'Civil OE'!AU33</f>
        <v>0</v>
      </c>
      <c r="BJ177" s="743">
        <f>'Civil OE'!AV33</f>
        <v>0</v>
      </c>
      <c r="BK177" s="743"/>
      <c r="BL177" s="744">
        <f>'Civil OE'!AX33</f>
        <v>0</v>
      </c>
      <c r="BM177" s="740"/>
      <c r="BN177" s="740"/>
      <c r="BO177" s="740"/>
      <c r="BP177" s="760"/>
      <c r="BQ177" s="743">
        <f>'Civil OE'!BC33</f>
        <v>0</v>
      </c>
      <c r="BR177" s="743">
        <f>'Civil OE'!BD33</f>
        <v>0</v>
      </c>
      <c r="BS177" s="743"/>
      <c r="BT177" s="744">
        <f>'Civil OE'!BF33</f>
        <v>0</v>
      </c>
      <c r="BU177" s="740"/>
      <c r="BV177" s="740"/>
      <c r="BW177" s="740"/>
      <c r="BX177" s="760"/>
      <c r="BY177" s="743">
        <f>'Civil OE'!BK33</f>
        <v>0</v>
      </c>
      <c r="BZ177" s="743">
        <f>'Civil OE'!BL33</f>
        <v>0</v>
      </c>
      <c r="CA177" s="743"/>
      <c r="CB177" s="744">
        <f>'Civil OE'!BN33</f>
        <v>0</v>
      </c>
      <c r="CC177" s="740"/>
      <c r="CD177" s="740"/>
      <c r="CE177" s="740"/>
      <c r="CF177" s="760"/>
      <c r="CG177" s="743">
        <f>'Civil OE'!BS33</f>
        <v>0</v>
      </c>
      <c r="CH177" s="743">
        <f>'Civil OE'!BT33</f>
        <v>0</v>
      </c>
      <c r="CI177" s="743"/>
      <c r="CJ177" s="744">
        <f>'Civil OE'!BV33</f>
        <v>0</v>
      </c>
    </row>
    <row r="178" spans="1:88" outlineLevel="1" x14ac:dyDescent="0.2">
      <c r="A178" s="717" t="s">
        <v>800</v>
      </c>
      <c r="B178" s="718"/>
      <c r="C178" s="719"/>
      <c r="D178" s="719"/>
      <c r="E178" s="719"/>
      <c r="F178" s="719"/>
      <c r="G178" s="719"/>
      <c r="H178" s="719"/>
      <c r="I178" s="719"/>
      <c r="J178" s="719"/>
      <c r="K178" s="719"/>
      <c r="L178" s="719"/>
      <c r="M178" s="726"/>
      <c r="N178" s="751">
        <f>SUM(N174:N177)</f>
        <v>368.87552651098702</v>
      </c>
      <c r="O178" s="751">
        <f>SUM(O174:O177)</f>
        <v>392.02583614675973</v>
      </c>
      <c r="P178" s="751">
        <f>SUM(P174:P177)</f>
        <v>335.32846625359571</v>
      </c>
      <c r="Q178" s="751">
        <f>SUM(Q174:Q177)</f>
        <v>-143.95218195687568</v>
      </c>
      <c r="R178" s="751"/>
      <c r="S178" s="751">
        <f>SUM(S174:S177)</f>
        <v>-662.40394483317846</v>
      </c>
      <c r="T178" s="751"/>
      <c r="U178" s="751">
        <f>SUM(U174:U177)</f>
        <v>-1162.6957905845995</v>
      </c>
      <c r="V178" s="751">
        <f>SUM(V174:V177)</f>
        <v>-502.6449429665675</v>
      </c>
      <c r="W178" s="751">
        <f>SUM(W174:W177)</f>
        <v>-269.89679801392361</v>
      </c>
      <c r="X178" s="752">
        <f>SUM(X174:X177)</f>
        <v>-186.26553658207939</v>
      </c>
      <c r="Y178" s="751"/>
      <c r="Z178" s="751"/>
      <c r="AA178" s="751"/>
      <c r="AB178" s="761"/>
      <c r="AC178" s="751">
        <f>SUM(AC174:AC177)</f>
        <v>15.762412366126357</v>
      </c>
      <c r="AD178" s="751">
        <f>SUM(AD174:AD177)</f>
        <v>-9.1570883245566215</v>
      </c>
      <c r="AE178" s="751"/>
      <c r="AF178" s="1369">
        <f>SUM(AF174:AF177)</f>
        <v>6.6053240415697347</v>
      </c>
      <c r="AG178" s="751"/>
      <c r="AH178" s="751"/>
      <c r="AI178" s="751"/>
      <c r="AJ178" s="761"/>
      <c r="AK178" s="751">
        <f>SUM(AK174:AK177)</f>
        <v>-158.38881357747144</v>
      </c>
      <c r="AL178" s="751">
        <f>SUM(AL174:AL177)</f>
        <v>259.99249182829425</v>
      </c>
      <c r="AM178" s="751"/>
      <c r="AN178" s="1369">
        <f>SUM(AN174:AN177)</f>
        <v>101.60367825082282</v>
      </c>
      <c r="AO178" s="751"/>
      <c r="AP178" s="751"/>
      <c r="AQ178" s="751"/>
      <c r="AR178" s="761"/>
      <c r="AS178" s="751">
        <f>SUM(AS174:AS177)</f>
        <v>103.20569009815372</v>
      </c>
      <c r="AT178" s="751">
        <f>SUM(AT174:AT177)</f>
        <v>101.71715504184046</v>
      </c>
      <c r="AU178" s="751"/>
      <c r="AV178" s="1369">
        <f>SUM(AV174:AV177)</f>
        <v>204.92284513999419</v>
      </c>
      <c r="AW178" s="751"/>
      <c r="AX178" s="751"/>
      <c r="AY178" s="751"/>
      <c r="AZ178" s="761"/>
      <c r="BA178" s="751">
        <f>SUM(BA174:BA177)</f>
        <v>198.30943902950247</v>
      </c>
      <c r="BB178" s="754">
        <f>SUM(BB174:BB177)</f>
        <v>191.46946228973337</v>
      </c>
      <c r="BC178" s="754"/>
      <c r="BD178" s="755">
        <f>SUM(BD174:BD177)</f>
        <v>389.77890131923584</v>
      </c>
      <c r="BE178" s="751"/>
      <c r="BF178" s="751"/>
      <c r="BG178" s="751"/>
      <c r="BH178" s="761"/>
      <c r="BI178" s="754">
        <f>SUM(BI174:BI177)</f>
        <v>180.89930000000001</v>
      </c>
      <c r="BJ178" s="754">
        <f>SUM(BJ174:BJ177)</f>
        <v>246.17745671433951</v>
      </c>
      <c r="BK178" s="754"/>
      <c r="BL178" s="755">
        <f>SUM(BL174:BL177)</f>
        <v>427.07675671433952</v>
      </c>
      <c r="BM178" s="751"/>
      <c r="BN178" s="751"/>
      <c r="BO178" s="751"/>
      <c r="BP178" s="761"/>
      <c r="BQ178" s="754">
        <f>SUM(BQ174:BQ177)</f>
        <v>207.78002000000006</v>
      </c>
      <c r="BR178" s="754">
        <f>SUM(BR174:BR177)</f>
        <v>271.24197746324933</v>
      </c>
      <c r="BS178" s="754"/>
      <c r="BT178" s="755">
        <f>SUM(BT174:BT177)</f>
        <v>479.02199746324936</v>
      </c>
      <c r="BU178" s="751"/>
      <c r="BV178" s="751"/>
      <c r="BW178" s="751"/>
      <c r="BX178" s="761"/>
      <c r="BY178" s="754">
        <f>SUM(BY174:BY177)</f>
        <v>218.60320664000008</v>
      </c>
      <c r="BZ178" s="754">
        <f>SUM(BZ174:BZ177)</f>
        <v>282.56523786165445</v>
      </c>
      <c r="CA178" s="754"/>
      <c r="CB178" s="755">
        <f>SUM(CB174:CB177)</f>
        <v>501.16844450165456</v>
      </c>
      <c r="CC178" s="751"/>
      <c r="CD178" s="751"/>
      <c r="CE178" s="751"/>
      <c r="CF178" s="761"/>
      <c r="CG178" s="754">
        <f>SUM(CG174:CG177)</f>
        <v>223.81357729760006</v>
      </c>
      <c r="CH178" s="754">
        <f>SUM(CH174:CH177)</f>
        <v>287.81459910263419</v>
      </c>
      <c r="CI178" s="754"/>
      <c r="CJ178" s="755">
        <f>SUM(CJ174:CJ177)</f>
        <v>511.62817640023422</v>
      </c>
    </row>
    <row r="179" spans="1:88" outlineLevel="1" x14ac:dyDescent="0.2">
      <c r="A179" s="680"/>
      <c r="B179" s="681"/>
      <c r="C179" s="272"/>
      <c r="D179" s="272"/>
      <c r="E179" s="272"/>
      <c r="F179" s="272"/>
      <c r="G179" s="272"/>
      <c r="H179" s="272"/>
      <c r="I179" s="272"/>
      <c r="J179" s="272"/>
      <c r="K179" s="272"/>
      <c r="L179" s="272"/>
      <c r="M179" s="278"/>
      <c r="N179" s="653"/>
      <c r="O179" s="653"/>
      <c r="P179" s="653"/>
      <c r="Q179" s="689"/>
      <c r="R179" s="689"/>
      <c r="S179" s="689"/>
      <c r="T179" s="689"/>
      <c r="U179" s="689"/>
      <c r="V179" s="689"/>
      <c r="W179" s="689"/>
      <c r="X179" s="757"/>
      <c r="Y179" s="689"/>
      <c r="Z179" s="689"/>
      <c r="AA179" s="689"/>
      <c r="AB179" s="758"/>
      <c r="AC179" s="689"/>
      <c r="AD179" s="689"/>
      <c r="AE179" s="689"/>
      <c r="AF179" s="759"/>
      <c r="AG179" s="689"/>
      <c r="AH179" s="689"/>
      <c r="AI179" s="689"/>
      <c r="AJ179" s="758"/>
      <c r="AK179" s="689"/>
      <c r="AL179" s="689"/>
      <c r="AM179" s="689"/>
      <c r="AN179" s="759"/>
      <c r="AO179" s="689"/>
      <c r="AP179" s="689"/>
      <c r="AQ179" s="689"/>
      <c r="AR179" s="758"/>
      <c r="AS179" s="689"/>
      <c r="AT179" s="689"/>
      <c r="AU179" s="689"/>
      <c r="AV179" s="759"/>
      <c r="AW179" s="689"/>
      <c r="AX179" s="689"/>
      <c r="AY179" s="689"/>
      <c r="AZ179" s="758"/>
      <c r="BA179" s="689"/>
      <c r="BB179" s="689"/>
      <c r="BC179" s="689"/>
      <c r="BD179" s="759"/>
      <c r="BE179" s="689"/>
      <c r="BF179" s="689"/>
      <c r="BG179" s="689"/>
      <c r="BH179" s="758"/>
      <c r="BI179" s="689"/>
      <c r="BJ179" s="689"/>
      <c r="BK179" s="689"/>
      <c r="BL179" s="759"/>
      <c r="BM179" s="689"/>
      <c r="BN179" s="689"/>
      <c r="BO179" s="689"/>
      <c r="BP179" s="758"/>
      <c r="BQ179" s="689"/>
      <c r="BR179" s="689"/>
      <c r="BS179" s="689"/>
      <c r="BT179" s="759"/>
      <c r="BU179" s="689"/>
      <c r="BV179" s="689"/>
      <c r="BW179" s="689"/>
      <c r="BX179" s="758"/>
      <c r="BY179" s="689"/>
      <c r="BZ179" s="689"/>
      <c r="CA179" s="689"/>
      <c r="CB179" s="759"/>
      <c r="CC179" s="689"/>
      <c r="CD179" s="689"/>
      <c r="CE179" s="689"/>
      <c r="CF179" s="758"/>
      <c r="CG179" s="689"/>
      <c r="CH179" s="689"/>
      <c r="CI179" s="689"/>
      <c r="CJ179" s="759"/>
    </row>
    <row r="180" spans="1:88" x14ac:dyDescent="0.2">
      <c r="A180" s="690"/>
      <c r="B180" s="681"/>
      <c r="C180" s="272"/>
      <c r="D180" s="272"/>
      <c r="E180" s="272"/>
      <c r="F180" s="272"/>
      <c r="G180" s="272"/>
      <c r="H180" s="272"/>
      <c r="I180" s="272"/>
      <c r="J180" s="272"/>
      <c r="K180" s="272"/>
      <c r="L180" s="272"/>
      <c r="M180" s="278"/>
      <c r="N180" s="278"/>
      <c r="O180" s="278"/>
      <c r="P180" s="278"/>
      <c r="Q180" s="278"/>
      <c r="R180" s="278"/>
      <c r="S180" s="278"/>
      <c r="T180" s="278"/>
      <c r="U180" s="278"/>
      <c r="V180" s="278"/>
      <c r="W180" s="278"/>
      <c r="X180" s="250"/>
      <c r="Y180" s="278"/>
      <c r="Z180" s="278"/>
      <c r="AA180" s="278"/>
      <c r="AB180" s="298"/>
      <c r="AC180" s="278"/>
      <c r="AD180" s="278"/>
      <c r="AE180" s="278"/>
      <c r="AF180" s="691"/>
      <c r="AG180" s="278"/>
      <c r="AH180" s="278"/>
      <c r="AI180" s="278"/>
      <c r="AJ180" s="298"/>
      <c r="AK180" s="278"/>
      <c r="AL180" s="278"/>
      <c r="AM180" s="278"/>
      <c r="AN180" s="691"/>
      <c r="AO180" s="278"/>
      <c r="AP180" s="278"/>
      <c r="AQ180" s="278"/>
      <c r="AR180" s="298"/>
      <c r="AS180" s="278"/>
      <c r="AT180" s="278"/>
      <c r="AU180" s="278"/>
      <c r="AV180" s="691"/>
      <c r="AW180" s="278"/>
      <c r="AX180" s="278"/>
      <c r="AY180" s="278"/>
      <c r="AZ180" s="298"/>
      <c r="BA180" s="278"/>
      <c r="BB180" s="278"/>
      <c r="BC180" s="278"/>
      <c r="BD180" s="691"/>
      <c r="BE180" s="278"/>
      <c r="BF180" s="278"/>
      <c r="BG180" s="278"/>
      <c r="BH180" s="298"/>
      <c r="BI180" s="278"/>
      <c r="BJ180" s="278"/>
      <c r="BK180" s="278"/>
      <c r="BL180" s="691"/>
      <c r="BM180" s="278"/>
      <c r="BN180" s="278"/>
      <c r="BO180" s="278"/>
      <c r="BP180" s="298"/>
      <c r="BQ180" s="278"/>
      <c r="BR180" s="278"/>
      <c r="BS180" s="278"/>
      <c r="BT180" s="691"/>
      <c r="BU180" s="278"/>
      <c r="BV180" s="278"/>
      <c r="BW180" s="278"/>
      <c r="BX180" s="298"/>
      <c r="BY180" s="278"/>
      <c r="BZ180" s="278"/>
      <c r="CA180" s="278"/>
      <c r="CB180" s="691"/>
      <c r="CC180" s="278"/>
      <c r="CD180" s="278"/>
      <c r="CE180" s="278"/>
      <c r="CF180" s="298"/>
      <c r="CG180" s="278"/>
      <c r="CH180" s="278"/>
      <c r="CI180" s="278"/>
      <c r="CJ180" s="691"/>
    </row>
    <row r="181" spans="1:88" ht="11.25" customHeight="1" x14ac:dyDescent="0.2">
      <c r="A181" s="733" t="s">
        <v>801</v>
      </c>
      <c r="B181" s="734"/>
      <c r="C181" s="735"/>
      <c r="D181" s="735"/>
      <c r="E181" s="735"/>
      <c r="F181" s="735"/>
      <c r="G181" s="735"/>
      <c r="H181" s="735"/>
      <c r="I181" s="735"/>
      <c r="J181" s="735"/>
      <c r="K181" s="735"/>
      <c r="L181" s="735"/>
      <c r="M181" s="735"/>
      <c r="N181" s="735"/>
      <c r="O181" s="735"/>
      <c r="P181" s="735"/>
      <c r="Q181" s="735"/>
      <c r="R181" s="735"/>
      <c r="S181" s="735"/>
      <c r="T181" s="735"/>
      <c r="U181" s="735"/>
      <c r="V181" s="735"/>
      <c r="W181" s="735"/>
      <c r="X181" s="736"/>
      <c r="Y181" s="735"/>
      <c r="Z181" s="735"/>
      <c r="AA181" s="735"/>
      <c r="AB181" s="737"/>
      <c r="AC181" s="735"/>
      <c r="AD181" s="735"/>
      <c r="AE181" s="735"/>
      <c r="AF181" s="738"/>
      <c r="AG181" s="735"/>
      <c r="AH181" s="735"/>
      <c r="AI181" s="735"/>
      <c r="AJ181" s="737"/>
      <c r="AK181" s="735"/>
      <c r="AL181" s="735"/>
      <c r="AM181" s="735"/>
      <c r="AN181" s="738"/>
      <c r="AO181" s="735"/>
      <c r="AP181" s="735"/>
      <c r="AQ181" s="735"/>
      <c r="AR181" s="737"/>
      <c r="AS181" s="735"/>
      <c r="AT181" s="735"/>
      <c r="AU181" s="735"/>
      <c r="AV181" s="738"/>
      <c r="AW181" s="735"/>
      <c r="AX181" s="735"/>
      <c r="AY181" s="735"/>
      <c r="AZ181" s="737"/>
      <c r="BA181" s="735"/>
      <c r="BB181" s="735"/>
      <c r="BC181" s="735"/>
      <c r="BD181" s="738"/>
      <c r="BE181" s="735"/>
      <c r="BF181" s="735"/>
      <c r="BG181" s="735"/>
      <c r="BH181" s="737"/>
      <c r="BI181" s="735"/>
      <c r="BJ181" s="735"/>
      <c r="BK181" s="735"/>
      <c r="BL181" s="738"/>
      <c r="BM181" s="735"/>
      <c r="BN181" s="735"/>
      <c r="BO181" s="735"/>
      <c r="BP181" s="737"/>
      <c r="BQ181" s="735"/>
      <c r="BR181" s="735"/>
      <c r="BS181" s="735"/>
      <c r="BT181" s="738"/>
      <c r="BU181" s="735"/>
      <c r="BV181" s="735"/>
      <c r="BW181" s="735"/>
      <c r="BX181" s="737"/>
      <c r="BY181" s="735"/>
      <c r="BZ181" s="735"/>
      <c r="CA181" s="735"/>
      <c r="CB181" s="738"/>
      <c r="CC181" s="735"/>
      <c r="CD181" s="735"/>
      <c r="CE181" s="735"/>
      <c r="CF181" s="737"/>
      <c r="CG181" s="735"/>
      <c r="CH181" s="735"/>
      <c r="CI181" s="735"/>
      <c r="CJ181" s="738"/>
    </row>
    <row r="182" spans="1:88" x14ac:dyDescent="0.2">
      <c r="B182" s="186"/>
      <c r="C182" s="53"/>
      <c r="D182" s="49"/>
      <c r="E182" s="49"/>
      <c r="F182" s="49"/>
      <c r="G182" s="49"/>
      <c r="H182" s="104"/>
      <c r="I182" s="104"/>
      <c r="J182" s="49"/>
      <c r="K182" s="53"/>
      <c r="L182" s="49"/>
      <c r="M182" s="83"/>
      <c r="N182" s="83"/>
      <c r="P182" s="53"/>
      <c r="Q182" s="53"/>
      <c r="R182" s="53"/>
      <c r="S182" s="53"/>
      <c r="T182" s="53"/>
      <c r="U182" s="53"/>
      <c r="V182" s="53"/>
      <c r="W182" s="53"/>
      <c r="X182" s="55"/>
      <c r="Y182" s="53"/>
      <c r="Z182" s="53"/>
      <c r="AA182" s="53"/>
      <c r="AB182" s="762"/>
      <c r="AC182" s="53"/>
      <c r="AD182" s="53"/>
      <c r="AE182" s="53"/>
      <c r="AF182" s="763"/>
      <c r="AG182" s="53"/>
      <c r="AH182" s="53"/>
      <c r="AI182" s="53"/>
      <c r="AJ182" s="762"/>
      <c r="AK182" s="53"/>
      <c r="AL182" s="53"/>
      <c r="AM182" s="53"/>
      <c r="AN182" s="763"/>
      <c r="AO182" s="53"/>
      <c r="AP182" s="53"/>
      <c r="AQ182" s="53"/>
      <c r="AR182" s="762"/>
      <c r="AS182" s="53"/>
      <c r="AT182" s="53"/>
      <c r="AU182" s="53"/>
      <c r="AV182" s="763"/>
      <c r="AW182" s="53"/>
      <c r="AX182" s="53"/>
      <c r="AY182" s="53"/>
      <c r="AZ182" s="762"/>
      <c r="BA182" s="53"/>
      <c r="BB182" s="53"/>
      <c r="BC182" s="53"/>
      <c r="BD182" s="763"/>
      <c r="BE182" s="53"/>
      <c r="BF182" s="53"/>
      <c r="BG182" s="53"/>
      <c r="BH182" s="762"/>
      <c r="BI182" s="53"/>
      <c r="BJ182" s="53"/>
      <c r="BK182" s="53"/>
      <c r="BL182" s="763"/>
      <c r="BM182" s="53"/>
      <c r="BN182" s="53"/>
      <c r="BO182" s="53"/>
      <c r="BP182" s="762"/>
      <c r="BQ182" s="53"/>
      <c r="BR182" s="53"/>
      <c r="BS182" s="53"/>
      <c r="BT182" s="763"/>
      <c r="BU182" s="53"/>
      <c r="BV182" s="53"/>
      <c r="BW182" s="53"/>
      <c r="BX182" s="762"/>
      <c r="BY182" s="53"/>
      <c r="BZ182" s="53"/>
      <c r="CA182" s="53"/>
      <c r="CB182" s="763"/>
      <c r="CC182" s="53"/>
      <c r="CD182" s="53"/>
      <c r="CE182" s="53"/>
      <c r="CF182" s="762"/>
      <c r="CG182" s="53"/>
      <c r="CH182" s="53"/>
      <c r="CI182" s="53"/>
      <c r="CJ182" s="763"/>
    </row>
    <row r="183" spans="1:88" x14ac:dyDescent="0.2">
      <c r="A183" s="186" t="s">
        <v>789</v>
      </c>
      <c r="B183" s="186"/>
      <c r="C183" s="53"/>
      <c r="D183" s="49"/>
      <c r="E183" s="49"/>
      <c r="F183" s="49"/>
      <c r="G183" s="49"/>
      <c r="H183" s="104"/>
      <c r="I183" s="104"/>
      <c r="J183" s="49"/>
      <c r="K183" s="53"/>
      <c r="L183" s="49"/>
      <c r="M183" s="83"/>
      <c r="X183" s="180"/>
      <c r="AB183" s="179"/>
      <c r="AF183" s="314"/>
      <c r="AJ183" s="179"/>
      <c r="AN183" s="314"/>
      <c r="AR183" s="179"/>
      <c r="AV183" s="314"/>
      <c r="AZ183" s="179"/>
      <c r="BD183" s="314"/>
      <c r="BH183" s="179"/>
      <c r="BL183" s="314"/>
      <c r="BP183" s="179"/>
      <c r="BT183" s="314"/>
      <c r="BX183" s="179"/>
      <c r="CB183" s="314"/>
      <c r="CF183" s="179"/>
      <c r="CJ183" s="314"/>
    </row>
    <row r="184" spans="1:88" x14ac:dyDescent="0.2">
      <c r="A184" s="584" t="s">
        <v>790</v>
      </c>
      <c r="B184" s="284"/>
      <c r="C184" s="53"/>
      <c r="D184" s="49"/>
      <c r="E184" s="49"/>
      <c r="F184" s="49"/>
      <c r="G184" s="49"/>
      <c r="H184" s="104"/>
      <c r="I184" s="104"/>
      <c r="J184" s="49"/>
      <c r="K184" s="53"/>
      <c r="L184" s="49"/>
      <c r="M184" s="83"/>
      <c r="N184" s="4">
        <f>N192/N$114</f>
        <v>2145</v>
      </c>
      <c r="O184" s="4">
        <f>O192/O$114</f>
        <v>2614.8456964146212</v>
      </c>
      <c r="P184" s="4">
        <f>P192/P$114</f>
        <v>2920.9888113628713</v>
      </c>
      <c r="Q184" s="4">
        <f>Q192/Q$114</f>
        <v>3185.0781504593679</v>
      </c>
      <c r="S184" s="4">
        <f>S192/S$114</f>
        <v>3510.5817172241227</v>
      </c>
      <c r="U184" s="4">
        <f t="shared" ref="U184:CF187" si="511">U192/U$114</f>
        <v>3832.5874362517757</v>
      </c>
      <c r="V184" s="4">
        <f t="shared" si="511"/>
        <v>1767.3240283800635</v>
      </c>
      <c r="W184" s="4">
        <f t="shared" si="511"/>
        <v>1963.0051667765545</v>
      </c>
      <c r="X184" s="180">
        <f t="shared" si="511"/>
        <v>3061.3794201142623</v>
      </c>
      <c r="Y184" s="4">
        <f t="shared" si="511"/>
        <v>861.28739800543974</v>
      </c>
      <c r="Z184" s="4">
        <f>AC184-Y184</f>
        <v>980.09246820824239</v>
      </c>
      <c r="AA184" s="4">
        <f t="shared" ref="AA184:AA187" si="512">AA192/AA$114</f>
        <v>1091.7266187050361</v>
      </c>
      <c r="AB184" s="179">
        <f>AD184-AA184</f>
        <v>1158.8487733339082</v>
      </c>
      <c r="AC184" s="4">
        <f t="shared" si="511"/>
        <v>1841.3798662136821</v>
      </c>
      <c r="AD184" s="4">
        <f>AF184-AC184</f>
        <v>2250.5753920389443</v>
      </c>
      <c r="AE184" s="4">
        <f>Y184+Z184+AA184</f>
        <v>2933.1064849187183</v>
      </c>
      <c r="AF184" s="314">
        <f t="shared" ref="AF184:AG184" si="513">AF192/AF$114</f>
        <v>4091.9552582526267</v>
      </c>
      <c r="AG184" s="4">
        <f t="shared" si="513"/>
        <v>985.52721450242723</v>
      </c>
      <c r="AH184" s="4">
        <f>AK184-AG184</f>
        <v>1043.0535648407836</v>
      </c>
      <c r="AI184" s="4">
        <f t="shared" ref="AI184:AI187" si="514">AI192/AI$114</f>
        <v>1275.9960591368283</v>
      </c>
      <c r="AJ184" s="179">
        <f>AL184-AI184</f>
        <v>1643.1811599180362</v>
      </c>
      <c r="AK184" s="4">
        <f t="shared" ref="AK184" si="515">AK192/AK$114</f>
        <v>2028.5807793432107</v>
      </c>
      <c r="AL184" s="4">
        <f>AN184-AK184</f>
        <v>2919.1772190548645</v>
      </c>
      <c r="AM184" s="4">
        <f>AG184+AH184+AI184</f>
        <v>3304.5768384800394</v>
      </c>
      <c r="AN184" s="314">
        <f t="shared" ref="AN184:AO184" si="516">AN192/AN$114</f>
        <v>4947.757998398075</v>
      </c>
      <c r="AO184" s="4">
        <f t="shared" si="516"/>
        <v>1176.1111589291124</v>
      </c>
      <c r="AP184" s="4">
        <f>AS184-AO184</f>
        <v>1250.7223349157546</v>
      </c>
      <c r="AQ184" s="4">
        <f t="shared" ref="AQ184:AQ187" si="517">AQ192/AQ$114</f>
        <v>1284.5014428186782</v>
      </c>
      <c r="AR184" s="179">
        <f>AT184-AQ184</f>
        <v>1842.1229535395328</v>
      </c>
      <c r="AS184" s="4">
        <f t="shared" si="511"/>
        <v>2426.833493844867</v>
      </c>
      <c r="AT184" s="4">
        <f>AV184-AS184</f>
        <v>3126.624396358211</v>
      </c>
      <c r="AU184" s="4">
        <f>AO184+AP184+AQ184</f>
        <v>3711.3349366635452</v>
      </c>
      <c r="AV184" s="314">
        <f t="shared" ref="AV184" si="518">AV192/AV$114</f>
        <v>5553.457890203078</v>
      </c>
      <c r="AW184" s="4">
        <f t="shared" si="511"/>
        <v>1370.4503259722812</v>
      </c>
      <c r="AX184" s="4">
        <f>BA184-AW184</f>
        <v>1431.3592293488275</v>
      </c>
      <c r="AY184" s="11">
        <f t="shared" si="511"/>
        <v>1371.0974307793595</v>
      </c>
      <c r="AZ184" s="181">
        <f t="shared" si="511"/>
        <v>1919.5364030911028</v>
      </c>
      <c r="BA184" s="4">
        <f t="shared" si="511"/>
        <v>2801.8095553211087</v>
      </c>
      <c r="BB184" s="11">
        <f t="shared" si="511"/>
        <v>3290.6338338704622</v>
      </c>
      <c r="BC184" s="11">
        <f t="shared" si="511"/>
        <v>4174.2299559282737</v>
      </c>
      <c r="BD184" s="603">
        <f t="shared" si="511"/>
        <v>6093.7663590193761</v>
      </c>
      <c r="BE184" s="11">
        <f t="shared" si="511"/>
        <v>1282.6791511780627</v>
      </c>
      <c r="BF184" s="11">
        <f t="shared" si="511"/>
        <v>1603.3489389725787</v>
      </c>
      <c r="BG184" s="11">
        <f t="shared" si="511"/>
        <v>1603.3489389725785</v>
      </c>
      <c r="BH184" s="181">
        <f t="shared" si="511"/>
        <v>1924.018726767094</v>
      </c>
      <c r="BI184" s="11">
        <f t="shared" si="511"/>
        <v>2886.0280901506417</v>
      </c>
      <c r="BJ184" s="11">
        <f t="shared" si="511"/>
        <v>3527.3676657396745</v>
      </c>
      <c r="BK184" s="11">
        <f t="shared" si="511"/>
        <v>4489.3770291232204</v>
      </c>
      <c r="BL184" s="603">
        <f t="shared" si="511"/>
        <v>6413.3957558903139</v>
      </c>
      <c r="BM184" s="11">
        <f t="shared" si="511"/>
        <v>1252.6074465728568</v>
      </c>
      <c r="BN184" s="11">
        <f t="shared" si="511"/>
        <v>1565.7593082160706</v>
      </c>
      <c r="BO184" s="11">
        <f t="shared" si="511"/>
        <v>1565.7593082160708</v>
      </c>
      <c r="BP184" s="181">
        <f t="shared" si="511"/>
        <v>1878.9111698592849</v>
      </c>
      <c r="BQ184" s="11">
        <f t="shared" si="511"/>
        <v>2818.3667547889277</v>
      </c>
      <c r="BR184" s="11">
        <f t="shared" si="511"/>
        <v>3444.6704780753566</v>
      </c>
      <c r="BS184" s="11">
        <f t="shared" si="511"/>
        <v>4384.1260630049983</v>
      </c>
      <c r="BT184" s="603">
        <f t="shared" si="511"/>
        <v>6263.0372328642834</v>
      </c>
      <c r="BU184" s="11">
        <f t="shared" si="511"/>
        <v>1174.6988311742064</v>
      </c>
      <c r="BV184" s="11">
        <f t="shared" si="511"/>
        <v>1468.3735389677574</v>
      </c>
      <c r="BW184" s="11">
        <f t="shared" si="511"/>
        <v>1468.3735389677577</v>
      </c>
      <c r="BX184" s="181">
        <f t="shared" si="511"/>
        <v>1762.0482467613094</v>
      </c>
      <c r="BY184" s="11">
        <f t="shared" si="511"/>
        <v>2643.0723701419638</v>
      </c>
      <c r="BZ184" s="11">
        <f t="shared" si="511"/>
        <v>3230.4217857290678</v>
      </c>
      <c r="CA184" s="11">
        <f t="shared" si="511"/>
        <v>4111.4459091097215</v>
      </c>
      <c r="CB184" s="603">
        <f t="shared" si="511"/>
        <v>5873.4941558710307</v>
      </c>
      <c r="CC184" s="11">
        <f t="shared" si="511"/>
        <v>1054.2361430790963</v>
      </c>
      <c r="CD184" s="11">
        <f t="shared" si="511"/>
        <v>1317.7951788488704</v>
      </c>
      <c r="CE184" s="11">
        <f t="shared" si="511"/>
        <v>1317.7951788488704</v>
      </c>
      <c r="CF184" s="181">
        <f t="shared" si="511"/>
        <v>1581.3542146186444</v>
      </c>
      <c r="CG184" s="11">
        <f t="shared" ref="CG184:CJ185" si="519">CG192/CG$114</f>
        <v>2372.0313219279669</v>
      </c>
      <c r="CH184" s="11">
        <f t="shared" si="519"/>
        <v>2899.1493934675136</v>
      </c>
      <c r="CI184" s="11">
        <f t="shared" si="519"/>
        <v>3689.8265007768364</v>
      </c>
      <c r="CJ184" s="603">
        <f t="shared" si="519"/>
        <v>5271.1807153954805</v>
      </c>
    </row>
    <row r="185" spans="1:88" x14ac:dyDescent="0.2">
      <c r="A185" s="584" t="s">
        <v>791</v>
      </c>
      <c r="B185" s="284"/>
      <c r="C185" s="53"/>
      <c r="D185" s="49"/>
      <c r="E185" s="49"/>
      <c r="F185" s="49"/>
      <c r="G185" s="49"/>
      <c r="H185" s="104"/>
      <c r="I185" s="104"/>
      <c r="J185" s="49"/>
      <c r="K185" s="53"/>
      <c r="L185" s="49"/>
      <c r="M185" s="83"/>
      <c r="N185" s="4">
        <f t="shared" ref="N185:Y187" si="520">N193/N$114</f>
        <v>0</v>
      </c>
      <c r="O185" s="4">
        <f t="shared" si="520"/>
        <v>0</v>
      </c>
      <c r="P185" s="4">
        <f t="shared" si="520"/>
        <v>0</v>
      </c>
      <c r="Q185" s="4">
        <f t="shared" si="520"/>
        <v>0</v>
      </c>
      <c r="R185" s="4">
        <f t="shared" si="520"/>
        <v>0</v>
      </c>
      <c r="S185" s="4">
        <f t="shared" si="520"/>
        <v>0</v>
      </c>
      <c r="U185" s="4">
        <f t="shared" si="520"/>
        <v>0</v>
      </c>
      <c r="V185" s="4">
        <f t="shared" si="520"/>
        <v>0</v>
      </c>
      <c r="W185" s="4">
        <f t="shared" si="520"/>
        <v>0</v>
      </c>
      <c r="X185" s="180">
        <f t="shared" si="520"/>
        <v>0</v>
      </c>
      <c r="Y185" s="4">
        <f t="shared" si="520"/>
        <v>13.599274705349048</v>
      </c>
      <c r="Z185" s="4">
        <f t="shared" ref="Z185:Z187" si="521">AC185-Y185</f>
        <v>13.488761412032444</v>
      </c>
      <c r="AA185" s="4">
        <f t="shared" si="512"/>
        <v>15.737410071942447</v>
      </c>
      <c r="AB185" s="179">
        <f t="shared" ref="AB185:AB187" si="522">AD185-AA185</f>
        <v>18.575160340131092</v>
      </c>
      <c r="AC185" s="4">
        <f t="shared" si="511"/>
        <v>27.088036117381492</v>
      </c>
      <c r="AD185" s="4">
        <f t="shared" ref="AD185:AD187" si="523">AF185-AC185</f>
        <v>34.312570412073541</v>
      </c>
      <c r="AE185" s="4">
        <f t="shared" ref="AE185:AE187" si="524">Y185+Z185+AA185</f>
        <v>42.825446189323941</v>
      </c>
      <c r="AF185" s="314">
        <f t="shared" ref="AF185:AG185" si="525">AF193/AF$114</f>
        <v>61.400606529455033</v>
      </c>
      <c r="AG185" s="4">
        <f t="shared" si="525"/>
        <v>108.16273135762654</v>
      </c>
      <c r="AH185" s="4">
        <f t="shared" ref="AH185:AH187" si="526">AK185-AG185</f>
        <v>122.62164457279923</v>
      </c>
      <c r="AI185" s="4">
        <f t="shared" si="514"/>
        <v>121.19020704600851</v>
      </c>
      <c r="AJ185" s="179">
        <f t="shared" ref="AJ185:AJ187" si="527">AL185-AI185</f>
        <v>191.04747803633231</v>
      </c>
      <c r="AK185" s="4">
        <f t="shared" ref="AK185" si="528">AK193/AK$114</f>
        <v>230.78437593042577</v>
      </c>
      <c r="AL185" s="4">
        <f t="shared" ref="AL185:AL187" si="529">AN185-AK185</f>
        <v>312.23768508234082</v>
      </c>
      <c r="AM185" s="4">
        <f t="shared" ref="AM185:AM187" si="530">AG185+AH185+AI185</f>
        <v>351.97458297643425</v>
      </c>
      <c r="AN185" s="314">
        <f t="shared" ref="AN185:AO185" si="531">AN193/AN$114</f>
        <v>543.02206101276659</v>
      </c>
      <c r="AO185" s="4">
        <f t="shared" si="531"/>
        <v>266.08230651194975</v>
      </c>
      <c r="AP185" s="4">
        <f t="shared" ref="AP185:AP187" si="532">AS185-AO185</f>
        <v>309.77607523605394</v>
      </c>
      <c r="AQ185" s="4">
        <f t="shared" si="517"/>
        <v>316.88248428693356</v>
      </c>
      <c r="AR185" s="179">
        <f t="shared" ref="AR185:AR187" si="533">AT185-AQ185</f>
        <v>395.07856766118238</v>
      </c>
      <c r="AS185" s="4">
        <f t="shared" si="511"/>
        <v>575.85838174800369</v>
      </c>
      <c r="AT185" s="4">
        <f t="shared" ref="AT185:AT187" si="534">AV185-AS185</f>
        <v>711.96105194811594</v>
      </c>
      <c r="AU185" s="4">
        <f t="shared" ref="AU185:AU187" si="535">AO185+AP185+AQ185</f>
        <v>892.7408660349372</v>
      </c>
      <c r="AV185" s="314">
        <f t="shared" ref="AV185" si="536">AV193/AV$114</f>
        <v>1287.8194336961196</v>
      </c>
      <c r="AW185" s="4">
        <f t="shared" si="511"/>
        <v>567.8534118421851</v>
      </c>
      <c r="AX185" s="4">
        <f t="shared" ref="AX185:AX187" si="537">BA185-AW185</f>
        <v>709.81676480273154</v>
      </c>
      <c r="AY185" s="11">
        <f t="shared" si="511"/>
        <v>710.1519289688041</v>
      </c>
      <c r="AZ185" s="181">
        <f t="shared" si="511"/>
        <v>852.18231476256494</v>
      </c>
      <c r="BA185" s="4">
        <f t="shared" si="511"/>
        <v>1277.6701766449166</v>
      </c>
      <c r="BB185" s="11">
        <f t="shared" si="511"/>
        <v>1562.334243731369</v>
      </c>
      <c r="BC185" s="11">
        <f t="shared" si="511"/>
        <v>1988.425401112652</v>
      </c>
      <c r="BD185" s="603">
        <f t="shared" si="511"/>
        <v>2840.6077158752169</v>
      </c>
      <c r="BE185" s="11">
        <f t="shared" si="511"/>
        <v>775.40072096609958</v>
      </c>
      <c r="BF185" s="11">
        <f t="shared" si="511"/>
        <v>969.25090120762422</v>
      </c>
      <c r="BG185" s="11">
        <f t="shared" si="511"/>
        <v>969.25090120762434</v>
      </c>
      <c r="BH185" s="181">
        <f t="shared" si="511"/>
        <v>1163.1010814491492</v>
      </c>
      <c r="BI185" s="11">
        <f t="shared" si="511"/>
        <v>1744.6516221737238</v>
      </c>
      <c r="BJ185" s="11">
        <f t="shared" si="511"/>
        <v>2132.3519826567749</v>
      </c>
      <c r="BK185" s="11">
        <f t="shared" si="511"/>
        <v>2713.9025233813481</v>
      </c>
      <c r="BL185" s="603">
        <f t="shared" si="511"/>
        <v>3877.0036048304974</v>
      </c>
      <c r="BM185" s="11">
        <f t="shared" si="511"/>
        <v>1010.5471974900375</v>
      </c>
      <c r="BN185" s="11">
        <f t="shared" si="511"/>
        <v>1263.1839968625468</v>
      </c>
      <c r="BO185" s="11">
        <f t="shared" si="511"/>
        <v>1263.1839968625468</v>
      </c>
      <c r="BP185" s="181">
        <f t="shared" si="511"/>
        <v>1515.8207962350562</v>
      </c>
      <c r="BQ185" s="11">
        <f t="shared" si="511"/>
        <v>2273.7311943525842</v>
      </c>
      <c r="BR185" s="11">
        <f t="shared" si="511"/>
        <v>2779.0047930976034</v>
      </c>
      <c r="BS185" s="11">
        <f t="shared" si="511"/>
        <v>3536.915191215131</v>
      </c>
      <c r="BT185" s="603">
        <f t="shared" si="511"/>
        <v>5052.7359874501872</v>
      </c>
      <c r="BU185" s="11">
        <f t="shared" si="511"/>
        <v>1257.862316553789</v>
      </c>
      <c r="BV185" s="11">
        <f t="shared" si="511"/>
        <v>1572.3278956922363</v>
      </c>
      <c r="BW185" s="11">
        <f t="shared" si="511"/>
        <v>1572.3278956922361</v>
      </c>
      <c r="BX185" s="181">
        <f t="shared" si="511"/>
        <v>1886.793474830683</v>
      </c>
      <c r="BY185" s="11">
        <f t="shared" si="511"/>
        <v>2830.1902122460251</v>
      </c>
      <c r="BZ185" s="11">
        <f t="shared" si="511"/>
        <v>3459.1213705229202</v>
      </c>
      <c r="CA185" s="11">
        <f t="shared" si="511"/>
        <v>4402.5181079382619</v>
      </c>
      <c r="CB185" s="603">
        <f t="shared" si="511"/>
        <v>6289.3115827689444</v>
      </c>
      <c r="CC185" s="11">
        <f t="shared" si="511"/>
        <v>1440.414560388785</v>
      </c>
      <c r="CD185" s="11">
        <f t="shared" si="511"/>
        <v>1800.5182004859812</v>
      </c>
      <c r="CE185" s="11">
        <f t="shared" si="511"/>
        <v>1800.5182004859812</v>
      </c>
      <c r="CF185" s="181">
        <f t="shared" si="511"/>
        <v>2160.6218405831773</v>
      </c>
      <c r="CG185" s="11">
        <f t="shared" si="519"/>
        <v>3240.9327608747662</v>
      </c>
      <c r="CH185" s="11">
        <f t="shared" si="519"/>
        <v>3961.1400410691572</v>
      </c>
      <c r="CI185" s="11">
        <f t="shared" si="519"/>
        <v>5041.450961360747</v>
      </c>
      <c r="CJ185" s="603">
        <f t="shared" si="519"/>
        <v>7202.0728019439239</v>
      </c>
    </row>
    <row r="186" spans="1:88" x14ac:dyDescent="0.2">
      <c r="A186" s="584" t="s">
        <v>802</v>
      </c>
      <c r="B186" s="284"/>
      <c r="C186" s="53"/>
      <c r="D186" s="49"/>
      <c r="E186" s="49"/>
      <c r="F186" s="49"/>
      <c r="G186" s="49"/>
      <c r="H186" s="104"/>
      <c r="I186" s="104"/>
      <c r="J186" s="49"/>
      <c r="K186" s="53"/>
      <c r="L186" s="49"/>
      <c r="M186" s="83"/>
      <c r="N186" s="4">
        <f t="shared" si="520"/>
        <v>425.86140147115754</v>
      </c>
      <c r="O186" s="4">
        <f t="shared" si="520"/>
        <v>507.75048648648647</v>
      </c>
      <c r="P186" s="4">
        <f t="shared" si="520"/>
        <v>559.20791612903054</v>
      </c>
      <c r="Q186" s="4">
        <f t="shared" si="520"/>
        <v>561.24222157410577</v>
      </c>
      <c r="R186" s="4">
        <f t="shared" si="520"/>
        <v>0</v>
      </c>
      <c r="S186" s="4">
        <f t="shared" si="520"/>
        <v>603.95294488749585</v>
      </c>
      <c r="U186" s="4">
        <f t="shared" si="520"/>
        <v>674.96063023784188</v>
      </c>
      <c r="V186" s="4">
        <f t="shared" si="520"/>
        <v>449.62874755144577</v>
      </c>
      <c r="W186" s="4">
        <f t="shared" si="520"/>
        <v>420.57019162543054</v>
      </c>
      <c r="X186" s="180">
        <f t="shared" si="520"/>
        <v>476.5189677328936</v>
      </c>
      <c r="Y186" s="4">
        <f t="shared" si="520"/>
        <v>117.86038077969175</v>
      </c>
      <c r="Z186" s="4">
        <f t="shared" si="521"/>
        <v>129.2512765516712</v>
      </c>
      <c r="AA186" s="4">
        <f t="shared" si="512"/>
        <v>136.72869728941072</v>
      </c>
      <c r="AB186" s="179">
        <f t="shared" si="522"/>
        <v>165.29666167114402</v>
      </c>
      <c r="AC186" s="4">
        <f t="shared" si="511"/>
        <v>247.11165733136295</v>
      </c>
      <c r="AD186" s="4">
        <f t="shared" si="523"/>
        <v>302.02535896055474</v>
      </c>
      <c r="AE186" s="4">
        <f t="shared" si="524"/>
        <v>383.84035462077367</v>
      </c>
      <c r="AF186" s="314">
        <f t="shared" ref="AF186:AG186" si="538">AF194/AF$114</f>
        <v>549.13701629191769</v>
      </c>
      <c r="AG186" s="4">
        <f t="shared" si="538"/>
        <v>124.6568322541529</v>
      </c>
      <c r="AH186" s="4">
        <f t="shared" si="526"/>
        <v>141.32063407034155</v>
      </c>
      <c r="AI186" s="4">
        <f t="shared" si="514"/>
        <v>155.18990199057174</v>
      </c>
      <c r="AJ186" s="179">
        <f t="shared" si="527"/>
        <v>204.66196421315607</v>
      </c>
      <c r="AK186" s="4">
        <f t="shared" ref="AK186" si="539">AK194/AK$114</f>
        <v>265.97746632449446</v>
      </c>
      <c r="AL186" s="4">
        <f t="shared" si="529"/>
        <v>359.85186620372781</v>
      </c>
      <c r="AM186" s="4">
        <f t="shared" si="530"/>
        <v>421.1673683150662</v>
      </c>
      <c r="AN186" s="314">
        <f t="shared" ref="AN186:AO186" si="540">AN194/AN$114</f>
        <v>625.82933252822227</v>
      </c>
      <c r="AO186" s="4">
        <f t="shared" si="540"/>
        <v>139.7068400003356</v>
      </c>
      <c r="AP186" s="4">
        <f t="shared" si="532"/>
        <v>162.64830663211234</v>
      </c>
      <c r="AQ186" s="4">
        <f t="shared" si="517"/>
        <v>166.37953538333181</v>
      </c>
      <c r="AR186" s="179">
        <f t="shared" si="533"/>
        <v>207.43648445983285</v>
      </c>
      <c r="AS186" s="4">
        <f t="shared" si="511"/>
        <v>302.35514663244794</v>
      </c>
      <c r="AT186" s="4">
        <f t="shared" si="534"/>
        <v>373.81601984316467</v>
      </c>
      <c r="AU186" s="4">
        <f t="shared" si="535"/>
        <v>468.73468201577975</v>
      </c>
      <c r="AV186" s="314">
        <f t="shared" ref="AV186" si="541">AV194/AV$114</f>
        <v>676.17116647561261</v>
      </c>
      <c r="AW186" s="4">
        <f t="shared" ref="AW186:CJ187" si="542">AW194/AW$114</f>
        <v>146.74675020809869</v>
      </c>
      <c r="AX186" s="4">
        <f t="shared" si="537"/>
        <v>183.43343776012338</v>
      </c>
      <c r="AY186" s="11">
        <f t="shared" si="542"/>
        <v>183.5200521065932</v>
      </c>
      <c r="AZ186" s="181">
        <f t="shared" si="542"/>
        <v>220.22406252791183</v>
      </c>
      <c r="BA186" s="4">
        <f t="shared" si="542"/>
        <v>330.18018796822207</v>
      </c>
      <c r="BB186" s="11">
        <f t="shared" si="542"/>
        <v>403.74411463450502</v>
      </c>
      <c r="BC186" s="11">
        <f t="shared" si="542"/>
        <v>513.85614589846102</v>
      </c>
      <c r="BD186" s="603">
        <f t="shared" si="542"/>
        <v>734.08020842637291</v>
      </c>
      <c r="BE186" s="11">
        <f t="shared" si="542"/>
        <v>160.66983706513022</v>
      </c>
      <c r="BF186" s="11">
        <f t="shared" si="542"/>
        <v>200.8372963314128</v>
      </c>
      <c r="BG186" s="11">
        <f t="shared" si="542"/>
        <v>200.83729633141277</v>
      </c>
      <c r="BH186" s="181">
        <f t="shared" si="542"/>
        <v>241.00475559769532</v>
      </c>
      <c r="BI186" s="11">
        <f t="shared" si="542"/>
        <v>361.50713339654305</v>
      </c>
      <c r="BJ186" s="11">
        <f t="shared" si="542"/>
        <v>441.84205192910838</v>
      </c>
      <c r="BK186" s="11">
        <f t="shared" si="542"/>
        <v>562.3444297279558</v>
      </c>
      <c r="BL186" s="603">
        <f t="shared" si="542"/>
        <v>803.34918532565109</v>
      </c>
      <c r="BM186" s="11">
        <f t="shared" si="542"/>
        <v>176.49630142340828</v>
      </c>
      <c r="BN186" s="11">
        <f t="shared" si="542"/>
        <v>220.62037677926031</v>
      </c>
      <c r="BO186" s="11">
        <f t="shared" si="542"/>
        <v>220.62037677926031</v>
      </c>
      <c r="BP186" s="181">
        <f t="shared" si="542"/>
        <v>264.74445213511228</v>
      </c>
      <c r="BQ186" s="11">
        <f t="shared" si="542"/>
        <v>397.1166782026686</v>
      </c>
      <c r="BR186" s="11">
        <f t="shared" si="542"/>
        <v>485.36482891437271</v>
      </c>
      <c r="BS186" s="11">
        <f t="shared" si="542"/>
        <v>617.73705498192885</v>
      </c>
      <c r="BT186" s="603">
        <f t="shared" si="542"/>
        <v>882.48150711704125</v>
      </c>
      <c r="BU186" s="11">
        <f t="shared" si="542"/>
        <v>192.22955764229528</v>
      </c>
      <c r="BV186" s="11">
        <f t="shared" si="542"/>
        <v>240.28694705286907</v>
      </c>
      <c r="BW186" s="11">
        <f t="shared" si="542"/>
        <v>240.28694705286907</v>
      </c>
      <c r="BX186" s="181">
        <f t="shared" si="542"/>
        <v>288.34433646344297</v>
      </c>
      <c r="BY186" s="11">
        <f t="shared" si="542"/>
        <v>432.51650469516431</v>
      </c>
      <c r="BZ186" s="11">
        <f t="shared" si="542"/>
        <v>528.63128351631212</v>
      </c>
      <c r="CA186" s="11">
        <f t="shared" si="542"/>
        <v>672.80345174803347</v>
      </c>
      <c r="CB186" s="603">
        <f t="shared" si="542"/>
        <v>961.14778821147627</v>
      </c>
      <c r="CC186" s="11">
        <f t="shared" si="542"/>
        <v>202.24226236748711</v>
      </c>
      <c r="CD186" s="11">
        <f t="shared" si="542"/>
        <v>252.80282795935884</v>
      </c>
      <c r="CE186" s="11">
        <f t="shared" si="542"/>
        <v>252.80282795935889</v>
      </c>
      <c r="CF186" s="181">
        <f t="shared" si="542"/>
        <v>303.36339355123067</v>
      </c>
      <c r="CG186" s="11">
        <f t="shared" si="542"/>
        <v>455.04509032684598</v>
      </c>
      <c r="CH186" s="11">
        <f t="shared" si="542"/>
        <v>556.16622151058937</v>
      </c>
      <c r="CI186" s="11">
        <f t="shared" si="542"/>
        <v>707.84791828620473</v>
      </c>
      <c r="CJ186" s="603">
        <f t="shared" si="542"/>
        <v>1011.2113118374353</v>
      </c>
    </row>
    <row r="187" spans="1:88" x14ac:dyDescent="0.2">
      <c r="A187" s="584" t="s">
        <v>803</v>
      </c>
      <c r="B187" s="186"/>
      <c r="C187" s="186"/>
      <c r="D187" s="186"/>
      <c r="E187" s="186"/>
      <c r="F187" s="186"/>
      <c r="G187" s="186"/>
      <c r="H187" s="186"/>
      <c r="I187" s="186"/>
      <c r="J187" s="186"/>
      <c r="K187" s="186"/>
      <c r="L187" s="186"/>
      <c r="M187" s="186"/>
      <c r="N187" s="4">
        <f t="shared" si="520"/>
        <v>74.418270480564772</v>
      </c>
      <c r="O187" s="4">
        <f t="shared" si="520"/>
        <v>311.50336205694254</v>
      </c>
      <c r="P187" s="4">
        <f t="shared" si="520"/>
        <v>222.26782519807963</v>
      </c>
      <c r="Q187" s="4">
        <f t="shared" si="520"/>
        <v>366.71320781897367</v>
      </c>
      <c r="R187" s="4">
        <f t="shared" si="520"/>
        <v>0</v>
      </c>
      <c r="S187" s="4">
        <f t="shared" si="520"/>
        <v>476.82380934760181</v>
      </c>
      <c r="U187" s="4">
        <f t="shared" si="520"/>
        <v>656.51567415023067</v>
      </c>
      <c r="V187" s="4">
        <f t="shared" si="520"/>
        <v>721.33219366015066</v>
      </c>
      <c r="W187" s="4">
        <f t="shared" si="520"/>
        <v>714.87253381358335</v>
      </c>
      <c r="X187" s="180">
        <f t="shared" si="520"/>
        <v>700.43343359899711</v>
      </c>
      <c r="Y187" s="4">
        <f t="shared" si="520"/>
        <v>99.728014505893015</v>
      </c>
      <c r="Z187" s="4">
        <f t="shared" si="521"/>
        <v>75.441285719840636</v>
      </c>
      <c r="AA187" s="4">
        <f t="shared" si="512"/>
        <v>155.57553956834533</v>
      </c>
      <c r="AB187" s="179">
        <f t="shared" si="522"/>
        <v>586.7902743695206</v>
      </c>
      <c r="AC187" s="4">
        <f t="shared" si="511"/>
        <v>175.16930022573365</v>
      </c>
      <c r="AD187" s="4">
        <f t="shared" si="523"/>
        <v>742.36581393786594</v>
      </c>
      <c r="AE187" s="4">
        <f t="shared" si="524"/>
        <v>330.74483979407898</v>
      </c>
      <c r="AF187" s="314">
        <f t="shared" ref="AF187:AG187" si="543">AF195/AF$114</f>
        <v>917.53511416359959</v>
      </c>
      <c r="AG187" s="4">
        <f t="shared" si="543"/>
        <v>178.94261183913238</v>
      </c>
      <c r="AH187" s="4">
        <f t="shared" si="526"/>
        <v>309.26065494852639</v>
      </c>
      <c r="AI187" s="4">
        <f t="shared" si="514"/>
        <v>135.91359135913589</v>
      </c>
      <c r="AJ187" s="179">
        <f t="shared" si="527"/>
        <v>313.72209374565216</v>
      </c>
      <c r="AK187" s="4">
        <f t="shared" ref="AK187" si="544">AK195/AK$114</f>
        <v>488.20326678765878</v>
      </c>
      <c r="AL187" s="4">
        <f t="shared" si="529"/>
        <v>449.63568510478808</v>
      </c>
      <c r="AM187" s="4">
        <f t="shared" si="530"/>
        <v>624.1168581467947</v>
      </c>
      <c r="AN187" s="314">
        <f t="shared" ref="AN187:AO187" si="545">AN195/AN$114</f>
        <v>937.83895189244686</v>
      </c>
      <c r="AO187" s="4">
        <f t="shared" si="545"/>
        <v>152.5034451079467</v>
      </c>
      <c r="AP187" s="4">
        <f t="shared" si="532"/>
        <v>186.40301670859193</v>
      </c>
      <c r="AQ187" s="4">
        <f t="shared" si="517"/>
        <v>191.68490153172866</v>
      </c>
      <c r="AR187" s="179">
        <f t="shared" si="533"/>
        <v>424.89651177295832</v>
      </c>
      <c r="AS187" s="4">
        <f t="shared" si="511"/>
        <v>338.90646181653864</v>
      </c>
      <c r="AT187" s="4">
        <f t="shared" si="534"/>
        <v>616.58141330468698</v>
      </c>
      <c r="AU187" s="4">
        <f t="shared" si="535"/>
        <v>530.59136334826735</v>
      </c>
      <c r="AV187" s="314">
        <f t="shared" ref="AV187" si="546">AV195/AV$114</f>
        <v>955.48787512122556</v>
      </c>
      <c r="AW187" s="4">
        <f t="shared" si="542"/>
        <v>139.16849015317285</v>
      </c>
      <c r="AX187" s="4">
        <f t="shared" si="537"/>
        <v>140.04376367614879</v>
      </c>
      <c r="AY187" s="11">
        <f t="shared" si="542"/>
        <v>225.92719780219778</v>
      </c>
      <c r="AZ187" s="181">
        <f t="shared" si="542"/>
        <v>432.50136344395509</v>
      </c>
      <c r="BA187" s="4">
        <f t="shared" si="542"/>
        <v>279.21225382932164</v>
      </c>
      <c r="BB187" s="11">
        <f t="shared" si="542"/>
        <v>658.42856124615287</v>
      </c>
      <c r="BC187" s="11">
        <f t="shared" si="542"/>
        <v>505.27129120879124</v>
      </c>
      <c r="BD187" s="603">
        <f t="shared" si="542"/>
        <v>937.77265465274638</v>
      </c>
      <c r="BE187" s="11">
        <f t="shared" si="542"/>
        <v>216.09409870546065</v>
      </c>
      <c r="BF187" s="11">
        <f t="shared" si="542"/>
        <v>216.09409870546065</v>
      </c>
      <c r="BG187" s="11">
        <f t="shared" si="542"/>
        <v>216.09409870546065</v>
      </c>
      <c r="BH187" s="181">
        <f t="shared" si="542"/>
        <v>216.09409870546065</v>
      </c>
      <c r="BI187" s="11">
        <f t="shared" si="542"/>
        <v>432.1881974109213</v>
      </c>
      <c r="BJ187" s="11">
        <f t="shared" si="542"/>
        <v>432.18819741092159</v>
      </c>
      <c r="BK187" s="11">
        <f t="shared" si="542"/>
        <v>648.2822961163821</v>
      </c>
      <c r="BL187" s="603">
        <f t="shared" si="542"/>
        <v>864.37639482184261</v>
      </c>
      <c r="BM187" s="11">
        <f t="shared" si="542"/>
        <v>259.71187081642233</v>
      </c>
      <c r="BN187" s="11">
        <f t="shared" si="542"/>
        <v>259.71187081642233</v>
      </c>
      <c r="BO187" s="11">
        <f t="shared" si="542"/>
        <v>259.71187081642233</v>
      </c>
      <c r="BP187" s="181">
        <f t="shared" si="542"/>
        <v>259.71187081642233</v>
      </c>
      <c r="BQ187" s="11">
        <f t="shared" si="542"/>
        <v>519.42374163284467</v>
      </c>
      <c r="BR187" s="11">
        <f t="shared" si="542"/>
        <v>519.42374163284478</v>
      </c>
      <c r="BS187" s="11">
        <f t="shared" si="542"/>
        <v>779.135612449267</v>
      </c>
      <c r="BT187" s="603">
        <f t="shared" si="542"/>
        <v>1038.8474832656893</v>
      </c>
      <c r="BU187" s="11">
        <f t="shared" si="542"/>
        <v>269.73702422622711</v>
      </c>
      <c r="BV187" s="11">
        <f t="shared" si="542"/>
        <v>269.73702422622711</v>
      </c>
      <c r="BW187" s="11">
        <f t="shared" si="542"/>
        <v>269.73702422622711</v>
      </c>
      <c r="BX187" s="181">
        <f t="shared" si="542"/>
        <v>269.73702422622711</v>
      </c>
      <c r="BY187" s="11">
        <f t="shared" si="542"/>
        <v>539.47404845245421</v>
      </c>
      <c r="BZ187" s="11">
        <f t="shared" si="542"/>
        <v>539.47404845245433</v>
      </c>
      <c r="CA187" s="11">
        <f t="shared" si="542"/>
        <v>809.21107267868138</v>
      </c>
      <c r="CB187" s="603">
        <f t="shared" si="542"/>
        <v>1078.9480969049084</v>
      </c>
      <c r="CC187" s="11">
        <f t="shared" si="542"/>
        <v>224.83087325054549</v>
      </c>
      <c r="CD187" s="11">
        <f t="shared" si="542"/>
        <v>224.83087325054549</v>
      </c>
      <c r="CE187" s="11">
        <f t="shared" si="542"/>
        <v>224.83087325054549</v>
      </c>
      <c r="CF187" s="181">
        <f t="shared" si="542"/>
        <v>224.83087325054549</v>
      </c>
      <c r="CG187" s="11">
        <f t="shared" si="542"/>
        <v>449.66174650109099</v>
      </c>
      <c r="CH187" s="11">
        <f t="shared" si="542"/>
        <v>449.66174650109082</v>
      </c>
      <c r="CI187" s="11">
        <f t="shared" si="542"/>
        <v>674.49261975163631</v>
      </c>
      <c r="CJ187" s="603">
        <f t="shared" si="542"/>
        <v>899.32349300218175</v>
      </c>
    </row>
    <row r="188" spans="1:88" x14ac:dyDescent="0.2">
      <c r="A188" s="717" t="s">
        <v>804</v>
      </c>
      <c r="B188" s="729"/>
      <c r="C188" s="544"/>
      <c r="D188" s="531"/>
      <c r="E188" s="531"/>
      <c r="F188" s="531"/>
      <c r="G188" s="531"/>
      <c r="H188" s="764"/>
      <c r="I188" s="764"/>
      <c r="J188" s="531"/>
      <c r="K188" s="544"/>
      <c r="L188" s="531"/>
      <c r="M188" s="419"/>
      <c r="N188" s="419">
        <f>SUM(N184:N187)</f>
        <v>2645.2796719517223</v>
      </c>
      <c r="O188" s="419">
        <f>SUM(O184:O187)</f>
        <v>3434.09954495805</v>
      </c>
      <c r="P188" s="419">
        <f t="shared" ref="P188:CA188" si="547">SUM(P184:P187)</f>
        <v>3702.4645526899812</v>
      </c>
      <c r="Q188" s="419">
        <f t="shared" si="547"/>
        <v>4113.0335798524475</v>
      </c>
      <c r="R188" s="419">
        <f>+R97</f>
        <v>4113.0335798524475</v>
      </c>
      <c r="S188" s="419">
        <f t="shared" si="547"/>
        <v>4591.3584714592207</v>
      </c>
      <c r="T188" s="419"/>
      <c r="U188" s="419">
        <f t="shared" si="547"/>
        <v>5164.0637406398482</v>
      </c>
      <c r="V188" s="419">
        <f t="shared" si="547"/>
        <v>2938.2849695916598</v>
      </c>
      <c r="W188" s="419">
        <f t="shared" si="547"/>
        <v>3098.4478922155681</v>
      </c>
      <c r="X188" s="729">
        <f t="shared" si="547"/>
        <v>4238.3318214461533</v>
      </c>
      <c r="Y188" s="419">
        <f t="shared" si="547"/>
        <v>1092.4750679963736</v>
      </c>
      <c r="Z188" s="419">
        <f t="shared" si="547"/>
        <v>1198.2737918917867</v>
      </c>
      <c r="AA188" s="419">
        <f t="shared" si="547"/>
        <v>1399.7682656347347</v>
      </c>
      <c r="AB188" s="779">
        <f t="shared" si="547"/>
        <v>1929.5108697147039</v>
      </c>
      <c r="AC188" s="419">
        <f t="shared" si="547"/>
        <v>2290.74885988816</v>
      </c>
      <c r="AD188" s="419">
        <f>SUM(AD184:AD187)</f>
        <v>3329.2791353494385</v>
      </c>
      <c r="AE188" s="419">
        <f>SUM(AE184:AE187)</f>
        <v>3690.5171255228947</v>
      </c>
      <c r="AF188" s="1367">
        <f t="shared" ref="AF188:AJ188" si="548">SUM(AF184:AF187)</f>
        <v>5620.0279952375986</v>
      </c>
      <c r="AG188" s="419">
        <f t="shared" si="548"/>
        <v>1397.2893899533392</v>
      </c>
      <c r="AH188" s="419">
        <f t="shared" si="548"/>
        <v>1616.2564984324508</v>
      </c>
      <c r="AI188" s="419">
        <f t="shared" si="548"/>
        <v>1688.2897595325444</v>
      </c>
      <c r="AJ188" s="779">
        <f t="shared" si="548"/>
        <v>2352.6126959131766</v>
      </c>
      <c r="AK188" s="419">
        <f t="shared" ref="AK188" si="549">SUM(AK184:AK187)</f>
        <v>3013.5458883857896</v>
      </c>
      <c r="AL188" s="419">
        <f>SUM(AL184:AL187)</f>
        <v>4040.902455445721</v>
      </c>
      <c r="AM188" s="419">
        <f>SUM(AM184:AM187)</f>
        <v>4701.8356479183349</v>
      </c>
      <c r="AN188" s="1367">
        <f t="shared" ref="AN188:AR188" si="550">SUM(AN184:AN187)</f>
        <v>7054.4483438315101</v>
      </c>
      <c r="AO188" s="419">
        <f t="shared" si="550"/>
        <v>1734.4037505493445</v>
      </c>
      <c r="AP188" s="419">
        <f t="shared" si="550"/>
        <v>1909.5497334925126</v>
      </c>
      <c r="AQ188" s="419">
        <f t="shared" si="550"/>
        <v>1959.4483640206722</v>
      </c>
      <c r="AR188" s="779">
        <f t="shared" si="550"/>
        <v>2869.5345174335062</v>
      </c>
      <c r="AS188" s="419">
        <f t="shared" si="547"/>
        <v>3643.9534840418573</v>
      </c>
      <c r="AT188" s="419">
        <f>SUM(AT184:AT187)</f>
        <v>4828.9828814541788</v>
      </c>
      <c r="AU188" s="419">
        <f>SUM(AU184:AU187)</f>
        <v>5603.4018480625291</v>
      </c>
      <c r="AV188" s="1367">
        <f t="shared" ref="AV188" si="551">SUM(AV184:AV187)</f>
        <v>8472.9363654960362</v>
      </c>
      <c r="AW188" s="419">
        <f t="shared" si="547"/>
        <v>2224.2189781757379</v>
      </c>
      <c r="AX188" s="419">
        <f t="shared" si="547"/>
        <v>2464.6531955878318</v>
      </c>
      <c r="AY188" s="731">
        <f t="shared" si="547"/>
        <v>2490.6966096569545</v>
      </c>
      <c r="AZ188" s="730">
        <f t="shared" si="547"/>
        <v>3424.4441438255349</v>
      </c>
      <c r="BA188" s="419">
        <f t="shared" si="547"/>
        <v>4688.8721737635688</v>
      </c>
      <c r="BB188" s="731">
        <f t="shared" si="547"/>
        <v>5915.1407534824893</v>
      </c>
      <c r="BC188" s="731">
        <f t="shared" si="547"/>
        <v>7181.7827941481783</v>
      </c>
      <c r="BD188" s="732">
        <f t="shared" si="547"/>
        <v>10606.226937973712</v>
      </c>
      <c r="BE188" s="731">
        <f t="shared" si="547"/>
        <v>2434.8438079147531</v>
      </c>
      <c r="BF188" s="731">
        <f t="shared" si="547"/>
        <v>2989.5312352170763</v>
      </c>
      <c r="BG188" s="731">
        <f t="shared" si="547"/>
        <v>2989.5312352170758</v>
      </c>
      <c r="BH188" s="730">
        <f t="shared" si="547"/>
        <v>3544.218662519399</v>
      </c>
      <c r="BI188" s="731">
        <f t="shared" si="547"/>
        <v>5424.3750431318294</v>
      </c>
      <c r="BJ188" s="731">
        <f t="shared" si="547"/>
        <v>6533.7498977364794</v>
      </c>
      <c r="BK188" s="731">
        <f t="shared" si="547"/>
        <v>8413.9062783489062</v>
      </c>
      <c r="BL188" s="732">
        <f t="shared" si="547"/>
        <v>11958.124940868303</v>
      </c>
      <c r="BM188" s="731">
        <f t="shared" si="547"/>
        <v>2699.3628163027252</v>
      </c>
      <c r="BN188" s="731">
        <f t="shared" si="547"/>
        <v>3309.2755526743003</v>
      </c>
      <c r="BO188" s="731">
        <f t="shared" si="547"/>
        <v>3309.2755526743003</v>
      </c>
      <c r="BP188" s="730">
        <f t="shared" si="547"/>
        <v>3919.1882890458755</v>
      </c>
      <c r="BQ188" s="731">
        <f t="shared" si="547"/>
        <v>6008.6383689770246</v>
      </c>
      <c r="BR188" s="731">
        <f t="shared" si="547"/>
        <v>7228.4638417201786</v>
      </c>
      <c r="BS188" s="731">
        <f t="shared" si="547"/>
        <v>9317.9139216513249</v>
      </c>
      <c r="BT188" s="732">
        <f t="shared" si="547"/>
        <v>13237.102210697201</v>
      </c>
      <c r="BU188" s="731">
        <f t="shared" si="547"/>
        <v>2894.5277295965179</v>
      </c>
      <c r="BV188" s="731">
        <f t="shared" si="547"/>
        <v>3550.7254059390898</v>
      </c>
      <c r="BW188" s="731">
        <f t="shared" si="547"/>
        <v>3550.7254059390898</v>
      </c>
      <c r="BX188" s="730">
        <f t="shared" si="547"/>
        <v>4206.9230822816626</v>
      </c>
      <c r="BY188" s="731">
        <f t="shared" si="547"/>
        <v>6445.2531355356077</v>
      </c>
      <c r="BZ188" s="731">
        <f t="shared" si="547"/>
        <v>7757.6484882207542</v>
      </c>
      <c r="CA188" s="731">
        <f t="shared" si="547"/>
        <v>9995.9785414746984</v>
      </c>
      <c r="CB188" s="732">
        <f t="shared" ref="CB188:CJ188" si="552">SUM(CB184:CB187)</f>
        <v>14202.901623756359</v>
      </c>
      <c r="CC188" s="731">
        <f t="shared" si="552"/>
        <v>2921.7238390859143</v>
      </c>
      <c r="CD188" s="731">
        <f t="shared" si="552"/>
        <v>3595.9470805447559</v>
      </c>
      <c r="CE188" s="731">
        <f t="shared" si="552"/>
        <v>3595.9470805447563</v>
      </c>
      <c r="CF188" s="730">
        <f t="shared" si="552"/>
        <v>4270.1703220035979</v>
      </c>
      <c r="CG188" s="731">
        <f t="shared" si="552"/>
        <v>6517.6709196306701</v>
      </c>
      <c r="CH188" s="731">
        <f t="shared" si="552"/>
        <v>7866.1174025483515</v>
      </c>
      <c r="CI188" s="731">
        <f t="shared" si="552"/>
        <v>10113.618000175424</v>
      </c>
      <c r="CJ188" s="732">
        <f t="shared" si="552"/>
        <v>14383.788322179022</v>
      </c>
    </row>
    <row r="189" spans="1:88" x14ac:dyDescent="0.2">
      <c r="A189" s="693" t="s">
        <v>805</v>
      </c>
      <c r="B189" s="284"/>
      <c r="C189" s="70"/>
      <c r="D189" s="141"/>
      <c r="E189" s="141"/>
      <c r="F189" s="141"/>
      <c r="G189" s="141"/>
      <c r="H189" s="462"/>
      <c r="I189" s="462"/>
      <c r="J189" s="141"/>
      <c r="K189" s="70"/>
      <c r="L189" s="141"/>
      <c r="M189" s="186"/>
      <c r="N189" s="765"/>
      <c r="O189" s="638">
        <f t="shared" ref="O189:X189" si="553">O188/N188-1</f>
        <v>0.29819904540540554</v>
      </c>
      <c r="P189" s="638">
        <f t="shared" si="553"/>
        <v>7.8147125387190597E-2</v>
      </c>
      <c r="Q189" s="261">
        <f t="shared" si="553"/>
        <v>0.11089073813392014</v>
      </c>
      <c r="R189" s="261"/>
      <c r="S189" s="638">
        <f>S188/R188-1</f>
        <v>0.11629491525423741</v>
      </c>
      <c r="T189" s="638"/>
      <c r="U189" s="638">
        <f>U188/S188-1</f>
        <v>0.12473547267996499</v>
      </c>
      <c r="V189" s="638">
        <f t="shared" si="553"/>
        <v>-0.43101303214595987</v>
      </c>
      <c r="W189" s="638">
        <f t="shared" si="553"/>
        <v>5.4508982035927689E-2</v>
      </c>
      <c r="X189" s="649">
        <f t="shared" si="553"/>
        <v>0.36788868778280559</v>
      </c>
      <c r="Y189" s="638"/>
      <c r="Z189" s="638"/>
      <c r="AA189" s="638"/>
      <c r="AB189" s="657"/>
      <c r="AC189" s="638"/>
      <c r="AD189" s="638"/>
      <c r="AE189" s="638"/>
      <c r="AF189" s="748">
        <f>AF188/X188-1</f>
        <v>0.32599999999999985</v>
      </c>
      <c r="AG189" s="638"/>
      <c r="AH189" s="638"/>
      <c r="AI189" s="638"/>
      <c r="AJ189" s="657"/>
      <c r="AK189" s="638"/>
      <c r="AL189" s="638"/>
      <c r="AM189" s="638"/>
      <c r="AN189" s="748">
        <f>AN188/AF188-1</f>
        <v>0.25523366606170583</v>
      </c>
      <c r="AO189" s="638"/>
      <c r="AP189" s="638"/>
      <c r="AQ189" s="638"/>
      <c r="AR189" s="657"/>
      <c r="AS189" s="638"/>
      <c r="AT189" s="638"/>
      <c r="AU189" s="638"/>
      <c r="AV189" s="748">
        <f>AV188/AN188-1</f>
        <v>0.20107710093374886</v>
      </c>
      <c r="AW189" s="638"/>
      <c r="AX189" s="638"/>
      <c r="AY189" s="638"/>
      <c r="AZ189" s="657"/>
      <c r="BA189" s="638"/>
      <c r="BB189" s="638"/>
      <c r="BC189" s="638"/>
      <c r="BD189" s="652">
        <f>BD188/AV188-1</f>
        <v>0.25177700863716868</v>
      </c>
      <c r="BE189" s="638"/>
      <c r="BF189" s="638"/>
      <c r="BG189" s="638"/>
      <c r="BH189" s="657"/>
      <c r="BI189" s="638"/>
      <c r="BJ189" s="638"/>
      <c r="BK189" s="638"/>
      <c r="BL189" s="652">
        <f>BL188/BD188-1</f>
        <v>0.12746266988257249</v>
      </c>
      <c r="BM189" s="638"/>
      <c r="BN189" s="638"/>
      <c r="BO189" s="638"/>
      <c r="BP189" s="657"/>
      <c r="BQ189" s="638"/>
      <c r="BR189" s="638"/>
      <c r="BS189" s="638"/>
      <c r="BT189" s="652">
        <f>BT188/BL188-1</f>
        <v>0.10695466690248745</v>
      </c>
      <c r="BU189" s="638"/>
      <c r="BV189" s="638"/>
      <c r="BW189" s="638"/>
      <c r="BX189" s="657"/>
      <c r="BY189" s="638"/>
      <c r="BZ189" s="638"/>
      <c r="CA189" s="638"/>
      <c r="CB189" s="652">
        <f>CB188/BT188-1</f>
        <v>7.2961543824801245E-2</v>
      </c>
      <c r="CC189" s="638"/>
      <c r="CD189" s="638"/>
      <c r="CE189" s="638"/>
      <c r="CF189" s="657"/>
      <c r="CG189" s="638"/>
      <c r="CH189" s="638"/>
      <c r="CI189" s="638"/>
      <c r="CJ189" s="652">
        <f>CJ188/CB188-1</f>
        <v>1.2735897439443145E-2</v>
      </c>
    </row>
    <row r="190" spans="1:88" ht="15" collapsed="1" x14ac:dyDescent="0.25">
      <c r="A190" s="584"/>
      <c r="B190" s="284"/>
      <c r="C190" s="53"/>
      <c r="D190" s="49"/>
      <c r="E190" s="49"/>
      <c r="F190" s="49"/>
      <c r="G190" s="49"/>
      <c r="H190" s="104"/>
      <c r="I190" s="104"/>
      <c r="J190" s="49"/>
      <c r="K190" s="53"/>
      <c r="L190" s="49"/>
      <c r="M190" s="83"/>
      <c r="N190" s="83"/>
      <c r="O190" s="104"/>
      <c r="P190" s="53"/>
      <c r="Q190" s="53"/>
      <c r="R190" s="53"/>
      <c r="S190" s="53"/>
      <c r="T190" s="53"/>
      <c r="U190" s="53"/>
      <c r="V190" s="53"/>
      <c r="W190" s="53"/>
      <c r="X190" s="55"/>
      <c r="Y190" s="53"/>
      <c r="Z190" s="766"/>
      <c r="AA190" s="53"/>
      <c r="AB190" s="762"/>
      <c r="AC190" s="53"/>
      <c r="AD190" s="53"/>
      <c r="AE190" s="53"/>
      <c r="AF190" s="763"/>
      <c r="AG190" s="53"/>
      <c r="AH190" s="53"/>
      <c r="AI190" s="53"/>
      <c r="AJ190" s="762"/>
      <c r="AK190" s="53"/>
      <c r="AL190" s="53"/>
      <c r="AM190" s="53"/>
      <c r="AN190" s="763"/>
      <c r="AO190" s="53"/>
      <c r="AP190" s="53"/>
      <c r="AQ190" s="53"/>
      <c r="AR190" s="762"/>
      <c r="AS190" s="53"/>
      <c r="AT190" s="53"/>
      <c r="AU190" s="53"/>
      <c r="AV190" s="763"/>
      <c r="AW190" s="53"/>
      <c r="AX190" s="53"/>
      <c r="AY190" s="53"/>
      <c r="AZ190" s="762"/>
      <c r="BA190" s="53"/>
      <c r="BB190" s="53"/>
      <c r="BC190" s="53"/>
      <c r="BD190" s="763"/>
      <c r="BE190" s="53"/>
      <c r="BF190" s="53"/>
      <c r="BG190" s="53"/>
      <c r="BH190" s="762"/>
      <c r="BI190" s="53"/>
      <c r="BJ190" s="53"/>
      <c r="BK190" s="53"/>
      <c r="BL190" s="763"/>
      <c r="BM190" s="53"/>
      <c r="BN190" s="53"/>
      <c r="BO190" s="53"/>
      <c r="BP190" s="762"/>
      <c r="BQ190" s="53"/>
      <c r="BR190" s="53"/>
      <c r="BS190" s="53"/>
      <c r="BT190" s="763"/>
      <c r="BU190" s="53"/>
      <c r="BV190" s="53"/>
      <c r="BW190" s="53"/>
      <c r="BX190" s="762"/>
      <c r="BY190" s="53"/>
      <c r="BZ190" s="53"/>
      <c r="CA190" s="53"/>
      <c r="CB190" s="763"/>
      <c r="CC190" s="53"/>
      <c r="CD190" s="53"/>
      <c r="CE190" s="53"/>
      <c r="CF190" s="762"/>
      <c r="CG190" s="53"/>
      <c r="CH190" s="53"/>
      <c r="CI190" s="53"/>
      <c r="CJ190" s="763"/>
    </row>
    <row r="191" spans="1:88" ht="15" outlineLevel="1" x14ac:dyDescent="0.25">
      <c r="A191" s="680" t="s">
        <v>796</v>
      </c>
      <c r="B191" s="284"/>
      <c r="C191" s="53"/>
      <c r="D191" s="49"/>
      <c r="E191" s="49"/>
      <c r="F191" s="49"/>
      <c r="G191" s="49"/>
      <c r="H191" s="104"/>
      <c r="I191" s="104"/>
      <c r="J191" s="49"/>
      <c r="K191" s="53"/>
      <c r="L191" s="49"/>
      <c r="M191" s="83"/>
      <c r="N191" s="83"/>
      <c r="O191" s="104"/>
      <c r="P191" s="53"/>
      <c r="Q191" s="53"/>
      <c r="R191" s="53"/>
      <c r="S191" s="53"/>
      <c r="T191" s="53"/>
      <c r="U191" s="53"/>
      <c r="V191" s="124"/>
      <c r="W191" s="53"/>
      <c r="X191" s="55"/>
      <c r="Y191" s="53"/>
      <c r="Z191" s="766"/>
      <c r="AA191" s="53"/>
      <c r="AB191" s="762"/>
      <c r="AC191" s="53"/>
      <c r="AD191" s="53"/>
      <c r="AE191" s="53"/>
      <c r="AF191" s="763"/>
      <c r="AG191" s="53"/>
      <c r="AH191" s="53"/>
      <c r="AI191" s="53"/>
      <c r="AJ191" s="762"/>
      <c r="AK191" s="53"/>
      <c r="AL191" s="53"/>
      <c r="AM191" s="53"/>
      <c r="AN191" s="767"/>
      <c r="AO191" s="53"/>
      <c r="AP191" s="53"/>
      <c r="AQ191" s="53"/>
      <c r="AR191" s="762"/>
      <c r="AS191" s="53"/>
      <c r="AT191" s="53"/>
      <c r="AU191" s="53"/>
      <c r="AV191" s="767"/>
      <c r="AW191" s="53"/>
      <c r="AX191" s="53"/>
      <c r="AY191" s="53"/>
      <c r="AZ191" s="762"/>
      <c r="BA191" s="53"/>
      <c r="BB191" s="53"/>
      <c r="BC191" s="53"/>
      <c r="BD191" s="767"/>
      <c r="BE191" s="53"/>
      <c r="BF191" s="53"/>
      <c r="BG191" s="53"/>
      <c r="BH191" s="762"/>
      <c r="BI191" s="53"/>
      <c r="BJ191" s="53"/>
      <c r="BK191" s="53"/>
      <c r="BL191" s="767"/>
      <c r="BM191" s="53"/>
      <c r="BN191" s="53"/>
      <c r="BO191" s="53"/>
      <c r="BP191" s="762"/>
      <c r="BQ191" s="53"/>
      <c r="BR191" s="53"/>
      <c r="BS191" s="53"/>
      <c r="BT191" s="767"/>
      <c r="BU191" s="53"/>
      <c r="BV191" s="53"/>
      <c r="BW191" s="53"/>
      <c r="BX191" s="762"/>
      <c r="BY191" s="53"/>
      <c r="BZ191" s="53"/>
      <c r="CA191" s="53"/>
      <c r="CB191" s="763"/>
      <c r="CC191" s="53"/>
      <c r="CD191" s="53"/>
      <c r="CE191" s="53"/>
      <c r="CF191" s="762"/>
      <c r="CG191" s="53"/>
      <c r="CH191" s="53"/>
      <c r="CI191" s="53"/>
      <c r="CJ191" s="763"/>
    </row>
    <row r="192" spans="1:88" outlineLevel="1" x14ac:dyDescent="0.2">
      <c r="A192" s="584" t="s">
        <v>790</v>
      </c>
      <c r="B192" s="284"/>
      <c r="C192" s="53"/>
      <c r="D192" s="49"/>
      <c r="E192" s="49"/>
      <c r="F192" s="49"/>
      <c r="G192" s="49"/>
      <c r="H192" s="104"/>
      <c r="I192" s="104"/>
      <c r="J192" s="49"/>
      <c r="K192" s="53"/>
      <c r="L192" s="49"/>
      <c r="M192" s="83"/>
      <c r="N192" s="199">
        <f>N144</f>
        <v>2770.2675000000004</v>
      </c>
      <c r="O192" s="199">
        <f>'Civil AM'!AH133</f>
        <v>3093.0080168587274</v>
      </c>
      <c r="P192" s="199">
        <f>'Civil AM'!AI133</f>
        <v>3425.8200676689339</v>
      </c>
      <c r="Q192" s="199">
        <f>'Civil AM'!AJ133</f>
        <v>3739.2817486392978</v>
      </c>
      <c r="R192" s="199"/>
      <c r="S192" s="199">
        <f>'Civil AM'!AK133</f>
        <v>4142.4864263244644</v>
      </c>
      <c r="T192" s="199"/>
      <c r="U192" s="4">
        <f>'Civil AM'!AL133</f>
        <v>4418.9733139982973</v>
      </c>
      <c r="V192" s="4">
        <f>'Civil AM'!AM133</f>
        <v>2034.1899566654527</v>
      </c>
      <c r="W192" s="4">
        <f>'Civil AM'!AN133</f>
        <v>2294.7530399617922</v>
      </c>
      <c r="X192" s="180">
        <f>'Civil AM'!AO133</f>
        <v>3382.82425922626</v>
      </c>
      <c r="Y192" s="4">
        <f>'Civil AM'!AP133</f>
        <v>950</v>
      </c>
      <c r="Z192" s="4">
        <f>'Civil AM'!AQ133</f>
        <v>1089.3282018316529</v>
      </c>
      <c r="AA192" s="4">
        <f>'Civil AM'!AR133</f>
        <v>1214</v>
      </c>
      <c r="AB192" s="179">
        <f>'Civil AM'!AS133</f>
        <v>1278.5122466831308</v>
      </c>
      <c r="AC192" s="4">
        <f>'Civil AM'!AT133</f>
        <v>2039.3282018316529</v>
      </c>
      <c r="AD192" s="4">
        <f>'Civil AM'!AU133</f>
        <v>2492.5122466831308</v>
      </c>
      <c r="AE192" s="4">
        <f>'Civil AM'!AV133</f>
        <v>3253.3282018316531</v>
      </c>
      <c r="AF192" s="314">
        <f>'Civil AM'!AW133</f>
        <v>4531.8404485147839</v>
      </c>
      <c r="AG192" s="4">
        <f>'Civil AM'!AX133</f>
        <v>1090.4858628469358</v>
      </c>
      <c r="AH192" s="4">
        <f>'Civil AM'!AY133</f>
        <v>1145.0101559892826</v>
      </c>
      <c r="AI192" s="4">
        <f>'Civil AM'!AZ133</f>
        <v>1417.6316217010165</v>
      </c>
      <c r="AJ192" s="179">
        <f>'Civil AM'!BA133</f>
        <v>1799.3016736974439</v>
      </c>
      <c r="AK192" s="4">
        <f>'Civil AM'!BB133</f>
        <v>2235.4960188362184</v>
      </c>
      <c r="AL192" s="4">
        <f>'Civil AM'!BC133</f>
        <v>3216.9332953984604</v>
      </c>
      <c r="AM192" s="4">
        <f>'Civil AM'!BD133</f>
        <v>3653.1276405372346</v>
      </c>
      <c r="AN192" s="314">
        <f>'Civil AM'!BE133</f>
        <v>5452.4293142346787</v>
      </c>
      <c r="AO192" s="4">
        <f>'Civil AM'!BF133</f>
        <v>1280.1969964943389</v>
      </c>
      <c r="AP192" s="4">
        <f>'Civil AM'!BG133</f>
        <v>1405.0942644450063</v>
      </c>
      <c r="AQ192" s="4">
        <f>'Civil AM'!BH133</f>
        <v>1467.54289842034</v>
      </c>
      <c r="AR192" s="179">
        <f>'Civil AM'!BI133</f>
        <v>2092.0292381736763</v>
      </c>
      <c r="AS192" s="4">
        <f>'Civil AM'!BJ133</f>
        <v>2685.2912609393452</v>
      </c>
      <c r="AT192" s="4">
        <f>'Civil AM'!BK133</f>
        <v>3559.5721365940162</v>
      </c>
      <c r="AU192" s="4">
        <f>'Civil AM'!BL133</f>
        <v>4152.8341593596851</v>
      </c>
      <c r="AV192" s="314">
        <f>'Civil AM'!BM133</f>
        <v>6244.8633975333614</v>
      </c>
      <c r="AW192" s="4">
        <f>'Civil AM'!BN133</f>
        <v>1565.7394974233314</v>
      </c>
      <c r="AX192" s="4">
        <f>'Civil AM'!BO133</f>
        <v>1635.3279195310354</v>
      </c>
      <c r="AY192" s="11">
        <f>'Civil AM'!BP133</f>
        <v>1565.7394974233314</v>
      </c>
      <c r="AZ192" s="181">
        <f>'Civil AM'!BQ133</f>
        <v>2192.0352963926634</v>
      </c>
      <c r="BA192" s="4">
        <f>'Civil AM'!BR133</f>
        <v>3201.0674169543668</v>
      </c>
      <c r="BB192" s="11">
        <f>'Civil AM'!BS133</f>
        <v>3757.7747938159951</v>
      </c>
      <c r="BC192" s="11">
        <f>'Civil AM'!BT133</f>
        <v>4766.8069143776984</v>
      </c>
      <c r="BD192" s="603">
        <f>'Civil AM'!BU133</f>
        <v>6958.8422107703618</v>
      </c>
      <c r="BE192" s="11">
        <f>'Civil AM'!BV133</f>
        <v>1475.6622983945811</v>
      </c>
      <c r="BF192" s="11">
        <f>'Civil AM'!BW133</f>
        <v>1844.5778729932265</v>
      </c>
      <c r="BG192" s="11">
        <f>'Civil AM'!BX133</f>
        <v>1844.5778729932263</v>
      </c>
      <c r="BH192" s="181">
        <f>'Civil AM'!BY133</f>
        <v>2213.4934475918712</v>
      </c>
      <c r="BI192" s="11">
        <f>'Civil AM'!BZ133</f>
        <v>3320.2401713878075</v>
      </c>
      <c r="BJ192" s="11">
        <f>'Civil AM'!CA133</f>
        <v>4058.0713205850975</v>
      </c>
      <c r="BK192" s="11">
        <f>'Civil AM'!CB133</f>
        <v>5164.8180443810343</v>
      </c>
      <c r="BL192" s="603">
        <f>'Civil AM'!CC133</f>
        <v>7378.3114919729051</v>
      </c>
      <c r="BM192" s="11">
        <f>'Civil AM'!CD133</f>
        <v>1446.309629032577</v>
      </c>
      <c r="BN192" s="11">
        <f>'Civil AM'!CE133</f>
        <v>1807.887036290721</v>
      </c>
      <c r="BO192" s="11">
        <f>'Civil AM'!CF133</f>
        <v>1807.8870362907212</v>
      </c>
      <c r="BP192" s="181">
        <f>'Civil AM'!CG133</f>
        <v>2169.4644435488653</v>
      </c>
      <c r="BQ192" s="11">
        <f>'Civil AM'!CH133</f>
        <v>3254.196665323298</v>
      </c>
      <c r="BR192" s="11">
        <f>'Civil AM'!CI133</f>
        <v>3977.3514798395868</v>
      </c>
      <c r="BS192" s="11">
        <f>'Civil AM'!CJ133</f>
        <v>5062.0837016140194</v>
      </c>
      <c r="BT192" s="603">
        <f>'Civil AM'!CK133</f>
        <v>7231.5481451628848</v>
      </c>
      <c r="BU192" s="11">
        <f>'Civil AM'!CL133</f>
        <v>1372.9883922482074</v>
      </c>
      <c r="BV192" s="11">
        <f>'Civil AM'!CM133</f>
        <v>1716.2354903102589</v>
      </c>
      <c r="BW192" s="11">
        <f>'Civil AM'!CN133</f>
        <v>1716.2354903102591</v>
      </c>
      <c r="BX192" s="181">
        <f>'Civil AM'!CO133</f>
        <v>2059.4825883723111</v>
      </c>
      <c r="BY192" s="11">
        <f>'Civil AM'!CP133</f>
        <v>3089.2238825584664</v>
      </c>
      <c r="BZ192" s="11">
        <f>'Civil AM'!CQ133</f>
        <v>3775.7180786825702</v>
      </c>
      <c r="CA192" s="11">
        <f>'Civil AM'!CR133</f>
        <v>4805.459372868725</v>
      </c>
      <c r="CB192" s="603">
        <f>'Civil AM'!CS133</f>
        <v>6864.9419612410366</v>
      </c>
      <c r="CC192" s="11">
        <f>'Civil AM'!CT133</f>
        <v>1291.2343776627429</v>
      </c>
      <c r="CD192" s="11">
        <f>'Civil AM'!CU133</f>
        <v>1614.0429720784284</v>
      </c>
      <c r="CE192" s="11">
        <f>'Civil AM'!CV133</f>
        <v>1614.0429720784284</v>
      </c>
      <c r="CF192" s="181">
        <f>'Civil AM'!CW133</f>
        <v>1936.851566494114</v>
      </c>
      <c r="CG192" s="11">
        <f>'Civil AM'!CX133</f>
        <v>2905.2773497411713</v>
      </c>
      <c r="CH192" s="11">
        <f>'Civil AM'!CY133</f>
        <v>3550.8945385725424</v>
      </c>
      <c r="CI192" s="11">
        <f>'Civil AM'!CZ133</f>
        <v>4519.3203218195995</v>
      </c>
      <c r="CJ192" s="603">
        <f>'Civil AM'!DA133</f>
        <v>6456.1718883137137</v>
      </c>
    </row>
    <row r="193" spans="1:88" outlineLevel="1" x14ac:dyDescent="0.2">
      <c r="A193" s="584" t="s">
        <v>791</v>
      </c>
      <c r="B193" s="284"/>
      <c r="C193" s="53"/>
      <c r="D193" s="49"/>
      <c r="E193" s="49"/>
      <c r="F193" s="49"/>
      <c r="G193" s="49"/>
      <c r="H193" s="104"/>
      <c r="I193" s="104"/>
      <c r="J193" s="49"/>
      <c r="K193" s="53"/>
      <c r="L193" s="49"/>
      <c r="M193" s="83"/>
      <c r="N193" s="199">
        <f>'Civil AM'!AG144</f>
        <v>0</v>
      </c>
      <c r="O193" s="199">
        <f>'Civil AM'!AH144</f>
        <v>0</v>
      </c>
      <c r="P193" s="199">
        <f>'Civil AM'!AI144</f>
        <v>0</v>
      </c>
      <c r="Q193" s="199">
        <f>'Civil AM'!AJ144</f>
        <v>0</v>
      </c>
      <c r="R193" s="186"/>
      <c r="S193" s="199">
        <f>'Civil AM'!AK144</f>
        <v>0</v>
      </c>
      <c r="T193" s="199"/>
      <c r="U193" s="4">
        <f>'Civil AM'!AL144</f>
        <v>0</v>
      </c>
      <c r="V193" s="4">
        <f>'Civil AM'!AM144</f>
        <v>0</v>
      </c>
      <c r="W193" s="4">
        <f>'Civil AM'!AN144</f>
        <v>0</v>
      </c>
      <c r="X193" s="180">
        <f>'Civil AM'!AO144</f>
        <v>0</v>
      </c>
      <c r="Y193" s="4">
        <f>'Civil AM'!AP144</f>
        <v>15</v>
      </c>
      <c r="Z193" s="4">
        <f>'Civil AM'!AQ144</f>
        <v>15</v>
      </c>
      <c r="AA193" s="4">
        <f>'Civil AM'!AR144</f>
        <v>17.5</v>
      </c>
      <c r="AB193" s="179">
        <f>'Civil AM'!AS144</f>
        <v>20.501171731371443</v>
      </c>
      <c r="AC193" s="4">
        <f>'Civil AM'!AT144</f>
        <v>30</v>
      </c>
      <c r="AD193" s="4">
        <f>'Civil AM'!AU144</f>
        <v>38.001171731371443</v>
      </c>
      <c r="AE193" s="4">
        <f>'Civil AM'!AV144</f>
        <v>47.5</v>
      </c>
      <c r="AF193" s="314">
        <f>'Civil AM'!AW144</f>
        <v>68.001171731371443</v>
      </c>
      <c r="AG193" s="4">
        <f>'Civil AM'!AX144</f>
        <v>119.68206224721376</v>
      </c>
      <c r="AH193" s="4">
        <f>'Civil AM'!AY144</f>
        <v>134.64232002811545</v>
      </c>
      <c r="AI193" s="4">
        <f>'Civil AM'!AZ144</f>
        <v>134.64232002811548</v>
      </c>
      <c r="AJ193" s="179">
        <f>'Civil AM'!BA144</f>
        <v>209.4436089326241</v>
      </c>
      <c r="AK193" s="4">
        <f>'Civil AM'!BB144</f>
        <v>254.32438227532921</v>
      </c>
      <c r="AL193" s="4">
        <f>'Civil AM'!BC144</f>
        <v>344.08592896073958</v>
      </c>
      <c r="AM193" s="4">
        <f>'Civil AM'!BD144</f>
        <v>388.96670230344466</v>
      </c>
      <c r="AN193" s="314">
        <f>'Civil AM'!BE144</f>
        <v>598.41031123606876</v>
      </c>
      <c r="AO193" s="4">
        <f>'Civil AM'!BF144</f>
        <v>289.63059063825733</v>
      </c>
      <c r="AP193" s="4">
        <f>'Civil AM'!BG144</f>
        <v>347.55670876590875</v>
      </c>
      <c r="AQ193" s="4">
        <f>'Civil AM'!BH144</f>
        <v>362.03823829782164</v>
      </c>
      <c r="AR193" s="179">
        <f>'Civil AM'!BI144</f>
        <v>448.92741548929882</v>
      </c>
      <c r="AS193" s="4">
        <f>'Civil AM'!BJ144</f>
        <v>637.18729940416608</v>
      </c>
      <c r="AT193" s="4">
        <f>'Civil AM'!BK144</f>
        <v>810.96565378712046</v>
      </c>
      <c r="AU193" s="4">
        <f>'Civil AM'!BL144</f>
        <v>999.22553770198772</v>
      </c>
      <c r="AV193" s="314">
        <f>'Civil AM'!BM144</f>
        <v>1448.1529531912865</v>
      </c>
      <c r="AW193" s="4">
        <f>'Civil AM'!BN144</f>
        <v>648.77252302969657</v>
      </c>
      <c r="AX193" s="4">
        <f>'Civil AM'!BO144</f>
        <v>810.96565378712069</v>
      </c>
      <c r="AY193" s="11">
        <f>'Civil AM'!BP144</f>
        <v>810.96565378712069</v>
      </c>
      <c r="AZ193" s="181">
        <f>'Civil AM'!BQ144</f>
        <v>973.1587845445448</v>
      </c>
      <c r="BA193" s="4">
        <f>'Civil AM'!BR144</f>
        <v>1459.7381768168173</v>
      </c>
      <c r="BB193" s="11">
        <f>'Civil AM'!BS144</f>
        <v>1784.1244383316655</v>
      </c>
      <c r="BC193" s="11">
        <f>'Civil AM'!BT144</f>
        <v>2270.7038306039381</v>
      </c>
      <c r="BD193" s="603">
        <f>'Civil AM'!BU144</f>
        <v>3243.8626151484827</v>
      </c>
      <c r="BE193" s="11">
        <f>'Civil AM'!BV144</f>
        <v>892.06221916583297</v>
      </c>
      <c r="BF193" s="11">
        <f>'Civil AM'!BW144</f>
        <v>1115.0777739572909</v>
      </c>
      <c r="BG193" s="11">
        <f>'Civil AM'!BX144</f>
        <v>1115.0777739572911</v>
      </c>
      <c r="BH193" s="181">
        <f>'Civil AM'!BY144</f>
        <v>1338.0933287487494</v>
      </c>
      <c r="BI193" s="11">
        <f>'Civil AM'!BZ144</f>
        <v>2007.139993123124</v>
      </c>
      <c r="BJ193" s="11">
        <f>'Civil AM'!CA144</f>
        <v>2453.1711027060405</v>
      </c>
      <c r="BK193" s="11">
        <f>'Civil AM'!CB144</f>
        <v>3122.2177670804149</v>
      </c>
      <c r="BL193" s="603">
        <f>'Civil AM'!CC144</f>
        <v>4460.3110958291645</v>
      </c>
      <c r="BM193" s="11">
        <f>'Civil AM'!CD144</f>
        <v>1166.8173826689094</v>
      </c>
      <c r="BN193" s="11">
        <f>'Civil AM'!CE144</f>
        <v>1458.5217283361367</v>
      </c>
      <c r="BO193" s="11">
        <f>'Civil AM'!CF144</f>
        <v>1458.5217283361367</v>
      </c>
      <c r="BP193" s="181">
        <f>'Civil AM'!CG144</f>
        <v>1750.2260740033639</v>
      </c>
      <c r="BQ193" s="11">
        <f>'Civil AM'!CH144</f>
        <v>2625.3391110050461</v>
      </c>
      <c r="BR193" s="11">
        <f>'Civil AM'!CI144</f>
        <v>3208.7478023395006</v>
      </c>
      <c r="BS193" s="11">
        <f>'Civil AM'!CJ144</f>
        <v>4083.8608393411828</v>
      </c>
      <c r="BT193" s="603">
        <f>'Civil AM'!CK144</f>
        <v>5834.0869133445467</v>
      </c>
      <c r="BU193" s="11">
        <f>'Civil AM'!CL144</f>
        <v>1470.189902162826</v>
      </c>
      <c r="BV193" s="11">
        <f>'Civil AM'!CM144</f>
        <v>1837.7373777035327</v>
      </c>
      <c r="BW193" s="11">
        <f>'Civil AM'!CN144</f>
        <v>1837.7373777035325</v>
      </c>
      <c r="BX193" s="181">
        <f>'Civil AM'!CO144</f>
        <v>2205.2848532442385</v>
      </c>
      <c r="BY193" s="11">
        <f>'Civil AM'!CP144</f>
        <v>3307.9272798663587</v>
      </c>
      <c r="BZ193" s="11">
        <f>'Civil AM'!CQ144</f>
        <v>4043.0222309477713</v>
      </c>
      <c r="CA193" s="11">
        <f>'Civil AM'!CR144</f>
        <v>5145.6646575698915</v>
      </c>
      <c r="CB193" s="603">
        <f>'Civil AM'!CS144</f>
        <v>7350.94951081413</v>
      </c>
      <c r="CC193" s="11">
        <f>'Civil AM'!CT144</f>
        <v>1764.2278825953913</v>
      </c>
      <c r="CD193" s="11">
        <f>'Civil AM'!CU144</f>
        <v>2205.284853244239</v>
      </c>
      <c r="CE193" s="11">
        <f>'Civil AM'!CV144</f>
        <v>2205.284853244239</v>
      </c>
      <c r="CF193" s="181">
        <f>'Civil AM'!CW144</f>
        <v>2646.3418238930867</v>
      </c>
      <c r="CG193" s="11">
        <f>'Civil AM'!CX144</f>
        <v>3969.5127358396303</v>
      </c>
      <c r="CH193" s="11">
        <f>'Civil AM'!CY144</f>
        <v>4851.6266771373257</v>
      </c>
      <c r="CI193" s="11">
        <f>'Civil AM'!CZ144</f>
        <v>6174.7975890838698</v>
      </c>
      <c r="CJ193" s="603">
        <f>'Civil AM'!DA144</f>
        <v>8821.139412976956</v>
      </c>
    </row>
    <row r="194" spans="1:88" outlineLevel="1" x14ac:dyDescent="0.2">
      <c r="A194" s="584" t="s">
        <v>802</v>
      </c>
      <c r="B194" s="284"/>
      <c r="C194" s="53"/>
      <c r="D194" s="49"/>
      <c r="E194" s="49"/>
      <c r="F194" s="49"/>
      <c r="G194" s="49"/>
      <c r="H194" s="104"/>
      <c r="I194" s="104"/>
      <c r="J194" s="49"/>
      <c r="K194" s="53"/>
      <c r="L194" s="49"/>
      <c r="M194" s="83"/>
      <c r="N194" s="199">
        <f>'Civil AM'!AG11</f>
        <v>550</v>
      </c>
      <c r="O194" s="199">
        <f>'Civil AM'!AH11</f>
        <v>600.6</v>
      </c>
      <c r="P194" s="199">
        <f>'Civil AM'!AI11</f>
        <v>655.8552000000002</v>
      </c>
      <c r="Q194" s="199">
        <f>'Civil AM'!AJ11</f>
        <v>658.89836812800013</v>
      </c>
      <c r="R194" s="186"/>
      <c r="S194" s="199">
        <f>'Civil AM'!AK11</f>
        <v>712.66447496724504</v>
      </c>
      <c r="T194" s="199"/>
      <c r="U194" s="4">
        <f>'Civil AM'!AL11</f>
        <v>778.22960666423171</v>
      </c>
      <c r="V194" s="4">
        <f>'Civil AM'!AM11</f>
        <v>517.52268843171396</v>
      </c>
      <c r="W194" s="4">
        <f>'Civil AM'!AN11</f>
        <v>491.64655401012828</v>
      </c>
      <c r="X194" s="180">
        <f>'Civil AM'!AO11</f>
        <v>526.5534593448474</v>
      </c>
      <c r="Y194" s="4">
        <f>'Civil AM'!AP11</f>
        <v>130</v>
      </c>
      <c r="Z194" s="4">
        <f>'Civil AM'!AQ11</f>
        <v>143.67616049448446</v>
      </c>
      <c r="AA194" s="4">
        <f>'Civil AM'!AR11</f>
        <v>152.04231138582469</v>
      </c>
      <c r="AB194" s="179">
        <f>'Civil AM'!AS11</f>
        <v>182.4507736629896</v>
      </c>
      <c r="AC194" s="4">
        <f>'Civil AM'!AT11</f>
        <v>273.67616049448446</v>
      </c>
      <c r="AD194" s="4">
        <f>'Civil AM'!AU11</f>
        <v>334.49308504881429</v>
      </c>
      <c r="AE194" s="4">
        <f>'Civil AM'!AV11</f>
        <v>425.71847188030915</v>
      </c>
      <c r="AF194" s="314">
        <f>'Civil AM'!AW11</f>
        <v>608.16924554329876</v>
      </c>
      <c r="AG194" s="4">
        <f>'Civil AM'!AX11</f>
        <v>137.93278488922019</v>
      </c>
      <c r="AH194" s="4">
        <f>'Civil AM'!AY11</f>
        <v>155.17438300037273</v>
      </c>
      <c r="AI194" s="4">
        <f>'Civil AM'!AZ11</f>
        <v>172.41598111152524</v>
      </c>
      <c r="AJ194" s="179">
        <f>'Civil AM'!BA11</f>
        <v>224.14077544498281</v>
      </c>
      <c r="AK194" s="4">
        <f>'Civil AM'!BB11</f>
        <v>293.10716788959292</v>
      </c>
      <c r="AL194" s="4">
        <f>'Civil AM'!BC11</f>
        <v>396.55675655650805</v>
      </c>
      <c r="AM194" s="4">
        <f>'Civil AM'!BD11</f>
        <v>465.52314900111816</v>
      </c>
      <c r="AN194" s="314">
        <f>'Civil AM'!BE11</f>
        <v>689.66392444610096</v>
      </c>
      <c r="AO194" s="4">
        <f>'Civil AM'!BF11</f>
        <v>152.0708953403653</v>
      </c>
      <c r="AP194" s="4">
        <f>'Civil AM'!BG11</f>
        <v>182.48507440843835</v>
      </c>
      <c r="AQ194" s="4">
        <f>'Civil AM'!BH11</f>
        <v>190.08861917545661</v>
      </c>
      <c r="AR194" s="179">
        <f>'Civil AM'!BI11</f>
        <v>235.70988777756619</v>
      </c>
      <c r="AS194" s="4">
        <f>'Civil AM'!BJ11</f>
        <v>334.55596974880365</v>
      </c>
      <c r="AT194" s="4">
        <f>'Civil AM'!BK11</f>
        <v>425.79850695302281</v>
      </c>
      <c r="AU194" s="4">
        <f>'Civil AM'!BL11</f>
        <v>524.64458892426023</v>
      </c>
      <c r="AV194" s="314">
        <f>'Civil AM'!BM11</f>
        <v>760.35447670182646</v>
      </c>
      <c r="AW194" s="4">
        <f>'Civil AM'!BN11</f>
        <v>167.65816211275276</v>
      </c>
      <c r="AX194" s="4">
        <f>'Civil AM'!BO11</f>
        <v>209.57270264094095</v>
      </c>
      <c r="AY194" s="11">
        <f>'Civil AM'!BP11</f>
        <v>209.57270264094095</v>
      </c>
      <c r="AZ194" s="181">
        <f>'Civil AM'!BQ11</f>
        <v>251.48724316912913</v>
      </c>
      <c r="BA194" s="4">
        <f>'Civil AM'!BR11</f>
        <v>377.23086475369371</v>
      </c>
      <c r="BB194" s="11">
        <f>'Civil AM'!BS11</f>
        <v>461.05994581007008</v>
      </c>
      <c r="BC194" s="11">
        <f>'Civil AM'!BT11</f>
        <v>586.80356739463468</v>
      </c>
      <c r="BD194" s="603">
        <f>'Civil AM'!BU11</f>
        <v>838.29081056376378</v>
      </c>
      <c r="BE194" s="11">
        <f>'Civil AM'!BV11</f>
        <v>184.84312372930995</v>
      </c>
      <c r="BF194" s="11">
        <f>'Civil AM'!BW11</f>
        <v>231.05390466163746</v>
      </c>
      <c r="BG194" s="11">
        <f>'Civil AM'!BX11</f>
        <v>231.05390466163743</v>
      </c>
      <c r="BH194" s="181">
        <f>'Civil AM'!BY11</f>
        <v>277.26468559396488</v>
      </c>
      <c r="BI194" s="11">
        <f>'Civil AM'!BZ11</f>
        <v>415.89702839094741</v>
      </c>
      <c r="BJ194" s="11">
        <f>'Civil AM'!CA11</f>
        <v>508.31859025560232</v>
      </c>
      <c r="BK194" s="11">
        <f>'Civil AM'!CB11</f>
        <v>646.95093305258479</v>
      </c>
      <c r="BL194" s="603">
        <f>'Civil AM'!CC11</f>
        <v>924.21561864654973</v>
      </c>
      <c r="BM194" s="11">
        <f>'Civil AM'!CD11</f>
        <v>203.78954391156421</v>
      </c>
      <c r="BN194" s="11">
        <f>'Civil AM'!CE11</f>
        <v>254.73692988945524</v>
      </c>
      <c r="BO194" s="11">
        <f>'Civil AM'!CF11</f>
        <v>254.73692988945524</v>
      </c>
      <c r="BP194" s="181">
        <f>'Civil AM'!CG11</f>
        <v>305.68431586734619</v>
      </c>
      <c r="BQ194" s="11">
        <f>'Civil AM'!CH11</f>
        <v>458.52647380101945</v>
      </c>
      <c r="BR194" s="11">
        <f>'Civil AM'!CI11</f>
        <v>560.42124575680145</v>
      </c>
      <c r="BS194" s="11">
        <f>'Civil AM'!CJ11</f>
        <v>713.26340369047466</v>
      </c>
      <c r="BT194" s="603">
        <f>'Civil AM'!CK11</f>
        <v>1018.947719557821</v>
      </c>
      <c r="BU194" s="11">
        <f>'Civil AM'!CL11</f>
        <v>224.67797216249957</v>
      </c>
      <c r="BV194" s="11">
        <f>'Civil AM'!CM11</f>
        <v>280.84746520312444</v>
      </c>
      <c r="BW194" s="11">
        <f>'Civil AM'!CN11</f>
        <v>280.84746520312444</v>
      </c>
      <c r="BX194" s="181">
        <f>'Civil AM'!CO11</f>
        <v>337.0169582437494</v>
      </c>
      <c r="BY194" s="11">
        <f>'Civil AM'!CP11</f>
        <v>505.52543736562399</v>
      </c>
      <c r="BZ194" s="11">
        <f>'Civil AM'!CQ11</f>
        <v>617.86442344687384</v>
      </c>
      <c r="CA194" s="11">
        <f>'Civil AM'!CR11</f>
        <v>786.37290256874849</v>
      </c>
      <c r="CB194" s="603">
        <f>'Civil AM'!CS11</f>
        <v>1123.3898608124978</v>
      </c>
      <c r="CC194" s="11">
        <f>'Civil AM'!CT11</f>
        <v>247.70746430915585</v>
      </c>
      <c r="CD194" s="11">
        <f>'Civil AM'!CU11</f>
        <v>309.63433038644473</v>
      </c>
      <c r="CE194" s="11">
        <f>'Civil AM'!CV11</f>
        <v>309.63433038644479</v>
      </c>
      <c r="CF194" s="181">
        <f>'Civil AM'!CW11</f>
        <v>371.56119646373378</v>
      </c>
      <c r="CG194" s="11">
        <f>'Civil AM'!CX11</f>
        <v>557.34179469560058</v>
      </c>
      <c r="CH194" s="11">
        <f>'Civil AM'!CY11</f>
        <v>681.19552685017857</v>
      </c>
      <c r="CI194" s="11">
        <f>'Civil AM'!CZ11</f>
        <v>866.97612508204543</v>
      </c>
      <c r="CJ194" s="603">
        <f>'Civil AM'!DA11</f>
        <v>1238.5373215457792</v>
      </c>
    </row>
    <row r="195" spans="1:88" outlineLevel="1" x14ac:dyDescent="0.2">
      <c r="A195" s="584" t="s">
        <v>803</v>
      </c>
      <c r="B195" s="284"/>
      <c r="C195" s="53"/>
      <c r="D195" s="49"/>
      <c r="E195" s="49"/>
      <c r="F195" s="49"/>
      <c r="G195" s="49"/>
      <c r="H195" s="104"/>
      <c r="I195" s="104"/>
      <c r="J195" s="49"/>
      <c r="K195" s="53"/>
      <c r="L195" s="49"/>
      <c r="M195" s="83"/>
      <c r="N195" s="199">
        <f>'Civil AM'!AG13</f>
        <v>96.111196325649416</v>
      </c>
      <c r="O195" s="199">
        <f>'Civil AM'!AH13</f>
        <v>368.46625307247041</v>
      </c>
      <c r="P195" s="199">
        <f>'Civil AM'!AI13</f>
        <v>260.68212688751646</v>
      </c>
      <c r="Q195" s="199">
        <f>'Civil AM'!AJ13</f>
        <v>430.52130597947507</v>
      </c>
      <c r="R195" s="186"/>
      <c r="S195" s="199">
        <f>'Civil AM'!AK13</f>
        <v>562.65209503017013</v>
      </c>
      <c r="T195" s="199"/>
      <c r="U195" s="4">
        <f>'Civil AM'!AL13</f>
        <v>756.96257229521598</v>
      </c>
      <c r="V195" s="4">
        <f>'Civil AM'!AM13</f>
        <v>830.25335490283328</v>
      </c>
      <c r="W195" s="4">
        <f>'Civil AM'!AN13</f>
        <v>835.685992028079</v>
      </c>
      <c r="X195" s="180">
        <f>'Civil AM'!AO13</f>
        <v>773.97894412689175</v>
      </c>
      <c r="Y195" s="4">
        <f>'Civil AM'!AP13</f>
        <v>110</v>
      </c>
      <c r="Z195" s="4">
        <f>'Civil AM'!AQ13</f>
        <v>84</v>
      </c>
      <c r="AA195" s="4">
        <f>'Civil AM'!AR13</f>
        <v>173</v>
      </c>
      <c r="AB195" s="179">
        <f>'Civil AM'!AS13</f>
        <v>649.1701389361865</v>
      </c>
      <c r="AC195" s="4">
        <f>'Civil AM'!AT13</f>
        <v>194</v>
      </c>
      <c r="AD195" s="4">
        <f>'Civil AM'!AU13</f>
        <v>822.1701389361865</v>
      </c>
      <c r="AE195" s="4">
        <f>'Civil AM'!AV13</f>
        <v>367</v>
      </c>
      <c r="AF195" s="314">
        <f>'Civil AM'!AW13</f>
        <v>1016.1701389361865</v>
      </c>
      <c r="AG195" s="4">
        <f>'Civil AM'!AX13</f>
        <v>198</v>
      </c>
      <c r="AH195" s="4">
        <f>'Civil AM'!AY13</f>
        <v>340</v>
      </c>
      <c r="AI195" s="4">
        <f>'Civil AM'!AZ13</f>
        <v>151</v>
      </c>
      <c r="AJ195" s="179">
        <f>'Civil AM'!BA13</f>
        <v>344.49852498547648</v>
      </c>
      <c r="AK195" s="4">
        <f>'Civil AM'!BB13</f>
        <v>538</v>
      </c>
      <c r="AL195" s="4">
        <f>'Civil AM'!BC13</f>
        <v>495.49852498547648</v>
      </c>
      <c r="AM195" s="4">
        <f>'Civil AM'!BD13</f>
        <v>689</v>
      </c>
      <c r="AN195" s="314">
        <f>'Civil AM'!BE13</f>
        <v>1033.4985249854765</v>
      </c>
      <c r="AO195" s="4">
        <f>'Civil AM'!BF13</f>
        <v>166</v>
      </c>
      <c r="AP195" s="4">
        <f>'Civil AM'!BG13</f>
        <v>209</v>
      </c>
      <c r="AQ195" s="4">
        <f>'Civil AM'!BH13</f>
        <v>219</v>
      </c>
      <c r="AR195" s="179">
        <f>'Civil AM'!BI13</f>
        <v>480.44611557381813</v>
      </c>
      <c r="AS195" s="4">
        <f>'Civil AM'!BJ13</f>
        <v>375</v>
      </c>
      <c r="AT195" s="4">
        <f>'Civil AM'!BK13</f>
        <v>699.44611557381813</v>
      </c>
      <c r="AU195" s="4">
        <f>'Civil AM'!BL13</f>
        <v>594</v>
      </c>
      <c r="AV195" s="314">
        <f>'Civil AM'!BM13</f>
        <v>1074.4461155738181</v>
      </c>
      <c r="AW195" s="4">
        <f>'Civil AM'!BN13</f>
        <v>159</v>
      </c>
      <c r="AX195" s="4">
        <f>'Civil AM'!BO13</f>
        <v>160</v>
      </c>
      <c r="AY195" s="11">
        <f>'Civil AM'!BP13</f>
        <v>258</v>
      </c>
      <c r="AZ195" s="181">
        <f>'Civil AM'!BQ13</f>
        <v>493.89959621521461</v>
      </c>
      <c r="BA195" s="4">
        <f>'Civil AM'!BR13</f>
        <v>319</v>
      </c>
      <c r="BB195" s="11">
        <f>'Civil AM'!BS13</f>
        <v>751.89959621521461</v>
      </c>
      <c r="BC195" s="11">
        <f>'Civil AM'!BT13</f>
        <v>577</v>
      </c>
      <c r="BD195" s="603">
        <f>'Civil AM'!BU13</f>
        <v>1070.8995962152146</v>
      </c>
      <c r="BE195" s="11">
        <f>'Civil AM'!BV13</f>
        <v>248.60614135057227</v>
      </c>
      <c r="BF195" s="11">
        <f>'Civil AM'!BW13</f>
        <v>248.60614135057227</v>
      </c>
      <c r="BG195" s="11">
        <f>'Civil AM'!BX13</f>
        <v>248.60614135057227</v>
      </c>
      <c r="BH195" s="181">
        <f>'Civil AM'!BY13</f>
        <v>248.60614135057227</v>
      </c>
      <c r="BI195" s="11">
        <f>'Civil AM'!BZ13</f>
        <v>497.21228270114455</v>
      </c>
      <c r="BJ195" s="11">
        <f>'Civil AM'!CA13</f>
        <v>497.21228270114455</v>
      </c>
      <c r="BK195" s="11">
        <f>'Civil AM'!CB13</f>
        <v>745.81842405171687</v>
      </c>
      <c r="BL195" s="603">
        <f>'Civil AM'!CC13</f>
        <v>994.42456540228909</v>
      </c>
      <c r="BM195" s="11">
        <f>'Civil AM'!CD13</f>
        <v>299.87350032411655</v>
      </c>
      <c r="BN195" s="11">
        <f>'Civil AM'!CE13</f>
        <v>299.87350032411655</v>
      </c>
      <c r="BO195" s="11">
        <f>'Civil AM'!CF13</f>
        <v>299.87350032411655</v>
      </c>
      <c r="BP195" s="181">
        <f>'Civil AM'!CG13</f>
        <v>299.87350032411655</v>
      </c>
      <c r="BQ195" s="11">
        <f>'Civil AM'!CH13</f>
        <v>599.7470006482331</v>
      </c>
      <c r="BR195" s="11">
        <f>'Civil AM'!CI13</f>
        <v>599.7470006482331</v>
      </c>
      <c r="BS195" s="11">
        <f>'Civil AM'!CJ13</f>
        <v>899.62050097234965</v>
      </c>
      <c r="BT195" s="603">
        <f>'Civil AM'!CK13</f>
        <v>1199.4940012964662</v>
      </c>
      <c r="BU195" s="11">
        <f>'Civil AM'!CL13</f>
        <v>315.26872539065425</v>
      </c>
      <c r="BV195" s="11">
        <f>'Civil AM'!CM13</f>
        <v>315.26872539065425</v>
      </c>
      <c r="BW195" s="11">
        <f>'Civil AM'!CN13</f>
        <v>315.26872539065425</v>
      </c>
      <c r="BX195" s="181">
        <f>'Civil AM'!CO13</f>
        <v>315.26872539065425</v>
      </c>
      <c r="BY195" s="11">
        <f>'Civil AM'!CP13</f>
        <v>630.53745078130851</v>
      </c>
      <c r="BZ195" s="11">
        <f>'Civil AM'!CQ13</f>
        <v>630.53745078130851</v>
      </c>
      <c r="CA195" s="11">
        <f>'Civil AM'!CR13</f>
        <v>945.80617617196276</v>
      </c>
      <c r="CB195" s="603">
        <f>'Civil AM'!CS13</f>
        <v>1261.074901562617</v>
      </c>
      <c r="CC195" s="11">
        <f>'Civil AM'!CT13</f>
        <v>275.37412239836101</v>
      </c>
      <c r="CD195" s="11">
        <f>'Civil AM'!CU13</f>
        <v>275.37412239836101</v>
      </c>
      <c r="CE195" s="11">
        <f>'Civil AM'!CV13</f>
        <v>275.37412239836101</v>
      </c>
      <c r="CF195" s="181">
        <f>'Civil AM'!CW13</f>
        <v>275.37412239836101</v>
      </c>
      <c r="CG195" s="11">
        <f>'Civil AM'!CX13</f>
        <v>550.74824479672202</v>
      </c>
      <c r="CH195" s="11">
        <f>'Civil AM'!CY13</f>
        <v>550.74824479672202</v>
      </c>
      <c r="CI195" s="11">
        <f>'Civil AM'!CZ13</f>
        <v>826.12236719508303</v>
      </c>
      <c r="CJ195" s="603">
        <f>'Civil AM'!DA13</f>
        <v>1101.496489593444</v>
      </c>
    </row>
    <row r="196" spans="1:88" outlineLevel="1" x14ac:dyDescent="0.2">
      <c r="A196" s="717" t="s">
        <v>806</v>
      </c>
      <c r="B196" s="729"/>
      <c r="C196" s="531"/>
      <c r="D196" s="531"/>
      <c r="E196" s="531"/>
      <c r="F196" s="531"/>
      <c r="G196" s="531"/>
      <c r="H196" s="764"/>
      <c r="I196" s="764"/>
      <c r="J196" s="531"/>
      <c r="K196" s="531"/>
      <c r="L196" s="531"/>
      <c r="M196" s="419">
        <f>N196/(1+N197)</f>
        <v>3069.522638208131</v>
      </c>
      <c r="N196" s="419">
        <f t="shared" ref="N196:U196" si="554">N117</f>
        <v>3416.3786963256498</v>
      </c>
      <c r="O196" s="419">
        <f t="shared" si="554"/>
        <v>4062.0742699311977</v>
      </c>
      <c r="P196" s="419">
        <f t="shared" si="554"/>
        <v>4342.3573945564503</v>
      </c>
      <c r="Q196" s="419">
        <f>Q117</f>
        <v>4828.7014227467735</v>
      </c>
      <c r="R196" s="419">
        <f>R117</f>
        <v>4828.7014227467735</v>
      </c>
      <c r="S196" s="419">
        <f t="shared" si="554"/>
        <v>5417.8029963218796</v>
      </c>
      <c r="T196" s="419"/>
      <c r="U196" s="419">
        <f t="shared" si="554"/>
        <v>5954.1654929577453</v>
      </c>
      <c r="V196" s="419">
        <f>V117</f>
        <v>3381.9659999999999</v>
      </c>
      <c r="W196" s="419">
        <f>W117</f>
        <v>3622.0855859999997</v>
      </c>
      <c r="X196" s="729">
        <f>X117</f>
        <v>4683.3566626979991</v>
      </c>
      <c r="Y196" s="419">
        <f>Y117</f>
        <v>1205</v>
      </c>
      <c r="Z196" s="419">
        <f t="shared" ref="Z196:AL196" si="555">SUM(Z192:Z195)</f>
        <v>1332.0043623261374</v>
      </c>
      <c r="AA196" s="419">
        <f>AA117</f>
        <v>1556.5423113858246</v>
      </c>
      <c r="AB196" s="779">
        <f t="shared" si="555"/>
        <v>2130.6343310136781</v>
      </c>
      <c r="AC196" s="419">
        <f>AC117</f>
        <v>2537.0043623261377</v>
      </c>
      <c r="AD196" s="419">
        <f t="shared" si="555"/>
        <v>3687.1766423995032</v>
      </c>
      <c r="AE196" s="419">
        <f t="shared" si="555"/>
        <v>4093.5466737119623</v>
      </c>
      <c r="AF196" s="1367">
        <f>AF117</f>
        <v>6224.1810047256404</v>
      </c>
      <c r="AG196" s="419">
        <f>AG117</f>
        <v>1546.1007099833696</v>
      </c>
      <c r="AH196" s="419">
        <f t="shared" ref="AH196" si="556">SUM(AH192:AH195)</f>
        <v>1774.8268590177706</v>
      </c>
      <c r="AI196" s="419">
        <f>AI117</f>
        <v>1875.6899228406571</v>
      </c>
      <c r="AJ196" s="779">
        <f t="shared" si="555"/>
        <v>2577.3845830605269</v>
      </c>
      <c r="AK196" s="419">
        <f>AK117</f>
        <v>3320.9275690011405</v>
      </c>
      <c r="AL196" s="419">
        <f t="shared" si="555"/>
        <v>4453.0745059011842</v>
      </c>
      <c r="AM196" s="419">
        <f t="shared" ref="AM196" si="557">SUM(AM192:AM195)</f>
        <v>5196.6174918417973</v>
      </c>
      <c r="AN196" s="1367">
        <f>AN117</f>
        <v>7774.0020749023251</v>
      </c>
      <c r="AO196" s="419">
        <f>AO117</f>
        <v>1887.8984824729616</v>
      </c>
      <c r="AP196" s="419">
        <f t="shared" ref="AP196" si="558">SUM(AP192:AP195)</f>
        <v>2144.1360476193531</v>
      </c>
      <c r="AQ196" s="419">
        <f>AQ117</f>
        <v>2238.6697558936185</v>
      </c>
      <c r="AR196" s="779">
        <f t="shared" ref="AR196" si="559">SUM(AR192:AR195)</f>
        <v>3257.1126570143592</v>
      </c>
      <c r="AS196" s="419">
        <f>AS117</f>
        <v>4032.0345300923145</v>
      </c>
      <c r="AT196" s="419">
        <f t="shared" ref="AT196" si="560">SUM(AT192:AT195)</f>
        <v>5495.7824129079781</v>
      </c>
      <c r="AU196" s="419">
        <f t="shared" ref="AU196" si="561">SUM(AU192:AU195)</f>
        <v>6270.704285985933</v>
      </c>
      <c r="AV196" s="1367">
        <f>AV117</f>
        <v>9527.8169430002927</v>
      </c>
      <c r="AW196" s="419">
        <f>SUM(AW192:AW195)</f>
        <v>2541.170182565781</v>
      </c>
      <c r="AX196" s="419">
        <f t="shared" ref="AX196:BC196" si="562">SUM(AX192:AX195)</f>
        <v>2815.866275959097</v>
      </c>
      <c r="AY196" s="731">
        <f t="shared" si="562"/>
        <v>2844.277853851393</v>
      </c>
      <c r="AZ196" s="730">
        <f t="shared" si="562"/>
        <v>3910.5809203215522</v>
      </c>
      <c r="BA196" s="419">
        <f t="shared" si="562"/>
        <v>5357.0364585248781</v>
      </c>
      <c r="BB196" s="731">
        <f t="shared" si="562"/>
        <v>6754.8587741729461</v>
      </c>
      <c r="BC196" s="731">
        <f t="shared" si="562"/>
        <v>8201.3143123762711</v>
      </c>
      <c r="BD196" s="732">
        <f>SUM(BD192:BD195)</f>
        <v>12111.895232697823</v>
      </c>
      <c r="BE196" s="731">
        <f t="shared" ref="BE196:BK196" si="563">SUM(BE192:BE195)</f>
        <v>2801.1737826402959</v>
      </c>
      <c r="BF196" s="731">
        <f t="shared" si="563"/>
        <v>3439.3156929627271</v>
      </c>
      <c r="BG196" s="731">
        <f t="shared" si="563"/>
        <v>3439.3156929627271</v>
      </c>
      <c r="BH196" s="730">
        <f t="shared" si="563"/>
        <v>4077.4576032851573</v>
      </c>
      <c r="BI196" s="731">
        <f t="shared" si="563"/>
        <v>6240.4894756030235</v>
      </c>
      <c r="BJ196" s="731">
        <f t="shared" si="563"/>
        <v>7516.7732962478849</v>
      </c>
      <c r="BK196" s="731">
        <f t="shared" si="563"/>
        <v>9679.805168565752</v>
      </c>
      <c r="BL196" s="732">
        <f>SUM(BL192:BL195)</f>
        <v>13757.262771850908</v>
      </c>
      <c r="BM196" s="731">
        <f t="shared" ref="BM196:BS196" si="564">SUM(BM192:BM195)</f>
        <v>3116.7900559371674</v>
      </c>
      <c r="BN196" s="731">
        <f t="shared" si="564"/>
        <v>3821.019194840429</v>
      </c>
      <c r="BO196" s="731">
        <f t="shared" si="564"/>
        <v>3821.0191948404299</v>
      </c>
      <c r="BP196" s="730">
        <f t="shared" si="564"/>
        <v>4525.2483337436915</v>
      </c>
      <c r="BQ196" s="731">
        <f t="shared" si="564"/>
        <v>6937.8092507775964</v>
      </c>
      <c r="BR196" s="731">
        <f t="shared" si="564"/>
        <v>8346.2675285841215</v>
      </c>
      <c r="BS196" s="731">
        <f t="shared" si="564"/>
        <v>10758.828445618026</v>
      </c>
      <c r="BT196" s="732">
        <f>SUM(BT192:BT195)</f>
        <v>15284.07677936172</v>
      </c>
      <c r="BU196" s="731">
        <f t="shared" ref="BU196:CA196" si="565">SUM(BU192:BU195)</f>
        <v>3383.1249919641873</v>
      </c>
      <c r="BV196" s="731">
        <f t="shared" si="565"/>
        <v>4150.0890586075702</v>
      </c>
      <c r="BW196" s="731">
        <f t="shared" si="565"/>
        <v>4150.0890586075702</v>
      </c>
      <c r="BX196" s="730">
        <f t="shared" si="565"/>
        <v>4917.0531252509536</v>
      </c>
      <c r="BY196" s="731">
        <f t="shared" si="565"/>
        <v>7533.214050571758</v>
      </c>
      <c r="BZ196" s="731">
        <f t="shared" si="565"/>
        <v>9067.1421838585247</v>
      </c>
      <c r="CA196" s="731">
        <f t="shared" si="565"/>
        <v>11683.303109179327</v>
      </c>
      <c r="CB196" s="732">
        <f>SUM(CB192:CB195)</f>
        <v>16600.356234430281</v>
      </c>
      <c r="CC196" s="731">
        <f t="shared" ref="CC196:CI196" si="566">SUM(CC192:CC195)</f>
        <v>3578.543846965651</v>
      </c>
      <c r="CD196" s="731">
        <f t="shared" si="566"/>
        <v>4404.3362781074729</v>
      </c>
      <c r="CE196" s="731">
        <f t="shared" si="566"/>
        <v>4404.3362781074729</v>
      </c>
      <c r="CF196" s="730">
        <f t="shared" si="566"/>
        <v>5230.1287092492948</v>
      </c>
      <c r="CG196" s="731">
        <f t="shared" si="566"/>
        <v>7982.8801250731249</v>
      </c>
      <c r="CH196" s="731">
        <f t="shared" si="566"/>
        <v>9634.4649873567687</v>
      </c>
      <c r="CI196" s="731">
        <f t="shared" si="566"/>
        <v>12387.216403180597</v>
      </c>
      <c r="CJ196" s="732">
        <f>SUM(CJ192:CJ195)</f>
        <v>17617.345112429892</v>
      </c>
    </row>
    <row r="197" spans="1:88" outlineLevel="1" x14ac:dyDescent="0.2">
      <c r="A197" s="768" t="s">
        <v>807</v>
      </c>
      <c r="B197" s="769"/>
      <c r="C197" s="770"/>
      <c r="D197" s="770"/>
      <c r="E197" s="770"/>
      <c r="F197" s="770"/>
      <c r="G197" s="770"/>
      <c r="H197" s="771"/>
      <c r="I197" s="771"/>
      <c r="J197" s="770"/>
      <c r="K197" s="770"/>
      <c r="L197" s="770"/>
      <c r="M197" s="772"/>
      <c r="N197" s="773">
        <v>0.113</v>
      </c>
      <c r="O197" s="773">
        <f>O196/N196-1</f>
        <v>0.18900000000000006</v>
      </c>
      <c r="P197" s="773">
        <f>P196/O196-1</f>
        <v>6.899999999999995E-2</v>
      </c>
      <c r="Q197" s="773">
        <f>Q196/P196-1</f>
        <v>0.1120000000000001</v>
      </c>
      <c r="R197" s="773"/>
      <c r="S197" s="773">
        <f>S196/R196-1</f>
        <v>0.12199999999999989</v>
      </c>
      <c r="T197" s="773"/>
      <c r="U197" s="774">
        <f>U196/S196-1</f>
        <v>9.8999999999999977E-2</v>
      </c>
      <c r="V197" s="773">
        <f>V196/U196-1</f>
        <v>-0.43199999999999994</v>
      </c>
      <c r="W197" s="774">
        <f>W196/V196-1</f>
        <v>7.0999999999999952E-2</v>
      </c>
      <c r="X197" s="775">
        <f>X196/W196-1</f>
        <v>0.29299999999999993</v>
      </c>
      <c r="Y197" s="774"/>
      <c r="Z197" s="774"/>
      <c r="AA197" s="774"/>
      <c r="AB197" s="776"/>
      <c r="AC197" s="777"/>
      <c r="AD197" s="777"/>
      <c r="AE197" s="777"/>
      <c r="AF197" s="1370">
        <f>AF196/X196-1</f>
        <v>0.32899999999999996</v>
      </c>
      <c r="AG197" s="774"/>
      <c r="AH197" s="774"/>
      <c r="AI197" s="774"/>
      <c r="AJ197" s="776"/>
      <c r="AK197" s="777"/>
      <c r="AL197" s="777"/>
      <c r="AM197" s="777"/>
      <c r="AN197" s="1370">
        <f>AN196/AF196-1</f>
        <v>0.24900000000000011</v>
      </c>
      <c r="AO197" s="774"/>
      <c r="AP197" s="774"/>
      <c r="AQ197" s="774"/>
      <c r="AR197" s="776"/>
      <c r="AS197" s="777"/>
      <c r="AT197" s="777"/>
      <c r="AU197" s="777"/>
      <c r="AV197" s="1370">
        <f>AV196/AN196-1</f>
        <v>0.22560000000000047</v>
      </c>
      <c r="AW197" s="774"/>
      <c r="AX197" s="774"/>
      <c r="AY197" s="774"/>
      <c r="AZ197" s="776"/>
      <c r="BA197" s="777"/>
      <c r="BB197" s="777"/>
      <c r="BC197" s="777"/>
      <c r="BD197" s="778">
        <f>BD196/AV196-1</f>
        <v>0.2712140992167098</v>
      </c>
      <c r="BE197" s="774"/>
      <c r="BF197" s="774"/>
      <c r="BG197" s="774"/>
      <c r="BH197" s="776"/>
      <c r="BI197" s="777"/>
      <c r="BJ197" s="777"/>
      <c r="BK197" s="777"/>
      <c r="BL197" s="778">
        <f>BL196/BD196-1</f>
        <v>0.13584724005134863</v>
      </c>
      <c r="BM197" s="774"/>
      <c r="BN197" s="774"/>
      <c r="BO197" s="774"/>
      <c r="BP197" s="776"/>
      <c r="BQ197" s="777"/>
      <c r="BR197" s="777"/>
      <c r="BS197" s="777"/>
      <c r="BT197" s="778">
        <f>BT196/BL196-1</f>
        <v>0.11098239764925211</v>
      </c>
      <c r="BU197" s="774"/>
      <c r="BV197" s="774"/>
      <c r="BW197" s="774"/>
      <c r="BX197" s="776"/>
      <c r="BY197" s="777"/>
      <c r="BZ197" s="777"/>
      <c r="CA197" s="777"/>
      <c r="CB197" s="778">
        <f>CB196/BT196-1</f>
        <v>8.6120965896085311E-2</v>
      </c>
      <c r="CC197" s="774"/>
      <c r="CD197" s="774"/>
      <c r="CE197" s="774"/>
      <c r="CF197" s="776"/>
      <c r="CG197" s="777"/>
      <c r="CH197" s="777"/>
      <c r="CI197" s="777"/>
      <c r="CJ197" s="778">
        <f>CJ196/CB196-1</f>
        <v>6.1263075541132528E-2</v>
      </c>
    </row>
    <row r="198" spans="1:88" outlineLevel="1" x14ac:dyDescent="0.2">
      <c r="A198" s="584"/>
      <c r="B198" s="284"/>
      <c r="C198" s="53"/>
      <c r="D198" s="49"/>
      <c r="E198" s="49"/>
      <c r="F198" s="49"/>
      <c r="G198" s="49"/>
      <c r="H198" s="104"/>
      <c r="I198" s="104"/>
      <c r="J198" s="49"/>
      <c r="K198" s="53"/>
      <c r="L198" s="49"/>
      <c r="M198" s="83"/>
      <c r="X198" s="180"/>
      <c r="AB198" s="179"/>
      <c r="AF198" s="314"/>
      <c r="AJ198" s="179"/>
      <c r="AN198" s="314"/>
      <c r="AR198" s="179"/>
      <c r="AV198" s="314"/>
      <c r="AZ198" s="179"/>
      <c r="BD198" s="314"/>
      <c r="BH198" s="179"/>
      <c r="BL198" s="314"/>
      <c r="BP198" s="179"/>
      <c r="BT198" s="314"/>
      <c r="BX198" s="179"/>
      <c r="CB198" s="314"/>
      <c r="CF198" s="179"/>
      <c r="CJ198" s="314"/>
    </row>
    <row r="199" spans="1:88" outlineLevel="1" x14ac:dyDescent="0.2">
      <c r="A199" s="186" t="s">
        <v>799</v>
      </c>
      <c r="B199" s="284"/>
      <c r="C199" s="53"/>
      <c r="D199" s="49"/>
      <c r="E199" s="49"/>
      <c r="F199" s="49"/>
      <c r="G199" s="49"/>
      <c r="H199" s="104"/>
      <c r="I199" s="104"/>
      <c r="J199" s="49"/>
      <c r="K199" s="53"/>
      <c r="L199" s="49"/>
      <c r="M199" s="83"/>
      <c r="X199" s="180"/>
      <c r="AB199" s="179"/>
      <c r="AF199" s="314"/>
      <c r="AJ199" s="179"/>
      <c r="AN199" s="314"/>
      <c r="AR199" s="179"/>
      <c r="AV199" s="314"/>
      <c r="AZ199" s="179"/>
      <c r="BD199" s="314"/>
      <c r="BH199" s="179"/>
      <c r="BL199" s="314"/>
      <c r="BP199" s="179"/>
      <c r="BT199" s="314"/>
      <c r="BX199" s="179"/>
      <c r="CB199" s="314"/>
      <c r="CF199" s="179"/>
      <c r="CJ199" s="314"/>
    </row>
    <row r="200" spans="1:88" outlineLevel="1" x14ac:dyDescent="0.2">
      <c r="A200" s="584" t="s">
        <v>790</v>
      </c>
      <c r="B200" s="284"/>
      <c r="C200" s="53"/>
      <c r="D200" s="49"/>
      <c r="E200" s="49"/>
      <c r="F200" s="49"/>
      <c r="G200" s="49"/>
      <c r="H200" s="104"/>
      <c r="I200" s="104"/>
      <c r="J200" s="49"/>
      <c r="K200" s="53"/>
      <c r="L200" s="49"/>
      <c r="M200" s="83"/>
      <c r="N200" s="4">
        <f>'Civil AM'!AG44</f>
        <v>1399.0009304220096</v>
      </c>
      <c r="O200" s="4">
        <f>'Civil AM'!AH44</f>
        <v>1420.0037559746359</v>
      </c>
      <c r="P200" s="4">
        <f>'Civil AM'!AI44</f>
        <v>1486.6605258116977</v>
      </c>
      <c r="Q200" s="4">
        <f>'Civil AM'!AJ44</f>
        <v>1852.5396635010857</v>
      </c>
      <c r="R200" s="186"/>
      <c r="S200" s="4">
        <f>'Civil AM'!AK44</f>
        <v>2396.3926629551715</v>
      </c>
      <c r="U200" s="4">
        <f>'Civil AM'!AL44</f>
        <v>3596.8474144189076</v>
      </c>
      <c r="V200" s="4">
        <f>'Civil AM'!AM44</f>
        <v>1491.4861509722957</v>
      </c>
      <c r="W200" s="4">
        <f>'Civil AM'!AN44</f>
        <v>1518.0617279093658</v>
      </c>
      <c r="X200" s="180">
        <f>'Civil AM'!AO44</f>
        <v>1861.5445588441405</v>
      </c>
      <c r="AB200" s="179"/>
      <c r="AC200" s="4">
        <f>'Civil AM'!AT44</f>
        <v>1034.2744564113555</v>
      </c>
      <c r="AD200" s="4">
        <f>'Civil AM'!AU44</f>
        <v>1495.2354073297552</v>
      </c>
      <c r="AF200" s="314">
        <f>'Civil AM'!AW44</f>
        <v>2529.5098637411106</v>
      </c>
      <c r="AJ200" s="179"/>
      <c r="AK200" s="4">
        <f>'Civil AM'!BB44</f>
        <v>1506.0840556271548</v>
      </c>
      <c r="AL200" s="4">
        <f>'Civil AM'!BC44</f>
        <v>1361.0823406546108</v>
      </c>
      <c r="AN200" s="314">
        <f>'Civil AM'!BE44</f>
        <v>2867.1663962817656</v>
      </c>
      <c r="AR200" s="179"/>
      <c r="AS200" s="4">
        <f>'Civil AM'!BJ44</f>
        <v>1657.681890774468</v>
      </c>
      <c r="AT200" s="4">
        <f>'Civil AM'!BK44</f>
        <v>1847.9563032505878</v>
      </c>
      <c r="AV200" s="314">
        <f>'Civil AM'!BM44</f>
        <v>3505.6381940250558</v>
      </c>
      <c r="AZ200" s="179"/>
      <c r="BA200" s="4">
        <f>'Civil AM'!BR44</f>
        <v>1972.3894684679724</v>
      </c>
      <c r="BB200" s="11">
        <f>'Civil AM'!BS44</f>
        <v>2202.9158579942441</v>
      </c>
      <c r="BD200" s="603">
        <f>'Civil AM'!BU44</f>
        <v>4175.3053264622167</v>
      </c>
      <c r="BH200" s="179"/>
      <c r="BI200" s="11">
        <f>'Civil AM'!BZ44</f>
        <v>1826.1320942632942</v>
      </c>
      <c r="BJ200" s="11">
        <f>'Civil AM'!CA44</f>
        <v>2600.8548009204483</v>
      </c>
      <c r="BL200" s="603">
        <f>'Civil AM'!CC44</f>
        <v>4426.9868951837425</v>
      </c>
      <c r="BP200" s="179"/>
      <c r="BQ200" s="11">
        <f>'Civil AM'!CH44</f>
        <v>1789.8081659278141</v>
      </c>
      <c r="BR200" s="11">
        <f>'Civil AM'!CI44</f>
        <v>2549.1207211699166</v>
      </c>
      <c r="BT200" s="603">
        <f>'Civil AM'!CK44</f>
        <v>4338.9288870977307</v>
      </c>
      <c r="BX200" s="179"/>
      <c r="BY200" s="11">
        <f>'Civil AM'!CP44</f>
        <v>1699.0731354071565</v>
      </c>
      <c r="BZ200" s="11">
        <f>'Civil AM'!CQ44</f>
        <v>2248.2684923064389</v>
      </c>
      <c r="CB200" s="603">
        <f>'Civil AM'!CS44</f>
        <v>3947.3416277135957</v>
      </c>
      <c r="CF200" s="179"/>
      <c r="CG200" s="11">
        <f>'Civil AM'!CX44</f>
        <v>1597.9025423576443</v>
      </c>
      <c r="CH200" s="11">
        <f>'Civil AM'!CY44</f>
        <v>1952.9919962148986</v>
      </c>
      <c r="CJ200" s="603">
        <f>'Civil AM'!DA44</f>
        <v>3550.8945385725428</v>
      </c>
    </row>
    <row r="201" spans="1:88" outlineLevel="1" x14ac:dyDescent="0.2">
      <c r="A201" s="584" t="s">
        <v>791</v>
      </c>
      <c r="B201" s="284"/>
      <c r="C201" s="53"/>
      <c r="D201" s="49"/>
      <c r="E201" s="49"/>
      <c r="F201" s="49"/>
      <c r="G201" s="49"/>
      <c r="H201" s="104"/>
      <c r="I201" s="104"/>
      <c r="J201" s="49"/>
      <c r="K201" s="53"/>
      <c r="L201" s="49"/>
      <c r="M201" s="83"/>
      <c r="N201" s="4">
        <f>'Civil AM'!AG46</f>
        <v>0</v>
      </c>
      <c r="O201" s="4">
        <f>'Civil AM'!AH46</f>
        <v>0</v>
      </c>
      <c r="P201" s="4">
        <f>'Civil AM'!AI46</f>
        <v>0</v>
      </c>
      <c r="Q201" s="4">
        <f>'Civil AM'!AJ46</f>
        <v>0</v>
      </c>
      <c r="R201" s="186"/>
      <c r="S201" s="4">
        <f>'Civil AM'!AK46</f>
        <v>0</v>
      </c>
      <c r="U201" s="4">
        <f>'Civil AM'!AL46</f>
        <v>0</v>
      </c>
      <c r="V201" s="4">
        <f>'Civil AM'!AM46</f>
        <v>0</v>
      </c>
      <c r="W201" s="4">
        <f>'Civil AM'!AN46</f>
        <v>0</v>
      </c>
      <c r="X201" s="180">
        <f>'Civil AM'!AO46</f>
        <v>0</v>
      </c>
      <c r="AB201" s="179"/>
      <c r="AC201" s="4">
        <f>'Civil AM'!AT46</f>
        <v>0</v>
      </c>
      <c r="AD201" s="4">
        <f>'Civil AM'!AU46</f>
        <v>0</v>
      </c>
      <c r="AF201" s="314">
        <f>'Civil AM'!AW46</f>
        <v>0</v>
      </c>
      <c r="AJ201" s="179"/>
      <c r="AK201" s="4">
        <f>'Civil AM'!BB46</f>
        <v>0</v>
      </c>
      <c r="AL201" s="4">
        <f>'Civil AM'!BC46</f>
        <v>0</v>
      </c>
      <c r="AN201" s="314">
        <f>'Civil AM'!BE46</f>
        <v>0</v>
      </c>
      <c r="AR201" s="179"/>
      <c r="AS201" s="4">
        <f>'Civil AM'!BJ46</f>
        <v>63.718729940416608</v>
      </c>
      <c r="AT201" s="4">
        <f>'Civil AM'!BK46</f>
        <v>81.096565378712057</v>
      </c>
      <c r="AV201" s="314">
        <f>'Civil AM'!BM46</f>
        <v>144.81529531912867</v>
      </c>
      <c r="AZ201" s="179"/>
      <c r="BA201" s="4">
        <f>'Civil AM'!BR46</f>
        <v>291.94763536336347</v>
      </c>
      <c r="BB201" s="11">
        <f>'Civil AM'!BS46</f>
        <v>356.8248876663331</v>
      </c>
      <c r="BD201" s="603">
        <f>'Civil AM'!BU46</f>
        <v>648.77252302969657</v>
      </c>
      <c r="BH201" s="179"/>
      <c r="BI201" s="11">
        <f>'Civil AM'!BZ46</f>
        <v>602.14199793693717</v>
      </c>
      <c r="BJ201" s="11">
        <f>'Civil AM'!CA46</f>
        <v>401.42799862462482</v>
      </c>
      <c r="BL201" s="603">
        <f>'Civil AM'!CC46</f>
        <v>1003.569996561562</v>
      </c>
      <c r="BP201" s="179"/>
      <c r="BQ201" s="11">
        <f>'Civil AM'!CH46</f>
        <v>918.86868885176602</v>
      </c>
      <c r="BR201" s="11">
        <f>'Civil AM'!CI46</f>
        <v>539.65303948437065</v>
      </c>
      <c r="BT201" s="603">
        <f>'Civil AM'!CK46</f>
        <v>1458.5217283361367</v>
      </c>
      <c r="BX201" s="179"/>
      <c r="BY201" s="11">
        <f>'Civil AM'!CP46</f>
        <v>1323.1709119465436</v>
      </c>
      <c r="BZ201" s="11">
        <f>'Civil AM'!CQ46</f>
        <v>882.11394129769542</v>
      </c>
      <c r="CB201" s="603">
        <f>'Civil AM'!CS46</f>
        <v>2205.284853244239</v>
      </c>
      <c r="CF201" s="179"/>
      <c r="CG201" s="11">
        <f>'Civil AM'!CX46</f>
        <v>1587.8050943358521</v>
      </c>
      <c r="CH201" s="11">
        <f>'Civil AM'!CY46</f>
        <v>1499.5937002060823</v>
      </c>
      <c r="CJ201" s="603">
        <f>'Civil AM'!DA46</f>
        <v>3087.3987945419344</v>
      </c>
    </row>
    <row r="202" spans="1:88" outlineLevel="1" x14ac:dyDescent="0.2">
      <c r="A202" s="584" t="s">
        <v>802</v>
      </c>
      <c r="B202" s="284"/>
      <c r="C202" s="53"/>
      <c r="D202" s="49"/>
      <c r="E202" s="49"/>
      <c r="F202" s="49"/>
      <c r="G202" s="49"/>
      <c r="H202" s="104"/>
      <c r="I202" s="104"/>
      <c r="J202" s="49"/>
      <c r="K202" s="53"/>
      <c r="L202" s="49"/>
      <c r="M202" s="83"/>
      <c r="N202" s="4">
        <f>'Civil AM'!AG48</f>
        <v>275</v>
      </c>
      <c r="O202" s="4">
        <f>'Civil AM'!AH48</f>
        <v>300.3</v>
      </c>
      <c r="P202" s="4">
        <f>'Civil AM'!AI48</f>
        <v>327.9276000000001</v>
      </c>
      <c r="Q202" s="4">
        <f>'Civil AM'!AJ48</f>
        <v>329.44918406400006</v>
      </c>
      <c r="R202" s="186"/>
      <c r="S202" s="4">
        <f>'Civil AM'!AK48</f>
        <v>285.06578998689804</v>
      </c>
      <c r="U202" s="4">
        <f>'Civil AM'!AL48</f>
        <v>311.29184266569268</v>
      </c>
      <c r="V202" s="4">
        <f>'Civil AM'!AM48</f>
        <v>232.88520979427128</v>
      </c>
      <c r="W202" s="4">
        <f>'Civil AM'!AN48</f>
        <v>221.24094930455774</v>
      </c>
      <c r="X202" s="180">
        <f>'Civil AM'!AO48</f>
        <v>210.62138373793897</v>
      </c>
      <c r="AB202" s="179"/>
      <c r="AC202" s="4">
        <f>'Civil AM'!AT48</f>
        <v>123.15427222251802</v>
      </c>
      <c r="AD202" s="4">
        <f>'Civil AM'!AU48</f>
        <v>120.1134259948015</v>
      </c>
      <c r="AF202" s="314">
        <f>'Civil AM'!AW48</f>
        <v>243.26769821731952</v>
      </c>
      <c r="AJ202" s="179"/>
      <c r="AK202" s="4">
        <f>'Civil AM'!BB48</f>
        <v>131.89822555031682</v>
      </c>
      <c r="AL202" s="4">
        <f>'Civil AM'!BC48</f>
        <v>178.45054045042863</v>
      </c>
      <c r="AN202" s="314">
        <f>'Civil AM'!BE48</f>
        <v>310.34876600074546</v>
      </c>
      <c r="AR202" s="179"/>
      <c r="AS202" s="4">
        <f>'Civil AM'!BJ48</f>
        <v>150.55018638696166</v>
      </c>
      <c r="AT202" s="4">
        <f>'Civil AM'!BK48</f>
        <v>191.60932812886026</v>
      </c>
      <c r="AV202" s="314">
        <f>'Civil AM'!BM48</f>
        <v>342.15951451582191</v>
      </c>
      <c r="AZ202" s="179"/>
      <c r="BA202" s="4">
        <f>'Civil AM'!BR48</f>
        <v>169.75388913916217</v>
      </c>
      <c r="BB202" s="11">
        <f>'Civil AM'!BS48</f>
        <v>207.47697561453154</v>
      </c>
      <c r="BD202" s="603">
        <f>'Civil AM'!BU48</f>
        <v>377.23086475369371</v>
      </c>
      <c r="BH202" s="179"/>
      <c r="BI202" s="11">
        <f>'Civil AM'!BZ48</f>
        <v>166.35881135637896</v>
      </c>
      <c r="BJ202" s="11">
        <f>'Civil AM'!CA48</f>
        <v>249.53821703456845</v>
      </c>
      <c r="BL202" s="603">
        <f>'Civil AM'!CC48</f>
        <v>415.89702839094741</v>
      </c>
      <c r="BP202" s="179"/>
      <c r="BQ202" s="11">
        <f>'Civil AM'!CH48</f>
        <v>183.4105895204078</v>
      </c>
      <c r="BR202" s="11">
        <f>'Civil AM'!CI48</f>
        <v>275.11588428061168</v>
      </c>
      <c r="BT202" s="603">
        <f>'Civil AM'!CK48</f>
        <v>458.52647380101945</v>
      </c>
      <c r="BX202" s="179"/>
      <c r="BY202" s="11">
        <f>'Civil AM'!CP48</f>
        <v>202.21017494624959</v>
      </c>
      <c r="BZ202" s="11">
        <f>'Civil AM'!CQ48</f>
        <v>303.31526241937439</v>
      </c>
      <c r="CB202" s="603">
        <f>'Civil AM'!CS48</f>
        <v>505.52543736562399</v>
      </c>
      <c r="CF202" s="179"/>
      <c r="CG202" s="11">
        <f>'Civil AM'!CX48</f>
        <v>222.93671787824024</v>
      </c>
      <c r="CH202" s="11">
        <f>'Civil AM'!CY48</f>
        <v>334.40507681736034</v>
      </c>
      <c r="CJ202" s="603">
        <f>'Civil AM'!DA48</f>
        <v>557.34179469560058</v>
      </c>
    </row>
    <row r="203" spans="1:88" outlineLevel="1" x14ac:dyDescent="0.2">
      <c r="A203" s="584" t="s">
        <v>803</v>
      </c>
      <c r="B203" s="284"/>
      <c r="C203" s="53"/>
      <c r="D203" s="49"/>
      <c r="E203" s="49"/>
      <c r="F203" s="49"/>
      <c r="G203" s="49"/>
      <c r="H203" s="104"/>
      <c r="I203" s="104"/>
      <c r="J203" s="49"/>
      <c r="K203" s="53"/>
      <c r="L203" s="49"/>
      <c r="M203" s="83"/>
      <c r="N203" s="4">
        <f>'Civil AM'!AG50</f>
        <v>37.483366567003273</v>
      </c>
      <c r="O203" s="4">
        <f>'Civil AM'!AH50</f>
        <v>147.38650122898818</v>
      </c>
      <c r="P203" s="4">
        <f>'Civil AM'!AI50</f>
        <v>104.27285075500659</v>
      </c>
      <c r="Q203" s="4">
        <f>'Civil AM'!AJ50</f>
        <v>172.20852239179004</v>
      </c>
      <c r="R203" s="186"/>
      <c r="S203" s="4">
        <f>'Civil AM'!AK50</f>
        <v>225.06083801206807</v>
      </c>
      <c r="U203" s="4">
        <f>'Civil AM'!AL50</f>
        <v>0</v>
      </c>
      <c r="V203" s="4">
        <f>'Civil AM'!AM50</f>
        <v>0</v>
      </c>
      <c r="W203" s="4">
        <f>'Civil AM'!AN50</f>
        <v>0</v>
      </c>
      <c r="X203" s="180">
        <f>'Civil AM'!AO50</f>
        <v>0</v>
      </c>
      <c r="AB203" s="179"/>
      <c r="AC203" s="4">
        <f>'Civil AM'!AT50</f>
        <v>0</v>
      </c>
      <c r="AD203" s="4">
        <f>'Civil AM'!AU50</f>
        <v>0</v>
      </c>
      <c r="AF203" s="314">
        <f>'Civil AM'!AW50</f>
        <v>0</v>
      </c>
      <c r="AJ203" s="179"/>
      <c r="AK203" s="4">
        <f>'Civil AM'!BB50</f>
        <v>0</v>
      </c>
      <c r="AL203" s="4">
        <f>'Civil AM'!BC50</f>
        <v>0</v>
      </c>
      <c r="AN203" s="314">
        <f>'Civil AM'!BE50</f>
        <v>0</v>
      </c>
      <c r="AR203" s="179"/>
      <c r="AS203" s="4">
        <f>'Civil AM'!BJ50</f>
        <v>0</v>
      </c>
      <c r="AT203" s="4">
        <f>'Civil AM'!BK50</f>
        <v>0</v>
      </c>
      <c r="AV203" s="314">
        <f>'Civil AM'!BM50</f>
        <v>0</v>
      </c>
      <c r="AZ203" s="179"/>
      <c r="BA203" s="4">
        <f>'Civil AM'!BR50</f>
        <v>0</v>
      </c>
      <c r="BB203" s="11">
        <f>'Civil AM'!BS50</f>
        <v>0</v>
      </c>
      <c r="BD203" s="603">
        <f>'Civil AM'!BU50</f>
        <v>0</v>
      </c>
      <c r="BH203" s="179"/>
      <c r="BI203" s="11">
        <f>'Civil AM'!BZ50</f>
        <v>0</v>
      </c>
      <c r="BJ203" s="11">
        <f>'Civil AM'!CA50</f>
        <v>0</v>
      </c>
      <c r="BL203" s="603">
        <f>'Civil AM'!CC50</f>
        <v>0</v>
      </c>
      <c r="BP203" s="179"/>
      <c r="BQ203" s="11">
        <f>'Civil AM'!CH50</f>
        <v>0</v>
      </c>
      <c r="BR203" s="11">
        <f>'Civil AM'!CI50</f>
        <v>0</v>
      </c>
      <c r="BT203" s="603">
        <f>'Civil AM'!CK50</f>
        <v>0</v>
      </c>
      <c r="BX203" s="179"/>
      <c r="BY203" s="11">
        <f>'Civil AM'!CP50</f>
        <v>0</v>
      </c>
      <c r="BZ203" s="11">
        <f>'Civil AM'!CQ50</f>
        <v>0</v>
      </c>
      <c r="CB203" s="603">
        <f>'Civil AM'!CS50</f>
        <v>0</v>
      </c>
      <c r="CF203" s="179"/>
      <c r="CG203" s="11">
        <f>'Civil AM'!CX50</f>
        <v>0</v>
      </c>
      <c r="CH203" s="11">
        <f>'Civil AM'!CY50</f>
        <v>0</v>
      </c>
      <c r="CJ203" s="603">
        <f>'Civil AM'!DA50</f>
        <v>0</v>
      </c>
    </row>
    <row r="204" spans="1:88" outlineLevel="1" x14ac:dyDescent="0.2">
      <c r="A204" s="717" t="s">
        <v>808</v>
      </c>
      <c r="B204" s="729"/>
      <c r="C204" s="544"/>
      <c r="D204" s="531"/>
      <c r="E204" s="531"/>
      <c r="F204" s="531"/>
      <c r="G204" s="531"/>
      <c r="H204" s="764"/>
      <c r="I204" s="764"/>
      <c r="J204" s="531"/>
      <c r="K204" s="544"/>
      <c r="L204" s="531"/>
      <c r="M204" s="419"/>
      <c r="N204" s="419">
        <f>SUM(N200:N203)</f>
        <v>1711.4842969890128</v>
      </c>
      <c r="O204" s="419">
        <f>SUM(O200:O203)</f>
        <v>1867.690257203624</v>
      </c>
      <c r="P204" s="419">
        <f>SUM(P200:P203)</f>
        <v>1918.8609765667045</v>
      </c>
      <c r="Q204" s="419">
        <f>SUM(Q200:Q203)</f>
        <v>2354.1973699568762</v>
      </c>
      <c r="R204" s="419">
        <f>+S125</f>
        <v>2906.5192909541374</v>
      </c>
      <c r="S204" s="419">
        <f>SUM(S200:S203)</f>
        <v>2906.5192909541374</v>
      </c>
      <c r="T204" s="419"/>
      <c r="U204" s="419">
        <f>SUM(U200:U203)</f>
        <v>3908.1392570846001</v>
      </c>
      <c r="V204" s="419">
        <f>SUM(V200:V203)</f>
        <v>1724.371360766567</v>
      </c>
      <c r="W204" s="419">
        <f>SUM(W200:W203)</f>
        <v>1739.3026772139235</v>
      </c>
      <c r="X204" s="729">
        <f>SUM(X200:X203)</f>
        <v>2072.1659425820794</v>
      </c>
      <c r="Y204" s="419"/>
      <c r="Z204" s="419"/>
      <c r="AA204" s="419"/>
      <c r="AB204" s="779"/>
      <c r="AC204" s="419">
        <f>SUM(AC200:AC203)</f>
        <v>1157.4287286338736</v>
      </c>
      <c r="AD204" s="419">
        <f>SUM(AD200:AD203)</f>
        <v>1615.3488333245566</v>
      </c>
      <c r="AE204" s="419"/>
      <c r="AF204" s="1367">
        <f>SUM(AF200:AF203)</f>
        <v>2772.7775619584299</v>
      </c>
      <c r="AG204" s="419"/>
      <c r="AH204" s="419"/>
      <c r="AI204" s="419"/>
      <c r="AJ204" s="779"/>
      <c r="AK204" s="419">
        <f>SUM(AK200:AK203)</f>
        <v>1637.9822811774716</v>
      </c>
      <c r="AL204" s="419">
        <f>SUM(AL200:AL203)</f>
        <v>1539.5328811050395</v>
      </c>
      <c r="AM204" s="419"/>
      <c r="AN204" s="1367">
        <f>SUM(AN200:AN203)</f>
        <v>3177.515162282511</v>
      </c>
      <c r="AO204" s="419"/>
      <c r="AP204" s="419"/>
      <c r="AQ204" s="419"/>
      <c r="AR204" s="779"/>
      <c r="AS204" s="419">
        <f>SUM(AS200:AS203)</f>
        <v>1871.9508071018463</v>
      </c>
      <c r="AT204" s="419">
        <f>SUM(AT200:AT203)</f>
        <v>2120.66219675816</v>
      </c>
      <c r="AU204" s="419"/>
      <c r="AV204" s="1367">
        <f>SUM(AV200:AV203)</f>
        <v>3992.6130038600068</v>
      </c>
      <c r="AW204" s="419"/>
      <c r="AX204" s="419"/>
      <c r="AY204" s="419"/>
      <c r="AZ204" s="779"/>
      <c r="BA204" s="419">
        <f>SUM(BA200:BA203)</f>
        <v>2434.0909929704981</v>
      </c>
      <c r="BB204" s="731">
        <f>SUM(BB200:BB203)</f>
        <v>2767.2177212751085</v>
      </c>
      <c r="BC204" s="419"/>
      <c r="BD204" s="732">
        <f>SUM(BD200:BD203)</f>
        <v>5201.308714245607</v>
      </c>
      <c r="BE204" s="419"/>
      <c r="BF204" s="419"/>
      <c r="BG204" s="419"/>
      <c r="BH204" s="779"/>
      <c r="BI204" s="731">
        <f>SUM(BI200:BI203)</f>
        <v>2594.6329035566105</v>
      </c>
      <c r="BJ204" s="731">
        <f>SUM(BJ200:BJ203)</f>
        <v>3251.8210165796413</v>
      </c>
      <c r="BK204" s="419"/>
      <c r="BL204" s="732">
        <f>SUM(BL200:BL203)</f>
        <v>5846.4539201362522</v>
      </c>
      <c r="BM204" s="419"/>
      <c r="BN204" s="419"/>
      <c r="BO204" s="419"/>
      <c r="BP204" s="779"/>
      <c r="BQ204" s="731">
        <f>SUM(BQ200:BQ203)</f>
        <v>2892.087444299988</v>
      </c>
      <c r="BR204" s="731">
        <f>SUM(BR200:BR203)</f>
        <v>3363.889644934899</v>
      </c>
      <c r="BS204" s="419"/>
      <c r="BT204" s="732">
        <f>SUM(BT200:BT203)</f>
        <v>6255.9770892348861</v>
      </c>
      <c r="BU204" s="419"/>
      <c r="BV204" s="419"/>
      <c r="BW204" s="419"/>
      <c r="BX204" s="779"/>
      <c r="BY204" s="731">
        <f>SUM(BY200:BY203)</f>
        <v>3224.4542222999494</v>
      </c>
      <c r="BZ204" s="731">
        <f>SUM(BZ200:BZ203)</f>
        <v>3433.6976960235088</v>
      </c>
      <c r="CA204" s="419"/>
      <c r="CB204" s="732">
        <f>SUM(CB200:CB203)</f>
        <v>6658.1519183234595</v>
      </c>
      <c r="CC204" s="419"/>
      <c r="CD204" s="419"/>
      <c r="CE204" s="419"/>
      <c r="CF204" s="779"/>
      <c r="CG204" s="731">
        <f>SUM(CG200:CG203)</f>
        <v>3408.6443545717366</v>
      </c>
      <c r="CH204" s="731">
        <f>SUM(CH200:CH203)</f>
        <v>3786.9907732383408</v>
      </c>
      <c r="CI204" s="419"/>
      <c r="CJ204" s="732">
        <f>SUM(CJ200:CJ203)</f>
        <v>7195.6351278100783</v>
      </c>
    </row>
    <row r="205" spans="1:88" outlineLevel="1" x14ac:dyDescent="0.2">
      <c r="A205" s="693" t="s">
        <v>778</v>
      </c>
      <c r="B205" s="284"/>
      <c r="C205" s="70"/>
      <c r="D205" s="141"/>
      <c r="E205" s="141"/>
      <c r="F205" s="141"/>
      <c r="G205" s="141"/>
      <c r="H205" s="462"/>
      <c r="I205" s="462"/>
      <c r="J205" s="141"/>
      <c r="K205" s="70"/>
      <c r="L205" s="141"/>
      <c r="M205" s="186"/>
      <c r="N205" s="261">
        <f t="shared" ref="N205:S205" si="567">N204/N196</f>
        <v>0.50096445655445976</v>
      </c>
      <c r="O205" s="261">
        <f t="shared" si="567"/>
        <v>0.45978732369047953</v>
      </c>
      <c r="P205" s="261">
        <f t="shared" si="567"/>
        <v>0.44189383834968893</v>
      </c>
      <c r="Q205" s="261">
        <f t="shared" si="567"/>
        <v>0.48754254277699932</v>
      </c>
      <c r="R205" s="261">
        <f t="shared" si="567"/>
        <v>0.60192566002575165</v>
      </c>
      <c r="S205" s="261">
        <f t="shared" si="567"/>
        <v>0.53647563282152555</v>
      </c>
      <c r="T205" s="261"/>
      <c r="U205" s="261">
        <f>U204/U196</f>
        <v>0.65637061343137493</v>
      </c>
      <c r="V205" s="261">
        <f>V204/V196</f>
        <v>0.50987247085469434</v>
      </c>
      <c r="W205" s="261">
        <f>W204/W196</f>
        <v>0.48019369943566087</v>
      </c>
      <c r="X205" s="594">
        <f>X204/X196</f>
        <v>0.44245315738740709</v>
      </c>
      <c r="Y205" s="261"/>
      <c r="Z205" s="261"/>
      <c r="AA205" s="261"/>
      <c r="AB205" s="725"/>
      <c r="AC205" s="261">
        <f>AC204/AC196</f>
        <v>0.45621865922715488</v>
      </c>
      <c r="AD205" s="261">
        <f>AD204/AD196</f>
        <v>0.43809911756040426</v>
      </c>
      <c r="AE205" s="261"/>
      <c r="AF205" s="1351">
        <f>AF204/AF196</f>
        <v>0.44548472479402984</v>
      </c>
      <c r="AG205" s="261"/>
      <c r="AH205" s="261"/>
      <c r="AI205" s="261"/>
      <c r="AJ205" s="725"/>
      <c r="AK205" s="261">
        <f>AK204/AK196</f>
        <v>0.49323035421400035</v>
      </c>
      <c r="AL205" s="261">
        <f>AL204/AL196</f>
        <v>0.34572358469746262</v>
      </c>
      <c r="AM205" s="261"/>
      <c r="AN205" s="1351">
        <f>AN204/AN196</f>
        <v>0.40873608363713154</v>
      </c>
      <c r="AO205" s="261"/>
      <c r="AP205" s="261"/>
      <c r="AQ205" s="261"/>
      <c r="AR205" s="725"/>
      <c r="AS205" s="261">
        <f>AS204/AS196</f>
        <v>0.46426953765670936</v>
      </c>
      <c r="AT205" s="261">
        <f>AT204/AT196</f>
        <v>0.38587084375417552</v>
      </c>
      <c r="AU205" s="261"/>
      <c r="AV205" s="1351">
        <f>AV204/AV196</f>
        <v>0.41904803878429048</v>
      </c>
      <c r="AW205" s="261"/>
      <c r="AX205" s="261"/>
      <c r="AY205" s="261"/>
      <c r="AZ205" s="725"/>
      <c r="BA205" s="261">
        <f>BA204/BA196</f>
        <v>0.45437267635112438</v>
      </c>
      <c r="BB205" s="596">
        <f>BB204/BB196</f>
        <v>0.40966329775176125</v>
      </c>
      <c r="BC205" s="261"/>
      <c r="BD205" s="597">
        <f>BD204/BD196</f>
        <v>0.42943805360897752</v>
      </c>
      <c r="BE205" s="261"/>
      <c r="BF205" s="261"/>
      <c r="BG205" s="261"/>
      <c r="BH205" s="725"/>
      <c r="BI205" s="596">
        <f>BI204/BI196</f>
        <v>0.41577394108270471</v>
      </c>
      <c r="BJ205" s="596">
        <f>BJ204/BJ196</f>
        <v>0.43260863251028719</v>
      </c>
      <c r="BK205" s="261"/>
      <c r="BL205" s="597">
        <f>BL204/BL196</f>
        <v>0.42497217775754292</v>
      </c>
      <c r="BM205" s="261"/>
      <c r="BN205" s="261"/>
      <c r="BO205" s="261"/>
      <c r="BP205" s="725"/>
      <c r="BQ205" s="596">
        <f>BQ204/BQ196</f>
        <v>0.41685888725981329</v>
      </c>
      <c r="BR205" s="596">
        <f>BR204/BR196</f>
        <v>0.40304119576976422</v>
      </c>
      <c r="BS205" s="261"/>
      <c r="BT205" s="597">
        <f>BT204/BT196</f>
        <v>0.40931337754612762</v>
      </c>
      <c r="BU205" s="261"/>
      <c r="BV205" s="261"/>
      <c r="BW205" s="261"/>
      <c r="BX205" s="725"/>
      <c r="BY205" s="596">
        <f>BY204/BY196</f>
        <v>0.42803167421682631</v>
      </c>
      <c r="BZ205" s="596">
        <f>BZ204/BZ196</f>
        <v>0.37869679623379393</v>
      </c>
      <c r="CA205" s="261"/>
      <c r="CB205" s="597">
        <f>CB204/CB196</f>
        <v>0.40108488181199353</v>
      </c>
      <c r="CC205" s="261"/>
      <c r="CD205" s="261"/>
      <c r="CE205" s="261"/>
      <c r="CF205" s="725"/>
      <c r="CG205" s="596">
        <f>CG204/CG196</f>
        <v>0.42699430545946132</v>
      </c>
      <c r="CH205" s="596">
        <f>CH204/CH196</f>
        <v>0.39306705439357331</v>
      </c>
      <c r="CI205" s="261"/>
      <c r="CJ205" s="597">
        <f>CJ204/CJ196</f>
        <v>0.4084403797444604</v>
      </c>
    </row>
    <row r="206" spans="1:88" x14ac:dyDescent="0.2">
      <c r="A206" s="584"/>
      <c r="B206" s="284"/>
      <c r="C206" s="53"/>
      <c r="D206" s="49"/>
      <c r="E206" s="49"/>
      <c r="F206" s="49"/>
      <c r="G206" s="49"/>
      <c r="H206" s="104"/>
      <c r="I206" s="104"/>
      <c r="J206" s="49"/>
      <c r="K206" s="53"/>
      <c r="L206" s="49"/>
      <c r="M206" s="83"/>
      <c r="X206" s="180"/>
      <c r="AB206" s="179"/>
      <c r="AF206" s="314"/>
      <c r="AJ206" s="179"/>
      <c r="AN206" s="314"/>
      <c r="AR206" s="179"/>
      <c r="AV206" s="314"/>
      <c r="AZ206" s="179"/>
      <c r="BD206" s="314"/>
      <c r="BH206" s="179"/>
      <c r="BL206" s="314"/>
      <c r="BP206" s="179"/>
      <c r="BT206" s="314"/>
      <c r="BX206" s="179"/>
      <c r="CB206" s="314"/>
      <c r="CF206" s="179"/>
      <c r="CJ206" s="314"/>
    </row>
    <row r="207" spans="1:88" ht="11.25" customHeight="1" x14ac:dyDescent="0.25">
      <c r="A207" s="780" t="s">
        <v>809</v>
      </c>
      <c r="B207" s="781"/>
      <c r="C207" s="782"/>
      <c r="D207" s="782"/>
      <c r="E207" s="782"/>
      <c r="F207" s="782"/>
      <c r="G207" s="782"/>
      <c r="H207" s="782"/>
      <c r="I207" s="782"/>
      <c r="J207" s="782"/>
      <c r="K207" s="783"/>
      <c r="L207" s="782"/>
      <c r="M207" s="783"/>
      <c r="N207" s="782"/>
      <c r="O207" s="782"/>
      <c r="P207" s="782"/>
      <c r="Q207" s="782"/>
      <c r="R207" s="782"/>
      <c r="S207" s="782"/>
      <c r="T207" s="782"/>
      <c r="U207" s="782"/>
      <c r="V207" s="782"/>
      <c r="W207" s="782"/>
      <c r="X207" s="784"/>
      <c r="Y207" s="782"/>
      <c r="Z207" s="782"/>
      <c r="AA207" s="782"/>
      <c r="AB207" s="785"/>
      <c r="AC207" s="782"/>
      <c r="AD207" s="782"/>
      <c r="AE207" s="782"/>
      <c r="AF207" s="786"/>
      <c r="AG207" s="782"/>
      <c r="AH207" s="782"/>
      <c r="AI207" s="782"/>
      <c r="AJ207" s="785"/>
      <c r="AK207" s="782"/>
      <c r="AL207" s="782"/>
      <c r="AM207" s="782"/>
      <c r="AN207" s="786"/>
      <c r="AO207" s="782"/>
      <c r="AP207" s="782"/>
      <c r="AQ207" s="782"/>
      <c r="AR207" s="785"/>
      <c r="AS207" s="782"/>
      <c r="AT207" s="782"/>
      <c r="AU207" s="782"/>
      <c r="AV207" s="786"/>
      <c r="AW207" s="782"/>
      <c r="AX207" s="782"/>
      <c r="AY207" s="782"/>
      <c r="AZ207" s="785"/>
      <c r="BA207" s="782"/>
      <c r="BB207" s="782"/>
      <c r="BC207" s="782"/>
      <c r="BD207" s="786"/>
      <c r="BE207" s="782"/>
      <c r="BF207" s="782"/>
      <c r="BG207" s="782"/>
      <c r="BH207" s="785"/>
      <c r="BI207" s="782"/>
      <c r="BJ207" s="782"/>
      <c r="BK207" s="782"/>
      <c r="BL207" s="786"/>
      <c r="BM207" s="782"/>
      <c r="BN207" s="782"/>
      <c r="BO207" s="782"/>
      <c r="BP207" s="785"/>
      <c r="BQ207" s="782"/>
      <c r="BR207" s="782"/>
      <c r="BS207" s="782"/>
      <c r="BT207" s="786"/>
      <c r="BU207" s="782"/>
      <c r="BV207" s="782"/>
      <c r="BW207" s="782"/>
      <c r="BX207" s="785"/>
      <c r="BY207" s="782"/>
      <c r="BZ207" s="782"/>
      <c r="CA207" s="782"/>
      <c r="CB207" s="786"/>
      <c r="CC207" s="782"/>
      <c r="CD207" s="782"/>
      <c r="CE207" s="782"/>
      <c r="CF207" s="785"/>
      <c r="CG207" s="782"/>
      <c r="CH207" s="782"/>
      <c r="CI207" s="782"/>
      <c r="CJ207" s="786"/>
    </row>
    <row r="208" spans="1:88" x14ac:dyDescent="0.2">
      <c r="A208" s="787"/>
      <c r="B208" s="340"/>
      <c r="C208" s="49"/>
      <c r="D208" s="49"/>
      <c r="E208" s="49"/>
      <c r="F208" s="49"/>
      <c r="G208" s="49"/>
      <c r="H208" s="104"/>
      <c r="I208" s="104"/>
      <c r="J208" s="49"/>
      <c r="K208" s="49"/>
      <c r="L208" s="49"/>
      <c r="M208" s="49"/>
      <c r="N208" s="49"/>
      <c r="O208" s="49"/>
      <c r="P208" s="49"/>
      <c r="Q208" s="49"/>
      <c r="R208" s="49"/>
      <c r="S208" s="49"/>
      <c r="T208" s="49"/>
      <c r="U208" s="49"/>
      <c r="V208" s="104"/>
      <c r="W208" s="49"/>
      <c r="X208" s="133"/>
      <c r="Y208" s="49"/>
      <c r="Z208" s="49"/>
      <c r="AA208" s="49"/>
      <c r="AB208" s="614"/>
      <c r="AC208" s="49"/>
      <c r="AD208" s="49"/>
      <c r="AE208" s="49"/>
      <c r="AF208" s="788"/>
      <c r="AG208" s="49"/>
      <c r="AH208" s="49"/>
      <c r="AI208" s="49"/>
      <c r="AJ208" s="614"/>
      <c r="AK208" s="49"/>
      <c r="AL208" s="49"/>
      <c r="AM208" s="49"/>
      <c r="AN208" s="788"/>
      <c r="AO208" s="49"/>
      <c r="AP208" s="49"/>
      <c r="AQ208" s="49"/>
      <c r="AR208" s="614"/>
      <c r="AS208" s="49"/>
      <c r="AT208" s="49"/>
      <c r="AU208" s="49"/>
      <c r="AV208" s="788"/>
      <c r="AW208" s="49"/>
      <c r="AX208" s="49"/>
      <c r="AY208" s="49"/>
      <c r="AZ208" s="614"/>
      <c r="BA208" s="49"/>
      <c r="BB208" s="49"/>
      <c r="BC208" s="49"/>
      <c r="BD208" s="788"/>
      <c r="BE208" s="49"/>
      <c r="BF208" s="49"/>
      <c r="BG208" s="49"/>
      <c r="BH208" s="614"/>
      <c r="BI208" s="49"/>
      <c r="BJ208" s="49"/>
      <c r="BK208" s="49"/>
      <c r="BL208" s="788"/>
      <c r="BM208" s="49"/>
      <c r="BN208" s="49"/>
      <c r="BO208" s="49"/>
      <c r="BP208" s="614"/>
      <c r="BQ208" s="49"/>
      <c r="BR208" s="49"/>
      <c r="BS208" s="49"/>
      <c r="BT208" s="788"/>
      <c r="BU208" s="49"/>
      <c r="BV208" s="49"/>
      <c r="BW208" s="49"/>
      <c r="BX208" s="614"/>
      <c r="BY208" s="49"/>
      <c r="BZ208" s="49"/>
      <c r="CA208" s="49"/>
      <c r="CB208" s="788"/>
      <c r="CC208" s="49"/>
      <c r="CD208" s="49"/>
      <c r="CE208" s="49"/>
      <c r="CF208" s="614"/>
      <c r="CG208" s="49"/>
      <c r="CH208" s="49"/>
      <c r="CI208" s="49"/>
      <c r="CJ208" s="788"/>
    </row>
    <row r="209" spans="1:88" x14ac:dyDescent="0.2">
      <c r="A209" s="584" t="s">
        <v>810</v>
      </c>
      <c r="B209" s="284"/>
      <c r="C209" s="49"/>
      <c r="D209" s="49"/>
      <c r="E209" s="49"/>
      <c r="F209" s="49"/>
      <c r="G209" s="49"/>
      <c r="H209" s="104"/>
      <c r="I209" s="104"/>
      <c r="J209" s="49"/>
      <c r="K209" s="49"/>
      <c r="L209" s="49"/>
      <c r="M209" s="49"/>
      <c r="N209" s="49">
        <f>N213*N211</f>
        <v>549.80250000000001</v>
      </c>
      <c r="O209" s="49">
        <f t="shared" ref="O209:X209" si="568">O213*O211</f>
        <v>502.84649999999999</v>
      </c>
      <c r="P209" s="49">
        <f t="shared" si="568"/>
        <v>392.85949999999997</v>
      </c>
      <c r="Q209" s="49">
        <f t="shared" si="568"/>
        <v>388.0745</v>
      </c>
      <c r="R209" s="49">
        <f t="shared" si="568"/>
        <v>412.33800000000002</v>
      </c>
      <c r="S209" s="49">
        <f t="shared" si="568"/>
        <v>433.88400000000001</v>
      </c>
      <c r="T209" s="49">
        <f t="shared" si="568"/>
        <v>0</v>
      </c>
      <c r="U209" s="49">
        <f t="shared" si="568"/>
        <v>459.47500000000002</v>
      </c>
      <c r="V209" s="49">
        <f t="shared" si="568"/>
        <v>417.89600000000002</v>
      </c>
      <c r="W209" s="49">
        <f t="shared" si="568"/>
        <v>388.64800000000002</v>
      </c>
      <c r="X209" s="133">
        <f t="shared" si="568"/>
        <v>395.16100000000006</v>
      </c>
      <c r="Y209" s="49">
        <f>AC209/2</f>
        <v>109.208</v>
      </c>
      <c r="Z209" s="49">
        <f>AC209-Y209</f>
        <v>109.208</v>
      </c>
      <c r="AA209" s="740">
        <f>AD209/2</f>
        <v>109.208</v>
      </c>
      <c r="AB209" s="614">
        <f>AD209-AA209</f>
        <v>109.208</v>
      </c>
      <c r="AC209" s="49">
        <f>AF209/2</f>
        <v>218.416</v>
      </c>
      <c r="AD209" s="53">
        <f>AF209-AC209</f>
        <v>218.416</v>
      </c>
      <c r="AE209" s="49">
        <f>Y209+Z209+AA209</f>
        <v>327.62400000000002</v>
      </c>
      <c r="AF209" s="832">
        <f t="shared" ref="AF209" si="569">AF213*AF211</f>
        <v>436.83199999999999</v>
      </c>
      <c r="AG209" s="49">
        <f>AK209/2</f>
        <v>100</v>
      </c>
      <c r="AH209" s="49">
        <f>AK209-AG209</f>
        <v>100</v>
      </c>
      <c r="AI209" s="740">
        <v>80</v>
      </c>
      <c r="AJ209" s="614">
        <f>AL209-AI209</f>
        <v>266.08000000000004</v>
      </c>
      <c r="AK209" s="49">
        <v>200</v>
      </c>
      <c r="AL209" s="53">
        <f>AN209-AK209</f>
        <v>346.08000000000004</v>
      </c>
      <c r="AM209" s="49">
        <f>AG209+AH209+AI209</f>
        <v>280</v>
      </c>
      <c r="AN209" s="832">
        <f>AN213*AN211</f>
        <v>546.08000000000004</v>
      </c>
      <c r="AO209" s="49">
        <v>100</v>
      </c>
      <c r="AP209" s="49">
        <f>AS209-AO209</f>
        <v>125</v>
      </c>
      <c r="AQ209" s="49">
        <v>150</v>
      </c>
      <c r="AR209" s="614">
        <f>AT209-AQ209</f>
        <v>212.55000000000007</v>
      </c>
      <c r="AS209" s="53">
        <v>225</v>
      </c>
      <c r="AT209" s="53">
        <f>AV209-AS209</f>
        <v>362.55000000000007</v>
      </c>
      <c r="AU209" s="49">
        <f>AO209+AP209+AQ209</f>
        <v>375</v>
      </c>
      <c r="AV209" s="832">
        <f>AV213*AV211</f>
        <v>587.55000000000007</v>
      </c>
      <c r="AW209" s="49">
        <v>110</v>
      </c>
      <c r="AX209" s="49">
        <f>BA209-AW209</f>
        <v>115</v>
      </c>
      <c r="AY209" s="109">
        <v>150</v>
      </c>
      <c r="AZ209" s="789">
        <f>BB209-AY209</f>
        <v>224.30100000000004</v>
      </c>
      <c r="BA209" s="53">
        <v>225</v>
      </c>
      <c r="BB209" s="106">
        <f>BB228</f>
        <v>374.30100000000004</v>
      </c>
      <c r="BC209" s="146">
        <f>AW209+AX209+AY209</f>
        <v>375</v>
      </c>
      <c r="BD209" s="589">
        <f>BD228</f>
        <v>599.30100000000004</v>
      </c>
      <c r="BE209" s="146">
        <f>BI209/2</f>
        <v>152.82175500000002</v>
      </c>
      <c r="BF209" s="146">
        <f>BI209-BE209</f>
        <v>152.82175500000002</v>
      </c>
      <c r="BG209" s="146">
        <f>BJ209/2</f>
        <v>152.82175500000002</v>
      </c>
      <c r="BH209" s="789">
        <f>BJ209-BG209</f>
        <v>152.82175500000002</v>
      </c>
      <c r="BI209" s="106">
        <f>BI228</f>
        <v>305.64351000000005</v>
      </c>
      <c r="BJ209" s="106">
        <f>BJ228</f>
        <v>305.64351000000005</v>
      </c>
      <c r="BK209" s="146">
        <f>BE209+BF209+BG209</f>
        <v>458.46526500000004</v>
      </c>
      <c r="BL209" s="589">
        <f>BL228</f>
        <v>611.2870200000001</v>
      </c>
      <c r="BM209" s="146">
        <f>BQ209/2</f>
        <v>155.87819010000004</v>
      </c>
      <c r="BN209" s="146">
        <f>BQ209-BM209</f>
        <v>155.87819010000004</v>
      </c>
      <c r="BO209" s="146">
        <f>BR209/2</f>
        <v>155.87819010000004</v>
      </c>
      <c r="BP209" s="789">
        <f>BR209-BO209</f>
        <v>155.87819010000004</v>
      </c>
      <c r="BQ209" s="106">
        <f>BQ228</f>
        <v>311.75638020000008</v>
      </c>
      <c r="BR209" s="106">
        <f>BR228</f>
        <v>311.75638020000008</v>
      </c>
      <c r="BS209" s="146">
        <f>BM209+BN209+BO209</f>
        <v>467.63457030000012</v>
      </c>
      <c r="BT209" s="589">
        <f>BT228</f>
        <v>623.51276040000016</v>
      </c>
      <c r="BU209" s="146">
        <f>BY209/2</f>
        <v>158.99575390200005</v>
      </c>
      <c r="BV209" s="146">
        <f>BY209-BU209</f>
        <v>158.99575390200005</v>
      </c>
      <c r="BW209" s="146">
        <f>BZ209/2</f>
        <v>158.99575390200005</v>
      </c>
      <c r="BX209" s="789">
        <f>BZ209-BW209</f>
        <v>158.99575390200005</v>
      </c>
      <c r="BY209" s="106">
        <f>BY228</f>
        <v>317.99150780400009</v>
      </c>
      <c r="BZ209" s="106">
        <f>BZ228</f>
        <v>317.99150780400009</v>
      </c>
      <c r="CA209" s="146">
        <f>BU209+BV209+BW209</f>
        <v>476.98726170600014</v>
      </c>
      <c r="CB209" s="589">
        <f>CB228</f>
        <v>635.98301560800019</v>
      </c>
      <c r="CC209" s="146">
        <f>CG209/2</f>
        <v>162.17566898004003</v>
      </c>
      <c r="CD209" s="146">
        <f>CG209-CC209</f>
        <v>162.17566898004003</v>
      </c>
      <c r="CE209" s="146">
        <f>CH209/2</f>
        <v>162.17566898004003</v>
      </c>
      <c r="CF209" s="789">
        <f>CH209-CE209</f>
        <v>162.17566898004003</v>
      </c>
      <c r="CG209" s="106">
        <f>CG228</f>
        <v>324.35133796008006</v>
      </c>
      <c r="CH209" s="106">
        <f>CH228</f>
        <v>324.35133796008006</v>
      </c>
      <c r="CI209" s="146">
        <f>CC209+CD209+CE209</f>
        <v>486.52700694012009</v>
      </c>
      <c r="CJ209" s="589">
        <f>CJ228</f>
        <v>648.70267592016012</v>
      </c>
    </row>
    <row r="210" spans="1:88" x14ac:dyDescent="0.2">
      <c r="A210" s="584" t="s">
        <v>811</v>
      </c>
      <c r="B210" s="284"/>
      <c r="C210" s="49"/>
      <c r="D210" s="49"/>
      <c r="E210" s="49"/>
      <c r="F210" s="49"/>
      <c r="G210" s="49"/>
      <c r="H210" s="104"/>
      <c r="I210" s="104"/>
      <c r="J210" s="49"/>
      <c r="K210" s="49"/>
      <c r="L210" s="49"/>
      <c r="M210" s="534"/>
      <c r="N210" s="49">
        <f>N211-N209</f>
        <v>673.14750000000004</v>
      </c>
      <c r="O210" s="49">
        <f t="shared" ref="O210:X210" si="570">O211-O209</f>
        <v>708.62350000000004</v>
      </c>
      <c r="P210" s="49">
        <f t="shared" si="570"/>
        <v>640.15049999999997</v>
      </c>
      <c r="Q210" s="49">
        <f t="shared" si="570"/>
        <v>683.43550000000005</v>
      </c>
      <c r="R210" s="49">
        <f t="shared" si="570"/>
        <v>710.50199999999995</v>
      </c>
      <c r="S210" s="49">
        <f t="shared" si="570"/>
        <v>715.83600000000001</v>
      </c>
      <c r="T210" s="49">
        <f t="shared" si="570"/>
        <v>0</v>
      </c>
      <c r="U210" s="49">
        <f t="shared" si="570"/>
        <v>745.02499999999998</v>
      </c>
      <c r="V210" s="49">
        <f t="shared" si="570"/>
        <v>808.18399999999997</v>
      </c>
      <c r="W210" s="49">
        <f t="shared" si="570"/>
        <v>801.59199999999998</v>
      </c>
      <c r="X210" s="133">
        <f t="shared" si="570"/>
        <v>840.61899999999991</v>
      </c>
      <c r="Y210" s="49">
        <f>Y211-Y209</f>
        <v>216.47200000000001</v>
      </c>
      <c r="Z210" s="49">
        <f>AC210-Y210</f>
        <v>246.352</v>
      </c>
      <c r="AA210" s="49">
        <f>AA211-AA209</f>
        <v>260.75199999999995</v>
      </c>
      <c r="AB210" s="614">
        <f>AD210-AA210</f>
        <v>145.95199999999994</v>
      </c>
      <c r="AC210" s="49">
        <f>AC211-AC209</f>
        <v>462.82400000000001</v>
      </c>
      <c r="AD210" s="53">
        <f>AF210-AC210</f>
        <v>406.70399999999989</v>
      </c>
      <c r="AE210" s="49">
        <f>Y210+Z210+AA210</f>
        <v>723.57600000000002</v>
      </c>
      <c r="AF210" s="832">
        <f t="shared" ref="AF210" si="571">AF211-AF209</f>
        <v>869.52799999999991</v>
      </c>
      <c r="AG210" s="49">
        <f>AG211-AG209</f>
        <v>271.64</v>
      </c>
      <c r="AH210" s="49">
        <f>AK210-AG210</f>
        <v>239.07000000000005</v>
      </c>
      <c r="AI210" s="49">
        <f>AI211-AI209</f>
        <v>253.90000000000003</v>
      </c>
      <c r="AJ210" s="614">
        <f>AL210-AI210</f>
        <v>54.509999999999934</v>
      </c>
      <c r="AK210" s="49">
        <f>AK211-AK209</f>
        <v>510.71000000000004</v>
      </c>
      <c r="AL210" s="53">
        <f>AN210-AK210</f>
        <v>308.40999999999997</v>
      </c>
      <c r="AM210" s="49">
        <f>AG210+AH210+AI210</f>
        <v>764.61000000000013</v>
      </c>
      <c r="AN210" s="832">
        <f t="shared" ref="AN210" si="572">AN211-AN209</f>
        <v>819.12</v>
      </c>
      <c r="AO210" s="49">
        <f>AO211-AO209</f>
        <v>342.08</v>
      </c>
      <c r="AP210" s="49">
        <f>AS210-AO210</f>
        <v>187.02000000000004</v>
      </c>
      <c r="AQ210" s="49">
        <f>AQ211-AQ209</f>
        <v>254.40000000000003</v>
      </c>
      <c r="AR210" s="614">
        <f>AT210-AQ210</f>
        <v>195.75000000000006</v>
      </c>
      <c r="AS210" s="49">
        <f>AS211-AS209</f>
        <v>529.1</v>
      </c>
      <c r="AT210" s="53">
        <f>AV210-AS210</f>
        <v>450.15000000000009</v>
      </c>
      <c r="AU210" s="49">
        <f>AO210+AP210+AQ210</f>
        <v>783.5</v>
      </c>
      <c r="AV210" s="832">
        <f t="shared" ref="AV210" si="573">AV211-AV209</f>
        <v>979.25000000000011</v>
      </c>
      <c r="AW210" s="49">
        <f>AW211-AW209</f>
        <v>390.72</v>
      </c>
      <c r="AX210" s="49">
        <f>BA210-AW210</f>
        <v>302.08000000000004</v>
      </c>
      <c r="AY210" s="146">
        <f>BB210/2</f>
        <v>179.94687500000003</v>
      </c>
      <c r="AZ210" s="789">
        <f>BB210-AY210</f>
        <v>179.94687500000003</v>
      </c>
      <c r="BA210" s="49">
        <f>BA211-BA209</f>
        <v>692.80000000000007</v>
      </c>
      <c r="BB210" s="106">
        <f>BD210-BA210</f>
        <v>359.89375000000007</v>
      </c>
      <c r="BC210" s="146">
        <f>AW210+AX210+AY210</f>
        <v>872.74687500000005</v>
      </c>
      <c r="BD210" s="589">
        <f>AV210*(1+BD218)</f>
        <v>1052.6937500000001</v>
      </c>
      <c r="BE210" s="146">
        <f>BI210/2</f>
        <v>282.91144531250001</v>
      </c>
      <c r="BF210" s="146">
        <f>BI210-BE210</f>
        <v>282.91144531250001</v>
      </c>
      <c r="BG210" s="146">
        <f>BJ210/2</f>
        <v>282.91144531250001</v>
      </c>
      <c r="BH210" s="789">
        <f>BJ210-BG210</f>
        <v>282.91144531250001</v>
      </c>
      <c r="BI210" s="106">
        <f>BL210/2</f>
        <v>565.82289062500001</v>
      </c>
      <c r="BJ210" s="106">
        <f>BL210-BI210</f>
        <v>565.82289062500001</v>
      </c>
      <c r="BK210" s="146">
        <f>BE210+BF210+BG210</f>
        <v>848.73433593749996</v>
      </c>
      <c r="BL210" s="589">
        <f>BD210*(1+BL218)</f>
        <v>1131.64578125</v>
      </c>
      <c r="BM210" s="146">
        <f>BQ210/2</f>
        <v>304.12980371093749</v>
      </c>
      <c r="BN210" s="146">
        <f>BQ210-BM210</f>
        <v>304.12980371093749</v>
      </c>
      <c r="BO210" s="146">
        <f>BR210/2</f>
        <v>304.12980371093749</v>
      </c>
      <c r="BP210" s="789">
        <f>BR210-BO210</f>
        <v>304.12980371093749</v>
      </c>
      <c r="BQ210" s="106">
        <f>BT210/2</f>
        <v>608.25960742187499</v>
      </c>
      <c r="BR210" s="106">
        <f>BT210-BQ210</f>
        <v>608.25960742187499</v>
      </c>
      <c r="BS210" s="146">
        <f>BM210+BN210+BO210</f>
        <v>912.38941113281248</v>
      </c>
      <c r="BT210" s="589">
        <f>BL210*(1+BT218)</f>
        <v>1216.51921484375</v>
      </c>
      <c r="BU210" s="146">
        <f>BY210/2</f>
        <v>326.93953898925781</v>
      </c>
      <c r="BV210" s="146">
        <f>BY210-BU210</f>
        <v>326.93953898925781</v>
      </c>
      <c r="BW210" s="146">
        <f>BZ210/2</f>
        <v>326.93953898925781</v>
      </c>
      <c r="BX210" s="789">
        <f>BZ210-BW210</f>
        <v>326.93953898925781</v>
      </c>
      <c r="BY210" s="106">
        <f>CB210/2</f>
        <v>653.87907797851562</v>
      </c>
      <c r="BZ210" s="106">
        <f>CB210-BY210</f>
        <v>653.87907797851562</v>
      </c>
      <c r="CA210" s="146">
        <f>BU210+BV210+BW210</f>
        <v>980.81861696777344</v>
      </c>
      <c r="CB210" s="589">
        <f>BT210*(1+CB218)</f>
        <v>1307.7581559570312</v>
      </c>
      <c r="CC210" s="146">
        <f>CG210/2</f>
        <v>351.46000441345211</v>
      </c>
      <c r="CD210" s="146">
        <f>CG210-CC210</f>
        <v>351.46000441345211</v>
      </c>
      <c r="CE210" s="146">
        <f>CH210/2</f>
        <v>351.46000441345211</v>
      </c>
      <c r="CF210" s="789">
        <f>CH210-CE210</f>
        <v>351.46000441345211</v>
      </c>
      <c r="CG210" s="106">
        <f>CJ210/2</f>
        <v>702.92000882690422</v>
      </c>
      <c r="CH210" s="106">
        <f>CJ210-CG210</f>
        <v>702.92000882690422</v>
      </c>
      <c r="CI210" s="146">
        <f>CC210+CD210+CE210</f>
        <v>1054.3800132403562</v>
      </c>
      <c r="CJ210" s="589">
        <f>CB210*(1+CJ218)</f>
        <v>1405.8400176538084</v>
      </c>
    </row>
    <row r="211" spans="1:88" x14ac:dyDescent="0.2">
      <c r="A211" s="717" t="s">
        <v>812</v>
      </c>
      <c r="B211" s="729"/>
      <c r="C211" s="790"/>
      <c r="D211" s="531">
        <f t="shared" ref="D211:S211" si="574">D6</f>
        <v>690.4</v>
      </c>
      <c r="E211" s="531">
        <f t="shared" si="574"/>
        <v>718.88</v>
      </c>
      <c r="F211" s="531">
        <f t="shared" si="574"/>
        <v>811.68000000000006</v>
      </c>
      <c r="G211" s="531">
        <f t="shared" si="574"/>
        <v>1005.8900000000001</v>
      </c>
      <c r="H211" s="531">
        <f t="shared" si="574"/>
        <v>988.38000000000011</v>
      </c>
      <c r="I211" s="531">
        <f t="shared" si="574"/>
        <v>1021.14</v>
      </c>
      <c r="J211" s="531">
        <f t="shared" si="574"/>
        <v>1008.7199999999999</v>
      </c>
      <c r="K211" s="531">
        <f t="shared" si="574"/>
        <v>1038.7</v>
      </c>
      <c r="L211" s="531">
        <f t="shared" si="574"/>
        <v>1120.8</v>
      </c>
      <c r="M211" s="531">
        <f t="shared" si="574"/>
        <v>1138.3499999999999</v>
      </c>
      <c r="N211" s="531">
        <f t="shared" si="574"/>
        <v>1222.95</v>
      </c>
      <c r="O211" s="531">
        <f t="shared" si="574"/>
        <v>1211.47</v>
      </c>
      <c r="P211" s="531">
        <f t="shared" si="574"/>
        <v>1033.01</v>
      </c>
      <c r="Q211" s="531">
        <f t="shared" si="574"/>
        <v>1071.51</v>
      </c>
      <c r="R211" s="531">
        <f t="shared" si="574"/>
        <v>1122.8399999999999</v>
      </c>
      <c r="S211" s="531">
        <f t="shared" si="574"/>
        <v>1149.72</v>
      </c>
      <c r="T211" s="531"/>
      <c r="U211" s="531">
        <f>U6</f>
        <v>1204.5</v>
      </c>
      <c r="V211" s="531">
        <f>V6</f>
        <v>1226.08</v>
      </c>
      <c r="W211" s="531">
        <f>W6</f>
        <v>1190.24</v>
      </c>
      <c r="X211" s="532">
        <f>X6</f>
        <v>1235.78</v>
      </c>
      <c r="Y211" s="531">
        <f>Y6</f>
        <v>325.68</v>
      </c>
      <c r="Z211" s="544">
        <f t="shared" ref="Z211:AE211" si="575">Z209+Z210</f>
        <v>355.56</v>
      </c>
      <c r="AA211" s="531">
        <f>AA6</f>
        <v>369.96</v>
      </c>
      <c r="AB211" s="1371">
        <f t="shared" si="575"/>
        <v>255.15999999999994</v>
      </c>
      <c r="AC211" s="531">
        <f>AC6</f>
        <v>681.24</v>
      </c>
      <c r="AD211" s="544">
        <f t="shared" si="575"/>
        <v>625.11999999999989</v>
      </c>
      <c r="AE211" s="544">
        <f t="shared" si="575"/>
        <v>1051.2</v>
      </c>
      <c r="AF211" s="1365">
        <f>AF6</f>
        <v>1306.3599999999999</v>
      </c>
      <c r="AG211" s="531">
        <f>AG6</f>
        <v>371.64</v>
      </c>
      <c r="AH211" s="544">
        <f t="shared" ref="AH211" si="576">AH209+AH210</f>
        <v>339.07000000000005</v>
      </c>
      <c r="AI211" s="531">
        <f>AI6</f>
        <v>333.90000000000003</v>
      </c>
      <c r="AJ211" s="1371">
        <f t="shared" ref="AJ211" si="577">AJ209+AJ210</f>
        <v>320.58999999999997</v>
      </c>
      <c r="AK211" s="531">
        <f>AK6</f>
        <v>710.71</v>
      </c>
      <c r="AL211" s="544">
        <f t="shared" ref="AL211" si="578">AL209+AL210</f>
        <v>654.49</v>
      </c>
      <c r="AM211" s="544">
        <f t="shared" ref="AM211" si="579">AM209+AM210</f>
        <v>1044.6100000000001</v>
      </c>
      <c r="AN211" s="1365">
        <f>AN6</f>
        <v>1365.2</v>
      </c>
      <c r="AO211" s="531">
        <f>AO6</f>
        <v>442.08</v>
      </c>
      <c r="AP211" s="544">
        <f t="shared" ref="AP211" si="580">AP209+AP210</f>
        <v>312.02000000000004</v>
      </c>
      <c r="AQ211" s="531">
        <f>AQ6</f>
        <v>404.40000000000003</v>
      </c>
      <c r="AR211" s="1371">
        <f t="shared" ref="AR211" si="581">AR209+AR210</f>
        <v>408.30000000000013</v>
      </c>
      <c r="AS211" s="531">
        <f>AS6</f>
        <v>754.1</v>
      </c>
      <c r="AT211" s="544">
        <f t="shared" ref="AT211" si="582">AT209+AT210</f>
        <v>812.70000000000016</v>
      </c>
      <c r="AU211" s="544">
        <f t="shared" ref="AU211" si="583">AU209+AU210</f>
        <v>1158.5</v>
      </c>
      <c r="AV211" s="1365">
        <f>AV6</f>
        <v>1566.8000000000002</v>
      </c>
      <c r="AW211" s="544">
        <f>AW6</f>
        <v>500.72</v>
      </c>
      <c r="AX211" s="544">
        <f>BA211-AW211</f>
        <v>417.08000000000004</v>
      </c>
      <c r="AY211" s="546">
        <f t="shared" ref="AY211" si="584">AY209+AY210</f>
        <v>329.94687500000003</v>
      </c>
      <c r="AZ211" s="791">
        <f>BB211-AY211</f>
        <v>404.24787500000019</v>
      </c>
      <c r="BA211" s="531">
        <f>BA6</f>
        <v>917.80000000000007</v>
      </c>
      <c r="BB211" s="546">
        <f>BD211-BA211</f>
        <v>734.19475000000023</v>
      </c>
      <c r="BC211" s="546">
        <f>BA211+AY211</f>
        <v>1247.746875</v>
      </c>
      <c r="BD211" s="792">
        <f>BD209+BD210</f>
        <v>1651.9947500000003</v>
      </c>
      <c r="BE211" s="546">
        <f t="shared" ref="BE211" si="585">BE209+BE210</f>
        <v>435.7332003125</v>
      </c>
      <c r="BF211" s="546">
        <f>BI211-BE211</f>
        <v>435.7332003125</v>
      </c>
      <c r="BG211" s="546">
        <f t="shared" ref="BG211" si="586">BG209+BG210</f>
        <v>435.7332003125</v>
      </c>
      <c r="BH211" s="791">
        <f>BJ211-BG211</f>
        <v>435.7332003125</v>
      </c>
      <c r="BI211" s="546">
        <f t="shared" ref="BI211" si="587">BI209+BI210</f>
        <v>871.46640062500001</v>
      </c>
      <c r="BJ211" s="546">
        <f>BL211-BI211</f>
        <v>871.46640062500001</v>
      </c>
      <c r="BK211" s="546">
        <f>BI211+BG211</f>
        <v>1307.1996009375</v>
      </c>
      <c r="BL211" s="792">
        <f>BL209+BL210</f>
        <v>1742.93280125</v>
      </c>
      <c r="BM211" s="546">
        <f t="shared" ref="BM211" si="588">BM209+BM210</f>
        <v>460.00799381093753</v>
      </c>
      <c r="BN211" s="546">
        <f>BQ211-BM211</f>
        <v>460.00799381093753</v>
      </c>
      <c r="BO211" s="546">
        <f t="shared" ref="BO211" si="589">BO209+BO210</f>
        <v>460.00799381093753</v>
      </c>
      <c r="BP211" s="791">
        <f>BR211-BO211</f>
        <v>460.00799381093753</v>
      </c>
      <c r="BQ211" s="546">
        <f t="shared" ref="BQ211" si="590">BQ209+BQ210</f>
        <v>920.01598762187507</v>
      </c>
      <c r="BR211" s="546">
        <f>BT211-BQ211</f>
        <v>920.01598762187507</v>
      </c>
      <c r="BS211" s="546">
        <f>BQ211+BO211</f>
        <v>1380.0239814328127</v>
      </c>
      <c r="BT211" s="792">
        <f>BT209+BT210</f>
        <v>1840.0319752437501</v>
      </c>
      <c r="BU211" s="546">
        <f t="shared" ref="BU211" si="591">BU209+BU210</f>
        <v>485.93529289125786</v>
      </c>
      <c r="BV211" s="546">
        <f>BY211-BU211</f>
        <v>485.93529289125786</v>
      </c>
      <c r="BW211" s="546">
        <f t="shared" ref="BW211" si="592">BW209+BW210</f>
        <v>485.93529289125786</v>
      </c>
      <c r="BX211" s="791">
        <f>BZ211-BW211</f>
        <v>485.93529289125786</v>
      </c>
      <c r="BY211" s="546">
        <f t="shared" ref="BY211" si="593">BY209+BY210</f>
        <v>971.87058578251572</v>
      </c>
      <c r="BZ211" s="546">
        <f>CB211-BY211</f>
        <v>971.87058578251572</v>
      </c>
      <c r="CA211" s="546">
        <f>BY211+BW211</f>
        <v>1457.8058786737736</v>
      </c>
      <c r="CB211" s="792">
        <f>CB209+CB210</f>
        <v>1943.7411715650314</v>
      </c>
      <c r="CC211" s="546">
        <f t="shared" ref="CC211" si="594">CC209+CC210</f>
        <v>513.6356733934922</v>
      </c>
      <c r="CD211" s="546">
        <f>CG211-CC211</f>
        <v>513.6356733934922</v>
      </c>
      <c r="CE211" s="546">
        <f t="shared" ref="CE211" si="595">CE209+CE210</f>
        <v>513.6356733934922</v>
      </c>
      <c r="CF211" s="791">
        <f>CH211-CE211</f>
        <v>513.6356733934922</v>
      </c>
      <c r="CG211" s="546">
        <f t="shared" ref="CG211" si="596">CG209+CG210</f>
        <v>1027.2713467869844</v>
      </c>
      <c r="CH211" s="546">
        <f>CJ211-CG211</f>
        <v>1027.2713467869844</v>
      </c>
      <c r="CI211" s="546">
        <f>CG211+CE211</f>
        <v>1540.9070201804766</v>
      </c>
      <c r="CJ211" s="792">
        <f>CJ209+CJ210</f>
        <v>2054.5426935739688</v>
      </c>
    </row>
    <row r="212" spans="1:88" x14ac:dyDescent="0.2">
      <c r="A212" s="186"/>
      <c r="B212" s="186"/>
      <c r="C212" s="49"/>
      <c r="D212" s="141"/>
      <c r="E212" s="141"/>
      <c r="F212" s="141"/>
      <c r="G212" s="141"/>
      <c r="H212" s="141"/>
      <c r="I212" s="141"/>
      <c r="J212" s="141"/>
      <c r="K212" s="141"/>
      <c r="L212" s="141"/>
      <c r="M212" s="141"/>
      <c r="N212" s="141"/>
      <c r="O212" s="141"/>
      <c r="P212" s="141"/>
      <c r="Q212" s="141"/>
      <c r="R212" s="141"/>
      <c r="S212" s="141"/>
      <c r="T212" s="141"/>
      <c r="U212" s="141"/>
      <c r="V212" s="141"/>
      <c r="W212" s="141"/>
      <c r="X212" s="144"/>
      <c r="Y212" s="141"/>
      <c r="Z212" s="70"/>
      <c r="AA212" s="141"/>
      <c r="AB212" s="1503"/>
      <c r="AC212" s="141"/>
      <c r="AD212" s="70"/>
      <c r="AE212" s="70"/>
      <c r="AF212" s="1353"/>
      <c r="AG212" s="542"/>
      <c r="AH212" s="542"/>
      <c r="AI212" s="542"/>
      <c r="AJ212" s="1504"/>
      <c r="AK212" s="542"/>
      <c r="AL212" s="542"/>
      <c r="AM212" s="542"/>
      <c r="AN212" s="793"/>
      <c r="AO212" s="542"/>
      <c r="AP212" s="542"/>
      <c r="AQ212" s="542"/>
      <c r="AR212" s="1504"/>
      <c r="AS212" s="542"/>
      <c r="AT212" s="542"/>
      <c r="AU212" s="542"/>
      <c r="AV212" s="793"/>
      <c r="AW212" s="542"/>
      <c r="AX212" s="542"/>
      <c r="AY212" s="542"/>
      <c r="AZ212" s="1504"/>
      <c r="BA212" s="542"/>
      <c r="BB212" s="542"/>
      <c r="BC212" s="542"/>
      <c r="BD212" s="793"/>
      <c r="BE212" s="542"/>
      <c r="BF212" s="542"/>
      <c r="BG212" s="542"/>
      <c r="BH212" s="1504"/>
      <c r="BI212" s="542"/>
      <c r="BJ212" s="542"/>
      <c r="BK212" s="542"/>
      <c r="BL212" s="793"/>
      <c r="BM212" s="542"/>
      <c r="BN212" s="542"/>
      <c r="BO212" s="542"/>
      <c r="BP212" s="1504"/>
      <c r="BQ212" s="542"/>
      <c r="BR212" s="542"/>
      <c r="BS212" s="542"/>
      <c r="BT212" s="793"/>
      <c r="BU212" s="542"/>
      <c r="BV212" s="542"/>
      <c r="BW212" s="542"/>
      <c r="BX212" s="1504"/>
      <c r="BY212" s="542"/>
      <c r="BZ212" s="542"/>
      <c r="CA212" s="542"/>
      <c r="CB212" s="793"/>
      <c r="CC212" s="542"/>
      <c r="CD212" s="542"/>
      <c r="CE212" s="542"/>
      <c r="CF212" s="1504"/>
      <c r="CG212" s="542"/>
      <c r="CH212" s="542"/>
      <c r="CI212" s="542"/>
      <c r="CJ212" s="793"/>
    </row>
    <row r="213" spans="1:88" s="281" customFormat="1" x14ac:dyDescent="0.2">
      <c r="A213" s="281" t="str">
        <f>A209</f>
        <v>Helicopters OE</v>
      </c>
      <c r="C213" s="1490"/>
      <c r="D213" s="1490"/>
      <c r="E213" s="1490"/>
      <c r="F213" s="1490"/>
      <c r="G213" s="1490"/>
      <c r="H213" s="1490"/>
      <c r="I213" s="1490"/>
      <c r="J213" s="1490"/>
      <c r="K213" s="1490"/>
      <c r="L213" s="1490"/>
      <c r="M213" s="1490"/>
      <c r="N213" s="1490">
        <f>N80-5%</f>
        <v>0.44957071016803629</v>
      </c>
      <c r="O213" s="1490">
        <f t="shared" ref="O213:X213" si="597">O80-5%</f>
        <v>0.41507135958793862</v>
      </c>
      <c r="P213" s="1490">
        <f t="shared" si="597"/>
        <v>0.38030561175593652</v>
      </c>
      <c r="Q213" s="1490">
        <f t="shared" si="597"/>
        <v>0.36217534134072477</v>
      </c>
      <c r="R213" s="1490">
        <f t="shared" si="597"/>
        <v>0.36722774393502194</v>
      </c>
      <c r="S213" s="1490">
        <f t="shared" si="597"/>
        <v>0.37738231917336396</v>
      </c>
      <c r="T213" s="1490">
        <f t="shared" si="597"/>
        <v>0.38293316948671896</v>
      </c>
      <c r="U213" s="1490">
        <f t="shared" si="597"/>
        <v>0.3814653383146534</v>
      </c>
      <c r="V213" s="1490">
        <f t="shared" si="597"/>
        <v>0.34083909695941539</v>
      </c>
      <c r="W213" s="1490">
        <f t="shared" si="597"/>
        <v>0.32652910337410945</v>
      </c>
      <c r="X213" s="1491">
        <f t="shared" si="597"/>
        <v>0.3197664632863455</v>
      </c>
      <c r="Y213" s="1490"/>
      <c r="Z213" s="1505"/>
      <c r="AA213" s="1490"/>
      <c r="AB213" s="1506"/>
      <c r="AC213" s="1490"/>
      <c r="AD213" s="1505"/>
      <c r="AE213" s="1505"/>
      <c r="AF213" s="1507">
        <f t="shared" ref="AF213" si="598">AF80-5%</f>
        <v>0.3343886830582688</v>
      </c>
      <c r="AG213" s="1508"/>
      <c r="AH213" s="1508"/>
      <c r="AI213" s="1508"/>
      <c r="AJ213" s="1509"/>
      <c r="AK213" s="1508"/>
      <c r="AL213" s="1508"/>
      <c r="AM213" s="1508"/>
      <c r="AN213" s="1493">
        <v>0.4</v>
      </c>
      <c r="AO213" s="1490"/>
      <c r="AP213" s="1490"/>
      <c r="AQ213" s="1508"/>
      <c r="AR213" s="1509"/>
      <c r="AS213" s="1490"/>
      <c r="AT213" s="1508"/>
      <c r="AU213" s="1508"/>
      <c r="AV213" s="1493">
        <v>0.375</v>
      </c>
      <c r="AW213" s="1490"/>
      <c r="AX213" s="1490"/>
      <c r="AY213" s="1490"/>
      <c r="AZ213" s="1492"/>
      <c r="BA213" s="1490"/>
      <c r="BB213" s="1490"/>
      <c r="BC213" s="1490"/>
      <c r="BD213" s="1500">
        <f>BD209/BD211</f>
        <v>0.36277415530527563</v>
      </c>
      <c r="BE213" s="1490"/>
      <c r="BF213" s="1490"/>
      <c r="BG213" s="1490"/>
      <c r="BH213" s="1492"/>
      <c r="BI213" s="1490"/>
      <c r="BJ213" s="1490"/>
      <c r="BK213" s="1490"/>
      <c r="BL213" s="1500">
        <f>BL209/BL211</f>
        <v>0.35072322900894176</v>
      </c>
      <c r="BM213" s="1490"/>
      <c r="BN213" s="1490"/>
      <c r="BO213" s="1490"/>
      <c r="BP213" s="1492"/>
      <c r="BQ213" s="1490"/>
      <c r="BR213" s="1490"/>
      <c r="BS213" s="1490"/>
      <c r="BT213" s="1500">
        <f>BT209/BT211</f>
        <v>0.33885974199845253</v>
      </c>
      <c r="BU213" s="1490"/>
      <c r="BV213" s="1490"/>
      <c r="BW213" s="1490"/>
      <c r="BX213" s="1492"/>
      <c r="BY213" s="1490"/>
      <c r="BZ213" s="1490"/>
      <c r="CA213" s="1490"/>
      <c r="CB213" s="1500">
        <f>CB209/CB211</f>
        <v>0.32719532050449351</v>
      </c>
      <c r="CC213" s="1490"/>
      <c r="CD213" s="1490"/>
      <c r="CE213" s="1490"/>
      <c r="CF213" s="1492"/>
      <c r="CG213" s="1490"/>
      <c r="CH213" s="1490"/>
      <c r="CI213" s="1490"/>
      <c r="CJ213" s="1500">
        <f>CJ209/CJ211</f>
        <v>0.31574066479568397</v>
      </c>
    </row>
    <row r="214" spans="1:88" s="281" customFormat="1" x14ac:dyDescent="0.2">
      <c r="A214" s="281" t="str">
        <f t="shared" ref="A214" si="599">A210</f>
        <v>Helicopters AM</v>
      </c>
      <c r="C214" s="1490"/>
      <c r="D214" s="1490"/>
      <c r="E214" s="1490"/>
      <c r="F214" s="1490"/>
      <c r="G214" s="1490"/>
      <c r="H214" s="1490"/>
      <c r="I214" s="1490"/>
      <c r="J214" s="1490"/>
      <c r="K214" s="1490"/>
      <c r="L214" s="1490"/>
      <c r="M214" s="1490"/>
      <c r="N214" s="1490">
        <f t="shared" ref="N214" si="600">N215-N213</f>
        <v>0.55042928983196371</v>
      </c>
      <c r="O214" s="1490">
        <f t="shared" ref="O214" si="601">O215-O213</f>
        <v>0.58492864041206138</v>
      </c>
      <c r="P214" s="1490">
        <f t="shared" ref="P214" si="602">P215-P213</f>
        <v>0.61969438824406353</v>
      </c>
      <c r="Q214" s="1490">
        <f t="shared" ref="Q214" si="603">Q215-Q213</f>
        <v>0.63782465865927529</v>
      </c>
      <c r="R214" s="1490">
        <f t="shared" ref="R214" si="604">R215-R213</f>
        <v>0.632772256064978</v>
      </c>
      <c r="S214" s="1490">
        <f t="shared" ref="S214" si="605">S215-S213</f>
        <v>0.62261768082663604</v>
      </c>
      <c r="T214" s="1490">
        <f t="shared" ref="T214" si="606">T215-T213</f>
        <v>0.61706683051328104</v>
      </c>
      <c r="U214" s="1490">
        <f t="shared" ref="U214" si="607">U215-U213</f>
        <v>0.61853466168534665</v>
      </c>
      <c r="V214" s="1490">
        <f t="shared" ref="V214" si="608">V215-V213</f>
        <v>0.65916090304058461</v>
      </c>
      <c r="W214" s="1490">
        <f t="shared" ref="W214" si="609">W215-W213</f>
        <v>0.67347089662589055</v>
      </c>
      <c r="X214" s="1491">
        <f t="shared" ref="X214" si="610">X215-X213</f>
        <v>0.6802335367136545</v>
      </c>
      <c r="Y214" s="1490"/>
      <c r="Z214" s="1490"/>
      <c r="AA214" s="1490"/>
      <c r="AB214" s="1492"/>
      <c r="AC214" s="1490"/>
      <c r="AD214" s="1490"/>
      <c r="AE214" s="1490"/>
      <c r="AF214" s="1493">
        <f>AF215-AF213</f>
        <v>0.66561131694173126</v>
      </c>
      <c r="AG214" s="1490"/>
      <c r="AH214" s="1490"/>
      <c r="AI214" s="1490"/>
      <c r="AJ214" s="1492"/>
      <c r="AK214" s="1490"/>
      <c r="AL214" s="1490"/>
      <c r="AM214" s="1490"/>
      <c r="AN214" s="1493">
        <f>AN215-AN213</f>
        <v>0.6</v>
      </c>
      <c r="AO214" s="1490"/>
      <c r="AP214" s="1490"/>
      <c r="AQ214" s="1490"/>
      <c r="AR214" s="1492"/>
      <c r="AS214" s="1490"/>
      <c r="AT214" s="1490"/>
      <c r="AU214" s="1490"/>
      <c r="AV214" s="1493">
        <f>AV215-AV213</f>
        <v>0.625</v>
      </c>
      <c r="AW214" s="1490"/>
      <c r="AX214" s="1490"/>
      <c r="AY214" s="1490"/>
      <c r="AZ214" s="1492"/>
      <c r="BA214" s="1490"/>
      <c r="BB214" s="1490"/>
      <c r="BC214" s="1490"/>
      <c r="BD214" s="1500">
        <f>BD215-BD213</f>
        <v>0.63722584469472432</v>
      </c>
      <c r="BE214" s="1490"/>
      <c r="BF214" s="1490"/>
      <c r="BG214" s="1490"/>
      <c r="BH214" s="1492"/>
      <c r="BI214" s="1490"/>
      <c r="BJ214" s="1490"/>
      <c r="BK214" s="1490"/>
      <c r="BL214" s="1500">
        <f>BL215-BL213</f>
        <v>0.64927677099105829</v>
      </c>
      <c r="BM214" s="1490"/>
      <c r="BN214" s="1490"/>
      <c r="BO214" s="1490"/>
      <c r="BP214" s="1492"/>
      <c r="BQ214" s="1490"/>
      <c r="BR214" s="1490"/>
      <c r="BS214" s="1490"/>
      <c r="BT214" s="1500">
        <f>BT215-BT213</f>
        <v>0.66114025800154752</v>
      </c>
      <c r="BU214" s="1490"/>
      <c r="BV214" s="1490"/>
      <c r="BW214" s="1490"/>
      <c r="BX214" s="1492"/>
      <c r="BY214" s="1490"/>
      <c r="BZ214" s="1490"/>
      <c r="CA214" s="1490"/>
      <c r="CB214" s="1500">
        <f>CB215-CB213</f>
        <v>0.67280467949550649</v>
      </c>
      <c r="CC214" s="1490"/>
      <c r="CD214" s="1490"/>
      <c r="CE214" s="1490"/>
      <c r="CF214" s="1492"/>
      <c r="CG214" s="1490"/>
      <c r="CH214" s="1490"/>
      <c r="CI214" s="1490"/>
      <c r="CJ214" s="1500">
        <f>CJ215-CJ213</f>
        <v>0.68425933520431603</v>
      </c>
    </row>
    <row r="215" spans="1:88" s="1510" customFormat="1" x14ac:dyDescent="0.2">
      <c r="A215" s="1510" t="s">
        <v>1137</v>
      </c>
      <c r="C215" s="1496"/>
      <c r="D215" s="1496"/>
      <c r="E215" s="1496"/>
      <c r="F215" s="1496"/>
      <c r="G215" s="1496"/>
      <c r="H215" s="1496"/>
      <c r="I215" s="1496"/>
      <c r="J215" s="1496"/>
      <c r="K215" s="1496"/>
      <c r="L215" s="1496"/>
      <c r="M215" s="1496"/>
      <c r="N215" s="1496">
        <v>1</v>
      </c>
      <c r="O215" s="1496">
        <v>1</v>
      </c>
      <c r="P215" s="1496">
        <v>1</v>
      </c>
      <c r="Q215" s="1496">
        <v>1</v>
      </c>
      <c r="R215" s="1496">
        <v>1</v>
      </c>
      <c r="S215" s="1496">
        <v>1</v>
      </c>
      <c r="T215" s="1496">
        <v>1</v>
      </c>
      <c r="U215" s="1496">
        <v>1</v>
      </c>
      <c r="V215" s="1496">
        <v>1</v>
      </c>
      <c r="W215" s="1496">
        <v>1</v>
      </c>
      <c r="X215" s="1497">
        <v>1</v>
      </c>
      <c r="Y215" s="1496"/>
      <c r="Z215" s="1496"/>
      <c r="AA215" s="1496"/>
      <c r="AB215" s="1498"/>
      <c r="AC215" s="1496"/>
      <c r="AD215" s="1496"/>
      <c r="AE215" s="1496"/>
      <c r="AF215" s="1499">
        <v>1</v>
      </c>
      <c r="AG215" s="1496"/>
      <c r="AH215" s="1496"/>
      <c r="AI215" s="1496"/>
      <c r="AJ215" s="1498"/>
      <c r="AK215" s="1496"/>
      <c r="AL215" s="1496"/>
      <c r="AM215" s="1496"/>
      <c r="AN215" s="1499">
        <v>1</v>
      </c>
      <c r="AO215" s="1496"/>
      <c r="AP215" s="1496"/>
      <c r="AQ215" s="1496"/>
      <c r="AR215" s="1498"/>
      <c r="AS215" s="1496"/>
      <c r="AT215" s="1496"/>
      <c r="AU215" s="1496"/>
      <c r="AV215" s="1499">
        <v>1</v>
      </c>
      <c r="AW215" s="1496"/>
      <c r="AX215" s="1496"/>
      <c r="AY215" s="1496"/>
      <c r="AZ215" s="1498"/>
      <c r="BA215" s="1496"/>
      <c r="BB215" s="1496"/>
      <c r="BC215" s="1496"/>
      <c r="BD215" s="1501">
        <v>1</v>
      </c>
      <c r="BE215" s="1496"/>
      <c r="BF215" s="1496"/>
      <c r="BG215" s="1496"/>
      <c r="BH215" s="1498"/>
      <c r="BI215" s="1496"/>
      <c r="BJ215" s="1496"/>
      <c r="BK215" s="1496"/>
      <c r="BL215" s="1501">
        <v>1</v>
      </c>
      <c r="BM215" s="1496"/>
      <c r="BN215" s="1496"/>
      <c r="BO215" s="1496"/>
      <c r="BP215" s="1498"/>
      <c r="BQ215" s="1496"/>
      <c r="BR215" s="1496"/>
      <c r="BS215" s="1496"/>
      <c r="BT215" s="1501">
        <v>1</v>
      </c>
      <c r="BU215" s="1496"/>
      <c r="BV215" s="1496"/>
      <c r="BW215" s="1496"/>
      <c r="BX215" s="1498"/>
      <c r="BY215" s="1496"/>
      <c r="BZ215" s="1496"/>
      <c r="CA215" s="1496"/>
      <c r="CB215" s="1501">
        <v>1</v>
      </c>
      <c r="CC215" s="1496"/>
      <c r="CD215" s="1496"/>
      <c r="CE215" s="1496"/>
      <c r="CF215" s="1498"/>
      <c r="CG215" s="1496"/>
      <c r="CH215" s="1496"/>
      <c r="CI215" s="1496"/>
      <c r="CJ215" s="1501">
        <v>1</v>
      </c>
    </row>
    <row r="216" spans="1:88" x14ac:dyDescent="0.2">
      <c r="A216" s="186"/>
      <c r="B216" s="186"/>
      <c r="C216" s="49"/>
      <c r="D216" s="141"/>
      <c r="E216" s="141"/>
      <c r="F216" s="141"/>
      <c r="G216" s="141"/>
      <c r="H216" s="141"/>
      <c r="I216" s="141"/>
      <c r="J216" s="141"/>
      <c r="K216" s="141"/>
      <c r="L216" s="141"/>
      <c r="M216" s="141"/>
      <c r="N216" s="141"/>
      <c r="O216" s="141"/>
      <c r="P216" s="141"/>
      <c r="Q216" s="141"/>
      <c r="R216" s="141"/>
      <c r="S216" s="141"/>
      <c r="T216" s="141"/>
      <c r="U216" s="141"/>
      <c r="V216" s="141"/>
      <c r="W216" s="141"/>
      <c r="X216" s="144"/>
      <c r="Y216" s="141"/>
      <c r="Z216" s="141"/>
      <c r="AA216" s="141"/>
      <c r="AB216" s="617"/>
      <c r="AC216" s="141"/>
      <c r="AD216" s="141"/>
      <c r="AE216" s="141"/>
      <c r="AF216" s="793"/>
      <c r="AG216" s="141"/>
      <c r="AH216" s="141"/>
      <c r="AI216" s="141"/>
      <c r="AJ216" s="617"/>
      <c r="AK216" s="141"/>
      <c r="AL216" s="141"/>
      <c r="AM216" s="141"/>
      <c r="AN216" s="793"/>
      <c r="AO216" s="141"/>
      <c r="AP216" s="141"/>
      <c r="AQ216" s="141"/>
      <c r="AR216" s="617"/>
      <c r="AS216" s="141"/>
      <c r="AT216" s="141"/>
      <c r="AU216" s="141"/>
      <c r="AV216" s="793"/>
      <c r="AW216" s="141"/>
      <c r="AX216" s="141"/>
      <c r="AY216" s="141"/>
      <c r="AZ216" s="617"/>
      <c r="BA216" s="141"/>
      <c r="BB216" s="141"/>
      <c r="BC216" s="141"/>
      <c r="BD216" s="793"/>
      <c r="BE216" s="141"/>
      <c r="BF216" s="141"/>
      <c r="BG216" s="141"/>
      <c r="BH216" s="617"/>
      <c r="BI216" s="141"/>
      <c r="BJ216" s="141"/>
      <c r="BK216" s="141"/>
      <c r="BL216" s="793"/>
      <c r="BM216" s="141"/>
      <c r="BN216" s="141"/>
      <c r="BO216" s="141"/>
      <c r="BP216" s="617"/>
      <c r="BQ216" s="141"/>
      <c r="BR216" s="141"/>
      <c r="BS216" s="141"/>
      <c r="BT216" s="793"/>
      <c r="BU216" s="141"/>
      <c r="BV216" s="141"/>
      <c r="BW216" s="141"/>
      <c r="BX216" s="617"/>
      <c r="BY216" s="141"/>
      <c r="BZ216" s="141"/>
      <c r="CA216" s="141"/>
      <c r="CB216" s="793"/>
      <c r="CC216" s="141"/>
      <c r="CD216" s="141"/>
      <c r="CE216" s="141"/>
      <c r="CF216" s="617"/>
      <c r="CG216" s="141"/>
      <c r="CH216" s="141"/>
      <c r="CI216" s="141"/>
      <c r="CJ216" s="793"/>
    </row>
    <row r="217" spans="1:88" x14ac:dyDescent="0.2">
      <c r="A217" s="197" t="s">
        <v>813</v>
      </c>
      <c r="B217" s="186"/>
      <c r="C217" s="49"/>
      <c r="D217" s="141"/>
      <c r="E217" s="141"/>
      <c r="F217" s="141"/>
      <c r="G217" s="141"/>
      <c r="H217" s="141"/>
      <c r="I217" s="141"/>
      <c r="J217" s="141"/>
      <c r="K217" s="141"/>
      <c r="L217" s="141"/>
      <c r="M217" s="141"/>
      <c r="N217" s="141"/>
      <c r="O217" s="19">
        <f t="shared" ref="O217:Q218" si="611">O209/N209-1</f>
        <v>-8.5405213690370685E-2</v>
      </c>
      <c r="P217" s="19">
        <f t="shared" si="611"/>
        <v>-0.21872877707212846</v>
      </c>
      <c r="Q217" s="19">
        <f t="shared" si="611"/>
        <v>-1.2179926920438344E-2</v>
      </c>
      <c r="R217" s="19"/>
      <c r="S217" s="19">
        <f>S209/R209-1</f>
        <v>5.2253248548520759E-2</v>
      </c>
      <c r="T217" s="19"/>
      <c r="U217" s="19">
        <f>U209/S209-1</f>
        <v>5.8981202349015049E-2</v>
      </c>
      <c r="V217" s="19">
        <f t="shared" ref="V217:X218" si="612">V209/U209-1</f>
        <v>-9.0492409815550401E-2</v>
      </c>
      <c r="W217" s="19">
        <f t="shared" si="612"/>
        <v>-6.9988705323812628E-2</v>
      </c>
      <c r="X217" s="494">
        <f t="shared" si="612"/>
        <v>1.6758094728391848E-2</v>
      </c>
      <c r="Y217" s="19"/>
      <c r="Z217" s="19"/>
      <c r="AA217" s="19"/>
      <c r="AB217" s="643"/>
      <c r="AC217" s="19"/>
      <c r="AD217" s="19"/>
      <c r="AE217" s="19"/>
      <c r="AF217" s="668">
        <f t="shared" ref="AF217:BK219" si="613">AF209/X209-1</f>
        <v>0.1054532203329781</v>
      </c>
      <c r="AG217" s="19">
        <f t="shared" si="613"/>
        <v>-8.4316167313749912E-2</v>
      </c>
      <c r="AH217" s="19">
        <f t="shared" si="613"/>
        <v>-8.4316167313749912E-2</v>
      </c>
      <c r="AI217" s="19">
        <f t="shared" si="613"/>
        <v>-0.26745293385099989</v>
      </c>
      <c r="AJ217" s="643">
        <f t="shared" si="613"/>
        <v>1.4364515420115747</v>
      </c>
      <c r="AK217" s="19">
        <f t="shared" si="613"/>
        <v>-8.4316167313749912E-2</v>
      </c>
      <c r="AL217" s="19">
        <f t="shared" si="613"/>
        <v>0.58449930408028727</v>
      </c>
      <c r="AM217" s="19">
        <f t="shared" si="613"/>
        <v>-0.14536175615949998</v>
      </c>
      <c r="AN217" s="668">
        <f t="shared" si="613"/>
        <v>0.25009156838326874</v>
      </c>
      <c r="AO217" s="19">
        <f t="shared" si="613"/>
        <v>0</v>
      </c>
      <c r="AP217" s="19">
        <f t="shared" si="613"/>
        <v>0.25</v>
      </c>
      <c r="AQ217" s="19">
        <f t="shared" si="613"/>
        <v>0.875</v>
      </c>
      <c r="AR217" s="643">
        <f t="shared" si="613"/>
        <v>-0.20118009621166555</v>
      </c>
      <c r="AS217" s="19">
        <f t="shared" si="613"/>
        <v>0.125</v>
      </c>
      <c r="AT217" s="19">
        <f t="shared" si="613"/>
        <v>4.7590152565880839E-2</v>
      </c>
      <c r="AU217" s="19">
        <f t="shared" si="613"/>
        <v>0.33928571428571419</v>
      </c>
      <c r="AV217" s="668">
        <f t="shared" si="613"/>
        <v>7.5941254028713878E-2</v>
      </c>
      <c r="AW217" s="19">
        <f t="shared" si="613"/>
        <v>0.10000000000000009</v>
      </c>
      <c r="AX217" s="19">
        <f t="shared" si="613"/>
        <v>-7.999999999999996E-2</v>
      </c>
      <c r="AY217" s="495">
        <f t="shared" si="613"/>
        <v>0</v>
      </c>
      <c r="AZ217" s="647">
        <f t="shared" si="613"/>
        <v>5.5285815102328772E-2</v>
      </c>
      <c r="BA217" s="19">
        <f t="shared" si="613"/>
        <v>0</v>
      </c>
      <c r="BB217" s="495">
        <f t="shared" si="613"/>
        <v>3.2412081092263012E-2</v>
      </c>
      <c r="BC217" s="495">
        <f t="shared" si="613"/>
        <v>0</v>
      </c>
      <c r="BD217" s="648">
        <f t="shared" si="613"/>
        <v>2.0000000000000018E-2</v>
      </c>
      <c r="BE217" s="495">
        <f t="shared" si="613"/>
        <v>0.38928868181818199</v>
      </c>
      <c r="BF217" s="495">
        <f t="shared" si="613"/>
        <v>0.32888482608695679</v>
      </c>
      <c r="BG217" s="495">
        <f t="shared" si="613"/>
        <v>1.8811700000000098E-2</v>
      </c>
      <c r="BH217" s="647">
        <f t="shared" si="613"/>
        <v>-0.31867555204836362</v>
      </c>
      <c r="BI217" s="495">
        <f t="shared" si="613"/>
        <v>0.35841560000000028</v>
      </c>
      <c r="BJ217" s="495">
        <f t="shared" si="613"/>
        <v>-0.18342855081872611</v>
      </c>
      <c r="BK217" s="495">
        <f t="shared" si="613"/>
        <v>0.22257404000000003</v>
      </c>
      <c r="BL217" s="648">
        <f t="shared" ref="BL217:CJ217" si="614">BL209/BD209-1</f>
        <v>2.0000000000000018E-2</v>
      </c>
      <c r="BM217" s="495">
        <f t="shared" si="614"/>
        <v>2.0000000000000018E-2</v>
      </c>
      <c r="BN217" s="495">
        <f t="shared" si="614"/>
        <v>2.0000000000000018E-2</v>
      </c>
      <c r="BO217" s="495">
        <f t="shared" si="614"/>
        <v>2.0000000000000018E-2</v>
      </c>
      <c r="BP217" s="647">
        <f t="shared" si="614"/>
        <v>2.0000000000000018E-2</v>
      </c>
      <c r="BQ217" s="495">
        <f t="shared" si="614"/>
        <v>2.0000000000000018E-2</v>
      </c>
      <c r="BR217" s="495">
        <f t="shared" si="614"/>
        <v>2.0000000000000018E-2</v>
      </c>
      <c r="BS217" s="495">
        <f t="shared" si="614"/>
        <v>2.000000000000024E-2</v>
      </c>
      <c r="BT217" s="648">
        <f t="shared" si="614"/>
        <v>2.0000000000000018E-2</v>
      </c>
      <c r="BU217" s="495">
        <f t="shared" si="614"/>
        <v>2.0000000000000018E-2</v>
      </c>
      <c r="BV217" s="495">
        <f t="shared" si="614"/>
        <v>2.0000000000000018E-2</v>
      </c>
      <c r="BW217" s="495">
        <f t="shared" si="614"/>
        <v>2.0000000000000018E-2</v>
      </c>
      <c r="BX217" s="647">
        <f t="shared" si="614"/>
        <v>2.0000000000000018E-2</v>
      </c>
      <c r="BY217" s="495">
        <f t="shared" si="614"/>
        <v>2.0000000000000018E-2</v>
      </c>
      <c r="BZ217" s="495">
        <f t="shared" si="614"/>
        <v>2.0000000000000018E-2</v>
      </c>
      <c r="CA217" s="495">
        <f t="shared" si="614"/>
        <v>2.0000000000000018E-2</v>
      </c>
      <c r="CB217" s="648">
        <f t="shared" si="614"/>
        <v>2.0000000000000018E-2</v>
      </c>
      <c r="CC217" s="495">
        <f t="shared" si="614"/>
        <v>1.9999999999999796E-2</v>
      </c>
      <c r="CD217" s="495">
        <f t="shared" si="614"/>
        <v>1.9999999999999796E-2</v>
      </c>
      <c r="CE217" s="495">
        <f t="shared" si="614"/>
        <v>1.9999999999999796E-2</v>
      </c>
      <c r="CF217" s="647">
        <f t="shared" si="614"/>
        <v>1.9999999999999796E-2</v>
      </c>
      <c r="CG217" s="495">
        <f t="shared" si="614"/>
        <v>1.9999999999999796E-2</v>
      </c>
      <c r="CH217" s="495">
        <f t="shared" si="614"/>
        <v>1.9999999999999796E-2</v>
      </c>
      <c r="CI217" s="495">
        <f t="shared" si="614"/>
        <v>1.9999999999999796E-2</v>
      </c>
      <c r="CJ217" s="648">
        <f t="shared" si="614"/>
        <v>1.9999999999999796E-2</v>
      </c>
    </row>
    <row r="218" spans="1:88" x14ac:dyDescent="0.2">
      <c r="A218" s="197" t="s">
        <v>814</v>
      </c>
      <c r="B218" s="186"/>
      <c r="C218" s="49"/>
      <c r="D218" s="141"/>
      <c r="E218" s="141"/>
      <c r="F218" s="141"/>
      <c r="G218" s="141"/>
      <c r="H218" s="141"/>
      <c r="I218" s="141"/>
      <c r="J218" s="141"/>
      <c r="K218" s="141"/>
      <c r="L218" s="141"/>
      <c r="M218" s="141"/>
      <c r="N218" s="141"/>
      <c r="O218" s="19">
        <f t="shared" si="611"/>
        <v>5.2701673853055908E-2</v>
      </c>
      <c r="P218" s="19">
        <f t="shared" si="611"/>
        <v>-9.6628181255631662E-2</v>
      </c>
      <c r="Q218" s="19">
        <f t="shared" si="611"/>
        <v>6.7616911960546977E-2</v>
      </c>
      <c r="R218" s="19"/>
      <c r="S218" s="19">
        <f>S210/R210-1</f>
        <v>7.5073680299282408E-3</v>
      </c>
      <c r="T218" s="19"/>
      <c r="U218" s="19">
        <f>U210/S210-1</f>
        <v>4.0776099553528899E-2</v>
      </c>
      <c r="V218" s="19">
        <f t="shared" si="612"/>
        <v>8.4774336431663322E-2</v>
      </c>
      <c r="W218" s="19">
        <f t="shared" si="612"/>
        <v>-8.1565584074912989E-3</v>
      </c>
      <c r="X218" s="494">
        <f t="shared" si="612"/>
        <v>4.8686863142346715E-2</v>
      </c>
      <c r="Y218" s="19"/>
      <c r="Z218" s="19"/>
      <c r="AA218" s="19"/>
      <c r="AB218" s="643"/>
      <c r="AC218" s="19"/>
      <c r="AD218" s="19"/>
      <c r="AE218" s="19"/>
      <c r="AF218" s="668">
        <f t="shared" ref="AF218:AV219" si="615">AF210/X210-1</f>
        <v>3.4390133937015399E-2</v>
      </c>
      <c r="AG218" s="19">
        <f t="shared" si="615"/>
        <v>0.25485051184448793</v>
      </c>
      <c r="AH218" s="19">
        <f t="shared" si="615"/>
        <v>-2.9559329739559437E-2</v>
      </c>
      <c r="AI218" s="19">
        <f t="shared" si="615"/>
        <v>-2.6277842547707819E-2</v>
      </c>
      <c r="AJ218" s="643">
        <f t="shared" si="615"/>
        <v>-0.62652104801578634</v>
      </c>
      <c r="AK218" s="19">
        <f t="shared" si="615"/>
        <v>0.10346481599917046</v>
      </c>
      <c r="AL218" s="19">
        <f t="shared" si="615"/>
        <v>-0.24168436995947906</v>
      </c>
      <c r="AM218" s="19">
        <f t="shared" si="615"/>
        <v>5.6710006965405402E-2</v>
      </c>
      <c r="AN218" s="668">
        <f t="shared" si="615"/>
        <v>-5.7971681187954704E-2</v>
      </c>
      <c r="AO218" s="19">
        <f t="shared" si="615"/>
        <v>0.25931379767339124</v>
      </c>
      <c r="AP218" s="19">
        <f t="shared" si="615"/>
        <v>-0.2177186598067512</v>
      </c>
      <c r="AQ218" s="19">
        <f t="shared" si="615"/>
        <v>1.969279243796862E-3</v>
      </c>
      <c r="AR218" s="643">
        <f t="shared" si="615"/>
        <v>2.591084204733082</v>
      </c>
      <c r="AS218" s="19">
        <f t="shared" si="613"/>
        <v>3.6008693779248535E-2</v>
      </c>
      <c r="AT218" s="19">
        <f t="shared" si="615"/>
        <v>0.45958302259978634</v>
      </c>
      <c r="AU218" s="19">
        <f t="shared" si="613"/>
        <v>2.470540537005772E-2</v>
      </c>
      <c r="AV218" s="668">
        <f t="shared" si="615"/>
        <v>0.19549028225412646</v>
      </c>
      <c r="AW218" s="19">
        <f t="shared" ref="AW218:BC219" si="616">AW210/AO210-1</f>
        <v>0.14218896164639871</v>
      </c>
      <c r="AX218" s="19">
        <f t="shared" si="616"/>
        <v>0.61522831782697018</v>
      </c>
      <c r="AY218" s="495">
        <f t="shared" si="616"/>
        <v>-0.29266165487421381</v>
      </c>
      <c r="AZ218" s="647">
        <f t="shared" si="616"/>
        <v>-8.0731162196679529E-2</v>
      </c>
      <c r="BA218" s="19">
        <f t="shared" si="616"/>
        <v>0.30939330939330945</v>
      </c>
      <c r="BB218" s="495">
        <f t="shared" si="616"/>
        <v>-0.20050261024103078</v>
      </c>
      <c r="BC218" s="495">
        <f t="shared" si="616"/>
        <v>0.11390794511806002</v>
      </c>
      <c r="BD218" s="644">
        <v>7.4999999999999997E-2</v>
      </c>
      <c r="BE218" s="495">
        <f t="shared" ref="BE218:BK219" si="617">BE210/AW210-1</f>
        <v>-0.27592279557611588</v>
      </c>
      <c r="BF218" s="495">
        <f t="shared" si="617"/>
        <v>-6.3455226057666958E-2</v>
      </c>
      <c r="BG218" s="495">
        <f t="shared" si="617"/>
        <v>0.57219426740531043</v>
      </c>
      <c r="BH218" s="647">
        <f t="shared" si="617"/>
        <v>0.57219426740531043</v>
      </c>
      <c r="BI218" s="495">
        <f t="shared" si="617"/>
        <v>-0.18328104701934189</v>
      </c>
      <c r="BJ218" s="495">
        <f t="shared" si="617"/>
        <v>0.57219426740531043</v>
      </c>
      <c r="BK218" s="495">
        <f t="shared" si="617"/>
        <v>-2.7513749691169154E-2</v>
      </c>
      <c r="BL218" s="648">
        <f>BD218</f>
        <v>7.4999999999999997E-2</v>
      </c>
      <c r="BM218" s="495">
        <f t="shared" ref="BM218:BS219" si="618">BM210/BE210-1</f>
        <v>7.4999999999999956E-2</v>
      </c>
      <c r="BN218" s="495">
        <f t="shared" si="618"/>
        <v>7.4999999999999956E-2</v>
      </c>
      <c r="BO218" s="495">
        <f t="shared" si="618"/>
        <v>7.4999999999999956E-2</v>
      </c>
      <c r="BP218" s="647">
        <f t="shared" si="618"/>
        <v>7.4999999999999956E-2</v>
      </c>
      <c r="BQ218" s="495">
        <f t="shared" si="618"/>
        <v>7.4999999999999956E-2</v>
      </c>
      <c r="BR218" s="495">
        <f t="shared" si="618"/>
        <v>7.4999999999999956E-2</v>
      </c>
      <c r="BS218" s="495">
        <f t="shared" si="618"/>
        <v>7.4999999999999956E-2</v>
      </c>
      <c r="BT218" s="648">
        <f>BL218</f>
        <v>7.4999999999999997E-2</v>
      </c>
      <c r="BU218" s="495">
        <f t="shared" ref="BU218:CA219" si="619">BU210/BM210-1</f>
        <v>7.4999999999999956E-2</v>
      </c>
      <c r="BV218" s="495">
        <f t="shared" si="619"/>
        <v>7.4999999999999956E-2</v>
      </c>
      <c r="BW218" s="495">
        <f t="shared" si="619"/>
        <v>7.4999999999999956E-2</v>
      </c>
      <c r="BX218" s="647">
        <f t="shared" si="619"/>
        <v>7.4999999999999956E-2</v>
      </c>
      <c r="BY218" s="495">
        <f t="shared" si="619"/>
        <v>7.4999999999999956E-2</v>
      </c>
      <c r="BZ218" s="495">
        <f t="shared" si="619"/>
        <v>7.4999999999999956E-2</v>
      </c>
      <c r="CA218" s="495">
        <f t="shared" si="619"/>
        <v>7.4999999999999956E-2</v>
      </c>
      <c r="CB218" s="648">
        <f>BT218</f>
        <v>7.4999999999999997E-2</v>
      </c>
      <c r="CC218" s="495">
        <f t="shared" ref="CC218:CI219" si="620">CC210/BU210-1</f>
        <v>7.4999999999999956E-2</v>
      </c>
      <c r="CD218" s="495">
        <f t="shared" si="620"/>
        <v>7.4999999999999956E-2</v>
      </c>
      <c r="CE218" s="495">
        <f t="shared" si="620"/>
        <v>7.4999999999999956E-2</v>
      </c>
      <c r="CF218" s="647">
        <f t="shared" si="620"/>
        <v>7.4999999999999956E-2</v>
      </c>
      <c r="CG218" s="495">
        <f t="shared" si="620"/>
        <v>7.4999999999999956E-2</v>
      </c>
      <c r="CH218" s="495">
        <f t="shared" si="620"/>
        <v>7.4999999999999956E-2</v>
      </c>
      <c r="CI218" s="495">
        <f t="shared" si="620"/>
        <v>7.4999999999999734E-2</v>
      </c>
      <c r="CJ218" s="648">
        <f>CB218</f>
        <v>7.4999999999999997E-2</v>
      </c>
    </row>
    <row r="219" spans="1:88" x14ac:dyDescent="0.2">
      <c r="A219" s="202" t="s">
        <v>728</v>
      </c>
      <c r="B219" s="186"/>
      <c r="C219" s="186"/>
      <c r="D219" s="186"/>
      <c r="E219" s="186"/>
      <c r="F219" s="186"/>
      <c r="G219" s="186"/>
      <c r="H219" s="186"/>
      <c r="I219" s="186"/>
      <c r="J219" s="186"/>
      <c r="K219" s="186"/>
      <c r="L219" s="186"/>
      <c r="M219" s="186"/>
      <c r="N219" s="638">
        <f>N211/M211-1</f>
        <v>7.4318091975227318E-2</v>
      </c>
      <c r="O219" s="638">
        <f t="shared" ref="O219:X219" si="621">O211/N211-1</f>
        <v>-9.3871376589395039E-3</v>
      </c>
      <c r="P219" s="638">
        <f t="shared" si="621"/>
        <v>-0.14730864156768231</v>
      </c>
      <c r="Q219" s="638">
        <f t="shared" si="621"/>
        <v>3.7269726333723829E-2</v>
      </c>
      <c r="R219" s="638"/>
      <c r="S219" s="638">
        <f>S211/R211-1</f>
        <v>2.3939296783157094E-2</v>
      </c>
      <c r="T219" s="638"/>
      <c r="U219" s="638">
        <f>U211/S211-1</f>
        <v>4.7646383467278897E-2</v>
      </c>
      <c r="V219" s="638">
        <f t="shared" si="621"/>
        <v>1.7916147779161395E-2</v>
      </c>
      <c r="W219" s="638">
        <f t="shared" si="621"/>
        <v>-2.923137152551214E-2</v>
      </c>
      <c r="X219" s="649">
        <f t="shared" si="621"/>
        <v>3.8261191020298346E-2</v>
      </c>
      <c r="Y219" s="638"/>
      <c r="Z219" s="638"/>
      <c r="AA219" s="638"/>
      <c r="AB219" s="657"/>
      <c r="AC219" s="638"/>
      <c r="AD219" s="638"/>
      <c r="AE219" s="638"/>
      <c r="AF219" s="748">
        <f t="shared" si="615"/>
        <v>5.711372574406437E-2</v>
      </c>
      <c r="AG219" s="638">
        <f t="shared" si="615"/>
        <v>0.14112011790714796</v>
      </c>
      <c r="AH219" s="638">
        <f t="shared" si="615"/>
        <v>-4.637754528068383E-2</v>
      </c>
      <c r="AI219" s="638">
        <f t="shared" si="615"/>
        <v>-9.7469996756405997E-2</v>
      </c>
      <c r="AJ219" s="657">
        <f t="shared" si="615"/>
        <v>0.25642733970841847</v>
      </c>
      <c r="AK219" s="638">
        <f t="shared" si="615"/>
        <v>4.325935059597219E-2</v>
      </c>
      <c r="AL219" s="638">
        <f t="shared" si="615"/>
        <v>4.6982979267980784E-2</v>
      </c>
      <c r="AM219" s="638">
        <f t="shared" si="615"/>
        <v>-6.2690258751901817E-3</v>
      </c>
      <c r="AN219" s="748">
        <f t="shared" si="615"/>
        <v>4.504118313481742E-2</v>
      </c>
      <c r="AO219" s="638">
        <f t="shared" si="615"/>
        <v>0.18953826283500153</v>
      </c>
      <c r="AP219" s="638">
        <f t="shared" si="615"/>
        <v>-7.9777037189960764E-2</v>
      </c>
      <c r="AQ219" s="638">
        <f t="shared" si="615"/>
        <v>0.21114106019766399</v>
      </c>
      <c r="AR219" s="657">
        <f t="shared" si="615"/>
        <v>0.27358931969181866</v>
      </c>
      <c r="AS219" s="638">
        <f t="shared" si="613"/>
        <v>6.1051624431906149E-2</v>
      </c>
      <c r="AT219" s="638">
        <f t="shared" si="615"/>
        <v>0.24173020214212615</v>
      </c>
      <c r="AU219" s="638">
        <f t="shared" si="613"/>
        <v>0.10902633518729465</v>
      </c>
      <c r="AV219" s="748">
        <f t="shared" si="615"/>
        <v>0.14767067096396147</v>
      </c>
      <c r="AW219" s="638">
        <f t="shared" si="616"/>
        <v>0.13264567499095192</v>
      </c>
      <c r="AX219" s="638">
        <f t="shared" si="616"/>
        <v>0.33670918530863392</v>
      </c>
      <c r="AY219" s="651">
        <f t="shared" si="616"/>
        <v>-0.18410762858555885</v>
      </c>
      <c r="AZ219" s="650">
        <f t="shared" si="616"/>
        <v>-9.9243815821697945E-3</v>
      </c>
      <c r="BA219" s="638">
        <f t="shared" si="616"/>
        <v>0.21707996286964604</v>
      </c>
      <c r="BB219" s="651">
        <f t="shared" si="616"/>
        <v>-9.659806816783556E-2</v>
      </c>
      <c r="BC219" s="651">
        <f t="shared" si="616"/>
        <v>7.7036577470867451E-2</v>
      </c>
      <c r="BD219" s="652">
        <f>BD211/AV211-1</f>
        <v>5.4375000000000062E-2</v>
      </c>
      <c r="BE219" s="651">
        <f t="shared" si="617"/>
        <v>-0.1297867065176147</v>
      </c>
      <c r="BF219" s="651">
        <f t="shared" si="617"/>
        <v>4.4723315221300464E-2</v>
      </c>
      <c r="BG219" s="651">
        <f t="shared" si="617"/>
        <v>0.32061623651534799</v>
      </c>
      <c r="BH219" s="650">
        <f t="shared" si="617"/>
        <v>7.7886186321943773E-2</v>
      </c>
      <c r="BI219" s="651">
        <f t="shared" si="617"/>
        <v>-5.0483329020483803E-2</v>
      </c>
      <c r="BJ219" s="651">
        <f t="shared" si="617"/>
        <v>0.18696898966520759</v>
      </c>
      <c r="BK219" s="651">
        <f t="shared" si="617"/>
        <v>4.7648066389667454E-2</v>
      </c>
      <c r="BL219" s="652">
        <f>BL211/BD211-1</f>
        <v>5.5047421458209733E-2</v>
      </c>
      <c r="BM219" s="651">
        <f t="shared" si="618"/>
        <v>5.5710222404508292E-2</v>
      </c>
      <c r="BN219" s="651">
        <f t="shared" si="618"/>
        <v>5.5710222404508292E-2</v>
      </c>
      <c r="BO219" s="651">
        <f t="shared" si="618"/>
        <v>5.5710222404508292E-2</v>
      </c>
      <c r="BP219" s="650">
        <f t="shared" si="618"/>
        <v>5.5710222404508292E-2</v>
      </c>
      <c r="BQ219" s="651">
        <f t="shared" si="618"/>
        <v>5.5710222404508292E-2</v>
      </c>
      <c r="BR219" s="651">
        <f t="shared" si="618"/>
        <v>5.5710222404508292E-2</v>
      </c>
      <c r="BS219" s="651">
        <f t="shared" si="618"/>
        <v>5.5710222404508292E-2</v>
      </c>
      <c r="BT219" s="652">
        <f>BT211/BL211-1</f>
        <v>5.5710222404508292E-2</v>
      </c>
      <c r="BU219" s="651">
        <f t="shared" si="619"/>
        <v>5.6362714190085095E-2</v>
      </c>
      <c r="BV219" s="651">
        <f t="shared" si="619"/>
        <v>5.6362714190085095E-2</v>
      </c>
      <c r="BW219" s="651">
        <f t="shared" si="619"/>
        <v>5.6362714190085095E-2</v>
      </c>
      <c r="BX219" s="650">
        <f t="shared" si="619"/>
        <v>5.6362714190085095E-2</v>
      </c>
      <c r="BY219" s="651">
        <f t="shared" si="619"/>
        <v>5.6362714190085095E-2</v>
      </c>
      <c r="BZ219" s="651">
        <f t="shared" si="619"/>
        <v>5.6362714190085095E-2</v>
      </c>
      <c r="CA219" s="651">
        <f t="shared" si="619"/>
        <v>5.6362714190085095E-2</v>
      </c>
      <c r="CB219" s="652">
        <f>CB211/BT211-1</f>
        <v>5.6362714190085095E-2</v>
      </c>
      <c r="CC219" s="651">
        <f t="shared" si="620"/>
        <v>5.7004257372252898E-2</v>
      </c>
      <c r="CD219" s="651">
        <f t="shared" si="620"/>
        <v>5.7004257372252898E-2</v>
      </c>
      <c r="CE219" s="651">
        <f t="shared" si="620"/>
        <v>5.7004257372252898E-2</v>
      </c>
      <c r="CF219" s="650">
        <f t="shared" si="620"/>
        <v>5.7004257372252898E-2</v>
      </c>
      <c r="CG219" s="651">
        <f t="shared" si="620"/>
        <v>5.7004257372252898E-2</v>
      </c>
      <c r="CH219" s="651">
        <f t="shared" si="620"/>
        <v>5.7004257372252898E-2</v>
      </c>
      <c r="CI219" s="651">
        <f t="shared" si="620"/>
        <v>5.7004257372252898E-2</v>
      </c>
      <c r="CJ219" s="652">
        <f>CJ211/CB211-1</f>
        <v>5.7004257372252898E-2</v>
      </c>
    </row>
    <row r="220" spans="1:88" x14ac:dyDescent="0.2">
      <c r="A220" s="186"/>
      <c r="B220" s="186"/>
      <c r="C220" s="186"/>
      <c r="D220" s="186"/>
      <c r="E220" s="186"/>
      <c r="F220" s="186"/>
      <c r="G220" s="186"/>
      <c r="H220" s="186"/>
      <c r="I220" s="186"/>
      <c r="J220" s="186"/>
      <c r="K220" s="186"/>
      <c r="L220" s="186"/>
      <c r="M220" s="186"/>
      <c r="N220" s="186"/>
      <c r="O220" s="186"/>
      <c r="P220" s="186"/>
      <c r="Q220" s="186"/>
      <c r="R220" s="186"/>
      <c r="S220" s="186"/>
      <c r="T220" s="186"/>
      <c r="U220" s="186"/>
      <c r="V220" s="186"/>
      <c r="W220" s="186"/>
      <c r="X220" s="284"/>
      <c r="Y220" s="186"/>
      <c r="Z220" s="186"/>
      <c r="AA220" s="186"/>
      <c r="AB220" s="283"/>
      <c r="AC220" s="186"/>
      <c r="AD220" s="186"/>
      <c r="AE220" s="186"/>
      <c r="AF220" s="301"/>
      <c r="AG220" s="186"/>
      <c r="AH220" s="186"/>
      <c r="AI220" s="186"/>
      <c r="AJ220" s="283"/>
      <c r="AK220" s="186"/>
      <c r="AL220" s="186"/>
      <c r="AM220" s="186"/>
      <c r="AN220" s="301"/>
      <c r="AO220" s="186"/>
      <c r="AP220" s="186"/>
      <c r="AQ220" s="186"/>
      <c r="AR220" s="283"/>
      <c r="AS220" s="186"/>
      <c r="AT220" s="186"/>
      <c r="AU220" s="186"/>
      <c r="AV220" s="301"/>
      <c r="AW220" s="186"/>
      <c r="AX220" s="186"/>
      <c r="AY220" s="186"/>
      <c r="AZ220" s="283"/>
      <c r="BA220" s="186"/>
      <c r="BB220" s="186"/>
      <c r="BC220" s="186"/>
      <c r="BD220" s="301"/>
      <c r="BE220" s="186"/>
      <c r="BF220" s="186"/>
      <c r="BG220" s="186"/>
      <c r="BH220" s="283"/>
      <c r="BI220" s="186"/>
      <c r="BJ220" s="186"/>
      <c r="BK220" s="186"/>
      <c r="BL220" s="301"/>
      <c r="BM220" s="186"/>
      <c r="BN220" s="186"/>
      <c r="BO220" s="186"/>
      <c r="BP220" s="283"/>
      <c r="BQ220" s="186"/>
      <c r="BR220" s="186"/>
      <c r="BS220" s="186"/>
      <c r="BT220" s="301"/>
      <c r="BU220" s="186"/>
      <c r="BV220" s="186"/>
      <c r="BW220" s="186"/>
      <c r="BX220" s="283"/>
      <c r="BY220" s="186"/>
      <c r="BZ220" s="186"/>
      <c r="CA220" s="186"/>
      <c r="CB220" s="301"/>
      <c r="CC220" s="186"/>
      <c r="CD220" s="186"/>
      <c r="CE220" s="186"/>
      <c r="CF220" s="283"/>
      <c r="CG220" s="186"/>
      <c r="CH220" s="186"/>
      <c r="CI220" s="186"/>
      <c r="CJ220" s="301"/>
    </row>
    <row r="221" spans="1:88" x14ac:dyDescent="0.2">
      <c r="A221" s="680" t="s">
        <v>815</v>
      </c>
      <c r="B221" s="284"/>
      <c r="C221" s="49"/>
      <c r="D221" s="151"/>
      <c r="E221" s="151"/>
      <c r="F221" s="151"/>
      <c r="G221" s="151"/>
      <c r="H221" s="151"/>
      <c r="I221" s="151"/>
      <c r="J221" s="151"/>
      <c r="K221" s="151"/>
      <c r="L221" s="151"/>
      <c r="M221" s="151"/>
      <c r="N221" s="622">
        <f>N211*N222</f>
        <v>183.4425</v>
      </c>
      <c r="O221" s="622">
        <f>O211*O222</f>
        <v>169.60580000000002</v>
      </c>
      <c r="P221" s="622">
        <f>P211*P222</f>
        <v>154.95149999999998</v>
      </c>
      <c r="Q221" s="622">
        <v>100</v>
      </c>
      <c r="R221" s="622">
        <v>140</v>
      </c>
      <c r="S221" s="622">
        <f>S211*S222</f>
        <v>160.96080000000001</v>
      </c>
      <c r="T221" s="622"/>
      <c r="U221" s="622">
        <f>U211*U222</f>
        <v>180.67499999999998</v>
      </c>
      <c r="V221" s="622">
        <f>V211*V222</f>
        <v>171.65120000000002</v>
      </c>
      <c r="W221" s="622">
        <f>W211*W222</f>
        <v>154.7312</v>
      </c>
      <c r="X221" s="623">
        <f>X211*X222</f>
        <v>148.2936</v>
      </c>
      <c r="Y221" s="622"/>
      <c r="Z221" s="622"/>
      <c r="AA221" s="622"/>
      <c r="AB221" s="624"/>
      <c r="AC221" s="794">
        <f>AC211*AC222</f>
        <v>68.124000000000009</v>
      </c>
      <c r="AD221" s="622">
        <f>AF221-AC221</f>
        <v>62.511999999999986</v>
      </c>
      <c r="AE221" s="622"/>
      <c r="AF221" s="1372">
        <f>AF211*AF222</f>
        <v>130.636</v>
      </c>
      <c r="AG221" s="622"/>
      <c r="AH221" s="622"/>
      <c r="AI221" s="622"/>
      <c r="AJ221" s="624"/>
      <c r="AK221" s="794">
        <f>AK211*AK222</f>
        <v>71.071000000000012</v>
      </c>
      <c r="AL221" s="622">
        <f>AN221-AK221</f>
        <v>65.448999999999998</v>
      </c>
      <c r="AM221" s="622"/>
      <c r="AN221" s="1372">
        <f>AN211*AN222</f>
        <v>136.52000000000001</v>
      </c>
      <c r="AO221" s="622"/>
      <c r="AP221" s="622"/>
      <c r="AQ221" s="622"/>
      <c r="AR221" s="624"/>
      <c r="AS221" s="794">
        <f>AS211*AS222</f>
        <v>75.410000000000011</v>
      </c>
      <c r="AT221" s="622">
        <f>AV221-AS221</f>
        <v>96.938000000000002</v>
      </c>
      <c r="AU221" s="622"/>
      <c r="AV221" s="1372">
        <f>AV211*AV222</f>
        <v>172.34800000000001</v>
      </c>
      <c r="AW221" s="622"/>
      <c r="AX221" s="622"/>
      <c r="AY221" s="622"/>
      <c r="AZ221" s="624"/>
      <c r="BA221" s="794">
        <f>BA211*BA222</f>
        <v>91.780000000000015</v>
      </c>
      <c r="BB221" s="795">
        <f>BD221-BA221</f>
        <v>106.45937000000002</v>
      </c>
      <c r="BC221" s="622"/>
      <c r="BD221" s="796">
        <f>BD211*BD222</f>
        <v>198.23937000000004</v>
      </c>
      <c r="BE221" s="622"/>
      <c r="BF221" s="622"/>
      <c r="BG221" s="622"/>
      <c r="BH221" s="624"/>
      <c r="BI221" s="797">
        <f>BI211*BI222</f>
        <v>104.57596807499999</v>
      </c>
      <c r="BJ221" s="795">
        <f>BL221-BI221</f>
        <v>104.57596807499999</v>
      </c>
      <c r="BK221" s="622"/>
      <c r="BL221" s="796">
        <f>BL211*BL222</f>
        <v>209.15193614999998</v>
      </c>
      <c r="BM221" s="622"/>
      <c r="BN221" s="622"/>
      <c r="BO221" s="622"/>
      <c r="BP221" s="624"/>
      <c r="BQ221" s="797">
        <f>BQ211*BQ222</f>
        <v>110.40191851462501</v>
      </c>
      <c r="BR221" s="795">
        <f>BT221-BQ221</f>
        <v>110.40191851462501</v>
      </c>
      <c r="BS221" s="622"/>
      <c r="BT221" s="796">
        <f>BT211*BT222</f>
        <v>220.80383702925002</v>
      </c>
      <c r="BU221" s="622"/>
      <c r="BV221" s="622"/>
      <c r="BW221" s="622"/>
      <c r="BX221" s="624"/>
      <c r="BY221" s="797">
        <f>BY211*BY222</f>
        <v>116.62447029390188</v>
      </c>
      <c r="BZ221" s="795">
        <f>CB221-BY221</f>
        <v>116.62447029390188</v>
      </c>
      <c r="CA221" s="622"/>
      <c r="CB221" s="796">
        <f>CB211*CB222</f>
        <v>233.24894058780376</v>
      </c>
      <c r="CC221" s="622"/>
      <c r="CD221" s="622"/>
      <c r="CE221" s="622"/>
      <c r="CF221" s="624"/>
      <c r="CG221" s="797">
        <f>CG211*CG222</f>
        <v>123.27256161443812</v>
      </c>
      <c r="CH221" s="795">
        <f>CJ221-CG221</f>
        <v>123.27256161443812</v>
      </c>
      <c r="CI221" s="622"/>
      <c r="CJ221" s="796">
        <f>CJ211*CJ222</f>
        <v>246.54512322887624</v>
      </c>
    </row>
    <row r="222" spans="1:88" x14ac:dyDescent="0.2">
      <c r="A222" s="690" t="s">
        <v>461</v>
      </c>
      <c r="B222" s="284"/>
      <c r="C222" s="49"/>
      <c r="D222" s="151"/>
      <c r="E222" s="151"/>
      <c r="F222" s="151"/>
      <c r="G222" s="151"/>
      <c r="H222" s="151"/>
      <c r="I222" s="151"/>
      <c r="J222" s="151"/>
      <c r="K222" s="151"/>
      <c r="L222" s="151"/>
      <c r="M222" s="151"/>
      <c r="N222" s="19">
        <v>0.15</v>
      </c>
      <c r="O222" s="19">
        <v>0.14000000000000001</v>
      </c>
      <c r="P222" s="19">
        <v>0.15</v>
      </c>
      <c r="Q222" s="19">
        <f>Q221/Q211</f>
        <v>9.3326240539052363E-2</v>
      </c>
      <c r="R222" s="19">
        <f>R221/R211</f>
        <v>0.12468383741227602</v>
      </c>
      <c r="S222" s="19">
        <v>0.14000000000000001</v>
      </c>
      <c r="T222" s="19"/>
      <c r="U222" s="19">
        <v>0.15</v>
      </c>
      <c r="V222" s="19">
        <v>0.14000000000000001</v>
      </c>
      <c r="W222" s="19">
        <v>0.13</v>
      </c>
      <c r="X222" s="494">
        <v>0.12</v>
      </c>
      <c r="Y222" s="19"/>
      <c r="Z222" s="19"/>
      <c r="AA222" s="19"/>
      <c r="AB222" s="643"/>
      <c r="AC222" s="19">
        <v>0.1</v>
      </c>
      <c r="AD222" s="19">
        <f>AD221/AD211</f>
        <v>9.9999999999999992E-2</v>
      </c>
      <c r="AE222" s="19"/>
      <c r="AF222" s="668">
        <v>0.1</v>
      </c>
      <c r="AG222" s="19"/>
      <c r="AH222" s="19"/>
      <c r="AI222" s="19"/>
      <c r="AJ222" s="643"/>
      <c r="AK222" s="19">
        <v>0.1</v>
      </c>
      <c r="AL222" s="19">
        <f>AL221/AL211</f>
        <v>9.9999999999999992E-2</v>
      </c>
      <c r="AM222" s="19"/>
      <c r="AN222" s="668">
        <v>0.1</v>
      </c>
      <c r="AO222" s="19"/>
      <c r="AP222" s="19"/>
      <c r="AQ222" s="19"/>
      <c r="AR222" s="643"/>
      <c r="AS222" s="19">
        <v>0.1</v>
      </c>
      <c r="AT222" s="19">
        <f>AT221/AT211</f>
        <v>0.11927894672080716</v>
      </c>
      <c r="AU222" s="19"/>
      <c r="AV222" s="668">
        <v>0.11</v>
      </c>
      <c r="AW222" s="19"/>
      <c r="AX222" s="19"/>
      <c r="AY222" s="19"/>
      <c r="AZ222" s="643"/>
      <c r="BA222" s="19">
        <v>0.1</v>
      </c>
      <c r="BB222" s="495">
        <f>BB221/BB211</f>
        <v>0.14500154080371724</v>
      </c>
      <c r="BC222" s="19"/>
      <c r="BD222" s="644">
        <v>0.12</v>
      </c>
      <c r="BE222" s="19"/>
      <c r="BF222" s="19"/>
      <c r="BG222" s="19"/>
      <c r="BH222" s="643"/>
      <c r="BI222" s="495">
        <f>BL222</f>
        <v>0.12</v>
      </c>
      <c r="BJ222" s="495">
        <f>BJ221/BJ211</f>
        <v>0.12</v>
      </c>
      <c r="BK222" s="19"/>
      <c r="BL222" s="644">
        <v>0.12</v>
      </c>
      <c r="BM222" s="19"/>
      <c r="BN222" s="19"/>
      <c r="BO222" s="19"/>
      <c r="BP222" s="643"/>
      <c r="BQ222" s="495">
        <f>BT222</f>
        <v>0.12</v>
      </c>
      <c r="BR222" s="495">
        <f>BR221/BR211</f>
        <v>0.12</v>
      </c>
      <c r="BS222" s="19"/>
      <c r="BT222" s="644">
        <v>0.12</v>
      </c>
      <c r="BU222" s="19"/>
      <c r="BV222" s="19"/>
      <c r="BW222" s="19"/>
      <c r="BX222" s="643"/>
      <c r="BY222" s="495">
        <f>CB222</f>
        <v>0.12</v>
      </c>
      <c r="BZ222" s="495">
        <f>BZ221/BZ211</f>
        <v>0.12</v>
      </c>
      <c r="CA222" s="19"/>
      <c r="CB222" s="644">
        <v>0.12</v>
      </c>
      <c r="CC222" s="19"/>
      <c r="CD222" s="19"/>
      <c r="CE222" s="19"/>
      <c r="CF222" s="643"/>
      <c r="CG222" s="495">
        <f>CJ222</f>
        <v>0.12</v>
      </c>
      <c r="CH222" s="495">
        <f>CH221/CH211</f>
        <v>0.12</v>
      </c>
      <c r="CI222" s="19"/>
      <c r="CJ222" s="644">
        <v>0.12</v>
      </c>
    </row>
    <row r="223" spans="1:88" x14ac:dyDescent="0.2">
      <c r="A223" s="186"/>
      <c r="B223" s="186"/>
      <c r="C223" s="186"/>
      <c r="D223" s="186"/>
      <c r="E223" s="186"/>
      <c r="F223" s="186"/>
      <c r="G223" s="186"/>
      <c r="H223" s="186"/>
      <c r="I223" s="186"/>
      <c r="J223" s="186"/>
      <c r="K223" s="186"/>
      <c r="L223" s="186"/>
      <c r="M223" s="186"/>
      <c r="N223" s="186"/>
      <c r="O223" s="186"/>
      <c r="P223" s="186"/>
      <c r="Q223" s="186"/>
      <c r="R223" s="186"/>
      <c r="S223" s="186"/>
      <c r="T223" s="186"/>
      <c r="U223" s="186"/>
      <c r="V223" s="186"/>
      <c r="W223" s="186"/>
      <c r="X223" s="284"/>
      <c r="Y223" s="186"/>
      <c r="Z223" s="186"/>
      <c r="AA223" s="186"/>
      <c r="AB223" s="283"/>
      <c r="AC223" s="186"/>
      <c r="AD223" s="186"/>
      <c r="AE223" s="186"/>
      <c r="AF223" s="341"/>
      <c r="AG223" s="186"/>
      <c r="AH223" s="186"/>
      <c r="AI223" s="186"/>
      <c r="AJ223" s="283"/>
      <c r="AK223" s="186"/>
      <c r="AL223" s="186"/>
      <c r="AM223" s="186"/>
      <c r="AN223" s="341"/>
      <c r="AO223" s="186"/>
      <c r="AP223" s="186"/>
      <c r="AQ223" s="186"/>
      <c r="AR223" s="283"/>
      <c r="AS223" s="186"/>
      <c r="AT223" s="186"/>
      <c r="AU223" s="186"/>
      <c r="AV223" s="341"/>
      <c r="AW223" s="186"/>
      <c r="AX223" s="186"/>
      <c r="AY223" s="186"/>
      <c r="AZ223" s="283"/>
      <c r="BA223" s="186"/>
      <c r="BB223" s="186"/>
      <c r="BC223" s="186"/>
      <c r="BD223" s="341"/>
      <c r="BE223" s="186"/>
      <c r="BF223" s="186"/>
      <c r="BG223" s="186"/>
      <c r="BH223" s="283"/>
      <c r="BI223" s="186"/>
      <c r="BJ223" s="186"/>
      <c r="BK223" s="186"/>
      <c r="BL223" s="341"/>
      <c r="BM223" s="186"/>
      <c r="BN223" s="186"/>
      <c r="BO223" s="186"/>
      <c r="BP223" s="283"/>
      <c r="BQ223" s="186"/>
      <c r="BR223" s="186"/>
      <c r="BS223" s="186"/>
      <c r="BT223" s="341"/>
      <c r="BU223" s="186"/>
      <c r="BV223" s="186"/>
      <c r="BW223" s="186"/>
      <c r="BX223" s="283"/>
      <c r="BY223" s="186"/>
      <c r="BZ223" s="186"/>
      <c r="CA223" s="186"/>
      <c r="CB223" s="341"/>
      <c r="CC223" s="186"/>
      <c r="CD223" s="186"/>
      <c r="CE223" s="186"/>
      <c r="CF223" s="283"/>
      <c r="CG223" s="186"/>
      <c r="CH223" s="186"/>
      <c r="CI223" s="186"/>
      <c r="CJ223" s="341"/>
    </row>
    <row r="224" spans="1:88" x14ac:dyDescent="0.2">
      <c r="A224" s="584" t="s">
        <v>816</v>
      </c>
      <c r="B224" s="284"/>
      <c r="C224" s="49"/>
      <c r="D224" s="49">
        <v>708</v>
      </c>
      <c r="E224" s="49">
        <v>755</v>
      </c>
      <c r="F224" s="49">
        <v>930</v>
      </c>
      <c r="G224" s="49">
        <v>1067</v>
      </c>
      <c r="H224" s="49">
        <v>1155</v>
      </c>
      <c r="I224" s="49">
        <v>1032</v>
      </c>
      <c r="J224" s="49">
        <v>830</v>
      </c>
      <c r="K224" s="49">
        <v>922</v>
      </c>
      <c r="L224" s="49">
        <v>924</v>
      </c>
      <c r="M224" s="49">
        <v>934</v>
      </c>
      <c r="N224" s="49">
        <v>832</v>
      </c>
      <c r="O224" s="49">
        <v>625</v>
      </c>
      <c r="P224" s="49">
        <v>714</v>
      </c>
      <c r="Q224" s="49">
        <v>672</v>
      </c>
      <c r="R224" s="49">
        <f>+Q224</f>
        <v>672</v>
      </c>
      <c r="S224" s="49">
        <v>773</v>
      </c>
      <c r="T224" s="49"/>
      <c r="U224" s="49">
        <v>696</v>
      </c>
      <c r="V224" s="49">
        <v>629</v>
      </c>
      <c r="W224" s="49">
        <v>574</v>
      </c>
      <c r="X224" s="133">
        <v>508</v>
      </c>
      <c r="Y224" s="49">
        <v>136</v>
      </c>
      <c r="Z224" s="49">
        <f>AC224-Y224</f>
        <v>138</v>
      </c>
      <c r="AA224" s="49">
        <v>140</v>
      </c>
      <c r="AB224" s="614">
        <f>AD224-AA224</f>
        <v>174</v>
      </c>
      <c r="AC224" s="49">
        <v>274</v>
      </c>
      <c r="AD224" s="49">
        <f>AF224-AC224</f>
        <v>314</v>
      </c>
      <c r="AE224" s="49">
        <f>Y224+Z224+AA224</f>
        <v>414</v>
      </c>
      <c r="AF224" s="832">
        <v>588</v>
      </c>
      <c r="AG224" s="49">
        <v>136</v>
      </c>
      <c r="AH224" s="49">
        <f>AK224-AG224</f>
        <v>169</v>
      </c>
      <c r="AI224" s="49">
        <v>181</v>
      </c>
      <c r="AJ224" s="614">
        <f>AL224-AI224</f>
        <v>196</v>
      </c>
      <c r="AK224" s="49">
        <v>305</v>
      </c>
      <c r="AL224" s="49">
        <f>AN224-AK224</f>
        <v>377</v>
      </c>
      <c r="AM224" s="49">
        <f>AG224+AH224+AI224</f>
        <v>486</v>
      </c>
      <c r="AN224" s="832">
        <v>682</v>
      </c>
      <c r="AO224" s="49">
        <v>153</v>
      </c>
      <c r="AP224" s="49">
        <f>AS224-AO224</f>
        <v>175</v>
      </c>
      <c r="AQ224" s="49">
        <v>192</v>
      </c>
      <c r="AR224" s="614">
        <f>AT224-AQ224</f>
        <v>237</v>
      </c>
      <c r="AS224" s="49">
        <v>328</v>
      </c>
      <c r="AT224" s="49">
        <f>AV224-AS224</f>
        <v>429</v>
      </c>
      <c r="AU224" s="49">
        <f>AO224+AP224+AQ224</f>
        <v>520</v>
      </c>
      <c r="AV224" s="1368">
        <v>757</v>
      </c>
      <c r="AW224" s="49">
        <v>134</v>
      </c>
      <c r="AX224" s="49">
        <f>BA224-AW224</f>
        <v>183</v>
      </c>
      <c r="AY224" s="109">
        <v>200</v>
      </c>
      <c r="AZ224" s="789">
        <f>BB224-AY224</f>
        <v>240</v>
      </c>
      <c r="BA224" s="49">
        <v>317</v>
      </c>
      <c r="BB224" s="146">
        <f>BD224-BA224</f>
        <v>440</v>
      </c>
      <c r="BC224" s="146">
        <f>AW224+AX224+AY224</f>
        <v>517</v>
      </c>
      <c r="BD224" s="744">
        <f>AV224*(1+BD225)</f>
        <v>757</v>
      </c>
      <c r="BE224" s="146">
        <f>BI224/2</f>
        <v>189.25</v>
      </c>
      <c r="BF224" s="146">
        <f>BI224-BE224</f>
        <v>189.25</v>
      </c>
      <c r="BG224" s="146">
        <f>BJ224/2</f>
        <v>189.25</v>
      </c>
      <c r="BH224" s="789">
        <f>BJ224-BG224</f>
        <v>189.25</v>
      </c>
      <c r="BI224" s="146">
        <f>BL224/2</f>
        <v>378.5</v>
      </c>
      <c r="BJ224" s="146">
        <f>BL224-BI224</f>
        <v>378.5</v>
      </c>
      <c r="BK224" s="146">
        <f>BE224+BF224+BG224</f>
        <v>567.75</v>
      </c>
      <c r="BL224" s="744">
        <f>BD224*(1+BL225)</f>
        <v>757</v>
      </c>
      <c r="BM224" s="146">
        <f>BQ224/2</f>
        <v>189.25</v>
      </c>
      <c r="BN224" s="146">
        <f>BQ224-BM224</f>
        <v>189.25</v>
      </c>
      <c r="BO224" s="146">
        <f>BR224/2</f>
        <v>189.25</v>
      </c>
      <c r="BP224" s="789">
        <f>BR224-BO224</f>
        <v>189.25</v>
      </c>
      <c r="BQ224" s="146">
        <f>BT224/2</f>
        <v>378.5</v>
      </c>
      <c r="BR224" s="146">
        <f>BT224-BQ224</f>
        <v>378.5</v>
      </c>
      <c r="BS224" s="146">
        <f>BM224+BN224+BO224</f>
        <v>567.75</v>
      </c>
      <c r="BT224" s="744">
        <f>BL224*(1+BT225)</f>
        <v>757</v>
      </c>
      <c r="BU224" s="146">
        <f>BY224/2</f>
        <v>189.25</v>
      </c>
      <c r="BV224" s="146">
        <f>BY224-BU224</f>
        <v>189.25</v>
      </c>
      <c r="BW224" s="146">
        <f>BZ224/2</f>
        <v>189.25</v>
      </c>
      <c r="BX224" s="789">
        <f>BZ224-BW224</f>
        <v>189.25</v>
      </c>
      <c r="BY224" s="146">
        <f>CB224/2</f>
        <v>378.5</v>
      </c>
      <c r="BZ224" s="146">
        <f>CB224-BY224</f>
        <v>378.5</v>
      </c>
      <c r="CA224" s="146">
        <f>BU224+BV224+BW224</f>
        <v>567.75</v>
      </c>
      <c r="CB224" s="744">
        <f>BT224*(1+CB225)</f>
        <v>757</v>
      </c>
      <c r="CC224" s="146">
        <f>CG224/2</f>
        <v>189.25</v>
      </c>
      <c r="CD224" s="146">
        <f>CG224-CC224</f>
        <v>189.25</v>
      </c>
      <c r="CE224" s="146">
        <f>CH224/2</f>
        <v>189.25</v>
      </c>
      <c r="CF224" s="789">
        <f>CH224-CE224</f>
        <v>189.25</v>
      </c>
      <c r="CG224" s="146">
        <f>CJ224/2</f>
        <v>378.5</v>
      </c>
      <c r="CH224" s="146">
        <f>CJ224-CG224</f>
        <v>378.5</v>
      </c>
      <c r="CI224" s="146">
        <f>CC224+CD224+CE224</f>
        <v>567.75</v>
      </c>
      <c r="CJ224" s="744">
        <f>CB224*(1+CJ225)</f>
        <v>757</v>
      </c>
    </row>
    <row r="225" spans="1:88" x14ac:dyDescent="0.2">
      <c r="A225" s="197" t="s">
        <v>20</v>
      </c>
      <c r="B225" s="186"/>
      <c r="C225" s="186"/>
      <c r="D225" s="186"/>
      <c r="E225" s="186"/>
      <c r="F225" s="186"/>
      <c r="G225" s="186"/>
      <c r="H225" s="186"/>
      <c r="I225" s="186"/>
      <c r="J225" s="186"/>
      <c r="K225" s="186"/>
      <c r="L225" s="186"/>
      <c r="M225" s="186"/>
      <c r="N225" s="19">
        <f>N224/M224-1</f>
        <v>-0.1092077087794433</v>
      </c>
      <c r="O225" s="19">
        <f>O224/N224-1</f>
        <v>-0.24879807692307687</v>
      </c>
      <c r="P225" s="19">
        <f>P224/O224-1</f>
        <v>0.14240000000000008</v>
      </c>
      <c r="Q225" s="19">
        <f>Q224/P224-1</f>
        <v>-5.8823529411764719E-2</v>
      </c>
      <c r="R225" s="19"/>
      <c r="S225" s="19">
        <f>S224/R224-1</f>
        <v>0.15029761904761907</v>
      </c>
      <c r="T225" s="19"/>
      <c r="U225" s="19">
        <f>U224/S224-1</f>
        <v>-9.9611901681759374E-2</v>
      </c>
      <c r="V225" s="19">
        <f>V224/U224-1</f>
        <v>-9.6264367816091934E-2</v>
      </c>
      <c r="W225" s="19">
        <f>W224/V224-1</f>
        <v>-8.7440381558028579E-2</v>
      </c>
      <c r="X225" s="494">
        <f>X224/W224-1</f>
        <v>-0.1149825783972126</v>
      </c>
      <c r="Y225" s="19"/>
      <c r="Z225" s="19"/>
      <c r="AA225" s="19"/>
      <c r="AB225" s="643"/>
      <c r="AC225" s="19"/>
      <c r="AD225" s="19"/>
      <c r="AE225" s="19"/>
      <c r="AF225" s="668">
        <f>AF224/X224-1</f>
        <v>0.15748031496062986</v>
      </c>
      <c r="AG225" s="19">
        <f>AG224/Y224-1</f>
        <v>0</v>
      </c>
      <c r="AH225" s="19">
        <f t="shared" ref="AH225:AM225" si="622">AH224/Z224-1</f>
        <v>0.2246376811594204</v>
      </c>
      <c r="AI225" s="19">
        <f t="shared" si="622"/>
        <v>0.29285714285714293</v>
      </c>
      <c r="AJ225" s="643">
        <f t="shared" si="622"/>
        <v>0.12643678160919536</v>
      </c>
      <c r="AK225" s="19">
        <f t="shared" si="622"/>
        <v>0.11313868613138678</v>
      </c>
      <c r="AL225" s="19">
        <f t="shared" si="622"/>
        <v>0.2006369426751593</v>
      </c>
      <c r="AM225" s="19">
        <f t="shared" si="622"/>
        <v>0.17391304347826098</v>
      </c>
      <c r="AN225" s="668">
        <f>AN224/AF224-1</f>
        <v>0.15986394557823136</v>
      </c>
      <c r="AO225" s="19">
        <f>AO224/AG224-1</f>
        <v>0.125</v>
      </c>
      <c r="AP225" s="19">
        <f t="shared" ref="AP225:AR225" si="623">AP224/AH224-1</f>
        <v>3.5502958579881616E-2</v>
      </c>
      <c r="AQ225" s="19">
        <f t="shared" si="623"/>
        <v>6.0773480662983381E-2</v>
      </c>
      <c r="AR225" s="643">
        <f t="shared" si="623"/>
        <v>0.20918367346938771</v>
      </c>
      <c r="AS225" s="19">
        <f t="shared" ref="AS225:AU225" si="624">AS224/AK224-1</f>
        <v>7.5409836065573721E-2</v>
      </c>
      <c r="AT225" s="19">
        <f t="shared" si="624"/>
        <v>0.13793103448275867</v>
      </c>
      <c r="AU225" s="19">
        <f t="shared" si="624"/>
        <v>6.9958847736625529E-2</v>
      </c>
      <c r="AV225" s="668">
        <f>AV224/AN224-1</f>
        <v>0.10997067448680342</v>
      </c>
      <c r="AW225" s="19">
        <f t="shared" ref="AW225:BC225" si="625">AW224/AO224-1</f>
        <v>-0.12418300653594772</v>
      </c>
      <c r="AX225" s="19">
        <f t="shared" si="625"/>
        <v>4.5714285714285818E-2</v>
      </c>
      <c r="AY225" s="495">
        <f t="shared" si="625"/>
        <v>4.1666666666666741E-2</v>
      </c>
      <c r="AZ225" s="647">
        <f t="shared" si="625"/>
        <v>1.2658227848101333E-2</v>
      </c>
      <c r="BA225" s="19">
        <f t="shared" si="625"/>
        <v>-3.3536585365853688E-2</v>
      </c>
      <c r="BB225" s="495">
        <f t="shared" si="625"/>
        <v>2.564102564102555E-2</v>
      </c>
      <c r="BC225" s="495">
        <f t="shared" si="625"/>
        <v>-5.7692307692307487E-3</v>
      </c>
      <c r="BD225" s="644">
        <v>0</v>
      </c>
      <c r="BE225" s="495">
        <f t="shared" ref="BE225:BK225" si="626">BE224/AW224-1</f>
        <v>0.41231343283582089</v>
      </c>
      <c r="BF225" s="495">
        <f t="shared" si="626"/>
        <v>3.4153005464480968E-2</v>
      </c>
      <c r="BG225" s="495">
        <f t="shared" si="626"/>
        <v>-5.3749999999999964E-2</v>
      </c>
      <c r="BH225" s="647">
        <f t="shared" si="626"/>
        <v>-0.2114583333333333</v>
      </c>
      <c r="BI225" s="495">
        <f t="shared" si="626"/>
        <v>0.19400630914826489</v>
      </c>
      <c r="BJ225" s="495">
        <f t="shared" si="626"/>
        <v>-0.13977272727272727</v>
      </c>
      <c r="BK225" s="495">
        <f t="shared" si="626"/>
        <v>9.8162475822050288E-2</v>
      </c>
      <c r="BL225" s="644">
        <v>0</v>
      </c>
      <c r="BM225" s="495">
        <f t="shared" ref="BM225:BS225" si="627">BM224/BE224-1</f>
        <v>0</v>
      </c>
      <c r="BN225" s="495">
        <f t="shared" si="627"/>
        <v>0</v>
      </c>
      <c r="BO225" s="495">
        <f t="shared" si="627"/>
        <v>0</v>
      </c>
      <c r="BP225" s="647">
        <f t="shared" si="627"/>
        <v>0</v>
      </c>
      <c r="BQ225" s="495">
        <f t="shared" si="627"/>
        <v>0</v>
      </c>
      <c r="BR225" s="495">
        <f t="shared" si="627"/>
        <v>0</v>
      </c>
      <c r="BS225" s="495">
        <f t="shared" si="627"/>
        <v>0</v>
      </c>
      <c r="BT225" s="644">
        <v>0</v>
      </c>
      <c r="BU225" s="495">
        <f t="shared" ref="BU225:CA225" si="628">BU224/BM224-1</f>
        <v>0</v>
      </c>
      <c r="BV225" s="495">
        <f t="shared" si="628"/>
        <v>0</v>
      </c>
      <c r="BW225" s="495">
        <f t="shared" si="628"/>
        <v>0</v>
      </c>
      <c r="BX225" s="647">
        <f t="shared" si="628"/>
        <v>0</v>
      </c>
      <c r="BY225" s="495">
        <f t="shared" si="628"/>
        <v>0</v>
      </c>
      <c r="BZ225" s="495">
        <f t="shared" si="628"/>
        <v>0</v>
      </c>
      <c r="CA225" s="495">
        <f t="shared" si="628"/>
        <v>0</v>
      </c>
      <c r="CB225" s="644">
        <v>0</v>
      </c>
      <c r="CC225" s="495">
        <f t="shared" ref="CC225:CI225" si="629">CC224/BU224-1</f>
        <v>0</v>
      </c>
      <c r="CD225" s="495">
        <f t="shared" si="629"/>
        <v>0</v>
      </c>
      <c r="CE225" s="495">
        <f t="shared" si="629"/>
        <v>0</v>
      </c>
      <c r="CF225" s="647">
        <f t="shared" si="629"/>
        <v>0</v>
      </c>
      <c r="CG225" s="495">
        <f t="shared" si="629"/>
        <v>0</v>
      </c>
      <c r="CH225" s="495">
        <f t="shared" si="629"/>
        <v>0</v>
      </c>
      <c r="CI225" s="495">
        <f t="shared" si="629"/>
        <v>0</v>
      </c>
      <c r="CJ225" s="644">
        <v>0</v>
      </c>
    </row>
    <row r="226" spans="1:88" x14ac:dyDescent="0.2">
      <c r="A226" s="584" t="s">
        <v>817</v>
      </c>
      <c r="B226" s="284"/>
      <c r="C226" s="49"/>
      <c r="D226" s="49"/>
      <c r="E226" s="49"/>
      <c r="F226" s="49"/>
      <c r="G226" s="49"/>
      <c r="H226" s="104"/>
      <c r="I226" s="104"/>
      <c r="J226" s="49"/>
      <c r="K226" s="49"/>
      <c r="L226" s="49"/>
      <c r="M226" s="141"/>
      <c r="N226" s="692">
        <f t="shared" ref="N226:S226" si="630">N228/N224</f>
        <v>0.66082031250000006</v>
      </c>
      <c r="O226" s="692">
        <f t="shared" si="630"/>
        <v>0.8045544</v>
      </c>
      <c r="P226" s="692">
        <f t="shared" si="630"/>
        <v>0.55022338935574222</v>
      </c>
      <c r="Q226" s="692">
        <f t="shared" si="630"/>
        <v>0.57749181547619044</v>
      </c>
      <c r="R226" s="692">
        <f t="shared" si="630"/>
        <v>0.61359821428571437</v>
      </c>
      <c r="S226" s="692">
        <f t="shared" si="630"/>
        <v>0.56129883570504535</v>
      </c>
      <c r="T226" s="692"/>
      <c r="U226" s="692">
        <f>U228/U224</f>
        <v>0.66016522988505755</v>
      </c>
      <c r="V226" s="692">
        <f>V228/V224</f>
        <v>0.66438155802861687</v>
      </c>
      <c r="W226" s="692">
        <f>W228/W224</f>
        <v>0.67708710801393734</v>
      </c>
      <c r="X226" s="798">
        <f>X228/X224</f>
        <v>0.77787598425196858</v>
      </c>
      <c r="Y226" s="692"/>
      <c r="Z226" s="692"/>
      <c r="AA226" s="692"/>
      <c r="AB226" s="799"/>
      <c r="AC226" s="692">
        <f>AC228/AC224</f>
        <v>0.79713868613138683</v>
      </c>
      <c r="AD226" s="692">
        <f>AD228/AD224</f>
        <v>0.69559235668789809</v>
      </c>
      <c r="AE226" s="692"/>
      <c r="AF226" s="1373">
        <f>AF228/AF224</f>
        <v>0.74291156462585028</v>
      </c>
      <c r="AG226" s="692"/>
      <c r="AH226" s="692"/>
      <c r="AI226" s="692"/>
      <c r="AJ226" s="799"/>
      <c r="AK226" s="692">
        <f>AK228/AK224</f>
        <v>0.65573770491803274</v>
      </c>
      <c r="AL226" s="692">
        <f>AL228/AL224</f>
        <v>0.91798408488063676</v>
      </c>
      <c r="AM226" s="692"/>
      <c r="AN226" s="1373">
        <f>AN228/AN224</f>
        <v>0.80070381231671561</v>
      </c>
      <c r="AO226" s="692">
        <f>AO209/AO224</f>
        <v>0.65359477124183007</v>
      </c>
      <c r="AP226" s="692">
        <f t="shared" ref="AP226:AR226" si="631">AP209/AP224</f>
        <v>0.7142857142857143</v>
      </c>
      <c r="AQ226" s="692">
        <f t="shared" si="631"/>
        <v>0.78125</v>
      </c>
      <c r="AR226" s="799">
        <f t="shared" si="631"/>
        <v>0.89683544303797502</v>
      </c>
      <c r="AS226" s="692">
        <f>AS228/AS224</f>
        <v>0.68597560975609762</v>
      </c>
      <c r="AT226" s="692">
        <f>AT228/AT224</f>
        <v>0.84510489510489528</v>
      </c>
      <c r="AU226" s="692"/>
      <c r="AV226" s="1373">
        <f>AV228/AV224</f>
        <v>0.77615587846763545</v>
      </c>
      <c r="AW226" s="692">
        <f>AW209/AW224</f>
        <v>0.82089552238805974</v>
      </c>
      <c r="AX226" s="692">
        <f t="shared" ref="AX226:AZ226" si="632">AX209/AX224</f>
        <v>0.62841530054644812</v>
      </c>
      <c r="AY226" s="800">
        <f t="shared" si="632"/>
        <v>0.75</v>
      </c>
      <c r="AZ226" s="1726">
        <f t="shared" si="632"/>
        <v>0.93458750000000024</v>
      </c>
      <c r="BA226" s="692">
        <f>BA228/BA224</f>
        <v>0.70977917981072558</v>
      </c>
      <c r="BB226" s="800">
        <f>BB228/BB224</f>
        <v>0.85068409090909103</v>
      </c>
      <c r="BC226" s="692"/>
      <c r="BD226" s="801">
        <f>AV226*(1+BD227)</f>
        <v>0.79167899603698821</v>
      </c>
      <c r="BE226" s="692"/>
      <c r="BF226" s="692"/>
      <c r="BG226" s="692"/>
      <c r="BH226" s="799"/>
      <c r="BI226" s="800">
        <f>BL226</f>
        <v>0.80751257595772796</v>
      </c>
      <c r="BJ226" s="800">
        <f>BJ228/BJ224</f>
        <v>0.80751257595772796</v>
      </c>
      <c r="BK226" s="692"/>
      <c r="BL226" s="801">
        <f>BD226*(1+BL227)</f>
        <v>0.80751257595772796</v>
      </c>
      <c r="BM226" s="692"/>
      <c r="BN226" s="692"/>
      <c r="BO226" s="692"/>
      <c r="BP226" s="799"/>
      <c r="BQ226" s="800">
        <f>BT226</f>
        <v>0.82366282747688258</v>
      </c>
      <c r="BR226" s="800">
        <f>BR228/BR224</f>
        <v>0.82366282747688269</v>
      </c>
      <c r="BS226" s="692"/>
      <c r="BT226" s="801">
        <f>BL226*(1+BT227)</f>
        <v>0.82366282747688258</v>
      </c>
      <c r="BU226" s="692"/>
      <c r="BV226" s="692"/>
      <c r="BW226" s="692"/>
      <c r="BX226" s="799"/>
      <c r="BY226" s="800">
        <f>CB226</f>
        <v>0.84013608402642026</v>
      </c>
      <c r="BZ226" s="800">
        <f>BZ228/BZ224</f>
        <v>0.84013608402642037</v>
      </c>
      <c r="CA226" s="692"/>
      <c r="CB226" s="801">
        <f>BT226*(1+CB227)</f>
        <v>0.84013608402642026</v>
      </c>
      <c r="CC226" s="692"/>
      <c r="CD226" s="692"/>
      <c r="CE226" s="692"/>
      <c r="CF226" s="799"/>
      <c r="CG226" s="800">
        <f>CJ226</f>
        <v>0.85693880570694869</v>
      </c>
      <c r="CH226" s="800">
        <f>CH228/CH224</f>
        <v>0.85693880570694869</v>
      </c>
      <c r="CI226" s="692"/>
      <c r="CJ226" s="801">
        <f>CB226*(1+CJ227)</f>
        <v>0.85693880570694869</v>
      </c>
    </row>
    <row r="227" spans="1:88" x14ac:dyDescent="0.2">
      <c r="A227" s="197" t="s">
        <v>20</v>
      </c>
      <c r="O227" s="19"/>
      <c r="P227" s="19"/>
      <c r="Q227" s="19"/>
      <c r="R227" s="19"/>
      <c r="S227" s="19"/>
      <c r="T227" s="19"/>
      <c r="U227" s="19"/>
      <c r="V227" s="19"/>
      <c r="W227" s="19"/>
      <c r="X227" s="494"/>
      <c r="Y227" s="19"/>
      <c r="Z227" s="19"/>
      <c r="AA227" s="19"/>
      <c r="AB227" s="643"/>
      <c r="AC227" s="19"/>
      <c r="AD227" s="19"/>
      <c r="AE227" s="19"/>
      <c r="AF227" s="668"/>
      <c r="AG227" s="19"/>
      <c r="AH227" s="19"/>
      <c r="AI227" s="19"/>
      <c r="AJ227" s="643"/>
      <c r="AK227" s="19"/>
      <c r="AL227" s="19"/>
      <c r="AM227" s="19"/>
      <c r="AN227" s="668">
        <f>AN226/AF226-1</f>
        <v>7.7791557491733165E-2</v>
      </c>
      <c r="AO227" s="19"/>
      <c r="AP227" s="19"/>
      <c r="AQ227" s="19"/>
      <c r="AR227" s="643"/>
      <c r="AS227" s="19"/>
      <c r="AT227" s="19"/>
      <c r="AU227" s="19"/>
      <c r="AV227" s="668">
        <f>AV226/AN226-1</f>
        <v>-3.0657945511779694E-2</v>
      </c>
      <c r="AW227" s="19"/>
      <c r="AX227" s="19"/>
      <c r="AY227" s="19"/>
      <c r="AZ227" s="643"/>
      <c r="BA227" s="19"/>
      <c r="BB227" s="19"/>
      <c r="BC227" s="19"/>
      <c r="BD227" s="644">
        <v>0.02</v>
      </c>
      <c r="BE227" s="19"/>
      <c r="BF227" s="19"/>
      <c r="BG227" s="19"/>
      <c r="BH227" s="643"/>
      <c r="BI227" s="19"/>
      <c r="BJ227" s="19"/>
      <c r="BK227" s="19"/>
      <c r="BL227" s="644">
        <v>0.02</v>
      </c>
      <c r="BM227" s="19"/>
      <c r="BN227" s="19"/>
      <c r="BO227" s="19"/>
      <c r="BP227" s="643"/>
      <c r="BQ227" s="19"/>
      <c r="BR227" s="19"/>
      <c r="BS227" s="19"/>
      <c r="BT227" s="644">
        <v>0.02</v>
      </c>
      <c r="BU227" s="19"/>
      <c r="BV227" s="19"/>
      <c r="BW227" s="19"/>
      <c r="BX227" s="643"/>
      <c r="BY227" s="19"/>
      <c r="BZ227" s="19"/>
      <c r="CA227" s="19"/>
      <c r="CB227" s="644">
        <v>0.02</v>
      </c>
      <c r="CC227" s="19"/>
      <c r="CD227" s="19"/>
      <c r="CE227" s="19"/>
      <c r="CF227" s="643"/>
      <c r="CG227" s="19"/>
      <c r="CH227" s="19"/>
      <c r="CI227" s="19"/>
      <c r="CJ227" s="644">
        <v>0.02</v>
      </c>
    </row>
    <row r="228" spans="1:88" x14ac:dyDescent="0.2">
      <c r="A228" s="802" t="s">
        <v>818</v>
      </c>
      <c r="B228" s="803"/>
      <c r="C228" s="153"/>
      <c r="D228" s="153"/>
      <c r="E228" s="153"/>
      <c r="F228" s="153"/>
      <c r="G228" s="153"/>
      <c r="H228" s="804"/>
      <c r="I228" s="804"/>
      <c r="J228" s="153"/>
      <c r="K228" s="153"/>
      <c r="L228" s="153"/>
      <c r="M228" s="153"/>
      <c r="N228" s="805">
        <f t="shared" ref="N228:S228" si="633">+N209</f>
        <v>549.80250000000001</v>
      </c>
      <c r="O228" s="805">
        <f t="shared" si="633"/>
        <v>502.84649999999999</v>
      </c>
      <c r="P228" s="805">
        <f t="shared" si="633"/>
        <v>392.85949999999997</v>
      </c>
      <c r="Q228" s="153">
        <f t="shared" si="633"/>
        <v>388.0745</v>
      </c>
      <c r="R228" s="153">
        <f t="shared" si="633"/>
        <v>412.33800000000002</v>
      </c>
      <c r="S228" s="153">
        <f t="shared" si="633"/>
        <v>433.88400000000001</v>
      </c>
      <c r="T228" s="153"/>
      <c r="U228" s="153">
        <f>U209</f>
        <v>459.47500000000002</v>
      </c>
      <c r="V228" s="153">
        <f>V209</f>
        <v>417.89600000000002</v>
      </c>
      <c r="W228" s="153">
        <f>W209</f>
        <v>388.64800000000002</v>
      </c>
      <c r="X228" s="613">
        <f>X209</f>
        <v>395.16100000000006</v>
      </c>
      <c r="Y228" s="153"/>
      <c r="Z228" s="153"/>
      <c r="AA228" s="153"/>
      <c r="AB228" s="806"/>
      <c r="AC228" s="153">
        <f>AC209</f>
        <v>218.416</v>
      </c>
      <c r="AD228" s="153">
        <f>AF228-AC228</f>
        <v>218.416</v>
      </c>
      <c r="AE228" s="153"/>
      <c r="AF228" s="1374">
        <f>AF209</f>
        <v>436.83199999999999</v>
      </c>
      <c r="AG228" s="153"/>
      <c r="AH228" s="153"/>
      <c r="AI228" s="153"/>
      <c r="AJ228" s="806"/>
      <c r="AK228" s="153">
        <f>AK209</f>
        <v>200</v>
      </c>
      <c r="AL228" s="153">
        <f>AN228-AK228</f>
        <v>346.08000000000004</v>
      </c>
      <c r="AM228" s="153"/>
      <c r="AN228" s="1374">
        <f>AN209</f>
        <v>546.08000000000004</v>
      </c>
      <c r="AO228" s="153"/>
      <c r="AP228" s="153"/>
      <c r="AQ228" s="153"/>
      <c r="AR228" s="806"/>
      <c r="AS228" s="1586">
        <f>AS209</f>
        <v>225</v>
      </c>
      <c r="AT228" s="153">
        <f>AV228-AS228</f>
        <v>362.55000000000007</v>
      </c>
      <c r="AU228" s="153"/>
      <c r="AV228" s="1374">
        <f>AV209</f>
        <v>587.55000000000007</v>
      </c>
      <c r="AW228" s="153"/>
      <c r="AX228" s="153"/>
      <c r="AY228" s="153"/>
      <c r="AZ228" s="806"/>
      <c r="BA228" s="1586">
        <f>BA209</f>
        <v>225</v>
      </c>
      <c r="BB228" s="807">
        <f>BD228-BA228</f>
        <v>374.30100000000004</v>
      </c>
      <c r="BC228" s="153"/>
      <c r="BD228" s="808">
        <f>BD224*BD226</f>
        <v>599.30100000000004</v>
      </c>
      <c r="BE228" s="153"/>
      <c r="BF228" s="153"/>
      <c r="BG228" s="153"/>
      <c r="BH228" s="806"/>
      <c r="BI228" s="809">
        <f>BI224*BI226</f>
        <v>305.64351000000005</v>
      </c>
      <c r="BJ228" s="807">
        <f>BL228-BI228</f>
        <v>305.64351000000005</v>
      </c>
      <c r="BK228" s="153"/>
      <c r="BL228" s="808">
        <f>BL224*BL226</f>
        <v>611.2870200000001</v>
      </c>
      <c r="BM228" s="153"/>
      <c r="BN228" s="153"/>
      <c r="BO228" s="153"/>
      <c r="BP228" s="806"/>
      <c r="BQ228" s="809">
        <f>BQ224*BQ226</f>
        <v>311.75638020000008</v>
      </c>
      <c r="BR228" s="807">
        <f>BT228-BQ228</f>
        <v>311.75638020000008</v>
      </c>
      <c r="BS228" s="153"/>
      <c r="BT228" s="808">
        <f>BT224*BT226</f>
        <v>623.51276040000016</v>
      </c>
      <c r="BU228" s="153"/>
      <c r="BV228" s="153"/>
      <c r="BW228" s="153"/>
      <c r="BX228" s="806"/>
      <c r="BY228" s="809">
        <f>BY224*BY226</f>
        <v>317.99150780400009</v>
      </c>
      <c r="BZ228" s="807">
        <f>CB228-BY228</f>
        <v>317.99150780400009</v>
      </c>
      <c r="CA228" s="153"/>
      <c r="CB228" s="808">
        <f>CB224*CB226</f>
        <v>635.98301560800019</v>
      </c>
      <c r="CC228" s="153"/>
      <c r="CD228" s="153"/>
      <c r="CE228" s="153"/>
      <c r="CF228" s="806"/>
      <c r="CG228" s="809">
        <f>CG224*CG226</f>
        <v>324.35133796008006</v>
      </c>
      <c r="CH228" s="807">
        <f>CJ228-CG228</f>
        <v>324.35133796008006</v>
      </c>
      <c r="CI228" s="153"/>
      <c r="CJ228" s="808">
        <f>CJ224*CJ226</f>
        <v>648.70267592016012</v>
      </c>
    </row>
    <row r="229" spans="1:88" x14ac:dyDescent="0.2">
      <c r="A229" s="4" t="s">
        <v>272</v>
      </c>
      <c r="X229" s="180"/>
      <c r="AB229" s="179"/>
      <c r="AF229" s="314"/>
      <c r="AJ229" s="179"/>
      <c r="AN229" s="314"/>
      <c r="AR229" s="179"/>
      <c r="AV229" s="314"/>
      <c r="AZ229" s="179"/>
      <c r="BD229" s="314"/>
      <c r="BH229" s="179"/>
      <c r="BL229" s="314"/>
      <c r="BP229" s="179"/>
      <c r="BT229" s="314"/>
      <c r="BX229" s="179"/>
      <c r="CB229" s="314"/>
      <c r="CF229" s="179"/>
      <c r="CJ229" s="314"/>
    </row>
    <row r="230" spans="1:88" ht="11.25" customHeight="1" x14ac:dyDescent="0.25">
      <c r="A230" s="780" t="s">
        <v>819</v>
      </c>
      <c r="B230" s="781"/>
      <c r="C230" s="782"/>
      <c r="D230" s="782"/>
      <c r="E230" s="782"/>
      <c r="F230" s="782"/>
      <c r="G230" s="782"/>
      <c r="H230" s="783"/>
      <c r="I230" s="783"/>
      <c r="J230" s="782"/>
      <c r="K230" s="782"/>
      <c r="L230" s="782"/>
      <c r="M230" s="782"/>
      <c r="N230" s="782"/>
      <c r="O230" s="782"/>
      <c r="P230" s="782"/>
      <c r="Q230" s="782"/>
      <c r="R230" s="782"/>
      <c r="S230" s="782"/>
      <c r="T230" s="782"/>
      <c r="U230" s="782"/>
      <c r="V230" s="782"/>
      <c r="W230" s="782"/>
      <c r="X230" s="784"/>
      <c r="Y230" s="782"/>
      <c r="Z230" s="782"/>
      <c r="AA230" s="782"/>
      <c r="AB230" s="785"/>
      <c r="AC230" s="782"/>
      <c r="AD230" s="782"/>
      <c r="AE230" s="782"/>
      <c r="AF230" s="786"/>
      <c r="AG230" s="782"/>
      <c r="AH230" s="782"/>
      <c r="AI230" s="782"/>
      <c r="AJ230" s="785"/>
      <c r="AK230" s="782"/>
      <c r="AL230" s="782"/>
      <c r="AM230" s="782"/>
      <c r="AN230" s="786"/>
      <c r="AO230" s="782"/>
      <c r="AP230" s="782"/>
      <c r="AQ230" s="782"/>
      <c r="AR230" s="785"/>
      <c r="AS230" s="782"/>
      <c r="AT230" s="782"/>
      <c r="AU230" s="782"/>
      <c r="AV230" s="786"/>
      <c r="AW230" s="782"/>
      <c r="AX230" s="782"/>
      <c r="AY230" s="782"/>
      <c r="AZ230" s="785"/>
      <c r="BA230" s="782"/>
      <c r="BB230" s="782"/>
      <c r="BC230" s="782"/>
      <c r="BD230" s="786"/>
      <c r="BE230" s="782"/>
      <c r="BF230" s="782"/>
      <c r="BG230" s="782"/>
      <c r="BH230" s="785"/>
      <c r="BI230" s="782"/>
      <c r="BJ230" s="782"/>
      <c r="BK230" s="782"/>
      <c r="BL230" s="786"/>
      <c r="BM230" s="782"/>
      <c r="BN230" s="782"/>
      <c r="BO230" s="782"/>
      <c r="BP230" s="785"/>
      <c r="BQ230" s="782"/>
      <c r="BR230" s="782"/>
      <c r="BS230" s="782"/>
      <c r="BT230" s="786"/>
      <c r="BU230" s="782"/>
      <c r="BV230" s="782"/>
      <c r="BW230" s="782"/>
      <c r="BX230" s="785"/>
      <c r="BY230" s="782"/>
      <c r="BZ230" s="782"/>
      <c r="CA230" s="782"/>
      <c r="CB230" s="786"/>
      <c r="CC230" s="782"/>
      <c r="CD230" s="782"/>
      <c r="CE230" s="782"/>
      <c r="CF230" s="785"/>
      <c r="CG230" s="782"/>
      <c r="CH230" s="782"/>
      <c r="CI230" s="782"/>
      <c r="CJ230" s="786"/>
    </row>
    <row r="231" spans="1:88" x14ac:dyDescent="0.2">
      <c r="A231" s="680"/>
      <c r="B231" s="284"/>
      <c r="C231" s="49"/>
      <c r="D231" s="49"/>
      <c r="E231" s="49"/>
      <c r="F231" s="49"/>
      <c r="G231" s="49"/>
      <c r="H231" s="104"/>
      <c r="I231" s="104"/>
      <c r="J231" s="49"/>
      <c r="K231" s="49"/>
      <c r="L231" s="49"/>
      <c r="M231" s="49"/>
      <c r="N231" s="49"/>
      <c r="O231" s="49"/>
      <c r="P231" s="49"/>
      <c r="Q231" s="49"/>
      <c r="R231" s="49"/>
      <c r="S231" s="49"/>
      <c r="T231" s="49"/>
      <c r="U231" s="49"/>
      <c r="V231" s="49"/>
      <c r="W231" s="49"/>
      <c r="X231" s="133"/>
      <c r="Y231" s="49"/>
      <c r="Z231" s="49"/>
      <c r="AA231" s="49"/>
      <c r="AB231" s="614"/>
      <c r="AC231" s="49"/>
      <c r="AD231" s="49"/>
      <c r="AE231" s="49"/>
      <c r="AF231" s="763"/>
      <c r="AG231" s="49"/>
      <c r="AH231" s="49"/>
      <c r="AI231" s="49"/>
      <c r="AJ231" s="614"/>
      <c r="AK231" s="49"/>
      <c r="AL231" s="49"/>
      <c r="AM231" s="49"/>
      <c r="AN231" s="763"/>
      <c r="AO231" s="49"/>
      <c r="AP231" s="49"/>
      <c r="AQ231" s="49"/>
      <c r="AR231" s="614"/>
      <c r="AS231" s="49"/>
      <c r="AT231" s="49"/>
      <c r="AU231" s="49"/>
      <c r="AV231" s="763"/>
      <c r="AW231" s="49"/>
      <c r="AX231" s="49"/>
      <c r="AY231" s="49"/>
      <c r="AZ231" s="614"/>
      <c r="BA231" s="49"/>
      <c r="BB231" s="49"/>
      <c r="BC231" s="49"/>
      <c r="BD231" s="763"/>
      <c r="BE231" s="49"/>
      <c r="BF231" s="49"/>
      <c r="BG231" s="49"/>
      <c r="BH231" s="614"/>
      <c r="BI231" s="49"/>
      <c r="BJ231" s="49"/>
      <c r="BK231" s="49"/>
      <c r="BL231" s="763"/>
      <c r="BM231" s="49"/>
      <c r="BN231" s="49"/>
      <c r="BO231" s="49"/>
      <c r="BP231" s="614"/>
      <c r="BQ231" s="49"/>
      <c r="BR231" s="49"/>
      <c r="BS231" s="49"/>
      <c r="BT231" s="763"/>
      <c r="BU231" s="49"/>
      <c r="BV231" s="49"/>
      <c r="BW231" s="49"/>
      <c r="BX231" s="614"/>
      <c r="BY231" s="49"/>
      <c r="BZ231" s="49"/>
      <c r="CA231" s="49"/>
      <c r="CB231" s="763"/>
      <c r="CC231" s="49"/>
      <c r="CD231" s="49"/>
      <c r="CE231" s="49"/>
      <c r="CF231" s="614"/>
      <c r="CG231" s="49"/>
      <c r="CH231" s="49"/>
      <c r="CI231" s="49"/>
      <c r="CJ231" s="763"/>
    </row>
    <row r="232" spans="1:88" x14ac:dyDescent="0.2">
      <c r="A232" s="584" t="s">
        <v>820</v>
      </c>
      <c r="B232" s="284"/>
      <c r="C232" s="49"/>
      <c r="D232" s="49"/>
      <c r="E232" s="49"/>
      <c r="F232" s="49"/>
      <c r="G232" s="49"/>
      <c r="H232" s="104"/>
      <c r="I232" s="104"/>
      <c r="J232" s="49"/>
      <c r="K232" s="49"/>
      <c r="L232" s="49"/>
      <c r="M232" s="49"/>
      <c r="N232" s="49">
        <f>N236*N234</f>
        <v>448.065</v>
      </c>
      <c r="O232" s="49">
        <f t="shared" ref="O232:X232" si="634">O236*O234</f>
        <v>431.99549999999994</v>
      </c>
      <c r="P232" s="49">
        <f t="shared" si="634"/>
        <v>541.26599999999985</v>
      </c>
      <c r="Q232" s="740">
        <f t="shared" si="634"/>
        <v>540.24599999999987</v>
      </c>
      <c r="R232" s="740">
        <f t="shared" si="634"/>
        <v>480.90350000000001</v>
      </c>
      <c r="S232" s="740">
        <f t="shared" si="634"/>
        <v>449.06399999999996</v>
      </c>
      <c r="T232" s="740">
        <f t="shared" si="634"/>
        <v>0</v>
      </c>
      <c r="U232" s="740">
        <f t="shared" si="634"/>
        <v>753.90250000000003</v>
      </c>
      <c r="V232" s="740">
        <f t="shared" si="634"/>
        <v>608.06700000000001</v>
      </c>
      <c r="W232" s="740">
        <f t="shared" si="634"/>
        <v>634.59</v>
      </c>
      <c r="X232" s="741">
        <f t="shared" si="634"/>
        <v>558.64200000000005</v>
      </c>
      <c r="Y232" s="740">
        <f>Y234-Y233</f>
        <v>141.82</v>
      </c>
      <c r="Z232" s="49">
        <f>AC232-Y232</f>
        <v>96.19</v>
      </c>
      <c r="AA232" s="740">
        <f>AA234-AA233</f>
        <v>177.79000000000002</v>
      </c>
      <c r="AB232" s="614">
        <f>AD232-AA232</f>
        <v>151.66799999999995</v>
      </c>
      <c r="AC232" s="740">
        <f>AC234-AC233</f>
        <v>238.01</v>
      </c>
      <c r="AD232" s="740">
        <f>AF232-AC232</f>
        <v>329.45799999999997</v>
      </c>
      <c r="AE232" s="133">
        <f>Y232+Z232+AA232</f>
        <v>415.8</v>
      </c>
      <c r="AF232" s="741">
        <f t="shared" ref="AF232" si="635">AF236*AF234</f>
        <v>567.46799999999996</v>
      </c>
      <c r="AG232" s="740">
        <v>111</v>
      </c>
      <c r="AH232" s="49">
        <f>AK232-AG232</f>
        <v>94</v>
      </c>
      <c r="AI232" s="49">
        <v>107</v>
      </c>
      <c r="AJ232" s="614">
        <f>AL232-AI232</f>
        <v>438.86</v>
      </c>
      <c r="AK232" s="740">
        <v>205</v>
      </c>
      <c r="AL232" s="740">
        <f>AN232-AK232</f>
        <v>545.86</v>
      </c>
      <c r="AM232" s="133">
        <f>AG232+AH232+AI232</f>
        <v>312</v>
      </c>
      <c r="AN232" s="741">
        <f t="shared" ref="AN232" si="636">AN236*AN234</f>
        <v>750.86</v>
      </c>
      <c r="AO232" s="740">
        <v>220</v>
      </c>
      <c r="AP232" s="49">
        <f>AS232-AO232</f>
        <v>230</v>
      </c>
      <c r="AQ232" s="49">
        <v>220</v>
      </c>
      <c r="AR232" s="614">
        <f>AT232-AQ232</f>
        <v>226.98636549603464</v>
      </c>
      <c r="AS232" s="740">
        <v>450</v>
      </c>
      <c r="AT232" s="740">
        <f>AV232-AS232</f>
        <v>446.98636549603464</v>
      </c>
      <c r="AU232" s="133">
        <f>AO232+AP232+AQ232</f>
        <v>670</v>
      </c>
      <c r="AV232" s="741">
        <f t="shared" ref="AV232" si="637">AV236*AV234</f>
        <v>896.98636549603464</v>
      </c>
      <c r="AW232" s="49">
        <v>275</v>
      </c>
      <c r="AX232" s="49">
        <f>BA232-AW232</f>
        <v>225</v>
      </c>
      <c r="AY232" s="146">
        <f>BB232/2</f>
        <v>243.34250102281908</v>
      </c>
      <c r="AZ232" s="789">
        <f>BB232-AY232</f>
        <v>243.34250102281908</v>
      </c>
      <c r="BA232" s="740">
        <v>500</v>
      </c>
      <c r="BB232" s="743">
        <f>BD232-BA232</f>
        <v>486.68500204563816</v>
      </c>
      <c r="BC232" s="146">
        <f>AW232+AX232+AY232</f>
        <v>743.34250102281908</v>
      </c>
      <c r="BD232" s="744">
        <f>AV232*(1+BD240)</f>
        <v>986.68500204563816</v>
      </c>
      <c r="BE232" s="146">
        <f>BI232/2</f>
        <v>271.33837556255054</v>
      </c>
      <c r="BF232" s="146">
        <f>BI232-BE232</f>
        <v>271.33837556255054</v>
      </c>
      <c r="BG232" s="146">
        <f>BJ232/2</f>
        <v>271.33837556255054</v>
      </c>
      <c r="BH232" s="789">
        <f>BJ232-BG232</f>
        <v>271.33837556255054</v>
      </c>
      <c r="BI232" s="743">
        <f>BL232/2</f>
        <v>542.67675112510108</v>
      </c>
      <c r="BJ232" s="743">
        <f>BL232-BI232</f>
        <v>542.67675112510108</v>
      </c>
      <c r="BK232" s="146">
        <f>BE232+BF232+BG232</f>
        <v>814.01512668765167</v>
      </c>
      <c r="BL232" s="744">
        <f>BD232*(1+BL240)</f>
        <v>1085.3535022502022</v>
      </c>
      <c r="BM232" s="146">
        <f>BQ232/2</f>
        <v>298.4722131188056</v>
      </c>
      <c r="BN232" s="146">
        <f>BQ232-BM232</f>
        <v>298.4722131188056</v>
      </c>
      <c r="BO232" s="146">
        <f>BR232/2</f>
        <v>298.4722131188056</v>
      </c>
      <c r="BP232" s="789">
        <f>BR232-BO232</f>
        <v>298.4722131188056</v>
      </c>
      <c r="BQ232" s="743">
        <f>BT232/2</f>
        <v>596.9444262376112</v>
      </c>
      <c r="BR232" s="743">
        <f>BT232-BQ232</f>
        <v>596.9444262376112</v>
      </c>
      <c r="BS232" s="146">
        <f>BM232+BN232+BO232</f>
        <v>895.41663935641679</v>
      </c>
      <c r="BT232" s="744">
        <f>BL232*(1+BT240)</f>
        <v>1193.8888524752224</v>
      </c>
      <c r="BU232" s="146">
        <f>BY232/2</f>
        <v>328.31943443068616</v>
      </c>
      <c r="BV232" s="146">
        <f>BY232-BU232</f>
        <v>328.31943443068616</v>
      </c>
      <c r="BW232" s="146">
        <f>BZ232/2</f>
        <v>328.31943443068616</v>
      </c>
      <c r="BX232" s="789">
        <f>BZ232-BW232</f>
        <v>328.31943443068616</v>
      </c>
      <c r="BY232" s="743">
        <f>CB232/2</f>
        <v>656.63886886137232</v>
      </c>
      <c r="BZ232" s="743">
        <f>CB232-BY232</f>
        <v>656.63886886137232</v>
      </c>
      <c r="CA232" s="146">
        <f>BU232+BV232+BW232</f>
        <v>984.95830329205842</v>
      </c>
      <c r="CB232" s="744">
        <f>BT232*(1+CB240)</f>
        <v>1313.2777377227446</v>
      </c>
      <c r="CC232" s="146">
        <f>CG232/2</f>
        <v>361.15137787375483</v>
      </c>
      <c r="CD232" s="146">
        <f>CG232-CC232</f>
        <v>361.15137787375483</v>
      </c>
      <c r="CE232" s="146">
        <f>CH232/2</f>
        <v>361.15137787375483</v>
      </c>
      <c r="CF232" s="789">
        <f>CH232-CE232</f>
        <v>361.15137787375483</v>
      </c>
      <c r="CG232" s="743">
        <f>CJ232/2</f>
        <v>722.30275574750965</v>
      </c>
      <c r="CH232" s="743">
        <f>CJ232-CG232</f>
        <v>722.30275574750965</v>
      </c>
      <c r="CI232" s="146">
        <f>CC232+CD232+CE232</f>
        <v>1083.4541336212644</v>
      </c>
      <c r="CJ232" s="744">
        <f>CB232*(1+CJ240)</f>
        <v>1444.6055114950193</v>
      </c>
    </row>
    <row r="233" spans="1:88" x14ac:dyDescent="0.2">
      <c r="A233" s="584" t="s">
        <v>821</v>
      </c>
      <c r="B233" s="284"/>
      <c r="C233" s="49"/>
      <c r="D233" s="49"/>
      <c r="E233" s="49"/>
      <c r="F233" s="49"/>
      <c r="G233" s="49"/>
      <c r="H233" s="104"/>
      <c r="I233" s="104"/>
      <c r="J233" s="49"/>
      <c r="K233" s="49"/>
      <c r="L233" s="49"/>
      <c r="M233" s="49"/>
      <c r="N233" s="49">
        <f>N234-N232</f>
        <v>367.23500000000007</v>
      </c>
      <c r="O233" s="740">
        <f t="shared" ref="O233:X233" si="638">O234-O232</f>
        <v>406.71449999999999</v>
      </c>
      <c r="P233" s="740">
        <f t="shared" si="638"/>
        <v>585.654</v>
      </c>
      <c r="Q233" s="740">
        <f t="shared" si="638"/>
        <v>628.67399999999998</v>
      </c>
      <c r="R233" s="740">
        <f t="shared" si="638"/>
        <v>548.36649999999997</v>
      </c>
      <c r="S233" s="740">
        <f t="shared" si="638"/>
        <v>491.61599999999999</v>
      </c>
      <c r="T233" s="740">
        <f t="shared" si="638"/>
        <v>0</v>
      </c>
      <c r="U233" s="740">
        <f t="shared" si="638"/>
        <v>811.9475000000001</v>
      </c>
      <c r="V233" s="740">
        <f t="shared" si="638"/>
        <v>771.27299999999991</v>
      </c>
      <c r="W233" s="740">
        <f t="shared" si="638"/>
        <v>853.21000000000015</v>
      </c>
      <c r="X233" s="741">
        <f t="shared" si="638"/>
        <v>772.19800000000009</v>
      </c>
      <c r="Y233" s="49">
        <v>211</v>
      </c>
      <c r="Z233" s="49">
        <f>AC233-Y233</f>
        <v>289</v>
      </c>
      <c r="AA233" s="49">
        <v>223</v>
      </c>
      <c r="AB233" s="614">
        <f>AD233-AA233</f>
        <v>15.891999999999939</v>
      </c>
      <c r="AC233" s="49">
        <v>500</v>
      </c>
      <c r="AD233" s="740">
        <f>AF233-AC233</f>
        <v>238.89199999999994</v>
      </c>
      <c r="AE233" s="142">
        <f>Y233+Z233+AA233</f>
        <v>723</v>
      </c>
      <c r="AF233" s="741">
        <f t="shared" ref="AF233" si="639">AF234-AF232</f>
        <v>738.89199999999994</v>
      </c>
      <c r="AG233" s="49">
        <f>AG234-AG232</f>
        <v>229.67000000000002</v>
      </c>
      <c r="AH233" s="49">
        <f>AK233-AG233</f>
        <v>276.04000000000002</v>
      </c>
      <c r="AI233" s="49">
        <f>AI234-AI232</f>
        <v>260.29000000000002</v>
      </c>
      <c r="AJ233" s="614">
        <f>AL233-AI233</f>
        <v>-15.140000000000043</v>
      </c>
      <c r="AK233" s="49">
        <f>AK234-AK232</f>
        <v>505.71000000000004</v>
      </c>
      <c r="AL233" s="740">
        <f>AN233-AK233</f>
        <v>245.14999999999998</v>
      </c>
      <c r="AM233" s="142">
        <f>AG233+AH233+AI233</f>
        <v>766</v>
      </c>
      <c r="AN233" s="741">
        <f t="shared" ref="AN233" si="640">AN234-AN232</f>
        <v>750.86</v>
      </c>
      <c r="AO233" s="49">
        <f>AO234-AO232</f>
        <v>185.24</v>
      </c>
      <c r="AP233" s="49">
        <f>AS233-AO233</f>
        <v>194.26999999999998</v>
      </c>
      <c r="AQ233" s="49">
        <f>AQ234-AQ232</f>
        <v>123.74000000000001</v>
      </c>
      <c r="AR233" s="614">
        <f>AT233-AQ233</f>
        <v>166.56363450396555</v>
      </c>
      <c r="AS233" s="49">
        <f>AS234-AS232</f>
        <v>379.51</v>
      </c>
      <c r="AT233" s="740">
        <f>AV233-AS233</f>
        <v>290.30363450396555</v>
      </c>
      <c r="AU233" s="142">
        <f>AO233+AP233+AQ233</f>
        <v>503.25</v>
      </c>
      <c r="AV233" s="741">
        <f t="shared" ref="AV233" si="641">AV234-AV232</f>
        <v>669.81363450396555</v>
      </c>
      <c r="AW233" s="49">
        <f>AW234-AW232</f>
        <v>225.72000000000003</v>
      </c>
      <c r="AX233" s="49">
        <f>BA233-AW233</f>
        <v>283.86</v>
      </c>
      <c r="AY233" s="146">
        <f>BB233/2</f>
        <v>113.60749897718108</v>
      </c>
      <c r="AZ233" s="789">
        <f>BB233-AY233</f>
        <v>113.60749897718108</v>
      </c>
      <c r="BA233" s="49">
        <f>BA234-BA232</f>
        <v>509.58000000000004</v>
      </c>
      <c r="BB233" s="743">
        <f>BD233-BA233</f>
        <v>227.21499795436216</v>
      </c>
      <c r="BC233" s="146">
        <f>AW233+AX233+AY233</f>
        <v>623.18749897718112</v>
      </c>
      <c r="BD233" s="744">
        <f>AV233*(1+BD241)</f>
        <v>736.7949979543622</v>
      </c>
      <c r="BE233" s="146">
        <f>BI233/2</f>
        <v>202.61862443744963</v>
      </c>
      <c r="BF233" s="146">
        <f>BI233-BE233</f>
        <v>202.61862443744963</v>
      </c>
      <c r="BG233" s="146">
        <f>BJ233/2</f>
        <v>202.61862443744963</v>
      </c>
      <c r="BH233" s="789">
        <f>BJ233-BG233</f>
        <v>202.61862443744963</v>
      </c>
      <c r="BI233" s="743">
        <f>BL233/2</f>
        <v>405.23724887489925</v>
      </c>
      <c r="BJ233" s="743">
        <f>BL233-BI233</f>
        <v>405.23724887489925</v>
      </c>
      <c r="BK233" s="146">
        <f>BE233+BF233+BG233</f>
        <v>607.85587331234888</v>
      </c>
      <c r="BL233" s="744">
        <f>BD233*(1+BL241)</f>
        <v>810.4744977497985</v>
      </c>
      <c r="BM233" s="146">
        <f>BQ233/2</f>
        <v>222.8804868811946</v>
      </c>
      <c r="BN233" s="146">
        <f>BQ233-BM233</f>
        <v>222.8804868811946</v>
      </c>
      <c r="BO233" s="146">
        <f>BR233/2</f>
        <v>222.8804868811946</v>
      </c>
      <c r="BP233" s="789">
        <f>BR233-BO233</f>
        <v>222.8804868811946</v>
      </c>
      <c r="BQ233" s="743">
        <f>BT233/2</f>
        <v>445.7609737623892</v>
      </c>
      <c r="BR233" s="743">
        <f>BT233-BQ233</f>
        <v>445.7609737623892</v>
      </c>
      <c r="BS233" s="146">
        <f>BM233+BN233+BO233</f>
        <v>668.64146064358374</v>
      </c>
      <c r="BT233" s="744">
        <f>BL233*(1+BT241)</f>
        <v>891.5219475247784</v>
      </c>
      <c r="BU233" s="146">
        <f>BY233/2</f>
        <v>245.16853556931409</v>
      </c>
      <c r="BV233" s="146">
        <f>BY233-BU233</f>
        <v>245.16853556931409</v>
      </c>
      <c r="BW233" s="146">
        <f>BZ233/2</f>
        <v>245.16853556931409</v>
      </c>
      <c r="BX233" s="789">
        <f>BZ233-BW233</f>
        <v>245.16853556931409</v>
      </c>
      <c r="BY233" s="743">
        <f>CB233/2</f>
        <v>490.33707113862818</v>
      </c>
      <c r="BZ233" s="743">
        <f>CB233-BY233</f>
        <v>490.33707113862818</v>
      </c>
      <c r="CA233" s="146">
        <f>BU233+BV233+BW233</f>
        <v>735.50560670794221</v>
      </c>
      <c r="CB233" s="744">
        <f>BT233*(1+CB241)</f>
        <v>980.67414227725635</v>
      </c>
      <c r="CC233" s="146">
        <f>CG233/2</f>
        <v>269.68538912624552</v>
      </c>
      <c r="CD233" s="146">
        <f>CG233-CC233</f>
        <v>269.68538912624552</v>
      </c>
      <c r="CE233" s="146">
        <f>CH233/2</f>
        <v>269.68538912624552</v>
      </c>
      <c r="CF233" s="789">
        <f>CH233-CE233</f>
        <v>269.68538912624552</v>
      </c>
      <c r="CG233" s="743">
        <f>CJ233/2</f>
        <v>539.37077825249105</v>
      </c>
      <c r="CH233" s="743">
        <f>CJ233-CG233</f>
        <v>539.37077825249105</v>
      </c>
      <c r="CI233" s="146">
        <f>CC233+CD233+CE233</f>
        <v>809.05616737873652</v>
      </c>
      <c r="CJ233" s="744">
        <f>CB233*(1+CJ241)</f>
        <v>1078.7415565049821</v>
      </c>
    </row>
    <row r="234" spans="1:88" x14ac:dyDescent="0.2">
      <c r="A234" s="717" t="s">
        <v>822</v>
      </c>
      <c r="B234" s="729"/>
      <c r="C234" s="810"/>
      <c r="D234" s="811">
        <f t="shared" ref="D234:S234" si="642">D7</f>
        <v>604.1</v>
      </c>
      <c r="E234" s="811">
        <f t="shared" si="642"/>
        <v>629.0200000000001</v>
      </c>
      <c r="F234" s="811">
        <f t="shared" si="642"/>
        <v>659.49</v>
      </c>
      <c r="G234" s="811">
        <f t="shared" si="642"/>
        <v>650.87</v>
      </c>
      <c r="H234" s="811">
        <f t="shared" si="642"/>
        <v>639.54</v>
      </c>
      <c r="I234" s="811">
        <f t="shared" si="642"/>
        <v>680.76</v>
      </c>
      <c r="J234" s="811">
        <f t="shared" si="642"/>
        <v>672.48</v>
      </c>
      <c r="K234" s="811">
        <f t="shared" si="642"/>
        <v>672.1</v>
      </c>
      <c r="L234" s="811">
        <f t="shared" si="642"/>
        <v>770.55</v>
      </c>
      <c r="M234" s="811">
        <f t="shared" si="642"/>
        <v>758.90000000000009</v>
      </c>
      <c r="N234" s="531">
        <f t="shared" si="642"/>
        <v>815.30000000000007</v>
      </c>
      <c r="O234" s="531">
        <f t="shared" si="642"/>
        <v>838.70999999999992</v>
      </c>
      <c r="P234" s="531">
        <f t="shared" si="642"/>
        <v>1126.9199999999998</v>
      </c>
      <c r="Q234" s="531">
        <f t="shared" si="642"/>
        <v>1168.9199999999998</v>
      </c>
      <c r="R234" s="531">
        <f t="shared" si="642"/>
        <v>1029.27</v>
      </c>
      <c r="S234" s="531">
        <f t="shared" si="642"/>
        <v>940.68</v>
      </c>
      <c r="T234" s="531"/>
      <c r="U234" s="531">
        <f>U7</f>
        <v>1565.8500000000001</v>
      </c>
      <c r="V234" s="531">
        <f>V7</f>
        <v>1379.34</v>
      </c>
      <c r="W234" s="531">
        <f>W7</f>
        <v>1487.8000000000002</v>
      </c>
      <c r="X234" s="532">
        <f>X7</f>
        <v>1330.8400000000001</v>
      </c>
      <c r="Y234" s="531">
        <f>Y7</f>
        <v>352.82</v>
      </c>
      <c r="Z234" s="544">
        <f>AC234-Y234</f>
        <v>385.19</v>
      </c>
      <c r="AA234" s="531">
        <f>AA7</f>
        <v>400.79</v>
      </c>
      <c r="AB234" s="1371">
        <f>AD234-AA234</f>
        <v>167.55999999999989</v>
      </c>
      <c r="AC234" s="531">
        <f>AC7</f>
        <v>738.01</v>
      </c>
      <c r="AD234" s="544">
        <f>AD232+AD233</f>
        <v>568.34999999999991</v>
      </c>
      <c r="AE234" s="545">
        <f t="shared" ref="AE234" si="643">AE232+AE233</f>
        <v>1138.8</v>
      </c>
      <c r="AF234" s="532">
        <f>AF7</f>
        <v>1306.3599999999999</v>
      </c>
      <c r="AG234" s="531">
        <f>AG7</f>
        <v>340.67</v>
      </c>
      <c r="AH234" s="544">
        <f>AK234-AG234</f>
        <v>370.04</v>
      </c>
      <c r="AI234" s="531">
        <f>AI7</f>
        <v>367.29</v>
      </c>
      <c r="AJ234" s="1371">
        <f>AL234-AI234</f>
        <v>423.71999999999997</v>
      </c>
      <c r="AK234" s="531">
        <f>AK7</f>
        <v>710.71</v>
      </c>
      <c r="AL234" s="544">
        <f>AL232+AL233</f>
        <v>791.01</v>
      </c>
      <c r="AM234" s="545">
        <f t="shared" ref="AM234" si="644">AM232+AM233</f>
        <v>1078</v>
      </c>
      <c r="AN234" s="532">
        <f>AN7</f>
        <v>1501.72</v>
      </c>
      <c r="AO234" s="531">
        <f>AO7</f>
        <v>405.24</v>
      </c>
      <c r="AP234" s="544">
        <f>AS234-AO234</f>
        <v>424.27</v>
      </c>
      <c r="AQ234" s="531">
        <f>AQ7</f>
        <v>343.74</v>
      </c>
      <c r="AR234" s="1371">
        <f>AT234-AQ234</f>
        <v>393.55000000000018</v>
      </c>
      <c r="AS234" s="531">
        <f>AS7</f>
        <v>829.51</v>
      </c>
      <c r="AT234" s="544">
        <f>AT232+AT233</f>
        <v>737.29000000000019</v>
      </c>
      <c r="AU234" s="545">
        <f t="shared" ref="AU234:CJ234" si="645">AU232+AU233</f>
        <v>1173.25</v>
      </c>
      <c r="AV234" s="532">
        <f>AV7</f>
        <v>1566.8000000000002</v>
      </c>
      <c r="AW234" s="544">
        <f>AW7</f>
        <v>500.72</v>
      </c>
      <c r="AX234" s="544">
        <f t="shared" si="645"/>
        <v>508.86</v>
      </c>
      <c r="AY234" s="546">
        <f t="shared" si="645"/>
        <v>356.95000000000016</v>
      </c>
      <c r="AZ234" s="791">
        <f t="shared" si="645"/>
        <v>356.95000000000016</v>
      </c>
      <c r="BA234" s="531">
        <f>BA7</f>
        <v>1009.58</v>
      </c>
      <c r="BB234" s="546">
        <f t="shared" si="645"/>
        <v>713.90000000000032</v>
      </c>
      <c r="BC234" s="546">
        <f t="shared" si="645"/>
        <v>1366.5300000000002</v>
      </c>
      <c r="BD234" s="792">
        <f t="shared" si="645"/>
        <v>1723.4800000000005</v>
      </c>
      <c r="BE234" s="546">
        <f t="shared" si="645"/>
        <v>473.95700000000016</v>
      </c>
      <c r="BF234" s="546">
        <f t="shared" si="645"/>
        <v>473.95700000000016</v>
      </c>
      <c r="BG234" s="546">
        <f t="shared" si="645"/>
        <v>473.95700000000016</v>
      </c>
      <c r="BH234" s="791">
        <f t="shared" si="645"/>
        <v>473.95700000000016</v>
      </c>
      <c r="BI234" s="546">
        <f t="shared" si="645"/>
        <v>947.91400000000033</v>
      </c>
      <c r="BJ234" s="546">
        <f t="shared" si="645"/>
        <v>947.91400000000033</v>
      </c>
      <c r="BK234" s="546">
        <f t="shared" si="645"/>
        <v>1421.8710000000005</v>
      </c>
      <c r="BL234" s="792">
        <f t="shared" si="645"/>
        <v>1895.8280000000007</v>
      </c>
      <c r="BM234" s="546">
        <f t="shared" si="645"/>
        <v>521.35270000000014</v>
      </c>
      <c r="BN234" s="546">
        <f t="shared" si="645"/>
        <v>521.35270000000014</v>
      </c>
      <c r="BO234" s="546">
        <f t="shared" si="645"/>
        <v>521.35270000000014</v>
      </c>
      <c r="BP234" s="791">
        <f t="shared" si="645"/>
        <v>521.35270000000014</v>
      </c>
      <c r="BQ234" s="546">
        <f t="shared" si="645"/>
        <v>1042.7054000000003</v>
      </c>
      <c r="BR234" s="546">
        <f t="shared" si="645"/>
        <v>1042.7054000000003</v>
      </c>
      <c r="BS234" s="546">
        <f t="shared" si="645"/>
        <v>1564.0581000000006</v>
      </c>
      <c r="BT234" s="792">
        <f t="shared" si="645"/>
        <v>2085.4108000000006</v>
      </c>
      <c r="BU234" s="546">
        <f t="shared" si="645"/>
        <v>573.48797000000025</v>
      </c>
      <c r="BV234" s="546">
        <f t="shared" si="645"/>
        <v>573.48797000000025</v>
      </c>
      <c r="BW234" s="546">
        <f t="shared" si="645"/>
        <v>573.48797000000025</v>
      </c>
      <c r="BX234" s="791">
        <f t="shared" si="645"/>
        <v>573.48797000000025</v>
      </c>
      <c r="BY234" s="546">
        <f t="shared" si="645"/>
        <v>1146.9759400000005</v>
      </c>
      <c r="BZ234" s="546">
        <f t="shared" si="645"/>
        <v>1146.9759400000005</v>
      </c>
      <c r="CA234" s="546">
        <f t="shared" si="645"/>
        <v>1720.4639100000006</v>
      </c>
      <c r="CB234" s="792">
        <f t="shared" si="645"/>
        <v>2293.951880000001</v>
      </c>
      <c r="CC234" s="546">
        <f t="shared" si="645"/>
        <v>630.83676700000035</v>
      </c>
      <c r="CD234" s="546">
        <f t="shared" si="645"/>
        <v>630.83676700000035</v>
      </c>
      <c r="CE234" s="546">
        <f t="shared" si="645"/>
        <v>630.83676700000035</v>
      </c>
      <c r="CF234" s="791">
        <f t="shared" si="645"/>
        <v>630.83676700000035</v>
      </c>
      <c r="CG234" s="546">
        <f t="shared" si="645"/>
        <v>1261.6735340000007</v>
      </c>
      <c r="CH234" s="546">
        <f t="shared" si="645"/>
        <v>1261.6735340000007</v>
      </c>
      <c r="CI234" s="546">
        <f t="shared" si="645"/>
        <v>1892.5103010000009</v>
      </c>
      <c r="CJ234" s="792">
        <f t="shared" si="645"/>
        <v>2523.3470680000014</v>
      </c>
    </row>
    <row r="235" spans="1:88" x14ac:dyDescent="0.2">
      <c r="A235" s="680"/>
      <c r="B235" s="284"/>
      <c r="C235" s="572"/>
      <c r="D235" s="566"/>
      <c r="E235" s="566"/>
      <c r="F235" s="566"/>
      <c r="G235" s="566"/>
      <c r="H235" s="566"/>
      <c r="I235" s="566"/>
      <c r="J235" s="566"/>
      <c r="K235" s="566"/>
      <c r="L235" s="566"/>
      <c r="M235" s="566"/>
      <c r="N235" s="141"/>
      <c r="O235" s="141"/>
      <c r="P235" s="141"/>
      <c r="Q235" s="141"/>
      <c r="R235" s="141"/>
      <c r="S235" s="141"/>
      <c r="T235" s="141"/>
      <c r="U235" s="141"/>
      <c r="V235" s="141"/>
      <c r="W235" s="141"/>
      <c r="X235" s="144"/>
      <c r="Y235" s="141"/>
      <c r="Z235" s="141"/>
      <c r="AA235" s="141"/>
      <c r="AB235" s="617"/>
      <c r="AC235" s="141"/>
      <c r="AD235" s="141"/>
      <c r="AE235" s="141"/>
      <c r="AF235" s="812"/>
      <c r="AG235" s="141"/>
      <c r="AH235" s="141"/>
      <c r="AI235" s="141"/>
      <c r="AJ235" s="617"/>
      <c r="AK235" s="141"/>
      <c r="AL235" s="141"/>
      <c r="AM235" s="141"/>
      <c r="AN235" s="812"/>
      <c r="AO235" s="141"/>
      <c r="AP235" s="141"/>
      <c r="AQ235" s="141"/>
      <c r="AR235" s="617"/>
      <c r="AS235" s="141"/>
      <c r="AT235" s="141"/>
      <c r="AU235" s="141"/>
      <c r="AV235" s="812"/>
      <c r="AW235" s="141"/>
      <c r="AX235" s="141"/>
      <c r="AY235" s="141"/>
      <c r="AZ235" s="617"/>
      <c r="BA235" s="141"/>
      <c r="BB235" s="141"/>
      <c r="BC235" s="141"/>
      <c r="BD235" s="812"/>
      <c r="BE235" s="141"/>
      <c r="BF235" s="141"/>
      <c r="BG235" s="141"/>
      <c r="BH235" s="617"/>
      <c r="BI235" s="141"/>
      <c r="BJ235" s="141"/>
      <c r="BK235" s="141"/>
      <c r="BL235" s="812"/>
      <c r="BM235" s="141"/>
      <c r="BN235" s="141"/>
      <c r="BO235" s="141"/>
      <c r="BP235" s="617"/>
      <c r="BQ235" s="141"/>
      <c r="BR235" s="141"/>
      <c r="BS235" s="141"/>
      <c r="BT235" s="812"/>
      <c r="BU235" s="141"/>
      <c r="BV235" s="141"/>
      <c r="BW235" s="141"/>
      <c r="BX235" s="617"/>
      <c r="BY235" s="141"/>
      <c r="BZ235" s="141"/>
      <c r="CA235" s="141"/>
      <c r="CB235" s="812"/>
      <c r="CC235" s="141"/>
      <c r="CD235" s="141"/>
      <c r="CE235" s="141"/>
      <c r="CF235" s="617"/>
      <c r="CG235" s="141"/>
      <c r="CH235" s="141"/>
      <c r="CI235" s="141"/>
      <c r="CJ235" s="812"/>
    </row>
    <row r="236" spans="1:88" s="281" customFormat="1" x14ac:dyDescent="0.2">
      <c r="A236" s="1488" t="str">
        <f>A232</f>
        <v>Military OE</v>
      </c>
      <c r="B236" s="1489"/>
      <c r="C236" s="104"/>
      <c r="D236" s="104"/>
      <c r="E236" s="104"/>
      <c r="F236" s="104"/>
      <c r="G236" s="104"/>
      <c r="H236" s="104"/>
      <c r="I236" s="104"/>
      <c r="J236" s="104"/>
      <c r="K236" s="104"/>
      <c r="L236" s="104"/>
      <c r="M236" s="104"/>
      <c r="N236" s="1490">
        <f t="shared" ref="N236:X236" si="646">N80+5%</f>
        <v>0.54957071016803627</v>
      </c>
      <c r="O236" s="1490">
        <f t="shared" si="646"/>
        <v>0.51507135958793859</v>
      </c>
      <c r="P236" s="1490">
        <f t="shared" si="646"/>
        <v>0.4803056117559365</v>
      </c>
      <c r="Q236" s="1490">
        <f t="shared" si="646"/>
        <v>0.46217534134072474</v>
      </c>
      <c r="R236" s="1490">
        <f t="shared" si="646"/>
        <v>0.46722774393502192</v>
      </c>
      <c r="S236" s="1490">
        <f t="shared" si="646"/>
        <v>0.47738231917336393</v>
      </c>
      <c r="T236" s="1490">
        <f t="shared" si="646"/>
        <v>0.48293316948671894</v>
      </c>
      <c r="U236" s="1490">
        <f t="shared" si="646"/>
        <v>0.48146533831465338</v>
      </c>
      <c r="V236" s="1490">
        <f t="shared" si="646"/>
        <v>0.44083909695941537</v>
      </c>
      <c r="W236" s="1490">
        <f t="shared" si="646"/>
        <v>0.42652910337410943</v>
      </c>
      <c r="X236" s="1491">
        <f t="shared" si="646"/>
        <v>0.41976646328634548</v>
      </c>
      <c r="Y236" s="1490"/>
      <c r="Z236" s="1490"/>
      <c r="AA236" s="1490"/>
      <c r="AB236" s="1492"/>
      <c r="AC236" s="1490"/>
      <c r="AD236" s="1490"/>
      <c r="AE236" s="1490"/>
      <c r="AF236" s="1493">
        <f>AF80+5%</f>
        <v>0.43438868305826878</v>
      </c>
      <c r="AG236" s="1490"/>
      <c r="AH236" s="1490"/>
      <c r="AI236" s="1490"/>
      <c r="AJ236" s="1492"/>
      <c r="AK236" s="1490"/>
      <c r="AL236" s="1490"/>
      <c r="AM236" s="1490"/>
      <c r="AN236" s="1493">
        <v>0.5</v>
      </c>
      <c r="AO236" s="1490"/>
      <c r="AP236" s="1490"/>
      <c r="AQ236" s="1490"/>
      <c r="AR236" s="1492"/>
      <c r="AS236" s="1490"/>
      <c r="AT236" s="1490"/>
      <c r="AU236" s="1490"/>
      <c r="AV236" s="1507">
        <v>0.57249576557061177</v>
      </c>
      <c r="AW236" s="1490"/>
      <c r="AX236" s="1490"/>
      <c r="AY236" s="1490"/>
      <c r="AZ236" s="1492"/>
      <c r="BA236" s="1490"/>
      <c r="BB236" s="1490"/>
      <c r="BC236" s="1490"/>
      <c r="BD236" s="1500">
        <f>BD232/BD234</f>
        <v>0.57249576557061177</v>
      </c>
      <c r="BE236" s="1490"/>
      <c r="BF236" s="1490"/>
      <c r="BG236" s="1490"/>
      <c r="BH236" s="1492"/>
      <c r="BI236" s="1490"/>
      <c r="BJ236" s="1490"/>
      <c r="BK236" s="1490"/>
      <c r="BL236" s="1500">
        <f>BL232/BL234</f>
        <v>0.57249576557061177</v>
      </c>
      <c r="BM236" s="1490"/>
      <c r="BN236" s="1490"/>
      <c r="BO236" s="1490"/>
      <c r="BP236" s="1492"/>
      <c r="BQ236" s="1490"/>
      <c r="BR236" s="1490"/>
      <c r="BS236" s="1490"/>
      <c r="BT236" s="1500">
        <f>BT232/BT234</f>
        <v>0.57249576557061188</v>
      </c>
      <c r="BU236" s="1490"/>
      <c r="BV236" s="1490"/>
      <c r="BW236" s="1490"/>
      <c r="BX236" s="1492"/>
      <c r="BY236" s="1490"/>
      <c r="BZ236" s="1490"/>
      <c r="CA236" s="1490"/>
      <c r="CB236" s="1500">
        <f>CB232/CB234</f>
        <v>0.57249576557061177</v>
      </c>
      <c r="CC236" s="1490"/>
      <c r="CD236" s="1490"/>
      <c r="CE236" s="1490"/>
      <c r="CF236" s="1492"/>
      <c r="CG236" s="1490"/>
      <c r="CH236" s="1490"/>
      <c r="CI236" s="1490"/>
      <c r="CJ236" s="1500">
        <f>CJ232/CJ234</f>
        <v>0.57249576557061177</v>
      </c>
    </row>
    <row r="237" spans="1:88" s="281" customFormat="1" x14ac:dyDescent="0.2">
      <c r="A237" s="1488" t="str">
        <f t="shared" ref="A237" si="647">A233</f>
        <v>Military Aftermarket</v>
      </c>
      <c r="B237" s="1489"/>
      <c r="C237" s="104"/>
      <c r="D237" s="104"/>
      <c r="E237" s="104"/>
      <c r="F237" s="104"/>
      <c r="G237" s="104"/>
      <c r="H237" s="104"/>
      <c r="I237" s="104"/>
      <c r="J237" s="104"/>
      <c r="K237" s="104"/>
      <c r="L237" s="104"/>
      <c r="M237" s="104"/>
      <c r="N237" s="1490">
        <f t="shared" ref="N237:X237" si="648">N238-N236</f>
        <v>0.45042928983196373</v>
      </c>
      <c r="O237" s="1490">
        <f t="shared" si="648"/>
        <v>0.48492864041206141</v>
      </c>
      <c r="P237" s="1490">
        <f t="shared" si="648"/>
        <v>0.51969438824406344</v>
      </c>
      <c r="Q237" s="1490">
        <f t="shared" si="648"/>
        <v>0.5378246586592752</v>
      </c>
      <c r="R237" s="1490">
        <f t="shared" si="648"/>
        <v>0.53277225606497813</v>
      </c>
      <c r="S237" s="1490">
        <f t="shared" si="648"/>
        <v>0.52261768082663607</v>
      </c>
      <c r="T237" s="1490">
        <f t="shared" si="648"/>
        <v>0.51706683051328106</v>
      </c>
      <c r="U237" s="1490">
        <f t="shared" si="648"/>
        <v>0.51853466168534657</v>
      </c>
      <c r="V237" s="1490">
        <f t="shared" si="648"/>
        <v>0.55916090304058463</v>
      </c>
      <c r="W237" s="1490">
        <f t="shared" si="648"/>
        <v>0.57347089662589057</v>
      </c>
      <c r="X237" s="1491">
        <f t="shared" si="648"/>
        <v>0.58023353671365452</v>
      </c>
      <c r="Y237" s="1490"/>
      <c r="Z237" s="1490"/>
      <c r="AA237" s="1490"/>
      <c r="AB237" s="1492"/>
      <c r="AC237" s="1490"/>
      <c r="AD237" s="1490"/>
      <c r="AE237" s="1490"/>
      <c r="AF237" s="1493">
        <f>AF238-AF236</f>
        <v>0.56561131694173117</v>
      </c>
      <c r="AG237" s="1490"/>
      <c r="AH237" s="1490"/>
      <c r="AI237" s="1490"/>
      <c r="AJ237" s="1492"/>
      <c r="AK237" s="49"/>
      <c r="AL237" s="1490"/>
      <c r="AM237" s="1490"/>
      <c r="AN237" s="1493">
        <f>AN238-AN236</f>
        <v>0.5</v>
      </c>
      <c r="AO237" s="1490"/>
      <c r="AP237" s="1490"/>
      <c r="AQ237" s="1490"/>
      <c r="AR237" s="1492"/>
      <c r="AS237" s="1490"/>
      <c r="AT237" s="1490"/>
      <c r="AU237" s="1490"/>
      <c r="AV237" s="1493">
        <f>AV238-AV236</f>
        <v>0.42750423442938823</v>
      </c>
      <c r="AW237" s="1490"/>
      <c r="AX237" s="1490"/>
      <c r="AY237" s="1490"/>
      <c r="AZ237" s="1492"/>
      <c r="BA237" s="1490"/>
      <c r="BB237" s="1490"/>
      <c r="BC237" s="1490"/>
      <c r="BD237" s="1500">
        <f>BD238-BD236</f>
        <v>0.42750423442938823</v>
      </c>
      <c r="BE237" s="1490"/>
      <c r="BF237" s="1490"/>
      <c r="BG237" s="1490"/>
      <c r="BH237" s="1492"/>
      <c r="BI237" s="1490"/>
      <c r="BJ237" s="1490"/>
      <c r="BK237" s="1490"/>
      <c r="BL237" s="1500">
        <f>BL238-BL236</f>
        <v>0.42750423442938823</v>
      </c>
      <c r="BM237" s="1490"/>
      <c r="BN237" s="1490"/>
      <c r="BO237" s="1490"/>
      <c r="BP237" s="1492"/>
      <c r="BQ237" s="1490"/>
      <c r="BR237" s="1490"/>
      <c r="BS237" s="1490"/>
      <c r="BT237" s="1500">
        <f>BT238-BT236</f>
        <v>0.42750423442938812</v>
      </c>
      <c r="BU237" s="1490"/>
      <c r="BV237" s="1490"/>
      <c r="BW237" s="1490"/>
      <c r="BX237" s="1492"/>
      <c r="BY237" s="1490"/>
      <c r="BZ237" s="1490"/>
      <c r="CA237" s="1490"/>
      <c r="CB237" s="1500">
        <f>CB238-CB236</f>
        <v>0.42750423442938823</v>
      </c>
      <c r="CC237" s="1490"/>
      <c r="CD237" s="1490"/>
      <c r="CE237" s="1490"/>
      <c r="CF237" s="1492"/>
      <c r="CG237" s="1490"/>
      <c r="CH237" s="1490"/>
      <c r="CI237" s="1490"/>
      <c r="CJ237" s="1500">
        <f>CJ238-CJ236</f>
        <v>0.42750423442938823</v>
      </c>
    </row>
    <row r="238" spans="1:88" s="281" customFormat="1" x14ac:dyDescent="0.2">
      <c r="A238" s="1494" t="s">
        <v>1136</v>
      </c>
      <c r="B238" s="1495"/>
      <c r="C238" s="104"/>
      <c r="D238" s="462"/>
      <c r="E238" s="462"/>
      <c r="F238" s="462"/>
      <c r="G238" s="462"/>
      <c r="H238" s="462"/>
      <c r="I238" s="462"/>
      <c r="J238" s="462"/>
      <c r="K238" s="462"/>
      <c r="L238" s="462"/>
      <c r="M238" s="462"/>
      <c r="N238" s="1496">
        <v>1</v>
      </c>
      <c r="O238" s="1496">
        <v>1</v>
      </c>
      <c r="P238" s="1496">
        <v>1</v>
      </c>
      <c r="Q238" s="1496">
        <v>1</v>
      </c>
      <c r="R238" s="1496">
        <v>1</v>
      </c>
      <c r="S238" s="1496">
        <v>1</v>
      </c>
      <c r="T238" s="1496">
        <v>1</v>
      </c>
      <c r="U238" s="1496">
        <v>1</v>
      </c>
      <c r="V238" s="1496">
        <v>1</v>
      </c>
      <c r="W238" s="1496">
        <v>1</v>
      </c>
      <c r="X238" s="1497">
        <v>1</v>
      </c>
      <c r="Y238" s="1496"/>
      <c r="Z238" s="1496"/>
      <c r="AA238" s="1496"/>
      <c r="AB238" s="1498"/>
      <c r="AC238" s="1496"/>
      <c r="AD238" s="1496"/>
      <c r="AE238" s="1496"/>
      <c r="AF238" s="1499">
        <v>1</v>
      </c>
      <c r="AG238" s="1496"/>
      <c r="AH238" s="1496"/>
      <c r="AI238" s="1496"/>
      <c r="AJ238" s="1498"/>
      <c r="AK238" s="1496"/>
      <c r="AL238" s="1496"/>
      <c r="AM238" s="1496"/>
      <c r="AN238" s="1499">
        <v>1</v>
      </c>
      <c r="AO238" s="1496"/>
      <c r="AP238" s="1496"/>
      <c r="AQ238" s="1496"/>
      <c r="AR238" s="1498"/>
      <c r="AS238" s="1496"/>
      <c r="AT238" s="1496"/>
      <c r="AU238" s="1496"/>
      <c r="AV238" s="1499">
        <v>1</v>
      </c>
      <c r="AW238" s="1496"/>
      <c r="AX238" s="1496"/>
      <c r="AY238" s="1496"/>
      <c r="AZ238" s="1498"/>
      <c r="BA238" s="1496"/>
      <c r="BB238" s="1496"/>
      <c r="BC238" s="1496"/>
      <c r="BD238" s="1501">
        <v>1</v>
      </c>
      <c r="BE238" s="1496"/>
      <c r="BF238" s="1496"/>
      <c r="BG238" s="1496"/>
      <c r="BH238" s="1498"/>
      <c r="BI238" s="1496"/>
      <c r="BJ238" s="1496"/>
      <c r="BK238" s="1496"/>
      <c r="BL238" s="1501">
        <v>1</v>
      </c>
      <c r="BM238" s="1496"/>
      <c r="BN238" s="1496"/>
      <c r="BO238" s="1496"/>
      <c r="BP238" s="1498"/>
      <c r="BQ238" s="1496"/>
      <c r="BR238" s="1496"/>
      <c r="BS238" s="1496"/>
      <c r="BT238" s="1501">
        <v>1</v>
      </c>
      <c r="BU238" s="1496"/>
      <c r="BV238" s="1496"/>
      <c r="BW238" s="1496"/>
      <c r="BX238" s="1498"/>
      <c r="BY238" s="1496"/>
      <c r="BZ238" s="1496"/>
      <c r="CA238" s="1496"/>
      <c r="CB238" s="1501">
        <v>1</v>
      </c>
      <c r="CC238" s="1496"/>
      <c r="CD238" s="1496"/>
      <c r="CE238" s="1496"/>
      <c r="CF238" s="1498"/>
      <c r="CG238" s="1496"/>
      <c r="CH238" s="1496"/>
      <c r="CI238" s="1496"/>
      <c r="CJ238" s="1501">
        <v>1</v>
      </c>
    </row>
    <row r="239" spans="1:88" x14ac:dyDescent="0.2">
      <c r="A239" s="680"/>
      <c r="B239" s="284"/>
      <c r="C239" s="572"/>
      <c r="D239" s="566"/>
      <c r="E239" s="566"/>
      <c r="F239" s="566"/>
      <c r="G239" s="566"/>
      <c r="H239" s="566"/>
      <c r="I239" s="566"/>
      <c r="J239" s="566"/>
      <c r="K239" s="566"/>
      <c r="L239" s="566"/>
      <c r="M239" s="566"/>
      <c r="N239" s="141"/>
      <c r="O239" s="141"/>
      <c r="P239" s="141"/>
      <c r="Q239" s="141"/>
      <c r="R239" s="141"/>
      <c r="S239" s="141"/>
      <c r="T239" s="141"/>
      <c r="U239" s="141"/>
      <c r="V239" s="141"/>
      <c r="W239" s="141"/>
      <c r="X239" s="144"/>
      <c r="Y239" s="141"/>
      <c r="Z239" s="141"/>
      <c r="AA239" s="141"/>
      <c r="AB239" s="617"/>
      <c r="AC239" s="141"/>
      <c r="AD239" s="141"/>
      <c r="AE239" s="141"/>
      <c r="AF239" s="812"/>
      <c r="AG239" s="141"/>
      <c r="AH239" s="141"/>
      <c r="AI239" s="141"/>
      <c r="AJ239" s="617"/>
      <c r="AK239" s="141"/>
      <c r="AL239" s="141"/>
      <c r="AM239" s="141"/>
      <c r="AN239" s="812"/>
      <c r="AO239" s="141"/>
      <c r="AP239" s="141"/>
      <c r="AQ239" s="141"/>
      <c r="AR239" s="617"/>
      <c r="AS239" s="141"/>
      <c r="AT239" s="141"/>
      <c r="AU239" s="141"/>
      <c r="AV239" s="812"/>
      <c r="AW239" s="141"/>
      <c r="AX239" s="141"/>
      <c r="AY239" s="141"/>
      <c r="AZ239" s="617"/>
      <c r="BA239" s="141"/>
      <c r="BB239" s="141"/>
      <c r="BC239" s="141"/>
      <c r="BD239" s="812"/>
      <c r="BE239" s="141"/>
      <c r="BF239" s="141"/>
      <c r="BG239" s="141"/>
      <c r="BH239" s="617"/>
      <c r="BI239" s="141"/>
      <c r="BJ239" s="141"/>
      <c r="BK239" s="141"/>
      <c r="BL239" s="812"/>
      <c r="BM239" s="141"/>
      <c r="BN239" s="141"/>
      <c r="BO239" s="141"/>
      <c r="BP239" s="617"/>
      <c r="BQ239" s="141"/>
      <c r="BR239" s="141"/>
      <c r="BS239" s="141"/>
      <c r="BT239" s="812"/>
      <c r="BU239" s="141"/>
      <c r="BV239" s="141"/>
      <c r="BW239" s="141"/>
      <c r="BX239" s="617"/>
      <c r="BY239" s="141"/>
      <c r="BZ239" s="141"/>
      <c r="CA239" s="141"/>
      <c r="CB239" s="812"/>
      <c r="CC239" s="141"/>
      <c r="CD239" s="141"/>
      <c r="CE239" s="141"/>
      <c r="CF239" s="617"/>
      <c r="CG239" s="141"/>
      <c r="CH239" s="141"/>
      <c r="CI239" s="141"/>
      <c r="CJ239" s="812"/>
    </row>
    <row r="240" spans="1:88" x14ac:dyDescent="0.2">
      <c r="A240" s="690" t="s">
        <v>823</v>
      </c>
      <c r="B240" s="284"/>
      <c r="C240" s="49"/>
      <c r="D240" s="49"/>
      <c r="E240" s="49"/>
      <c r="F240" s="49"/>
      <c r="G240" s="49"/>
      <c r="H240" s="104"/>
      <c r="I240" s="104"/>
      <c r="J240" s="49"/>
      <c r="K240" s="49"/>
      <c r="L240" s="49"/>
      <c r="M240" s="49"/>
      <c r="N240" s="19"/>
      <c r="O240" s="19">
        <f>O232/N232-1</f>
        <v>-3.5864216129356419E-2</v>
      </c>
      <c r="P240" s="19">
        <f t="shared" ref="P240:W240" si="649">P232/O232-1</f>
        <v>0.25294360705146213</v>
      </c>
      <c r="Q240" s="19">
        <f t="shared" si="649"/>
        <v>-1.8844708516699837E-3</v>
      </c>
      <c r="R240" s="19">
        <f t="shared" si="649"/>
        <v>-0.10984347871154965</v>
      </c>
      <c r="S240" s="19">
        <f t="shared" si="649"/>
        <v>-6.6207669522055923E-2</v>
      </c>
      <c r="T240" s="19">
        <f t="shared" si="649"/>
        <v>-1</v>
      </c>
      <c r="U240" s="19">
        <f>U232/S232-1</f>
        <v>0.67883085707159796</v>
      </c>
      <c r="V240" s="19">
        <f t="shared" si="649"/>
        <v>-0.19344079638945355</v>
      </c>
      <c r="W240" s="19">
        <f t="shared" si="649"/>
        <v>4.3618548613886254E-2</v>
      </c>
      <c r="X240" s="494">
        <f>X232/W232-1</f>
        <v>-0.11968042358057951</v>
      </c>
      <c r="Y240" s="19"/>
      <c r="Z240" s="19"/>
      <c r="AA240" s="19"/>
      <c r="AB240" s="643"/>
      <c r="AC240" s="19"/>
      <c r="AD240" s="19"/>
      <c r="AE240" s="19"/>
      <c r="AF240" s="1502">
        <f t="shared" ref="AF240:AT242" si="650">AF232/X232-1</f>
        <v>1.5799026926009763E-2</v>
      </c>
      <c r="AG240" s="204">
        <f>AG232/Y232-1</f>
        <v>-0.21731772669581151</v>
      </c>
      <c r="AH240" s="204">
        <f t="shared" si="650"/>
        <v>-2.2767439442769488E-2</v>
      </c>
      <c r="AI240" s="204">
        <f t="shared" si="650"/>
        <v>-0.39816637606164584</v>
      </c>
      <c r="AJ240" s="205">
        <f t="shared" si="650"/>
        <v>1.8935569797188605</v>
      </c>
      <c r="AK240" s="204">
        <f t="shared" si="650"/>
        <v>-0.13869165161127683</v>
      </c>
      <c r="AL240" s="204">
        <f t="shared" si="650"/>
        <v>0.65684245032750788</v>
      </c>
      <c r="AM240" s="204">
        <f t="shared" si="650"/>
        <v>-0.24963924963924966</v>
      </c>
      <c r="AN240" s="1502">
        <f t="shared" si="650"/>
        <v>0.32317593238737707</v>
      </c>
      <c r="AO240" s="204">
        <f>AO232/AG232-1</f>
        <v>0.98198198198198194</v>
      </c>
      <c r="AP240" s="204">
        <f t="shared" si="650"/>
        <v>1.4468085106382977</v>
      </c>
      <c r="AQ240" s="204">
        <f t="shared" si="650"/>
        <v>1.05607476635514</v>
      </c>
      <c r="AR240" s="205">
        <f t="shared" si="650"/>
        <v>-0.48278183134476915</v>
      </c>
      <c r="AS240" s="204">
        <f t="shared" ref="AS240:AV242" si="651">AS232/AK232-1</f>
        <v>1.1951219512195124</v>
      </c>
      <c r="AT240" s="204">
        <f t="shared" si="650"/>
        <v>-0.18113368721643897</v>
      </c>
      <c r="AU240" s="204">
        <f t="shared" si="651"/>
        <v>1.1474358974358974</v>
      </c>
      <c r="AV240" s="1502">
        <f t="shared" si="651"/>
        <v>0.19461199890263781</v>
      </c>
      <c r="AW240" s="204">
        <f t="shared" ref="AW240:BC242" si="652">AW232/AO232-1</f>
        <v>0.25</v>
      </c>
      <c r="AX240" s="204">
        <f t="shared" si="652"/>
        <v>-2.1739130434782594E-2</v>
      </c>
      <c r="AY240" s="213">
        <f t="shared" si="652"/>
        <v>0.10610227737645039</v>
      </c>
      <c r="AZ240" s="209">
        <f t="shared" si="652"/>
        <v>7.2057788541797674E-2</v>
      </c>
      <c r="BA240" s="204">
        <f t="shared" si="652"/>
        <v>0.11111111111111116</v>
      </c>
      <c r="BB240" s="213">
        <f t="shared" si="652"/>
        <v>8.8813976474536815E-2</v>
      </c>
      <c r="BC240" s="213">
        <f t="shared" si="652"/>
        <v>0.10946641943704338</v>
      </c>
      <c r="BD240" s="644">
        <v>0.1</v>
      </c>
      <c r="BE240" s="213">
        <f t="shared" ref="BE240:BK242" si="653">BE232/AW232-1</f>
        <v>-1.331499795436164E-2</v>
      </c>
      <c r="BF240" s="213">
        <f t="shared" si="653"/>
        <v>0.20594833583355787</v>
      </c>
      <c r="BG240" s="213">
        <f t="shared" si="653"/>
        <v>0.11504720475074826</v>
      </c>
      <c r="BH240" s="209">
        <f t="shared" si="653"/>
        <v>0.11504720475074826</v>
      </c>
      <c r="BI240" s="213">
        <f t="shared" si="653"/>
        <v>8.5353502250202107E-2</v>
      </c>
      <c r="BJ240" s="213">
        <f t="shared" si="653"/>
        <v>0.11504720475074826</v>
      </c>
      <c r="BK240" s="213">
        <f t="shared" si="653"/>
        <v>9.507410859407206E-2</v>
      </c>
      <c r="BL240" s="648">
        <f>BD240</f>
        <v>0.1</v>
      </c>
      <c r="BM240" s="213">
        <f t="shared" ref="BM240:BS242" si="654">BM232/BE232-1</f>
        <v>0.10000000000000009</v>
      </c>
      <c r="BN240" s="213">
        <f t="shared" si="654"/>
        <v>0.10000000000000009</v>
      </c>
      <c r="BO240" s="213">
        <f t="shared" si="654"/>
        <v>0.10000000000000009</v>
      </c>
      <c r="BP240" s="209">
        <f t="shared" si="654"/>
        <v>0.10000000000000009</v>
      </c>
      <c r="BQ240" s="213">
        <f t="shared" si="654"/>
        <v>0.10000000000000009</v>
      </c>
      <c r="BR240" s="213">
        <f t="shared" si="654"/>
        <v>0.10000000000000009</v>
      </c>
      <c r="BS240" s="213">
        <f t="shared" si="654"/>
        <v>9.9999999999999867E-2</v>
      </c>
      <c r="BT240" s="648">
        <f>BL240</f>
        <v>0.1</v>
      </c>
      <c r="BU240" s="213">
        <f t="shared" ref="BU240:CA242" si="655">BU232/BM232-1</f>
        <v>0.10000000000000009</v>
      </c>
      <c r="BV240" s="213">
        <f t="shared" si="655"/>
        <v>0.10000000000000009</v>
      </c>
      <c r="BW240" s="213">
        <f t="shared" si="655"/>
        <v>0.10000000000000009</v>
      </c>
      <c r="BX240" s="209">
        <f t="shared" si="655"/>
        <v>0.10000000000000009</v>
      </c>
      <c r="BY240" s="213">
        <f t="shared" si="655"/>
        <v>0.10000000000000009</v>
      </c>
      <c r="BZ240" s="213">
        <f t="shared" si="655"/>
        <v>0.10000000000000009</v>
      </c>
      <c r="CA240" s="213">
        <f t="shared" si="655"/>
        <v>9.9999999999999867E-2</v>
      </c>
      <c r="CB240" s="648">
        <f>BT240</f>
        <v>0.1</v>
      </c>
      <c r="CC240" s="213">
        <f t="shared" ref="CC240:CI242" si="656">CC232/BU232-1</f>
        <v>0.10000000000000009</v>
      </c>
      <c r="CD240" s="213">
        <f t="shared" si="656"/>
        <v>0.10000000000000009</v>
      </c>
      <c r="CE240" s="213">
        <f t="shared" si="656"/>
        <v>0.10000000000000009</v>
      </c>
      <c r="CF240" s="209">
        <f t="shared" si="656"/>
        <v>0.10000000000000009</v>
      </c>
      <c r="CG240" s="213">
        <f t="shared" si="656"/>
        <v>0.10000000000000009</v>
      </c>
      <c r="CH240" s="213">
        <f t="shared" si="656"/>
        <v>0.10000000000000009</v>
      </c>
      <c r="CI240" s="213">
        <f t="shared" si="656"/>
        <v>0.10000000000000009</v>
      </c>
      <c r="CJ240" s="648">
        <f>CB240</f>
        <v>0.1</v>
      </c>
    </row>
    <row r="241" spans="1:88" x14ac:dyDescent="0.2">
      <c r="A241" s="197" t="s">
        <v>814</v>
      </c>
      <c r="B241" s="284"/>
      <c r="C241" s="49"/>
      <c r="D241" s="49"/>
      <c r="E241" s="49"/>
      <c r="F241" s="49"/>
      <c r="G241" s="49"/>
      <c r="H241" s="104"/>
      <c r="I241" s="104"/>
      <c r="J241" s="49"/>
      <c r="K241" s="49"/>
      <c r="L241" s="49"/>
      <c r="M241" s="49"/>
      <c r="N241" s="19"/>
      <c r="O241" s="19">
        <f>O233/N233-1</f>
        <v>0.10750473130284388</v>
      </c>
      <c r="P241" s="19">
        <f>P233/O233-1</f>
        <v>0.43996341413940243</v>
      </c>
      <c r="Q241" s="19">
        <f>Q233/P233-1</f>
        <v>7.3456341116085566E-2</v>
      </c>
      <c r="R241" s="19">
        <f>R233/Q233-1</f>
        <v>-0.12774108679538199</v>
      </c>
      <c r="S241" s="19">
        <f>S233/R233-1</f>
        <v>-0.10349009284848731</v>
      </c>
      <c r="T241" s="19"/>
      <c r="U241" s="19">
        <f>U233/S233-1</f>
        <v>0.65158884169758546</v>
      </c>
      <c r="V241" s="19">
        <f>V233/U233-1</f>
        <v>-5.0094987668537927E-2</v>
      </c>
      <c r="W241" s="19">
        <f>W233/V233-1</f>
        <v>0.10623605390049984</v>
      </c>
      <c r="X241" s="494">
        <f>X233/W233-1</f>
        <v>-9.4949660693147142E-2</v>
      </c>
      <c r="Y241" s="19"/>
      <c r="Z241" s="19"/>
      <c r="AA241" s="813"/>
      <c r="AB241" s="643"/>
      <c r="AC241" s="814"/>
      <c r="AD241" s="19"/>
      <c r="AE241" s="19"/>
      <c r="AF241" s="668">
        <f t="shared" si="650"/>
        <v>-4.3131424841815424E-2</v>
      </c>
      <c r="AG241" s="204">
        <f>AG233/Y233-1</f>
        <v>8.8483412322274857E-2</v>
      </c>
      <c r="AH241" s="204">
        <f t="shared" si="650"/>
        <v>-4.4844290657439334E-2</v>
      </c>
      <c r="AI241" s="204">
        <f t="shared" si="650"/>
        <v>0.16721973094170406</v>
      </c>
      <c r="AJ241" s="205">
        <f t="shared" si="650"/>
        <v>-1.9526805940095708</v>
      </c>
      <c r="AK241" s="204">
        <f t="shared" si="650"/>
        <v>1.1419999999999986E-2</v>
      </c>
      <c r="AL241" s="204">
        <f t="shared" si="650"/>
        <v>2.619593791336694E-2</v>
      </c>
      <c r="AM241" s="204">
        <f t="shared" si="650"/>
        <v>5.9474412171507618E-2</v>
      </c>
      <c r="AN241" s="668">
        <f t="shared" si="650"/>
        <v>1.6197225034240592E-2</v>
      </c>
      <c r="AO241" s="204">
        <f>AO233/AG233-1</f>
        <v>-0.19345147385379025</v>
      </c>
      <c r="AP241" s="204">
        <f t="shared" si="650"/>
        <v>-0.29622518475583259</v>
      </c>
      <c r="AQ241" s="204">
        <f t="shared" si="650"/>
        <v>-0.52460716892696602</v>
      </c>
      <c r="AR241" s="205">
        <f t="shared" si="650"/>
        <v>-12.001561063670083</v>
      </c>
      <c r="AS241" s="204">
        <f t="shared" si="651"/>
        <v>-0.24955013743054322</v>
      </c>
      <c r="AT241" s="204">
        <f t="shared" si="650"/>
        <v>0.18418778096661459</v>
      </c>
      <c r="AU241" s="204">
        <f t="shared" si="651"/>
        <v>-0.34301566579634468</v>
      </c>
      <c r="AV241" s="668">
        <f t="shared" si="651"/>
        <v>-0.10793805169543524</v>
      </c>
      <c r="AW241" s="204">
        <f t="shared" si="652"/>
        <v>0.21852731591448937</v>
      </c>
      <c r="AX241" s="204">
        <f t="shared" si="652"/>
        <v>0.46116229989190316</v>
      </c>
      <c r="AY241" s="213">
        <f t="shared" si="652"/>
        <v>-8.1885413147073982E-2</v>
      </c>
      <c r="AZ241" s="209">
        <f t="shared" si="652"/>
        <v>-0.31793335732910943</v>
      </c>
      <c r="BA241" s="204">
        <f t="shared" si="652"/>
        <v>0.34273141682696129</v>
      </c>
      <c r="BB241" s="213">
        <f t="shared" si="652"/>
        <v>-0.21731948570813231</v>
      </c>
      <c r="BC241" s="213">
        <f t="shared" si="652"/>
        <v>0.23832587973607766</v>
      </c>
      <c r="BD241" s="644">
        <v>0.1</v>
      </c>
      <c r="BE241" s="213">
        <f t="shared" si="653"/>
        <v>-0.10234527539673222</v>
      </c>
      <c r="BF241" s="213">
        <f t="shared" si="653"/>
        <v>-0.28620226718294361</v>
      </c>
      <c r="BG241" s="213">
        <f t="shared" si="653"/>
        <v>0.78349691931997456</v>
      </c>
      <c r="BH241" s="209">
        <f t="shared" si="653"/>
        <v>0.78349691931997456</v>
      </c>
      <c r="BI241" s="213">
        <f t="shared" si="653"/>
        <v>-0.20476225739844733</v>
      </c>
      <c r="BJ241" s="213">
        <f t="shared" si="653"/>
        <v>0.78349691931997456</v>
      </c>
      <c r="BK241" s="213">
        <f t="shared" si="653"/>
        <v>-2.4601946749566728E-2</v>
      </c>
      <c r="BL241" s="648">
        <f>BD241</f>
        <v>0.1</v>
      </c>
      <c r="BM241" s="213">
        <f t="shared" si="654"/>
        <v>0.10000000000000009</v>
      </c>
      <c r="BN241" s="213">
        <f t="shared" si="654"/>
        <v>0.10000000000000009</v>
      </c>
      <c r="BO241" s="213">
        <f t="shared" si="654"/>
        <v>0.10000000000000009</v>
      </c>
      <c r="BP241" s="209">
        <f t="shared" si="654"/>
        <v>0.10000000000000009</v>
      </c>
      <c r="BQ241" s="213">
        <f t="shared" si="654"/>
        <v>0.10000000000000009</v>
      </c>
      <c r="BR241" s="213">
        <f t="shared" si="654"/>
        <v>0.10000000000000009</v>
      </c>
      <c r="BS241" s="213">
        <f t="shared" si="654"/>
        <v>9.9999999999999867E-2</v>
      </c>
      <c r="BT241" s="648">
        <f>BL241</f>
        <v>0.1</v>
      </c>
      <c r="BU241" s="213">
        <f t="shared" si="655"/>
        <v>0.10000000000000009</v>
      </c>
      <c r="BV241" s="213">
        <f t="shared" si="655"/>
        <v>0.10000000000000009</v>
      </c>
      <c r="BW241" s="213">
        <f t="shared" si="655"/>
        <v>0.10000000000000009</v>
      </c>
      <c r="BX241" s="209">
        <f t="shared" si="655"/>
        <v>0.10000000000000009</v>
      </c>
      <c r="BY241" s="213">
        <f t="shared" si="655"/>
        <v>0.10000000000000009</v>
      </c>
      <c r="BZ241" s="213">
        <f t="shared" si="655"/>
        <v>0.10000000000000009</v>
      </c>
      <c r="CA241" s="213">
        <f t="shared" si="655"/>
        <v>0.10000000000000009</v>
      </c>
      <c r="CB241" s="648">
        <f>BT241</f>
        <v>0.1</v>
      </c>
      <c r="CC241" s="213">
        <f t="shared" si="656"/>
        <v>0.10000000000000009</v>
      </c>
      <c r="CD241" s="213">
        <f t="shared" si="656"/>
        <v>0.10000000000000009</v>
      </c>
      <c r="CE241" s="213">
        <f t="shared" si="656"/>
        <v>0.10000000000000009</v>
      </c>
      <c r="CF241" s="209">
        <f t="shared" si="656"/>
        <v>0.10000000000000009</v>
      </c>
      <c r="CG241" s="213">
        <f t="shared" si="656"/>
        <v>0.10000000000000009</v>
      </c>
      <c r="CH241" s="213">
        <f t="shared" si="656"/>
        <v>0.10000000000000009</v>
      </c>
      <c r="CI241" s="213">
        <f t="shared" si="656"/>
        <v>0.10000000000000009</v>
      </c>
      <c r="CJ241" s="648">
        <f>CB241</f>
        <v>0.1</v>
      </c>
    </row>
    <row r="242" spans="1:88" x14ac:dyDescent="0.2">
      <c r="A242" s="202" t="s">
        <v>728</v>
      </c>
      <c r="B242" s="284"/>
      <c r="C242" s="49"/>
      <c r="D242" s="151"/>
      <c r="E242" s="638">
        <f t="shared" ref="E242:X242" si="657">E234/D234-1</f>
        <v>4.1251448435689619E-2</v>
      </c>
      <c r="F242" s="638">
        <f t="shared" si="657"/>
        <v>4.8440431146863139E-2</v>
      </c>
      <c r="G242" s="638">
        <f t="shared" si="657"/>
        <v>-1.3070706151723344E-2</v>
      </c>
      <c r="H242" s="638">
        <f t="shared" si="657"/>
        <v>-1.7407470001690073E-2</v>
      </c>
      <c r="I242" s="638">
        <f t="shared" si="657"/>
        <v>6.4452575288488578E-2</v>
      </c>
      <c r="J242" s="638">
        <f t="shared" si="657"/>
        <v>-1.2162876784769905E-2</v>
      </c>
      <c r="K242" s="638">
        <f t="shared" si="657"/>
        <v>-5.6507256721394228E-4</v>
      </c>
      <c r="L242" s="638">
        <f t="shared" si="657"/>
        <v>0.146481178396072</v>
      </c>
      <c r="M242" s="638">
        <f t="shared" si="657"/>
        <v>-1.5119070793588874E-2</v>
      </c>
      <c r="N242" s="638">
        <f t="shared" si="657"/>
        <v>7.4318091975227318E-2</v>
      </c>
      <c r="O242" s="638">
        <f t="shared" si="657"/>
        <v>2.8713357046485699E-2</v>
      </c>
      <c r="P242" s="638">
        <f t="shared" si="657"/>
        <v>0.343634867832743</v>
      </c>
      <c r="Q242" s="638">
        <f t="shared" si="657"/>
        <v>3.7269726333723829E-2</v>
      </c>
      <c r="R242" s="638">
        <f>R234/Q234-1</f>
        <v>-0.11946925367005434</v>
      </c>
      <c r="S242" s="638">
        <f>S234/R234-1</f>
        <v>-8.6070710309248288E-2</v>
      </c>
      <c r="T242" s="638"/>
      <c r="U242" s="638">
        <f>U234/S234-1</f>
        <v>0.66459369817578806</v>
      </c>
      <c r="V242" s="638">
        <f t="shared" si="657"/>
        <v>-0.11911102596034118</v>
      </c>
      <c r="W242" s="638">
        <f t="shared" si="657"/>
        <v>7.863180941609782E-2</v>
      </c>
      <c r="X242" s="649">
        <f t="shared" si="657"/>
        <v>-0.10549805081328134</v>
      </c>
      <c r="Y242" s="638"/>
      <c r="Z242" s="638"/>
      <c r="AA242" s="638"/>
      <c r="AB242" s="657"/>
      <c r="AC242" s="638"/>
      <c r="AD242" s="638"/>
      <c r="AE242" s="638"/>
      <c r="AF242" s="1375">
        <f t="shared" si="650"/>
        <v>-1.8394397523368911E-2</v>
      </c>
      <c r="AG242" s="1515">
        <f>AG234/Y234-1</f>
        <v>-3.4436823309336173E-2</v>
      </c>
      <c r="AH242" s="1515">
        <f t="shared" si="650"/>
        <v>-3.9331239128741591E-2</v>
      </c>
      <c r="AI242" s="1515">
        <f t="shared" si="650"/>
        <v>-8.3584919783427747E-2</v>
      </c>
      <c r="AJ242" s="1575">
        <f t="shared" si="650"/>
        <v>1.5287658152303667</v>
      </c>
      <c r="AK242" s="1515">
        <f t="shared" si="650"/>
        <v>-3.6991368680641123E-2</v>
      </c>
      <c r="AL242" s="1515">
        <f t="shared" si="650"/>
        <v>0.39176563737133829</v>
      </c>
      <c r="AM242" s="1515">
        <f t="shared" si="650"/>
        <v>-5.338953284158765E-2</v>
      </c>
      <c r="AN242" s="1375">
        <f t="shared" si="650"/>
        <v>0.14954530144829925</v>
      </c>
      <c r="AO242" s="1515">
        <f>AO234/AG234-1</f>
        <v>0.18953826283500153</v>
      </c>
      <c r="AP242" s="1515">
        <f t="shared" si="650"/>
        <v>0.14655172413793083</v>
      </c>
      <c r="AQ242" s="1515">
        <f t="shared" si="650"/>
        <v>-6.4118271665441484E-2</v>
      </c>
      <c r="AR242" s="1575">
        <f t="shared" si="650"/>
        <v>-7.1202681015764657E-2</v>
      </c>
      <c r="AS242" s="1515">
        <f t="shared" si="651"/>
        <v>0.16715678687509672</v>
      </c>
      <c r="AT242" s="1515">
        <f t="shared" si="650"/>
        <v>-6.7913174296152734E-2</v>
      </c>
      <c r="AU242" s="1515">
        <f t="shared" si="651"/>
        <v>8.8358070500927699E-2</v>
      </c>
      <c r="AV242" s="1375">
        <f t="shared" si="651"/>
        <v>4.3336973603601336E-2</v>
      </c>
      <c r="AW242" s="1515">
        <f t="shared" si="652"/>
        <v>0.23561346362649305</v>
      </c>
      <c r="AX242" s="1515">
        <f t="shared" si="652"/>
        <v>0.19937775473165686</v>
      </c>
      <c r="AY242" s="816">
        <f t="shared" si="652"/>
        <v>3.8430208878804217E-2</v>
      </c>
      <c r="AZ242" s="817">
        <f t="shared" si="652"/>
        <v>-9.2999618854021082E-2</v>
      </c>
      <c r="BA242" s="1515">
        <f t="shared" si="652"/>
        <v>0.21707996286964604</v>
      </c>
      <c r="BB242" s="816">
        <f t="shared" si="652"/>
        <v>-3.172428759375534E-2</v>
      </c>
      <c r="BC242" s="816">
        <f t="shared" si="652"/>
        <v>0.16473897293841899</v>
      </c>
      <c r="BD242" s="815">
        <f>BD234/AV234-1</f>
        <v>0.10000000000000009</v>
      </c>
      <c r="BE242" s="816">
        <f t="shared" si="653"/>
        <v>-5.3449033391915313E-2</v>
      </c>
      <c r="BF242" s="816">
        <f t="shared" si="653"/>
        <v>-6.859057501080823E-2</v>
      </c>
      <c r="BG242" s="816">
        <f t="shared" si="653"/>
        <v>0.32779661016949135</v>
      </c>
      <c r="BH242" s="817">
        <f t="shared" si="653"/>
        <v>0.32779661016949135</v>
      </c>
      <c r="BI242" s="816">
        <f t="shared" si="653"/>
        <v>-6.1080845500108616E-2</v>
      </c>
      <c r="BJ242" s="816">
        <f t="shared" si="653"/>
        <v>0.32779661016949135</v>
      </c>
      <c r="BK242" s="816">
        <f t="shared" si="653"/>
        <v>4.0497464380584658E-2</v>
      </c>
      <c r="BL242" s="815">
        <f>BL234/BD234-1</f>
        <v>0.10000000000000009</v>
      </c>
      <c r="BM242" s="816">
        <f t="shared" si="654"/>
        <v>9.9999999999999867E-2</v>
      </c>
      <c r="BN242" s="816">
        <f t="shared" si="654"/>
        <v>9.9999999999999867E-2</v>
      </c>
      <c r="BO242" s="816">
        <f t="shared" si="654"/>
        <v>9.9999999999999867E-2</v>
      </c>
      <c r="BP242" s="817">
        <f t="shared" si="654"/>
        <v>9.9999999999999867E-2</v>
      </c>
      <c r="BQ242" s="816">
        <f t="shared" si="654"/>
        <v>9.9999999999999867E-2</v>
      </c>
      <c r="BR242" s="816">
        <f t="shared" si="654"/>
        <v>9.9999999999999867E-2</v>
      </c>
      <c r="BS242" s="816">
        <f t="shared" si="654"/>
        <v>0.10000000000000009</v>
      </c>
      <c r="BT242" s="815">
        <f>BT234/BL234-1</f>
        <v>9.9999999999999867E-2</v>
      </c>
      <c r="BU242" s="816">
        <f t="shared" si="655"/>
        <v>0.10000000000000009</v>
      </c>
      <c r="BV242" s="816">
        <f t="shared" si="655"/>
        <v>0.10000000000000009</v>
      </c>
      <c r="BW242" s="816">
        <f t="shared" si="655"/>
        <v>0.10000000000000009</v>
      </c>
      <c r="BX242" s="817">
        <f t="shared" si="655"/>
        <v>0.10000000000000009</v>
      </c>
      <c r="BY242" s="816">
        <f t="shared" si="655"/>
        <v>0.10000000000000009</v>
      </c>
      <c r="BZ242" s="816">
        <f t="shared" si="655"/>
        <v>0.10000000000000009</v>
      </c>
      <c r="CA242" s="816">
        <f t="shared" si="655"/>
        <v>9.9999999999999867E-2</v>
      </c>
      <c r="CB242" s="815">
        <f>CB234/BT234-1</f>
        <v>0.10000000000000009</v>
      </c>
      <c r="CC242" s="816">
        <f t="shared" si="656"/>
        <v>0.10000000000000009</v>
      </c>
      <c r="CD242" s="816">
        <f t="shared" si="656"/>
        <v>0.10000000000000009</v>
      </c>
      <c r="CE242" s="816">
        <f t="shared" si="656"/>
        <v>0.10000000000000009</v>
      </c>
      <c r="CF242" s="817">
        <f t="shared" si="656"/>
        <v>0.10000000000000009</v>
      </c>
      <c r="CG242" s="816">
        <f t="shared" si="656"/>
        <v>0.10000000000000009</v>
      </c>
      <c r="CH242" s="816">
        <f t="shared" si="656"/>
        <v>0.10000000000000009</v>
      </c>
      <c r="CI242" s="816">
        <f t="shared" si="656"/>
        <v>0.10000000000000009</v>
      </c>
      <c r="CJ242" s="815">
        <f>CJ234/CB234-1</f>
        <v>0.10000000000000009</v>
      </c>
    </row>
    <row r="243" spans="1:88" x14ac:dyDescent="0.2">
      <c r="A243" s="680"/>
      <c r="B243" s="284"/>
      <c r="C243" s="49"/>
      <c r="D243" s="151"/>
      <c r="E243" s="151"/>
      <c r="F243" s="151"/>
      <c r="G243" s="151"/>
      <c r="H243" s="151"/>
      <c r="I243" s="151"/>
      <c r="J243" s="151"/>
      <c r="K243" s="151"/>
      <c r="L243" s="151"/>
      <c r="M243" s="151"/>
      <c r="N243" s="151"/>
      <c r="O243" s="151"/>
      <c r="P243" s="151"/>
      <c r="Q243" s="151"/>
      <c r="R243" s="151"/>
      <c r="S243" s="151"/>
      <c r="T243" s="151"/>
      <c r="U243" s="151"/>
      <c r="V243" s="151"/>
      <c r="W243" s="151"/>
      <c r="X243" s="96"/>
      <c r="Y243" s="151"/>
      <c r="Z243" s="151"/>
      <c r="AA243" s="151"/>
      <c r="AB243" s="818"/>
      <c r="AC243" s="151"/>
      <c r="AD243" s="151"/>
      <c r="AE243" s="151"/>
      <c r="AF243" s="819"/>
      <c r="AG243" s="151"/>
      <c r="AH243" s="151"/>
      <c r="AI243" s="151"/>
      <c r="AJ243" s="818"/>
      <c r="AK243" s="151"/>
      <c r="AL243" s="151"/>
      <c r="AM243" s="151"/>
      <c r="AN243" s="819"/>
      <c r="AO243" s="151"/>
      <c r="AP243" s="151"/>
      <c r="AQ243" s="151"/>
      <c r="AR243" s="818"/>
      <c r="AS243" s="151"/>
      <c r="AT243" s="151"/>
      <c r="AU243" s="151"/>
      <c r="AV243" s="819"/>
      <c r="AW243" s="151"/>
      <c r="AX243" s="151"/>
      <c r="AY243" s="151"/>
      <c r="AZ243" s="818"/>
      <c r="BA243" s="151"/>
      <c r="BB243" s="151"/>
      <c r="BC243" s="151"/>
      <c r="BD243" s="819"/>
      <c r="BE243" s="151"/>
      <c r="BF243" s="151"/>
      <c r="BG243" s="151"/>
      <c r="BH243" s="818"/>
      <c r="BI243" s="151"/>
      <c r="BJ243" s="151"/>
      <c r="BK243" s="151"/>
      <c r="BL243" s="819"/>
      <c r="BM243" s="151"/>
      <c r="BN243" s="151"/>
      <c r="BO243" s="151"/>
      <c r="BP243" s="818"/>
      <c r="BQ243" s="151"/>
      <c r="BR243" s="151"/>
      <c r="BS243" s="151"/>
      <c r="BT243" s="819"/>
      <c r="BU243" s="151"/>
      <c r="BV243" s="151"/>
      <c r="BW243" s="151"/>
      <c r="BX243" s="818"/>
      <c r="BY243" s="151"/>
      <c r="BZ243" s="151"/>
      <c r="CA243" s="151"/>
      <c r="CB243" s="819"/>
      <c r="CC243" s="151"/>
      <c r="CD243" s="151"/>
      <c r="CE243" s="151"/>
      <c r="CF243" s="818"/>
      <c r="CG243" s="151"/>
      <c r="CH243" s="151"/>
      <c r="CI243" s="151"/>
      <c r="CJ243" s="819"/>
    </row>
    <row r="244" spans="1:88" x14ac:dyDescent="0.2">
      <c r="A244" s="680" t="s">
        <v>815</v>
      </c>
      <c r="B244" s="284"/>
      <c r="C244" s="49"/>
      <c r="D244" s="151"/>
      <c r="E244" s="151"/>
      <c r="F244" s="151"/>
      <c r="G244" s="151"/>
      <c r="H244" s="151"/>
      <c r="I244" s="151"/>
      <c r="J244" s="151"/>
      <c r="K244" s="151"/>
      <c r="L244" s="151"/>
      <c r="M244" s="151"/>
      <c r="N244" s="820">
        <f>N234*N245</f>
        <v>163.06000000000003</v>
      </c>
      <c r="O244" s="141">
        <f>O234*O245</f>
        <v>167.74199999999999</v>
      </c>
      <c r="P244" s="622">
        <f>P234*P245</f>
        <v>169.03799999999998</v>
      </c>
      <c r="Q244" s="622">
        <f>Q234*Q245</f>
        <v>175.33799999999997</v>
      </c>
      <c r="R244" s="141">
        <f>+Q244</f>
        <v>175.33799999999997</v>
      </c>
      <c r="S244" s="622">
        <f>S234*S245</f>
        <v>160.24653379579701</v>
      </c>
      <c r="T244" s="622"/>
      <c r="U244" s="622">
        <f>U234*U245</f>
        <v>266.19450000000006</v>
      </c>
      <c r="V244" s="141">
        <f>V234*V245</f>
        <v>206.90099999999998</v>
      </c>
      <c r="W244" s="141">
        <f>W234*W245</f>
        <v>208.29200000000006</v>
      </c>
      <c r="X244" s="144">
        <f>X234*X245</f>
        <v>173.00920000000002</v>
      </c>
      <c r="Y244" s="141"/>
      <c r="Z244" s="141"/>
      <c r="AA244" s="141"/>
      <c r="AB244" s="617"/>
      <c r="AC244" s="70">
        <f>AC234*AC245</f>
        <v>88.561199999999999</v>
      </c>
      <c r="AD244" s="141">
        <f>AF244-AC244</f>
        <v>68.201999999999984</v>
      </c>
      <c r="AE244" s="141"/>
      <c r="AF244" s="812">
        <f>AF234*AF245</f>
        <v>156.76319999999998</v>
      </c>
      <c r="AG244" s="141"/>
      <c r="AH244" s="141"/>
      <c r="AI244" s="141"/>
      <c r="AJ244" s="617"/>
      <c r="AK244" s="70">
        <f>AK234*AK245</f>
        <v>85.285200000000003</v>
      </c>
      <c r="AL244" s="141">
        <f>AN244-AK244</f>
        <v>94.921199999999999</v>
      </c>
      <c r="AM244" s="141"/>
      <c r="AN244" s="812">
        <f>AN234*AN245</f>
        <v>180.2064</v>
      </c>
      <c r="AO244" s="141"/>
      <c r="AP244" s="141"/>
      <c r="AQ244" s="141"/>
      <c r="AR244" s="617"/>
      <c r="AS244" s="70">
        <f>AS234*AS245</f>
        <v>99.541199999999989</v>
      </c>
      <c r="AT244" s="141">
        <f>AV244-AS244</f>
        <v>96.308800000000033</v>
      </c>
      <c r="AU244" s="141"/>
      <c r="AV244" s="812">
        <f>AV234*AV245</f>
        <v>195.85000000000002</v>
      </c>
      <c r="AW244" s="141"/>
      <c r="AX244" s="141"/>
      <c r="AY244" s="141"/>
      <c r="AZ244" s="617"/>
      <c r="BA244" s="70">
        <f>BA234*BA245</f>
        <v>121.14960000000001</v>
      </c>
      <c r="BB244" s="149">
        <f>BD244-BA244</f>
        <v>102.90280000000006</v>
      </c>
      <c r="BC244" s="141"/>
      <c r="BD244" s="793">
        <f>BD234*BD245</f>
        <v>224.05240000000006</v>
      </c>
      <c r="BE244" s="141"/>
      <c r="BF244" s="141"/>
      <c r="BG244" s="141"/>
      <c r="BH244" s="617"/>
      <c r="BI244" s="542">
        <f>BI234*BI245</f>
        <v>127.96839000000006</v>
      </c>
      <c r="BJ244" s="149">
        <f>BL244-BI244</f>
        <v>127.96839000000006</v>
      </c>
      <c r="BK244" s="141"/>
      <c r="BL244" s="793">
        <f>BL234*BL245</f>
        <v>255.93678000000011</v>
      </c>
      <c r="BM244" s="141"/>
      <c r="BN244" s="141"/>
      <c r="BO244" s="141"/>
      <c r="BP244" s="617"/>
      <c r="BQ244" s="542">
        <f>BQ234*BQ245</f>
        <v>156.40581000000003</v>
      </c>
      <c r="BR244" s="149">
        <f>BT244-BQ244</f>
        <v>156.40581000000003</v>
      </c>
      <c r="BS244" s="141"/>
      <c r="BT244" s="793">
        <f>BT234*BT245</f>
        <v>312.81162000000006</v>
      </c>
      <c r="BU244" s="141"/>
      <c r="BV244" s="141"/>
      <c r="BW244" s="141"/>
      <c r="BX244" s="617"/>
      <c r="BY244" s="542">
        <f>BY234*BY245</f>
        <v>172.04639100000006</v>
      </c>
      <c r="BZ244" s="149">
        <f>CB244-BY244</f>
        <v>172.04639100000006</v>
      </c>
      <c r="CA244" s="141"/>
      <c r="CB244" s="793">
        <f>CB234*CB245</f>
        <v>344.09278200000011</v>
      </c>
      <c r="CC244" s="141"/>
      <c r="CD244" s="141"/>
      <c r="CE244" s="141"/>
      <c r="CF244" s="617"/>
      <c r="CG244" s="542">
        <f>CG234*CG245</f>
        <v>189.25103010000009</v>
      </c>
      <c r="CH244" s="149">
        <f>CJ244-CG244</f>
        <v>189.25103010000009</v>
      </c>
      <c r="CI244" s="141"/>
      <c r="CJ244" s="793">
        <f>CJ234*CJ245</f>
        <v>378.50206020000019</v>
      </c>
    </row>
    <row r="245" spans="1:88" x14ac:dyDescent="0.2">
      <c r="A245" s="690" t="s">
        <v>461</v>
      </c>
      <c r="B245" s="284"/>
      <c r="C245" s="49"/>
      <c r="D245" s="151"/>
      <c r="E245" s="151"/>
      <c r="F245" s="151"/>
      <c r="G245" s="151"/>
      <c r="H245" s="151"/>
      <c r="I245" s="151"/>
      <c r="J245" s="151"/>
      <c r="K245" s="151"/>
      <c r="L245" s="151"/>
      <c r="M245" s="151"/>
      <c r="N245" s="19">
        <v>0.2</v>
      </c>
      <c r="O245" s="19">
        <v>0.2</v>
      </c>
      <c r="P245" s="19">
        <v>0.15</v>
      </c>
      <c r="Q245" s="19">
        <v>0.15</v>
      </c>
      <c r="R245" s="19">
        <f>+R244/R234</f>
        <v>0.17035180273397649</v>
      </c>
      <c r="S245" s="19">
        <f>+R245</f>
        <v>0.17035180273397649</v>
      </c>
      <c r="T245" s="19"/>
      <c r="U245" s="19">
        <v>0.17</v>
      </c>
      <c r="V245" s="19">
        <v>0.15</v>
      </c>
      <c r="W245" s="19">
        <v>0.14000000000000001</v>
      </c>
      <c r="X245" s="494">
        <v>0.13</v>
      </c>
      <c r="Y245" s="19"/>
      <c r="Z245" s="19"/>
      <c r="AA245" s="19"/>
      <c r="AB245" s="643"/>
      <c r="AC245" s="19">
        <v>0.12</v>
      </c>
      <c r="AD245" s="19">
        <f>AD244/AD234</f>
        <v>0.12</v>
      </c>
      <c r="AE245" s="19"/>
      <c r="AF245" s="668">
        <v>0.12</v>
      </c>
      <c r="AG245" s="19"/>
      <c r="AH245" s="19"/>
      <c r="AI245" s="19"/>
      <c r="AJ245" s="643"/>
      <c r="AK245" s="19">
        <v>0.12</v>
      </c>
      <c r="AL245" s="19">
        <f>AL244/AL234</f>
        <v>0.12</v>
      </c>
      <c r="AM245" s="19"/>
      <c r="AN245" s="668">
        <v>0.12</v>
      </c>
      <c r="AO245" s="19"/>
      <c r="AP245" s="19"/>
      <c r="AQ245" s="19"/>
      <c r="AR245" s="643"/>
      <c r="AS245" s="19">
        <v>0.12</v>
      </c>
      <c r="AT245" s="19">
        <f>AT244/AT234</f>
        <v>0.13062539841853274</v>
      </c>
      <c r="AU245" s="19"/>
      <c r="AV245" s="668">
        <v>0.125</v>
      </c>
      <c r="AW245" s="19"/>
      <c r="AX245" s="19"/>
      <c r="AY245" s="19"/>
      <c r="AZ245" s="643"/>
      <c r="BA245" s="19">
        <v>0.12</v>
      </c>
      <c r="BB245" s="495">
        <f>BB244/BB234</f>
        <v>0.14414175654853623</v>
      </c>
      <c r="BC245" s="19"/>
      <c r="BD245" s="644">
        <v>0.13</v>
      </c>
      <c r="BE245" s="19"/>
      <c r="BF245" s="19"/>
      <c r="BG245" s="19"/>
      <c r="BH245" s="643"/>
      <c r="BI245" s="495">
        <f>BL245</f>
        <v>0.13500000000000001</v>
      </c>
      <c r="BJ245" s="495">
        <f>BJ244/BJ234</f>
        <v>0.13500000000000001</v>
      </c>
      <c r="BK245" s="19"/>
      <c r="BL245" s="644">
        <v>0.13500000000000001</v>
      </c>
      <c r="BM245" s="19"/>
      <c r="BN245" s="19"/>
      <c r="BO245" s="19"/>
      <c r="BP245" s="643"/>
      <c r="BQ245" s="495">
        <f>BT245</f>
        <v>0.15</v>
      </c>
      <c r="BR245" s="495">
        <f>BR244/BR234</f>
        <v>0.15</v>
      </c>
      <c r="BS245" s="19"/>
      <c r="BT245" s="644">
        <v>0.15</v>
      </c>
      <c r="BU245" s="19"/>
      <c r="BV245" s="19"/>
      <c r="BW245" s="19"/>
      <c r="BX245" s="643"/>
      <c r="BY245" s="495">
        <f>CB245</f>
        <v>0.15</v>
      </c>
      <c r="BZ245" s="495">
        <f>BZ244/BZ234</f>
        <v>0.15</v>
      </c>
      <c r="CA245" s="19"/>
      <c r="CB245" s="644">
        <v>0.15</v>
      </c>
      <c r="CC245" s="19"/>
      <c r="CD245" s="19"/>
      <c r="CE245" s="19"/>
      <c r="CF245" s="643"/>
      <c r="CG245" s="495">
        <f>CJ245</f>
        <v>0.15</v>
      </c>
      <c r="CH245" s="495">
        <f>CH244/CH234</f>
        <v>0.15</v>
      </c>
      <c r="CI245" s="19"/>
      <c r="CJ245" s="644">
        <v>0.15</v>
      </c>
    </row>
    <row r="246" spans="1:88" x14ac:dyDescent="0.2">
      <c r="A246" s="680"/>
      <c r="B246" s="284"/>
      <c r="C246" s="49"/>
      <c r="D246" s="151"/>
      <c r="E246" s="151"/>
      <c r="F246" s="151"/>
      <c r="G246" s="151"/>
      <c r="H246" s="151"/>
      <c r="I246" s="151"/>
      <c r="J246" s="151"/>
      <c r="K246" s="151"/>
      <c r="L246" s="151"/>
      <c r="M246" s="151"/>
      <c r="N246" s="151"/>
      <c r="O246" s="151"/>
      <c r="P246" s="151"/>
      <c r="Q246" s="151"/>
      <c r="R246" s="151"/>
      <c r="S246" s="151"/>
      <c r="T246" s="151"/>
      <c r="U246" s="151"/>
      <c r="V246" s="151"/>
      <c r="W246" s="151"/>
      <c r="X246" s="96"/>
      <c r="Y246" s="151"/>
      <c r="Z246" s="151"/>
      <c r="AA246" s="151"/>
      <c r="AB246" s="818"/>
      <c r="AC246" s="151"/>
      <c r="AD246" s="151"/>
      <c r="AE246" s="151"/>
      <c r="AF246" s="819"/>
      <c r="AG246" s="151"/>
      <c r="AH246" s="151"/>
      <c r="AI246" s="151"/>
      <c r="AJ246" s="818"/>
      <c r="AK246" s="151"/>
      <c r="AL246" s="151"/>
      <c r="AM246" s="151"/>
      <c r="AN246" s="819"/>
      <c r="AO246" s="151"/>
      <c r="AP246" s="151"/>
      <c r="AQ246" s="151"/>
      <c r="AR246" s="818"/>
      <c r="AS246" s="151"/>
      <c r="AT246" s="151"/>
      <c r="AU246" s="151"/>
      <c r="AV246" s="819"/>
      <c r="AW246" s="151"/>
      <c r="AX246" s="151"/>
      <c r="AY246" s="151"/>
      <c r="AZ246" s="818"/>
      <c r="BA246" s="151"/>
      <c r="BB246" s="151"/>
      <c r="BC246" s="151"/>
      <c r="BD246" s="819"/>
      <c r="BE246" s="151"/>
      <c r="BF246" s="151"/>
      <c r="BG246" s="151"/>
      <c r="BH246" s="818"/>
      <c r="BI246" s="151"/>
      <c r="BJ246" s="151"/>
      <c r="BK246" s="151"/>
      <c r="BL246" s="819"/>
      <c r="BM246" s="151"/>
      <c r="BN246" s="151"/>
      <c r="BO246" s="151"/>
      <c r="BP246" s="818"/>
      <c r="BQ246" s="151"/>
      <c r="BR246" s="151"/>
      <c r="BS246" s="151"/>
      <c r="BT246" s="819"/>
      <c r="BU246" s="151"/>
      <c r="BV246" s="151"/>
      <c r="BW246" s="151"/>
      <c r="BX246" s="818"/>
      <c r="BY246" s="151"/>
      <c r="BZ246" s="151"/>
      <c r="CA246" s="151"/>
      <c r="CB246" s="819"/>
      <c r="CC246" s="151"/>
      <c r="CD246" s="151"/>
      <c r="CE246" s="151"/>
      <c r="CF246" s="818"/>
      <c r="CG246" s="151"/>
      <c r="CH246" s="151"/>
      <c r="CI246" s="151"/>
      <c r="CJ246" s="819"/>
    </row>
    <row r="247" spans="1:88" x14ac:dyDescent="0.2">
      <c r="A247" s="693" t="s">
        <v>824</v>
      </c>
      <c r="B247" s="821" t="s">
        <v>825</v>
      </c>
      <c r="C247" s="49"/>
      <c r="D247" s="151"/>
      <c r="E247" s="151"/>
      <c r="F247" s="151"/>
      <c r="G247" s="151"/>
      <c r="H247" s="151"/>
      <c r="I247" s="151"/>
      <c r="J247" s="151"/>
      <c r="K247" s="151"/>
      <c r="L247" s="151"/>
      <c r="M247" s="151"/>
      <c r="N247" s="151"/>
      <c r="O247" s="151"/>
      <c r="P247" s="151"/>
      <c r="Q247" s="151"/>
      <c r="R247" s="151"/>
      <c r="S247" s="151"/>
      <c r="T247" s="151"/>
      <c r="U247" s="151"/>
      <c r="V247" s="151"/>
      <c r="W247" s="151"/>
      <c r="X247" s="96"/>
      <c r="Y247" s="151"/>
      <c r="Z247" s="151"/>
      <c r="AA247" s="151"/>
      <c r="AB247" s="818"/>
      <c r="AC247" s="151"/>
      <c r="AD247" s="151"/>
      <c r="AE247" s="151"/>
      <c r="AF247" s="819"/>
      <c r="AG247" s="151"/>
      <c r="AH247" s="151"/>
      <c r="AI247" s="151"/>
      <c r="AJ247" s="818"/>
      <c r="AK247" s="151"/>
      <c r="AL247" s="151"/>
      <c r="AM247" s="151"/>
      <c r="AN247" s="819"/>
      <c r="AO247" s="151"/>
      <c r="AP247" s="151"/>
      <c r="AQ247" s="151"/>
      <c r="AR247" s="818"/>
      <c r="AS247" s="151"/>
      <c r="AT247" s="151"/>
      <c r="AU247" s="151"/>
      <c r="AV247" s="819"/>
      <c r="AW247" s="151"/>
      <c r="AX247" s="151"/>
      <c r="AY247" s="151"/>
      <c r="AZ247" s="818"/>
      <c r="BA247" s="151"/>
      <c r="BB247" s="151"/>
      <c r="BC247" s="151"/>
      <c r="BD247" s="819"/>
      <c r="BE247" s="151"/>
      <c r="BF247" s="151"/>
      <c r="BG247" s="151"/>
      <c r="BH247" s="818"/>
      <c r="BI247" s="151"/>
      <c r="BJ247" s="151"/>
      <c r="BK247" s="151"/>
      <c r="BL247" s="819"/>
      <c r="BM247" s="151"/>
      <c r="BN247" s="151"/>
      <c r="BO247" s="151"/>
      <c r="BP247" s="818"/>
      <c r="BQ247" s="151"/>
      <c r="BR247" s="151"/>
      <c r="BS247" s="151"/>
      <c r="BT247" s="819"/>
      <c r="BU247" s="151"/>
      <c r="BV247" s="151"/>
      <c r="BW247" s="151"/>
      <c r="BX247" s="818"/>
      <c r="BY247" s="151"/>
      <c r="BZ247" s="151"/>
      <c r="CA247" s="151"/>
      <c r="CB247" s="819"/>
      <c r="CC247" s="151"/>
      <c r="CD247" s="151"/>
      <c r="CE247" s="151"/>
      <c r="CF247" s="818"/>
      <c r="CG247" s="151"/>
      <c r="CH247" s="151"/>
      <c r="CI247" s="151"/>
      <c r="CJ247" s="819"/>
    </row>
    <row r="248" spans="1:88" x14ac:dyDescent="0.2">
      <c r="A248" s="584" t="s">
        <v>826</v>
      </c>
      <c r="B248" s="822">
        <v>1</v>
      </c>
      <c r="C248" s="49"/>
      <c r="D248" s="151"/>
      <c r="E248" s="151"/>
      <c r="F248" s="151"/>
      <c r="G248" s="151"/>
      <c r="H248" s="151"/>
      <c r="I248" s="151"/>
      <c r="J248" s="151"/>
      <c r="K248" s="151"/>
      <c r="L248" s="151"/>
      <c r="M248" s="740">
        <v>20</v>
      </c>
      <c r="N248" s="740">
        <v>26</v>
      </c>
      <c r="O248" s="740">
        <v>12</v>
      </c>
      <c r="P248" s="740">
        <v>11</v>
      </c>
      <c r="Q248" s="740">
        <v>33</v>
      </c>
      <c r="R248" s="740">
        <f>+Q248</f>
        <v>33</v>
      </c>
      <c r="S248" s="740">
        <v>23</v>
      </c>
      <c r="T248" s="740">
        <v>23</v>
      </c>
      <c r="U248" s="740">
        <v>62</v>
      </c>
      <c r="V248" s="740">
        <v>33</v>
      </c>
      <c r="W248" s="740">
        <v>64</v>
      </c>
      <c r="X248" s="741">
        <v>51</v>
      </c>
      <c r="Y248" s="49">
        <v>17</v>
      </c>
      <c r="Z248" s="49">
        <f>AC248-Y248</f>
        <v>14</v>
      </c>
      <c r="AA248" s="49">
        <v>8</v>
      </c>
      <c r="AB248" s="614">
        <f>AD248-AA248</f>
        <v>3</v>
      </c>
      <c r="AC248" s="49">
        <v>31</v>
      </c>
      <c r="AD248" s="49">
        <f>AF248-AC248</f>
        <v>11</v>
      </c>
      <c r="AE248" s="49">
        <f>Y248+Z248+AA248</f>
        <v>39</v>
      </c>
      <c r="AF248" s="1368">
        <v>42</v>
      </c>
      <c r="AG248" s="49">
        <v>8</v>
      </c>
      <c r="AH248" s="49">
        <f>AK248-AG248</f>
        <v>6</v>
      </c>
      <c r="AI248" s="49">
        <v>10</v>
      </c>
      <c r="AJ248" s="614">
        <f>AL248-AI248</f>
        <v>16</v>
      </c>
      <c r="AK248" s="49">
        <v>14</v>
      </c>
      <c r="AL248" s="49">
        <f>AN248-AK248</f>
        <v>26</v>
      </c>
      <c r="AM248" s="49">
        <f>AG248+AH248+AI248</f>
        <v>24</v>
      </c>
      <c r="AN248" s="1368">
        <v>40</v>
      </c>
      <c r="AO248" s="49">
        <v>2</v>
      </c>
      <c r="AP248" s="49">
        <f>AS248-AO248</f>
        <v>8</v>
      </c>
      <c r="AQ248" s="49">
        <v>7</v>
      </c>
      <c r="AR248" s="614">
        <f>AT248-AQ248</f>
        <v>-17</v>
      </c>
      <c r="AS248" s="49">
        <v>10</v>
      </c>
      <c r="AT248" s="49">
        <f>AV248-AS248</f>
        <v>-10</v>
      </c>
      <c r="AU248" s="49">
        <f>AO248+AP248+AQ248</f>
        <v>17</v>
      </c>
      <c r="AV248" s="644"/>
      <c r="AW248" s="146"/>
      <c r="AX248" s="146"/>
      <c r="AY248" s="146"/>
      <c r="AZ248" s="789"/>
      <c r="BA248" s="146"/>
      <c r="BB248" s="146"/>
      <c r="BC248" s="146"/>
      <c r="BD248" s="744"/>
      <c r="BE248" s="146"/>
      <c r="BF248" s="146"/>
      <c r="BG248" s="146"/>
      <c r="BH248" s="789"/>
      <c r="BI248" s="146"/>
      <c r="BJ248" s="146"/>
      <c r="BK248" s="146"/>
      <c r="BL248" s="744"/>
      <c r="BM248" s="146"/>
      <c r="BN248" s="146"/>
      <c r="BO248" s="146"/>
      <c r="BP248" s="789"/>
      <c r="BQ248" s="146"/>
      <c r="BR248" s="146"/>
      <c r="BS248" s="146"/>
      <c r="BT248" s="744"/>
      <c r="BU248" s="146"/>
      <c r="BV248" s="146"/>
      <c r="BW248" s="146"/>
      <c r="BX248" s="789"/>
      <c r="BY248" s="146"/>
      <c r="BZ248" s="146"/>
      <c r="CA248" s="146"/>
      <c r="CB248" s="744"/>
      <c r="CC248" s="146"/>
      <c r="CD248" s="146"/>
      <c r="CE248" s="146"/>
      <c r="CF248" s="789"/>
      <c r="CG248" s="146"/>
      <c r="CH248" s="146"/>
      <c r="CI248" s="146"/>
      <c r="CJ248" s="744"/>
    </row>
    <row r="249" spans="1:88" x14ac:dyDescent="0.2">
      <c r="A249" s="584" t="s">
        <v>827</v>
      </c>
      <c r="B249" s="822">
        <v>0.32</v>
      </c>
      <c r="C249" s="49"/>
      <c r="D249" s="151"/>
      <c r="E249" s="151"/>
      <c r="F249" s="151"/>
      <c r="G249" s="151"/>
      <c r="H249" s="151"/>
      <c r="I249" s="151"/>
      <c r="J249" s="151"/>
      <c r="K249" s="151"/>
      <c r="L249" s="151"/>
      <c r="M249" s="740">
        <v>36</v>
      </c>
      <c r="N249" s="740">
        <v>53</v>
      </c>
      <c r="O249" s="740">
        <v>59</v>
      </c>
      <c r="P249" s="740">
        <v>84</v>
      </c>
      <c r="Q249" s="151"/>
      <c r="R249" s="151"/>
      <c r="S249" s="151"/>
      <c r="T249" s="151"/>
      <c r="U249" s="151"/>
      <c r="V249" s="151"/>
      <c r="W249" s="151"/>
      <c r="X249" s="96"/>
      <c r="Y249" s="19"/>
      <c r="Z249" s="19"/>
      <c r="AA249" s="19"/>
      <c r="AB249" s="643"/>
      <c r="AC249" s="19"/>
      <c r="AD249" s="19"/>
      <c r="AE249" s="19"/>
      <c r="AF249" s="644"/>
      <c r="AG249" s="495"/>
      <c r="AH249" s="495"/>
      <c r="AI249" s="495"/>
      <c r="AJ249" s="647"/>
      <c r="AK249" s="495"/>
      <c r="AL249" s="495"/>
      <c r="AM249" s="495"/>
      <c r="AN249" s="644"/>
      <c r="AO249" s="495"/>
      <c r="AP249" s="495"/>
      <c r="AQ249" s="495"/>
      <c r="AR249" s="647"/>
      <c r="AS249" s="495"/>
      <c r="AT249" s="495"/>
      <c r="AU249" s="495"/>
      <c r="AV249" s="644"/>
      <c r="AW249" s="495"/>
      <c r="AX249" s="495"/>
      <c r="AY249" s="495"/>
      <c r="AZ249" s="647"/>
      <c r="BA249" s="495"/>
      <c r="BB249" s="495"/>
      <c r="BC249" s="495"/>
      <c r="BD249" s="644"/>
      <c r="BE249" s="495"/>
      <c r="BF249" s="495"/>
      <c r="BG249" s="495"/>
      <c r="BH249" s="647"/>
      <c r="BI249" s="495"/>
      <c r="BJ249" s="495"/>
      <c r="BK249" s="495"/>
      <c r="BL249" s="644"/>
      <c r="BM249" s="495"/>
      <c r="BN249" s="495"/>
      <c r="BO249" s="495"/>
      <c r="BP249" s="647"/>
      <c r="BQ249" s="495"/>
      <c r="BR249" s="495"/>
      <c r="BS249" s="495"/>
      <c r="BT249" s="644"/>
      <c r="BU249" s="495"/>
      <c r="BV249" s="495"/>
      <c r="BW249" s="495"/>
      <c r="BX249" s="647"/>
      <c r="BY249" s="495"/>
      <c r="BZ249" s="495"/>
      <c r="CA249" s="495"/>
      <c r="CB249" s="644"/>
      <c r="CC249" s="495"/>
      <c r="CD249" s="495"/>
      <c r="CE249" s="495"/>
      <c r="CF249" s="647"/>
      <c r="CG249" s="495"/>
      <c r="CH249" s="495"/>
      <c r="CI249" s="495"/>
      <c r="CJ249" s="644"/>
    </row>
    <row r="250" spans="1:88" x14ac:dyDescent="0.2">
      <c r="A250" s="584" t="s">
        <v>828</v>
      </c>
      <c r="B250" s="822">
        <v>0.5</v>
      </c>
      <c r="C250" s="49"/>
      <c r="D250" s="151"/>
      <c r="E250" s="151"/>
      <c r="F250" s="151"/>
      <c r="G250" s="151"/>
      <c r="H250" s="151"/>
      <c r="I250" s="151"/>
      <c r="J250" s="151"/>
      <c r="K250" s="151"/>
      <c r="L250" s="151"/>
      <c r="M250" s="740"/>
      <c r="N250" s="740">
        <v>9</v>
      </c>
      <c r="O250" s="740">
        <v>20</v>
      </c>
      <c r="P250" s="740">
        <v>14</v>
      </c>
      <c r="Q250" s="151"/>
      <c r="R250" s="151"/>
      <c r="S250" s="151"/>
      <c r="T250" s="151"/>
      <c r="U250" s="151"/>
      <c r="V250" s="151"/>
      <c r="W250" s="151"/>
      <c r="X250" s="96"/>
      <c r="Y250" s="151"/>
      <c r="Z250" s="151"/>
      <c r="AA250" s="151"/>
      <c r="AB250" s="818"/>
      <c r="AC250" s="151"/>
      <c r="AD250" s="151"/>
      <c r="AE250" s="151"/>
      <c r="AF250" s="819"/>
      <c r="AG250" s="151"/>
      <c r="AH250" s="151"/>
      <c r="AI250" s="151"/>
      <c r="AJ250" s="818"/>
      <c r="AK250" s="151"/>
      <c r="AL250" s="151"/>
      <c r="AM250" s="151"/>
      <c r="AN250" s="819"/>
      <c r="AO250" s="151"/>
      <c r="AP250" s="151"/>
      <c r="AQ250" s="151"/>
      <c r="AR250" s="818"/>
      <c r="AS250" s="151"/>
      <c r="AT250" s="151"/>
      <c r="AU250" s="151"/>
      <c r="AV250" s="819"/>
      <c r="AW250" s="151"/>
      <c r="AX250" s="151"/>
      <c r="AY250" s="151"/>
      <c r="AZ250" s="818"/>
      <c r="BA250" s="151"/>
      <c r="BB250" s="151"/>
      <c r="BC250" s="151"/>
      <c r="BD250" s="819"/>
      <c r="BE250" s="151"/>
      <c r="BF250" s="151"/>
      <c r="BG250" s="151"/>
      <c r="BH250" s="818"/>
      <c r="BI250" s="151"/>
      <c r="BJ250" s="151"/>
      <c r="BK250" s="151"/>
      <c r="BL250" s="819"/>
      <c r="BM250" s="151"/>
      <c r="BN250" s="151"/>
      <c r="BO250" s="151"/>
      <c r="BP250" s="818"/>
      <c r="BQ250" s="151"/>
      <c r="BR250" s="151"/>
      <c r="BS250" s="151"/>
      <c r="BT250" s="819"/>
      <c r="BU250" s="151"/>
      <c r="BV250" s="151"/>
      <c r="BW250" s="151"/>
      <c r="BX250" s="818"/>
      <c r="BY250" s="151"/>
      <c r="BZ250" s="151"/>
      <c r="CA250" s="151"/>
      <c r="CB250" s="819"/>
      <c r="CC250" s="151"/>
      <c r="CD250" s="151"/>
      <c r="CE250" s="151"/>
      <c r="CF250" s="818"/>
      <c r="CG250" s="151"/>
      <c r="CH250" s="151"/>
      <c r="CI250" s="151"/>
      <c r="CJ250" s="819"/>
    </row>
    <row r="251" spans="1:88" x14ac:dyDescent="0.2">
      <c r="A251" s="680" t="s">
        <v>829</v>
      </c>
      <c r="B251" s="284"/>
      <c r="C251" s="49"/>
      <c r="D251" s="151"/>
      <c r="E251" s="151"/>
      <c r="F251" s="151"/>
      <c r="G251" s="151"/>
      <c r="H251" s="151"/>
      <c r="I251" s="151"/>
      <c r="J251" s="151"/>
      <c r="K251" s="151"/>
      <c r="L251" s="151"/>
      <c r="M251" s="151"/>
      <c r="N251" s="689">
        <f>SUM(N248:N250)</f>
        <v>88</v>
      </c>
      <c r="O251" s="689">
        <f>SUM(O248:O250)</f>
        <v>91</v>
      </c>
      <c r="P251" s="689">
        <f>SUM(P248:P250)</f>
        <v>109</v>
      </c>
      <c r="Q251" s="151"/>
      <c r="R251" s="151"/>
      <c r="S251" s="151"/>
      <c r="T251" s="151"/>
      <c r="U251" s="151"/>
      <c r="V251" s="151"/>
      <c r="W251" s="151"/>
      <c r="X251" s="96"/>
      <c r="Y251" s="151"/>
      <c r="Z251" s="151"/>
      <c r="AA251" s="151"/>
      <c r="AB251" s="818"/>
      <c r="AC251" s="151"/>
      <c r="AD251" s="151"/>
      <c r="AE251" s="151"/>
      <c r="AF251" s="819"/>
      <c r="AG251" s="151"/>
      <c r="AH251" s="151"/>
      <c r="AI251" s="151"/>
      <c r="AJ251" s="818"/>
      <c r="AK251" s="151"/>
      <c r="AL251" s="151"/>
      <c r="AM251" s="151"/>
      <c r="AN251" s="819"/>
      <c r="AO251" s="151"/>
      <c r="AP251" s="151"/>
      <c r="AQ251" s="151"/>
      <c r="AR251" s="818"/>
      <c r="AS251" s="151"/>
      <c r="AT251" s="151"/>
      <c r="AU251" s="151"/>
      <c r="AV251" s="819"/>
      <c r="AW251" s="151"/>
      <c r="AX251" s="151"/>
      <c r="AY251" s="151"/>
      <c r="AZ251" s="818"/>
      <c r="BA251" s="151"/>
      <c r="BB251" s="151"/>
      <c r="BC251" s="151"/>
      <c r="BD251" s="819"/>
      <c r="BE251" s="151"/>
      <c r="BF251" s="151"/>
      <c r="BG251" s="151"/>
      <c r="BH251" s="818"/>
      <c r="BI251" s="151"/>
      <c r="BJ251" s="151"/>
      <c r="BK251" s="151"/>
      <c r="BL251" s="819"/>
      <c r="BM251" s="151"/>
      <c r="BN251" s="151"/>
      <c r="BO251" s="151"/>
      <c r="BP251" s="818"/>
      <c r="BQ251" s="151"/>
      <c r="BR251" s="151"/>
      <c r="BS251" s="151"/>
      <c r="BT251" s="819"/>
      <c r="BU251" s="151"/>
      <c r="BV251" s="151"/>
      <c r="BW251" s="151"/>
      <c r="BX251" s="818"/>
      <c r="BY251" s="151"/>
      <c r="BZ251" s="151"/>
      <c r="CA251" s="151"/>
      <c r="CB251" s="819"/>
      <c r="CC251" s="151"/>
      <c r="CD251" s="151"/>
      <c r="CE251" s="151"/>
      <c r="CF251" s="818"/>
      <c r="CG251" s="151"/>
      <c r="CH251" s="151"/>
      <c r="CI251" s="151"/>
      <c r="CJ251" s="819"/>
    </row>
    <row r="252" spans="1:88" x14ac:dyDescent="0.2">
      <c r="A252" s="680"/>
      <c r="B252" s="284"/>
      <c r="C252" s="49"/>
      <c r="D252" s="151"/>
      <c r="E252" s="151"/>
      <c r="F252" s="151"/>
      <c r="G252" s="151"/>
      <c r="H252" s="151"/>
      <c r="I252" s="151"/>
      <c r="J252" s="151"/>
      <c r="K252" s="151"/>
      <c r="L252" s="151"/>
      <c r="M252" s="151"/>
      <c r="N252" s="151"/>
      <c r="O252" s="151"/>
      <c r="P252" s="151"/>
      <c r="Q252" s="151"/>
      <c r="R252" s="151"/>
      <c r="S252" s="151"/>
      <c r="T252" s="151"/>
      <c r="U252" s="151"/>
      <c r="V252" s="151"/>
      <c r="W252" s="151"/>
      <c r="X252" s="96"/>
      <c r="Y252" s="151"/>
      <c r="Z252" s="151"/>
      <c r="AA252" s="151"/>
      <c r="AB252" s="818"/>
      <c r="AC252" s="151"/>
      <c r="AD252" s="151"/>
      <c r="AE252" s="151"/>
      <c r="AF252" s="819"/>
      <c r="AG252" s="151"/>
      <c r="AH252" s="151"/>
      <c r="AI252" s="151"/>
      <c r="AJ252" s="818"/>
      <c r="AK252" s="151"/>
      <c r="AL252" s="151"/>
      <c r="AM252" s="151"/>
      <c r="AN252" s="819"/>
      <c r="AO252" s="151"/>
      <c r="AP252" s="151"/>
      <c r="AQ252" s="151"/>
      <c r="AR252" s="818"/>
      <c r="AS252" s="151"/>
      <c r="AT252" s="151"/>
      <c r="AU252" s="151"/>
      <c r="AV252" s="819"/>
      <c r="AW252" s="151"/>
      <c r="AX252" s="151"/>
      <c r="AY252" s="151"/>
      <c r="AZ252" s="818"/>
      <c r="BA252" s="151"/>
      <c r="BB252" s="151"/>
      <c r="BC252" s="151"/>
      <c r="BD252" s="819"/>
      <c r="BE252" s="151"/>
      <c r="BF252" s="151"/>
      <c r="BG252" s="151"/>
      <c r="BH252" s="818"/>
      <c r="BI252" s="151"/>
      <c r="BJ252" s="151"/>
      <c r="BK252" s="151"/>
      <c r="BL252" s="819"/>
      <c r="BM252" s="151"/>
      <c r="BN252" s="151"/>
      <c r="BO252" s="151"/>
      <c r="BP252" s="818"/>
      <c r="BQ252" s="151"/>
      <c r="BR252" s="151"/>
      <c r="BS252" s="151"/>
      <c r="BT252" s="819"/>
      <c r="BU252" s="151"/>
      <c r="BV252" s="151"/>
      <c r="BW252" s="151"/>
      <c r="BX252" s="818"/>
      <c r="BY252" s="151"/>
      <c r="BZ252" s="151"/>
      <c r="CA252" s="151"/>
      <c r="CB252" s="819"/>
      <c r="CC252" s="151"/>
      <c r="CD252" s="151"/>
      <c r="CE252" s="151"/>
      <c r="CF252" s="818"/>
      <c r="CG252" s="151"/>
      <c r="CH252" s="151"/>
      <c r="CI252" s="151"/>
      <c r="CJ252" s="819"/>
    </row>
    <row r="253" spans="1:88" ht="11.25" customHeight="1" x14ac:dyDescent="0.25">
      <c r="A253" s="780" t="s">
        <v>275</v>
      </c>
      <c r="B253" s="781"/>
      <c r="C253" s="782"/>
      <c r="D253" s="782"/>
      <c r="E253" s="782"/>
      <c r="F253" s="782"/>
      <c r="G253" s="782"/>
      <c r="H253" s="783"/>
      <c r="I253" s="783"/>
      <c r="J253" s="782"/>
      <c r="K253" s="782"/>
      <c r="L253" s="782"/>
      <c r="M253" s="782"/>
      <c r="N253" s="782"/>
      <c r="O253" s="782"/>
      <c r="P253" s="782"/>
      <c r="Q253" s="782"/>
      <c r="R253" s="782"/>
      <c r="S253" s="782"/>
      <c r="T253" s="782"/>
      <c r="U253" s="782"/>
      <c r="V253" s="782"/>
      <c r="W253" s="782"/>
      <c r="X253" s="784"/>
      <c r="Y253" s="782"/>
      <c r="Z253" s="782"/>
      <c r="AA253" s="782"/>
      <c r="AB253" s="785"/>
      <c r="AC253" s="782"/>
      <c r="AD253" s="782"/>
      <c r="AE253" s="782"/>
      <c r="AF253" s="786"/>
      <c r="AG253" s="782"/>
      <c r="AH253" s="782"/>
      <c r="AI253" s="782"/>
      <c r="AJ253" s="785"/>
      <c r="AK253" s="782"/>
      <c r="AL253" s="782"/>
      <c r="AM253" s="782"/>
      <c r="AN253" s="786"/>
      <c r="AO253" s="782"/>
      <c r="AP253" s="782"/>
      <c r="AQ253" s="782"/>
      <c r="AR253" s="785"/>
      <c r="AS253" s="782"/>
      <c r="AT253" s="782"/>
      <c r="AU253" s="782"/>
      <c r="AV253" s="786"/>
      <c r="AW253" s="782"/>
      <c r="AX253" s="782"/>
      <c r="AY253" s="782"/>
      <c r="AZ253" s="785"/>
      <c r="BA253" s="782"/>
      <c r="BB253" s="782"/>
      <c r="BC253" s="782"/>
      <c r="BD253" s="786"/>
      <c r="BE253" s="782"/>
      <c r="BF253" s="782"/>
      <c r="BG253" s="782"/>
      <c r="BH253" s="785"/>
      <c r="BI253" s="782"/>
      <c r="BJ253" s="782"/>
      <c r="BK253" s="782"/>
      <c r="BL253" s="786"/>
      <c r="BM253" s="782"/>
      <c r="BN253" s="782"/>
      <c r="BO253" s="782"/>
      <c r="BP253" s="785"/>
      <c r="BQ253" s="782"/>
      <c r="BR253" s="782"/>
      <c r="BS253" s="782"/>
      <c r="BT253" s="786"/>
      <c r="BU253" s="782"/>
      <c r="BV253" s="782"/>
      <c r="BW253" s="782"/>
      <c r="BX253" s="785"/>
      <c r="BY253" s="782"/>
      <c r="BZ253" s="782"/>
      <c r="CA253" s="782"/>
      <c r="CB253" s="786"/>
      <c r="CC253" s="782"/>
      <c r="CD253" s="782"/>
      <c r="CE253" s="782"/>
      <c r="CF253" s="785"/>
      <c r="CG253" s="782"/>
      <c r="CH253" s="782"/>
      <c r="CI253" s="782"/>
      <c r="CJ253" s="786"/>
    </row>
    <row r="254" spans="1:88" x14ac:dyDescent="0.2">
      <c r="X254" s="180"/>
      <c r="AB254" s="179"/>
      <c r="AF254" s="314"/>
      <c r="AJ254" s="179"/>
      <c r="AN254" s="314"/>
      <c r="AR254" s="179"/>
      <c r="AV254" s="314"/>
      <c r="AZ254" s="179"/>
      <c r="BD254" s="314"/>
      <c r="BH254" s="179"/>
      <c r="BL254" s="314"/>
      <c r="BP254" s="179"/>
      <c r="BT254" s="314"/>
      <c r="BX254" s="179"/>
      <c r="CB254" s="314"/>
      <c r="CF254" s="179"/>
      <c r="CJ254" s="314"/>
    </row>
    <row r="255" spans="1:88" x14ac:dyDescent="0.2">
      <c r="A255" s="186" t="s">
        <v>830</v>
      </c>
      <c r="B255" s="186"/>
      <c r="C255" s="186"/>
      <c r="D255" s="186"/>
      <c r="E255" s="186"/>
      <c r="F255" s="186"/>
      <c r="G255" s="186"/>
      <c r="H255" s="186"/>
      <c r="I255" s="186"/>
      <c r="J255" s="186"/>
      <c r="K255" s="186"/>
      <c r="L255" s="186"/>
      <c r="M255" s="186"/>
      <c r="N255" s="186">
        <f t="shared" ref="N255:S255" si="658">N98</f>
        <v>5380.9800000000005</v>
      </c>
      <c r="O255" s="186">
        <f t="shared" si="658"/>
        <v>6523.2999999999993</v>
      </c>
      <c r="P255" s="186">
        <f t="shared" si="658"/>
        <v>6855.4299999999994</v>
      </c>
      <c r="Q255" s="186">
        <f t="shared" si="658"/>
        <v>7500.5700000000006</v>
      </c>
      <c r="R255" s="186">
        <f t="shared" si="658"/>
        <v>7204.89</v>
      </c>
      <c r="S255" s="186">
        <f t="shared" si="658"/>
        <v>8361.6</v>
      </c>
      <c r="T255" s="186"/>
      <c r="U255" s="186">
        <f>U98</f>
        <v>9274.65</v>
      </c>
      <c r="V255" s="186">
        <f>V98</f>
        <v>5057.58</v>
      </c>
      <c r="W255" s="186">
        <f>W98</f>
        <v>4760.96</v>
      </c>
      <c r="X255" s="284">
        <f>X98</f>
        <v>6939.38</v>
      </c>
      <c r="Y255" s="186">
        <f t="shared" ref="Y255:AG255" si="659">Y271+Y278</f>
        <v>2036.9999838723018</v>
      </c>
      <c r="Z255" s="186">
        <f>Z271+Z278</f>
        <v>2222.20849273362</v>
      </c>
      <c r="AA255" s="186">
        <f t="shared" si="659"/>
        <v>2312.9934042380446</v>
      </c>
      <c r="AB255" s="283">
        <f t="shared" si="659"/>
        <v>2696.8203747208668</v>
      </c>
      <c r="AC255" s="186">
        <f t="shared" si="659"/>
        <v>4259.908704369469</v>
      </c>
      <c r="AD255" s="186">
        <f t="shared" si="659"/>
        <v>5008.0678332411499</v>
      </c>
      <c r="AE255" s="186">
        <f t="shared" si="659"/>
        <v>6572.201880843967</v>
      </c>
      <c r="AF255" s="341">
        <f t="shared" si="659"/>
        <v>9267.9765376106188</v>
      </c>
      <c r="AG255" s="186">
        <f t="shared" si="659"/>
        <v>2385.1251160693805</v>
      </c>
      <c r="AH255" s="186">
        <f>AH271+AH278</f>
        <v>2657.3692088931075</v>
      </c>
      <c r="AI255" s="186">
        <f t="shared" ref="AI255" si="660">AI271+AI278</f>
        <v>2638.0219668750005</v>
      </c>
      <c r="AJ255" s="283">
        <f>AJ271+AJ278</f>
        <v>3113.8943361101747</v>
      </c>
      <c r="AK255" s="186">
        <f t="shared" ref="AK255:AL255" si="661">AK271+AK278</f>
        <v>5041.2298625000003</v>
      </c>
      <c r="AL255" s="186">
        <f t="shared" si="661"/>
        <v>5747.3809672619036</v>
      </c>
      <c r="AM255" s="186">
        <f t="shared" ref="AM255:AO255" si="662">AM271+AM278</f>
        <v>7680.5162918374881</v>
      </c>
      <c r="AN255" s="341">
        <f t="shared" si="662"/>
        <v>10788.610829761903</v>
      </c>
      <c r="AO255" s="186">
        <f t="shared" si="662"/>
        <v>2839.6053262500004</v>
      </c>
      <c r="AP255" s="186">
        <f>AP271+AP278</f>
        <v>3116.2244388452118</v>
      </c>
      <c r="AQ255" s="186">
        <f t="shared" ref="AQ255" si="663">AQ271+AQ278</f>
        <v>3297.4162525755492</v>
      </c>
      <c r="AR255" s="283">
        <f>AR271+AR278</f>
        <v>3272.9326316105789</v>
      </c>
      <c r="AS255" s="186">
        <f t="shared" ref="AS255:AT255" si="664">AS271+AS278</f>
        <v>5958.4769991992962</v>
      </c>
      <c r="AT255" s="186">
        <f t="shared" si="664"/>
        <v>6576.168122798179</v>
      </c>
      <c r="AU255" s="186">
        <f t="shared" ref="AU255:AW255" si="665">AU271+AU278</f>
        <v>9253.2460176707609</v>
      </c>
      <c r="AV255" s="341">
        <f t="shared" si="665"/>
        <v>12534.645121997473</v>
      </c>
      <c r="AW255" s="186">
        <f t="shared" si="665"/>
        <v>3552.2365178571431</v>
      </c>
      <c r="AX255" s="186">
        <f>AX271+AX278</f>
        <v>3701.8071093749995</v>
      </c>
      <c r="AY255" s="186"/>
      <c r="AZ255" s="283"/>
      <c r="BA255" s="186">
        <f>BA271+BA278</f>
        <v>7254.043627232144</v>
      </c>
      <c r="BB255" s="285">
        <f>BB271+BB278</f>
        <v>8526.9951645208475</v>
      </c>
      <c r="BC255" s="186"/>
      <c r="BD255" s="301">
        <f>BD271+BD278</f>
        <v>15781.038791752992</v>
      </c>
      <c r="BE255" s="186"/>
      <c r="BF255" s="186"/>
      <c r="BG255" s="186"/>
      <c r="BH255" s="283"/>
      <c r="BI255" s="285">
        <f>BI271+BI278</f>
        <v>7804.2863312647078</v>
      </c>
      <c r="BJ255" s="285">
        <f>BJ271+BJ278</f>
        <v>9706.8595508378967</v>
      </c>
      <c r="BK255" s="186"/>
      <c r="BL255" s="301">
        <f>BL271+BL278</f>
        <v>17511.145882102603</v>
      </c>
      <c r="BM255" s="186"/>
      <c r="BN255" s="186"/>
      <c r="BO255" s="186"/>
      <c r="BP255" s="283"/>
      <c r="BQ255" s="285">
        <f>BQ271+BQ278</f>
        <v>8694.2442553681867</v>
      </c>
      <c r="BR255" s="285">
        <f>BR271+BR278</f>
        <v>10684.626733949965</v>
      </c>
      <c r="BS255" s="186"/>
      <c r="BT255" s="301">
        <f>BT271+BT278</f>
        <v>19378.870989318151</v>
      </c>
      <c r="BU255" s="186"/>
      <c r="BV255" s="186"/>
      <c r="BW255" s="186"/>
      <c r="BX255" s="283"/>
      <c r="BY255" s="285">
        <f>BY271+BY278</f>
        <v>9225.7668598300315</v>
      </c>
      <c r="BZ255" s="285">
        <f>BZ271+BZ278</f>
        <v>11306.296712096861</v>
      </c>
      <c r="CA255" s="186"/>
      <c r="CB255" s="301">
        <f>CB271+CB278</f>
        <v>20532.06357192689</v>
      </c>
      <c r="CC255" s="186"/>
      <c r="CD255" s="186"/>
      <c r="CE255" s="186"/>
      <c r="CF255" s="283"/>
      <c r="CG255" s="285">
        <f>CG271+CG278</f>
        <v>9231.6707130792602</v>
      </c>
      <c r="CH255" s="285">
        <f>CH271+CH278</f>
        <v>11314.946728320952</v>
      </c>
      <c r="CI255" s="186"/>
      <c r="CJ255" s="301">
        <f>CJ271+CJ278</f>
        <v>20546.617441400209</v>
      </c>
    </row>
    <row r="256" spans="1:88" x14ac:dyDescent="0.2">
      <c r="A256" s="197" t="s">
        <v>20</v>
      </c>
      <c r="B256" s="197"/>
      <c r="C256" s="197"/>
      <c r="D256" s="197"/>
      <c r="E256" s="197"/>
      <c r="F256" s="197"/>
      <c r="G256" s="197"/>
      <c r="H256" s="197"/>
      <c r="I256" s="197"/>
      <c r="J256" s="197"/>
      <c r="K256" s="197"/>
      <c r="L256" s="197"/>
      <c r="M256" s="197"/>
      <c r="N256" s="197"/>
      <c r="O256" s="19">
        <f t="shared" ref="O256:X256" si="666">O255/N255-1</f>
        <v>0.21228846789989908</v>
      </c>
      <c r="P256" s="19">
        <f t="shared" si="666"/>
        <v>5.0914414483467008E-2</v>
      </c>
      <c r="Q256" s="19">
        <f t="shared" si="666"/>
        <v>9.4106423667078776E-2</v>
      </c>
      <c r="R256" s="19"/>
      <c r="S256" s="19">
        <f>S255/R255-1</f>
        <v>0.16054512976603386</v>
      </c>
      <c r="T256" s="19"/>
      <c r="U256" s="19">
        <f>U255/S255-1</f>
        <v>0.10919560849598153</v>
      </c>
      <c r="V256" s="19">
        <f t="shared" si="666"/>
        <v>-0.45468777797544924</v>
      </c>
      <c r="W256" s="19">
        <f t="shared" si="666"/>
        <v>-5.8648602691405705E-2</v>
      </c>
      <c r="X256" s="494">
        <f t="shared" si="666"/>
        <v>0.45755897970157289</v>
      </c>
      <c r="Y256" s="19"/>
      <c r="Z256" s="19"/>
      <c r="AA256" s="19"/>
      <c r="AB256" s="643"/>
      <c r="AC256" s="213"/>
      <c r="AD256" s="19"/>
      <c r="AE256" s="19"/>
      <c r="AF256" s="824">
        <f t="shared" ref="AF256:AT256" si="667">AF255/X255-1</f>
        <v>0.33556262052382468</v>
      </c>
      <c r="AG256" s="19">
        <f t="shared" si="667"/>
        <v>0.17090090081164311</v>
      </c>
      <c r="AH256" s="204">
        <f t="shared" si="667"/>
        <v>0.195823532122398</v>
      </c>
      <c r="AI256" s="204">
        <f t="shared" si="667"/>
        <v>0.14052290942179679</v>
      </c>
      <c r="AJ256" s="205">
        <f t="shared" si="667"/>
        <v>0.1546539640900173</v>
      </c>
      <c r="AK256" s="204">
        <f t="shared" si="667"/>
        <v>0.18341265326393397</v>
      </c>
      <c r="AL256" s="204">
        <f t="shared" si="667"/>
        <v>0.14762442495557826</v>
      </c>
      <c r="AM256" s="204">
        <f t="shared" si="667"/>
        <v>0.1686366960552339</v>
      </c>
      <c r="AN256" s="824">
        <f t="shared" si="667"/>
        <v>0.16407403341822868</v>
      </c>
      <c r="AO256" s="19">
        <f t="shared" si="667"/>
        <v>0.19054774406534714</v>
      </c>
      <c r="AP256" s="204">
        <f t="shared" si="667"/>
        <v>0.17267274280762601</v>
      </c>
      <c r="AQ256" s="204">
        <f t="shared" si="667"/>
        <v>0.24995784492335615</v>
      </c>
      <c r="AR256" s="205">
        <f t="shared" si="667"/>
        <v>5.1073761128026085E-2</v>
      </c>
      <c r="AS256" s="204">
        <f t="shared" ref="AS256" si="668">AS255/AK255-1</f>
        <v>0.18194908022789957</v>
      </c>
      <c r="AT256" s="204">
        <f t="shared" si="667"/>
        <v>0.14420257857573615</v>
      </c>
      <c r="AU256" s="204">
        <f t="shared" ref="AU256:AX256" si="669">AU255/AM255-1</f>
        <v>0.20476875070295741</v>
      </c>
      <c r="AV256" s="824">
        <f t="shared" si="669"/>
        <v>0.16184051123791487</v>
      </c>
      <c r="AW256" s="19">
        <f t="shared" si="669"/>
        <v>0.25096135192429991</v>
      </c>
      <c r="AX256" s="204">
        <f t="shared" si="669"/>
        <v>0.18791415124989808</v>
      </c>
      <c r="AY256" s="19"/>
      <c r="AZ256" s="643"/>
      <c r="BA256" s="204">
        <f>BA255/AS255-1</f>
        <v>0.21743251307455691</v>
      </c>
      <c r="BB256" s="213">
        <f>BB255/AT255-1</f>
        <v>0.29665102918515207</v>
      </c>
      <c r="BC256" s="19"/>
      <c r="BD256" s="823">
        <f>BD255/AV255-1</f>
        <v>0.25899366421298287</v>
      </c>
      <c r="BE256" s="19"/>
      <c r="BF256" s="19"/>
      <c r="BG256" s="19"/>
      <c r="BH256" s="643"/>
      <c r="BI256" s="213">
        <f>BI255/BA255-1</f>
        <v>7.5853238870375428E-2</v>
      </c>
      <c r="BJ256" s="213">
        <f>BJ255/BB255-1</f>
        <v>0.13836813127632963</v>
      </c>
      <c r="BK256" s="19"/>
      <c r="BL256" s="823">
        <f>BL255/BD255-1</f>
        <v>0.10963201555868096</v>
      </c>
      <c r="BM256" s="19"/>
      <c r="BN256" s="19"/>
      <c r="BO256" s="19"/>
      <c r="BP256" s="643"/>
      <c r="BQ256" s="213">
        <f>BQ255/BI255-1</f>
        <v>0.11403450441563412</v>
      </c>
      <c r="BR256" s="213">
        <f>BR255/BJ255-1</f>
        <v>0.1007295076220267</v>
      </c>
      <c r="BS256" s="19"/>
      <c r="BT256" s="823">
        <f>BT255/BL255-1</f>
        <v>0.10665921692334668</v>
      </c>
      <c r="BU256" s="19"/>
      <c r="BV256" s="19"/>
      <c r="BW256" s="19"/>
      <c r="BX256" s="643"/>
      <c r="BY256" s="213">
        <f>BY255/BQ255-1</f>
        <v>6.1134997919302769E-2</v>
      </c>
      <c r="BZ256" s="213">
        <f>BZ255/BR255-1</f>
        <v>5.8183593458774219E-2</v>
      </c>
      <c r="CA256" s="19"/>
      <c r="CB256" s="823">
        <f>CB255/BT255-1</f>
        <v>5.9507727939589028E-2</v>
      </c>
      <c r="CC256" s="19"/>
      <c r="CD256" s="19"/>
      <c r="CE256" s="19"/>
      <c r="CF256" s="643"/>
      <c r="CG256" s="213">
        <f>CG255/BY255-1</f>
        <v>6.3993089560221428E-4</v>
      </c>
      <c r="CH256" s="213">
        <f>CH255/BZ255-1</f>
        <v>7.650618451253699E-4</v>
      </c>
      <c r="CI256" s="19"/>
      <c r="CJ256" s="823">
        <f>CJ255/CB255-1</f>
        <v>7.0883617822126155E-4</v>
      </c>
    </row>
    <row r="257" spans="1:88" x14ac:dyDescent="0.2">
      <c r="A257" s="197"/>
      <c r="B257" s="197"/>
      <c r="C257" s="197"/>
      <c r="D257" s="197"/>
      <c r="E257" s="197"/>
      <c r="F257" s="197"/>
      <c r="G257" s="197"/>
      <c r="H257" s="197"/>
      <c r="I257" s="197"/>
      <c r="J257" s="197"/>
      <c r="K257" s="197"/>
      <c r="L257" s="197"/>
      <c r="M257" s="197"/>
      <c r="N257" s="197"/>
      <c r="O257" s="19"/>
      <c r="P257" s="19"/>
      <c r="Q257" s="19"/>
      <c r="R257" s="19"/>
      <c r="S257" s="19"/>
      <c r="T257" s="19"/>
      <c r="U257" s="19"/>
      <c r="V257" s="19"/>
      <c r="W257" s="19"/>
      <c r="X257" s="494"/>
      <c r="Y257" s="19"/>
      <c r="Z257" s="19"/>
      <c r="AA257" s="19"/>
      <c r="AB257" s="643"/>
      <c r="AC257" s="204"/>
      <c r="AD257" s="19"/>
      <c r="AE257" s="19"/>
      <c r="AF257" s="824"/>
      <c r="AG257" s="19"/>
      <c r="AH257" s="19"/>
      <c r="AI257" s="19"/>
      <c r="AJ257" s="643"/>
      <c r="AK257" s="204"/>
      <c r="AL257" s="19"/>
      <c r="AM257" s="19"/>
      <c r="AN257" s="824"/>
      <c r="AO257" s="19"/>
      <c r="AP257" s="19"/>
      <c r="AQ257" s="19"/>
      <c r="AR257" s="643"/>
      <c r="AS257" s="204"/>
      <c r="AT257" s="19"/>
      <c r="AU257" s="19"/>
      <c r="AV257" s="824"/>
      <c r="AW257" s="19"/>
      <c r="AX257" s="19"/>
      <c r="AY257" s="19"/>
      <c r="AZ257" s="643"/>
      <c r="BA257" s="204"/>
      <c r="BB257" s="19"/>
      <c r="BC257" s="19"/>
      <c r="BD257" s="824"/>
      <c r="BE257" s="19"/>
      <c r="BF257" s="19"/>
      <c r="BG257" s="19"/>
      <c r="BH257" s="643"/>
      <c r="BI257" s="204"/>
      <c r="BJ257" s="19"/>
      <c r="BK257" s="19"/>
      <c r="BL257" s="824"/>
      <c r="BM257" s="19"/>
      <c r="BN257" s="19"/>
      <c r="BO257" s="19"/>
      <c r="BP257" s="643"/>
      <c r="BQ257" s="204"/>
      <c r="BR257" s="19"/>
      <c r="BS257" s="19"/>
      <c r="BT257" s="824"/>
      <c r="BU257" s="19"/>
      <c r="BV257" s="19"/>
      <c r="BW257" s="19"/>
      <c r="BX257" s="643"/>
      <c r="BY257" s="204"/>
      <c r="BZ257" s="19"/>
      <c r="CA257" s="19"/>
      <c r="CB257" s="824"/>
      <c r="CC257" s="19"/>
      <c r="CD257" s="19"/>
      <c r="CE257" s="19"/>
      <c r="CF257" s="643"/>
      <c r="CG257" s="204"/>
      <c r="CH257" s="19"/>
      <c r="CI257" s="19"/>
      <c r="CJ257" s="824"/>
    </row>
    <row r="258" spans="1:88" x14ac:dyDescent="0.2">
      <c r="A258" s="4" t="s">
        <v>831</v>
      </c>
      <c r="N258" s="19">
        <v>0.55000000000000004</v>
      </c>
      <c r="O258" s="19">
        <f>N258</f>
        <v>0.55000000000000004</v>
      </c>
      <c r="P258" s="19">
        <f>O258</f>
        <v>0.55000000000000004</v>
      </c>
      <c r="Q258" s="19">
        <f t="shared" ref="Q258:X258" si="670">P258</f>
        <v>0.55000000000000004</v>
      </c>
      <c r="R258" s="19">
        <f t="shared" si="670"/>
        <v>0.55000000000000004</v>
      </c>
      <c r="S258" s="19">
        <f>Q258</f>
        <v>0.55000000000000004</v>
      </c>
      <c r="T258" s="19"/>
      <c r="U258" s="19">
        <f>S258</f>
        <v>0.55000000000000004</v>
      </c>
      <c r="V258" s="19">
        <f t="shared" si="670"/>
        <v>0.55000000000000004</v>
      </c>
      <c r="W258" s="19">
        <f t="shared" si="670"/>
        <v>0.55000000000000004</v>
      </c>
      <c r="X258" s="494">
        <f t="shared" si="670"/>
        <v>0.55000000000000004</v>
      </c>
      <c r="Y258" s="19">
        <f>AF258</f>
        <v>0.55000000000000004</v>
      </c>
      <c r="Z258" s="19">
        <f>AF258</f>
        <v>0.55000000000000004</v>
      </c>
      <c r="AA258" s="19">
        <f>AF258</f>
        <v>0.55000000000000004</v>
      </c>
      <c r="AB258" s="643">
        <f>AF258</f>
        <v>0.55000000000000004</v>
      </c>
      <c r="AC258" s="19">
        <f>AF258</f>
        <v>0.55000000000000004</v>
      </c>
      <c r="AD258" s="19">
        <f>AF258</f>
        <v>0.55000000000000004</v>
      </c>
      <c r="AE258" s="19">
        <f>AF258</f>
        <v>0.55000000000000004</v>
      </c>
      <c r="AF258" s="668">
        <v>0.55000000000000004</v>
      </c>
      <c r="AG258" s="19">
        <f>AN258</f>
        <v>0.55000000000000004</v>
      </c>
      <c r="AH258" s="19">
        <f>AN258</f>
        <v>0.55000000000000004</v>
      </c>
      <c r="AI258" s="19">
        <f>AN258</f>
        <v>0.55000000000000004</v>
      </c>
      <c r="AJ258" s="643">
        <f>AN258</f>
        <v>0.55000000000000004</v>
      </c>
      <c r="AK258" s="19">
        <f>AN258</f>
        <v>0.55000000000000004</v>
      </c>
      <c r="AL258" s="19">
        <f>AN258</f>
        <v>0.55000000000000004</v>
      </c>
      <c r="AM258" s="19">
        <f>AN258</f>
        <v>0.55000000000000004</v>
      </c>
      <c r="AN258" s="668">
        <v>0.55000000000000004</v>
      </c>
      <c r="AO258" s="19">
        <f>AV258</f>
        <v>0.55000000000000004</v>
      </c>
      <c r="AP258" s="19">
        <f>AV258</f>
        <v>0.55000000000000004</v>
      </c>
      <c r="AQ258" s="19">
        <f>AV258</f>
        <v>0.55000000000000004</v>
      </c>
      <c r="AR258" s="643">
        <f>AV258</f>
        <v>0.55000000000000004</v>
      </c>
      <c r="AS258" s="19">
        <f>AV258</f>
        <v>0.55000000000000004</v>
      </c>
      <c r="AT258" s="19">
        <f>AV258</f>
        <v>0.55000000000000004</v>
      </c>
      <c r="AU258" s="19">
        <f>AV258</f>
        <v>0.55000000000000004</v>
      </c>
      <c r="AV258" s="668">
        <f>AN258</f>
        <v>0.55000000000000004</v>
      </c>
      <c r="AW258" s="19">
        <f>BD258</f>
        <v>0.55000000000000004</v>
      </c>
      <c r="AX258" s="19">
        <f>BD258</f>
        <v>0.55000000000000004</v>
      </c>
      <c r="AY258" s="19"/>
      <c r="AZ258" s="643"/>
      <c r="BA258" s="19">
        <f>BD258</f>
        <v>0.55000000000000004</v>
      </c>
      <c r="BB258" s="495">
        <f>BD258</f>
        <v>0.55000000000000004</v>
      </c>
      <c r="BC258" s="19"/>
      <c r="BD258" s="648">
        <f>AV258</f>
        <v>0.55000000000000004</v>
      </c>
      <c r="BE258" s="19"/>
      <c r="BF258" s="19"/>
      <c r="BG258" s="19"/>
      <c r="BH258" s="643"/>
      <c r="BI258" s="495">
        <f>BL258</f>
        <v>0.55000000000000004</v>
      </c>
      <c r="BJ258" s="495">
        <f>BL258</f>
        <v>0.55000000000000004</v>
      </c>
      <c r="BK258" s="19"/>
      <c r="BL258" s="648">
        <f>BD258</f>
        <v>0.55000000000000004</v>
      </c>
      <c r="BM258" s="19"/>
      <c r="BN258" s="19"/>
      <c r="BO258" s="19"/>
      <c r="BP258" s="643"/>
      <c r="BQ258" s="495">
        <f>BT258</f>
        <v>0.55000000000000004</v>
      </c>
      <c r="BR258" s="495">
        <f>BT258</f>
        <v>0.55000000000000004</v>
      </c>
      <c r="BS258" s="19"/>
      <c r="BT258" s="648">
        <f>BL258</f>
        <v>0.55000000000000004</v>
      </c>
      <c r="BU258" s="19"/>
      <c r="BV258" s="19"/>
      <c r="BW258" s="19"/>
      <c r="BX258" s="643"/>
      <c r="BY258" s="495">
        <f>CB258</f>
        <v>0.55000000000000004</v>
      </c>
      <c r="BZ258" s="495">
        <f>CB258</f>
        <v>0.55000000000000004</v>
      </c>
      <c r="CA258" s="19"/>
      <c r="CB258" s="648">
        <f>BT258</f>
        <v>0.55000000000000004</v>
      </c>
      <c r="CC258" s="19"/>
      <c r="CD258" s="19"/>
      <c r="CE258" s="19"/>
      <c r="CF258" s="643"/>
      <c r="CG258" s="495">
        <f>CJ258</f>
        <v>0.55000000000000004</v>
      </c>
      <c r="CH258" s="495">
        <f>CJ258</f>
        <v>0.55000000000000004</v>
      </c>
      <c r="CI258" s="19"/>
      <c r="CJ258" s="648">
        <f>CB258</f>
        <v>0.55000000000000004</v>
      </c>
    </row>
    <row r="259" spans="1:88" x14ac:dyDescent="0.2">
      <c r="A259" s="4" t="s">
        <v>832</v>
      </c>
      <c r="N259" s="19">
        <f t="shared" ref="N259:S259" si="671">1-N258</f>
        <v>0.44999999999999996</v>
      </c>
      <c r="O259" s="19">
        <f t="shared" si="671"/>
        <v>0.44999999999999996</v>
      </c>
      <c r="P259" s="19">
        <f t="shared" si="671"/>
        <v>0.44999999999999996</v>
      </c>
      <c r="Q259" s="19">
        <f t="shared" si="671"/>
        <v>0.44999999999999996</v>
      </c>
      <c r="R259" s="19">
        <f t="shared" si="671"/>
        <v>0.44999999999999996</v>
      </c>
      <c r="S259" s="19">
        <f t="shared" si="671"/>
        <v>0.44999999999999996</v>
      </c>
      <c r="T259" s="19"/>
      <c r="U259" s="19">
        <f t="shared" ref="U259:AF259" si="672">1-U258</f>
        <v>0.44999999999999996</v>
      </c>
      <c r="V259" s="19">
        <f t="shared" si="672"/>
        <v>0.44999999999999996</v>
      </c>
      <c r="W259" s="19">
        <f t="shared" si="672"/>
        <v>0.44999999999999996</v>
      </c>
      <c r="X259" s="494">
        <f t="shared" si="672"/>
        <v>0.44999999999999996</v>
      </c>
      <c r="Y259" s="19">
        <f t="shared" si="672"/>
        <v>0.44999999999999996</v>
      </c>
      <c r="Z259" s="19">
        <f t="shared" si="672"/>
        <v>0.44999999999999996</v>
      </c>
      <c r="AA259" s="19">
        <f t="shared" si="672"/>
        <v>0.44999999999999996</v>
      </c>
      <c r="AB259" s="643">
        <f t="shared" si="672"/>
        <v>0.44999999999999996</v>
      </c>
      <c r="AC259" s="204">
        <f t="shared" si="672"/>
        <v>0.44999999999999996</v>
      </c>
      <c r="AD259" s="204">
        <f t="shared" si="672"/>
        <v>0.44999999999999996</v>
      </c>
      <c r="AE259" s="204">
        <f t="shared" si="672"/>
        <v>0.44999999999999996</v>
      </c>
      <c r="AF259" s="824">
        <f t="shared" si="672"/>
        <v>0.44999999999999996</v>
      </c>
      <c r="AG259" s="19">
        <f t="shared" ref="AG259:AJ259" si="673">1-AG258</f>
        <v>0.44999999999999996</v>
      </c>
      <c r="AH259" s="19">
        <f t="shared" si="673"/>
        <v>0.44999999999999996</v>
      </c>
      <c r="AI259" s="19">
        <f t="shared" si="673"/>
        <v>0.44999999999999996</v>
      </c>
      <c r="AJ259" s="643">
        <f t="shared" si="673"/>
        <v>0.44999999999999996</v>
      </c>
      <c r="AK259" s="204">
        <f>1-AK258</f>
        <v>0.44999999999999996</v>
      </c>
      <c r="AL259" s="204">
        <f>1-AL258</f>
        <v>0.44999999999999996</v>
      </c>
      <c r="AM259" s="204">
        <f t="shared" ref="AM259" si="674">1-AM258</f>
        <v>0.44999999999999996</v>
      </c>
      <c r="AN259" s="824">
        <f>1-AN258</f>
        <v>0.44999999999999996</v>
      </c>
      <c r="AO259" s="19">
        <f t="shared" ref="AO259:AU259" si="675">1-AO258</f>
        <v>0.44999999999999996</v>
      </c>
      <c r="AP259" s="19">
        <f t="shared" si="675"/>
        <v>0.44999999999999996</v>
      </c>
      <c r="AQ259" s="19">
        <f t="shared" si="675"/>
        <v>0.44999999999999996</v>
      </c>
      <c r="AR259" s="643">
        <f t="shared" si="675"/>
        <v>0.44999999999999996</v>
      </c>
      <c r="AS259" s="204">
        <f t="shared" si="675"/>
        <v>0.44999999999999996</v>
      </c>
      <c r="AT259" s="204">
        <f>1-AT258</f>
        <v>0.44999999999999996</v>
      </c>
      <c r="AU259" s="204">
        <f t="shared" si="675"/>
        <v>0.44999999999999996</v>
      </c>
      <c r="AV259" s="824">
        <f>1-AV258</f>
        <v>0.44999999999999996</v>
      </c>
      <c r="AW259" s="19">
        <f t="shared" ref="AW259:AX259" si="676">1-AW258</f>
        <v>0.44999999999999996</v>
      </c>
      <c r="AX259" s="19">
        <f t="shared" si="676"/>
        <v>0.44999999999999996</v>
      </c>
      <c r="AY259" s="19"/>
      <c r="AZ259" s="643"/>
      <c r="BA259" s="204">
        <f>1-BA258</f>
        <v>0.44999999999999996</v>
      </c>
      <c r="BB259" s="213">
        <f>1-BB258</f>
        <v>0.44999999999999996</v>
      </c>
      <c r="BC259" s="19"/>
      <c r="BD259" s="823">
        <f>1-BD258</f>
        <v>0.44999999999999996</v>
      </c>
      <c r="BE259" s="19"/>
      <c r="BF259" s="19"/>
      <c r="BG259" s="19"/>
      <c r="BH259" s="643"/>
      <c r="BI259" s="213">
        <f>1-BI258</f>
        <v>0.44999999999999996</v>
      </c>
      <c r="BJ259" s="213">
        <f>1-BJ258</f>
        <v>0.44999999999999996</v>
      </c>
      <c r="BK259" s="19"/>
      <c r="BL259" s="823">
        <f>1-BL258</f>
        <v>0.44999999999999996</v>
      </c>
      <c r="BM259" s="19"/>
      <c r="BN259" s="19"/>
      <c r="BO259" s="19"/>
      <c r="BP259" s="643"/>
      <c r="BQ259" s="213">
        <f>1-BQ258</f>
        <v>0.44999999999999996</v>
      </c>
      <c r="BR259" s="213">
        <f>1-BR258</f>
        <v>0.44999999999999996</v>
      </c>
      <c r="BS259" s="19"/>
      <c r="BT259" s="823">
        <f>1-BT258</f>
        <v>0.44999999999999996</v>
      </c>
      <c r="BU259" s="19"/>
      <c r="BV259" s="19"/>
      <c r="BW259" s="19"/>
      <c r="BX259" s="643"/>
      <c r="BY259" s="213">
        <f>1-BY258</f>
        <v>0.44999999999999996</v>
      </c>
      <c r="BZ259" s="213">
        <f>1-BZ258</f>
        <v>0.44999999999999996</v>
      </c>
      <c r="CA259" s="19"/>
      <c r="CB259" s="823">
        <f>1-CB258</f>
        <v>0.44999999999999996</v>
      </c>
      <c r="CC259" s="19"/>
      <c r="CD259" s="19"/>
      <c r="CE259" s="19"/>
      <c r="CF259" s="643"/>
      <c r="CG259" s="213">
        <f>1-CG258</f>
        <v>0.44999999999999996</v>
      </c>
      <c r="CH259" s="213">
        <f>1-CH258</f>
        <v>0.44999999999999996</v>
      </c>
      <c r="CI259" s="19"/>
      <c r="CJ259" s="823">
        <f>1-CJ258</f>
        <v>0.44999999999999996</v>
      </c>
    </row>
    <row r="260" spans="1:88" x14ac:dyDescent="0.2">
      <c r="X260" s="180"/>
      <c r="AB260" s="179"/>
      <c r="AF260" s="314"/>
      <c r="AJ260" s="179"/>
      <c r="AN260" s="314"/>
      <c r="AR260" s="179"/>
      <c r="AV260" s="314"/>
      <c r="AZ260" s="179"/>
      <c r="BD260" s="314"/>
      <c r="BH260" s="179"/>
      <c r="BL260" s="314"/>
      <c r="BP260" s="179"/>
      <c r="BT260" s="314"/>
      <c r="BX260" s="179"/>
      <c r="CB260" s="314"/>
      <c r="CF260" s="179"/>
      <c r="CJ260" s="314"/>
    </row>
    <row r="261" spans="1:88" x14ac:dyDescent="0.2">
      <c r="A261" s="4" t="s">
        <v>833</v>
      </c>
      <c r="N261" s="15">
        <v>1.26</v>
      </c>
      <c r="O261" s="15">
        <v>1.25</v>
      </c>
      <c r="P261" s="15">
        <v>1.24</v>
      </c>
      <c r="Q261" s="15">
        <v>1.21</v>
      </c>
      <c r="R261" s="15">
        <f>+Q261</f>
        <v>1.21</v>
      </c>
      <c r="S261" s="15">
        <v>1.18</v>
      </c>
      <c r="T261" s="15"/>
      <c r="U261" s="15">
        <v>1.18</v>
      </c>
      <c r="V261" s="15">
        <v>1.1599999999999999</v>
      </c>
      <c r="W261" s="15">
        <v>1.1599999999999999</v>
      </c>
      <c r="X261" s="326">
        <v>1.1499999999999999</v>
      </c>
      <c r="Y261" s="15">
        <v>1.1299999999999999</v>
      </c>
      <c r="Z261" s="15">
        <f>Y261</f>
        <v>1.1299999999999999</v>
      </c>
      <c r="AA261" s="15">
        <v>1.1299999999999999</v>
      </c>
      <c r="AB261" s="325">
        <f>AD261*2-AA261</f>
        <v>1.1299999999999999</v>
      </c>
      <c r="AC261" s="15">
        <v>1.1299999999999999</v>
      </c>
      <c r="AD261" s="15">
        <f>(AF261*2)-AC261</f>
        <v>1.1299999999999999</v>
      </c>
      <c r="AE261" s="15">
        <v>1.1299999999999999</v>
      </c>
      <c r="AF261" s="1366">
        <v>1.1299999999999999</v>
      </c>
      <c r="AG261" s="15">
        <v>1.1200000000000001</v>
      </c>
      <c r="AH261" s="15">
        <f>AG261</f>
        <v>1.1200000000000001</v>
      </c>
      <c r="AI261" s="15">
        <v>1.1200000000000001</v>
      </c>
      <c r="AJ261" s="325">
        <f>AL261*2-AI261</f>
        <v>1.1200000000000001</v>
      </c>
      <c r="AK261" s="15">
        <v>1.1200000000000001</v>
      </c>
      <c r="AL261" s="15">
        <f>(AN261*2)-AK261</f>
        <v>1.1200000000000001</v>
      </c>
      <c r="AM261" s="15">
        <v>1.1200000000000001</v>
      </c>
      <c r="AN261" s="1366">
        <v>1.1200000000000001</v>
      </c>
      <c r="AO261" s="15">
        <v>1.1200000000000001</v>
      </c>
      <c r="AP261" s="15">
        <f>AO261</f>
        <v>1.1200000000000001</v>
      </c>
      <c r="AQ261" s="15">
        <v>1.1200000000000001</v>
      </c>
      <c r="AR261" s="325">
        <f>AT261*2-AQ261</f>
        <v>1.1200000000000001</v>
      </c>
      <c r="AS261" s="15">
        <v>1.1200000000000001</v>
      </c>
      <c r="AT261" s="15">
        <f>(AV261*2)-AS261</f>
        <v>1.1200000000000001</v>
      </c>
      <c r="AU261" s="15">
        <v>1.1200000000000001</v>
      </c>
      <c r="AV261" s="1366">
        <v>1.1200000000000001</v>
      </c>
      <c r="AW261" s="15">
        <v>1.1200000000000001</v>
      </c>
      <c r="AX261" s="15">
        <f>AW261</f>
        <v>1.1200000000000001</v>
      </c>
      <c r="AY261" s="16">
        <f t="shared" ref="AY261:AZ262" si="677">AX261</f>
        <v>1.1200000000000001</v>
      </c>
      <c r="AZ261" s="327">
        <f t="shared" si="677"/>
        <v>1.1200000000000001</v>
      </c>
      <c r="BA261" s="15">
        <f>BD261</f>
        <v>1.1200000000000001</v>
      </c>
      <c r="BB261" s="16">
        <f>BD261</f>
        <v>1.1200000000000001</v>
      </c>
      <c r="BC261" s="16">
        <f>BD261</f>
        <v>1.1200000000000001</v>
      </c>
      <c r="BD261" s="335">
        <v>1.1200000000000001</v>
      </c>
      <c r="BE261" s="16">
        <f>BL261</f>
        <v>1.1200000000000001</v>
      </c>
      <c r="BF261" s="16">
        <f t="shared" ref="BF261:BH262" si="678">BE261</f>
        <v>1.1200000000000001</v>
      </c>
      <c r="BG261" s="16">
        <f t="shared" si="678"/>
        <v>1.1200000000000001</v>
      </c>
      <c r="BH261" s="327">
        <f t="shared" si="678"/>
        <v>1.1200000000000001</v>
      </c>
      <c r="BI261" s="16">
        <f>BL261</f>
        <v>1.1200000000000001</v>
      </c>
      <c r="BJ261" s="16">
        <f>BL261</f>
        <v>1.1200000000000001</v>
      </c>
      <c r="BK261" s="16">
        <f>BL261</f>
        <v>1.1200000000000001</v>
      </c>
      <c r="BL261" s="335">
        <v>1.1200000000000001</v>
      </c>
      <c r="BM261" s="16">
        <f>BT261</f>
        <v>1.1200000000000001</v>
      </c>
      <c r="BN261" s="16">
        <f t="shared" ref="BN261:BP262" si="679">BM261</f>
        <v>1.1200000000000001</v>
      </c>
      <c r="BO261" s="16">
        <f t="shared" si="679"/>
        <v>1.1200000000000001</v>
      </c>
      <c r="BP261" s="327">
        <f t="shared" si="679"/>
        <v>1.1200000000000001</v>
      </c>
      <c r="BQ261" s="16">
        <f>BT261</f>
        <v>1.1200000000000001</v>
      </c>
      <c r="BR261" s="16">
        <f>BT261</f>
        <v>1.1200000000000001</v>
      </c>
      <c r="BS261" s="16">
        <f>BT261</f>
        <v>1.1200000000000001</v>
      </c>
      <c r="BT261" s="335">
        <v>1.1200000000000001</v>
      </c>
      <c r="BU261" s="16">
        <f>CB261</f>
        <v>1.1299999999999999</v>
      </c>
      <c r="BV261" s="16">
        <f t="shared" ref="BV261:BX262" si="680">BU261</f>
        <v>1.1299999999999999</v>
      </c>
      <c r="BW261" s="16">
        <f t="shared" si="680"/>
        <v>1.1299999999999999</v>
      </c>
      <c r="BX261" s="327">
        <f t="shared" si="680"/>
        <v>1.1299999999999999</v>
      </c>
      <c r="BY261" s="16">
        <f>CB261</f>
        <v>1.1299999999999999</v>
      </c>
      <c r="BZ261" s="16">
        <f>CB261</f>
        <v>1.1299999999999999</v>
      </c>
      <c r="CA261" s="16">
        <f>CB261</f>
        <v>1.1299999999999999</v>
      </c>
      <c r="CB261" s="335">
        <v>1.1299999999999999</v>
      </c>
      <c r="CC261" s="16">
        <f>CJ261</f>
        <v>1.2205882352941178</v>
      </c>
      <c r="CD261" s="16">
        <f t="shared" ref="CD261:CF262" si="681">CC261</f>
        <v>1.2205882352941178</v>
      </c>
      <c r="CE261" s="16">
        <f t="shared" si="681"/>
        <v>1.2205882352941178</v>
      </c>
      <c r="CF261" s="327">
        <f t="shared" si="681"/>
        <v>1.2205882352941178</v>
      </c>
      <c r="CG261" s="16">
        <f>CJ261</f>
        <v>1.2205882352941178</v>
      </c>
      <c r="CH261" s="16">
        <f>CJ261</f>
        <v>1.2205882352941178</v>
      </c>
      <c r="CI261" s="16">
        <f>CJ261</f>
        <v>1.2205882352941178</v>
      </c>
      <c r="CJ261" s="335">
        <v>1.2205882352941178</v>
      </c>
    </row>
    <row r="262" spans="1:88" x14ac:dyDescent="0.2">
      <c r="A262" s="4" t="s">
        <v>834</v>
      </c>
      <c r="N262" s="15">
        <v>1.33</v>
      </c>
      <c r="O262" s="15">
        <v>1.1100000000000001</v>
      </c>
      <c r="P262" s="15">
        <v>1.1100000000000001</v>
      </c>
      <c r="Q262" s="15">
        <v>1.1299999999999999</v>
      </c>
      <c r="R262" s="15">
        <f>+Q262</f>
        <v>1.1299999999999999</v>
      </c>
      <c r="S262" s="15">
        <v>1.18</v>
      </c>
      <c r="T262" s="15"/>
      <c r="U262" s="15">
        <v>1.1200000000000001</v>
      </c>
      <c r="V262" s="15">
        <v>1.1399999999999999</v>
      </c>
      <c r="W262" s="15">
        <v>1.18</v>
      </c>
      <c r="X262" s="326">
        <v>1.05</v>
      </c>
      <c r="Y262" s="15">
        <v>1.07</v>
      </c>
      <c r="Z262" s="15">
        <f>(AC262*2)-Y262</f>
        <v>1.0900000000000001</v>
      </c>
      <c r="AA262" s="15">
        <v>1.0900000000000001</v>
      </c>
      <c r="AB262" s="325">
        <f>AD262*2-AA262</f>
        <v>1.07</v>
      </c>
      <c r="AC262" s="15">
        <v>1.08</v>
      </c>
      <c r="AD262" s="15">
        <f>(AF262*2)-AC262</f>
        <v>1.08</v>
      </c>
      <c r="AE262" s="15">
        <v>1.08</v>
      </c>
      <c r="AF262" s="1366">
        <v>1.08</v>
      </c>
      <c r="AG262" s="15">
        <v>1.0900000000000001</v>
      </c>
      <c r="AH262" s="15">
        <f>(AK262*2)-AG262</f>
        <v>1.07</v>
      </c>
      <c r="AI262" s="15">
        <v>1.1000000000000001</v>
      </c>
      <c r="AJ262" s="325">
        <f>AL262*2-AI262</f>
        <v>1.06</v>
      </c>
      <c r="AK262" s="15">
        <v>1.08</v>
      </c>
      <c r="AL262" s="15">
        <f>(AN262*2)-AK262</f>
        <v>1.08</v>
      </c>
      <c r="AM262" s="15">
        <v>1.0900000000000001</v>
      </c>
      <c r="AN262" s="1366">
        <v>1.08</v>
      </c>
      <c r="AO262" s="15">
        <v>1.05</v>
      </c>
      <c r="AP262" s="15">
        <f>(AS262*2)-AO262</f>
        <v>1.1300000000000001</v>
      </c>
      <c r="AQ262" s="15">
        <v>1.17</v>
      </c>
      <c r="AR262" s="325">
        <f>AT262*2-AQ262</f>
        <v>1.1699999999999995</v>
      </c>
      <c r="AS262" s="15">
        <v>1.0900000000000001</v>
      </c>
      <c r="AT262" s="15">
        <f>(AV262*2)-AS262</f>
        <v>1.1699999999999997</v>
      </c>
      <c r="AU262" s="15">
        <v>1.1200000000000001</v>
      </c>
      <c r="AV262" s="1366">
        <v>1.1299999999999999</v>
      </c>
      <c r="AW262" s="15">
        <v>1.17</v>
      </c>
      <c r="AX262" s="15">
        <f>(BA262*2)-AW262</f>
        <v>1.17</v>
      </c>
      <c r="AY262" s="16">
        <f t="shared" si="677"/>
        <v>1.17</v>
      </c>
      <c r="AZ262" s="327">
        <f t="shared" si="677"/>
        <v>1.17</v>
      </c>
      <c r="BA262" s="15">
        <v>1.17</v>
      </c>
      <c r="BB262" s="16">
        <f>BD262</f>
        <v>1.17</v>
      </c>
      <c r="BC262" s="16">
        <f>BD262</f>
        <v>1.17</v>
      </c>
      <c r="BD262" s="335">
        <v>1.17</v>
      </c>
      <c r="BE262" s="16">
        <f>BL262</f>
        <v>1.19</v>
      </c>
      <c r="BF262" s="16">
        <f t="shared" si="678"/>
        <v>1.19</v>
      </c>
      <c r="BG262" s="16">
        <f t="shared" si="678"/>
        <v>1.19</v>
      </c>
      <c r="BH262" s="327">
        <f t="shared" si="678"/>
        <v>1.19</v>
      </c>
      <c r="BI262" s="16">
        <f>BL262</f>
        <v>1.19</v>
      </c>
      <c r="BJ262" s="16">
        <f>BL262</f>
        <v>1.19</v>
      </c>
      <c r="BK262" s="16">
        <f>BL262</f>
        <v>1.19</v>
      </c>
      <c r="BL262" s="335">
        <v>1.19</v>
      </c>
      <c r="BM262" s="16">
        <f>BT262</f>
        <v>1.2</v>
      </c>
      <c r="BN262" s="16">
        <f t="shared" si="679"/>
        <v>1.2</v>
      </c>
      <c r="BO262" s="16">
        <f t="shared" si="679"/>
        <v>1.2</v>
      </c>
      <c r="BP262" s="327">
        <f t="shared" si="679"/>
        <v>1.2</v>
      </c>
      <c r="BQ262" s="16">
        <f>BT262</f>
        <v>1.2</v>
      </c>
      <c r="BR262" s="16">
        <f>BT262</f>
        <v>1.2</v>
      </c>
      <c r="BS262" s="16">
        <f>BT262</f>
        <v>1.2</v>
      </c>
      <c r="BT262" s="335">
        <v>1.2</v>
      </c>
      <c r="BU262" s="16">
        <f>CB262</f>
        <v>1.22</v>
      </c>
      <c r="BV262" s="16">
        <f t="shared" si="680"/>
        <v>1.22</v>
      </c>
      <c r="BW262" s="16">
        <f t="shared" si="680"/>
        <v>1.22</v>
      </c>
      <c r="BX262" s="327">
        <f t="shared" si="680"/>
        <v>1.22</v>
      </c>
      <c r="BY262" s="16">
        <f>CB262</f>
        <v>1.22</v>
      </c>
      <c r="BZ262" s="16">
        <f>CB262</f>
        <v>1.22</v>
      </c>
      <c r="CA262" s="16">
        <f>CB262</f>
        <v>1.22</v>
      </c>
      <c r="CB262" s="335">
        <v>1.22</v>
      </c>
      <c r="CC262" s="16">
        <f>CJ262</f>
        <v>1.23</v>
      </c>
      <c r="CD262" s="16">
        <f t="shared" si="681"/>
        <v>1.23</v>
      </c>
      <c r="CE262" s="16">
        <f t="shared" si="681"/>
        <v>1.23</v>
      </c>
      <c r="CF262" s="327">
        <f t="shared" si="681"/>
        <v>1.23</v>
      </c>
      <c r="CG262" s="16">
        <f>CJ262</f>
        <v>1.23</v>
      </c>
      <c r="CH262" s="16">
        <f>CJ262</f>
        <v>1.23</v>
      </c>
      <c r="CI262" s="16">
        <f>CJ262</f>
        <v>1.23</v>
      </c>
      <c r="CJ262" s="335">
        <v>1.23</v>
      </c>
    </row>
    <row r="263" spans="1:88" x14ac:dyDescent="0.2">
      <c r="N263" s="15"/>
      <c r="X263" s="180"/>
      <c r="AB263" s="179"/>
      <c r="AC263" s="11"/>
      <c r="AF263" s="603"/>
      <c r="AJ263" s="179"/>
      <c r="AK263" s="11"/>
      <c r="AN263" s="603"/>
      <c r="AR263" s="179"/>
      <c r="AS263" s="11"/>
      <c r="AV263" s="603"/>
      <c r="AZ263" s="179"/>
      <c r="BA263" s="11"/>
      <c r="BD263" s="603"/>
      <c r="BH263" s="179"/>
      <c r="BI263" s="11"/>
      <c r="BL263" s="603"/>
      <c r="BP263" s="179"/>
      <c r="BQ263" s="11"/>
      <c r="BT263" s="603"/>
      <c r="BX263" s="179"/>
      <c r="BY263" s="11"/>
      <c r="CB263" s="603"/>
      <c r="CF263" s="179"/>
      <c r="CG263" s="11"/>
      <c r="CJ263" s="603"/>
    </row>
    <row r="264" spans="1:88" x14ac:dyDescent="0.2">
      <c r="A264" s="4" t="s">
        <v>835</v>
      </c>
      <c r="N264" s="15">
        <v>1.2915000000000001</v>
      </c>
      <c r="O264" s="15">
        <v>1.1828644501278773</v>
      </c>
      <c r="P264" s="15">
        <v>1.17282889079966</v>
      </c>
      <c r="Q264" s="15">
        <f>(Q258*Q261)+(Q259*Q262)</f>
        <v>1.1739999999999999</v>
      </c>
      <c r="R264" s="15">
        <f>(R258*R261)+(R259*R262)</f>
        <v>1.1739999999999999</v>
      </c>
      <c r="S264" s="15">
        <f>(S258*S261)+(S259*S262)</f>
        <v>1.18</v>
      </c>
      <c r="T264" s="15"/>
      <c r="U264" s="15">
        <f>(U258*U261)+(U259*U262)</f>
        <v>1.153</v>
      </c>
      <c r="V264" s="15">
        <f>(V258*V261)+(V259*V262)</f>
        <v>1.1509999999999998</v>
      </c>
      <c r="W264" s="15">
        <f>(W258*W261)+(W259*W262)</f>
        <v>1.169</v>
      </c>
      <c r="X264" s="326">
        <f>(X258*X261)+(X259*X262)</f>
        <v>1.105</v>
      </c>
      <c r="Y264" s="15">
        <f>(Y258*Y261)+(Y259*Y262)</f>
        <v>1.103</v>
      </c>
      <c r="Z264" s="15">
        <f t="shared" ref="Z264" si="682">Z266/Z255</f>
        <v>1.1116425992779784</v>
      </c>
      <c r="AA264" s="15">
        <f t="shared" ref="AA264:AF264" si="683">(AA258*AA261)+(AA259*AA262)</f>
        <v>1.1119999999999999</v>
      </c>
      <c r="AB264" s="325">
        <f t="shared" si="683"/>
        <v>1.103</v>
      </c>
      <c r="AC264" s="15">
        <f t="shared" si="683"/>
        <v>1.1074999999999999</v>
      </c>
      <c r="AD264" s="15">
        <f t="shared" si="683"/>
        <v>1.1074999999999999</v>
      </c>
      <c r="AE264" s="15">
        <f t="shared" si="683"/>
        <v>1.1074999999999999</v>
      </c>
      <c r="AF264" s="1366">
        <f t="shared" si="683"/>
        <v>1.1074999999999999</v>
      </c>
      <c r="AG264" s="15">
        <f>(AG258*AG261)+(AG259*AG262)</f>
        <v>1.1065</v>
      </c>
      <c r="AH264" s="15">
        <f t="shared" ref="AH264" si="684">AH266/AH255</f>
        <v>1.0969336384439361</v>
      </c>
      <c r="AI264" s="15">
        <f t="shared" ref="AI264:AJ264" si="685">(AI258*AI261)+(AI259*AI262)</f>
        <v>1.1110000000000002</v>
      </c>
      <c r="AJ264" s="325">
        <f t="shared" si="685"/>
        <v>1.093</v>
      </c>
      <c r="AK264" s="15">
        <f t="shared" ref="AK264:AL264" si="686">(AK258*AK261)+(AK259*AK262)</f>
        <v>1.1020000000000001</v>
      </c>
      <c r="AL264" s="15">
        <f t="shared" si="686"/>
        <v>1.1020000000000001</v>
      </c>
      <c r="AM264" s="15">
        <f t="shared" ref="AM264:AN264" si="687">(AM258*AM261)+(AM259*AM262)</f>
        <v>1.1065</v>
      </c>
      <c r="AN264" s="1366">
        <f t="shared" si="687"/>
        <v>1.1020000000000001</v>
      </c>
      <c r="AO264" s="15">
        <f>(AO258*AO261)+(AO259*AO262)</f>
        <v>1.0885</v>
      </c>
      <c r="AP264" s="15">
        <f t="shared" ref="AP264" si="688">AP266/AP255</f>
        <v>1.1244780097734342</v>
      </c>
      <c r="AQ264" s="15">
        <f t="shared" ref="AQ264:AR264" si="689">(AQ258*AQ261)+(AQ259*AQ262)</f>
        <v>1.1425000000000001</v>
      </c>
      <c r="AR264" s="325">
        <f t="shared" si="689"/>
        <v>1.1424999999999998</v>
      </c>
      <c r="AS264" s="15">
        <f t="shared" ref="AS264:AT264" si="690">(AS258*AS261)+(AS259*AS262)</f>
        <v>1.1065</v>
      </c>
      <c r="AT264" s="15">
        <f t="shared" si="690"/>
        <v>1.1425000000000001</v>
      </c>
      <c r="AU264" s="15">
        <f t="shared" ref="AU264:AV264" si="691">(AU258*AU261)+(AU259*AU262)</f>
        <v>1.1200000000000001</v>
      </c>
      <c r="AV264" s="1366">
        <f t="shared" si="691"/>
        <v>1.1245000000000001</v>
      </c>
      <c r="AW264" s="15">
        <f>(AW258*AW261)+(AW259*AW262)</f>
        <v>1.1425000000000001</v>
      </c>
      <c r="AX264" s="15">
        <f t="shared" ref="AX264" si="692">AX266/AX255</f>
        <v>1.1419607843137256</v>
      </c>
      <c r="AY264" s="15"/>
      <c r="AZ264" s="325"/>
      <c r="BA264" s="15">
        <f t="shared" ref="BA264" si="693">(BA258*BA261)+(BA259*BA262)</f>
        <v>1.1425000000000001</v>
      </c>
      <c r="BB264" s="16">
        <f>BB266/BB255</f>
        <v>1.1419607843137256</v>
      </c>
      <c r="BC264" s="15"/>
      <c r="BD264" s="335">
        <f>BD266/BD255</f>
        <v>1.1419607843137254</v>
      </c>
      <c r="BE264" s="15"/>
      <c r="BF264" s="15"/>
      <c r="BG264" s="15"/>
      <c r="BH264" s="325"/>
      <c r="BI264" s="16">
        <f>BI266/BI255</f>
        <v>1.1504531722054381</v>
      </c>
      <c r="BJ264" s="16">
        <f>BJ266/BJ255</f>
        <v>1.1504531722054374</v>
      </c>
      <c r="BK264" s="15"/>
      <c r="BL264" s="335">
        <f>BL266/BL255</f>
        <v>1.1504531722054381</v>
      </c>
      <c r="BM264" s="15"/>
      <c r="BN264" s="15"/>
      <c r="BO264" s="15"/>
      <c r="BP264" s="325"/>
      <c r="BQ264" s="16">
        <f>BQ266/BQ255</f>
        <v>1.1546391752577321</v>
      </c>
      <c r="BR264" s="16">
        <f>BR266/BR255</f>
        <v>1.1546391752577319</v>
      </c>
      <c r="BS264" s="15"/>
      <c r="BT264" s="335">
        <f>BT266/BT255</f>
        <v>1.1546391752577321</v>
      </c>
      <c r="BU264" s="15"/>
      <c r="BV264" s="15"/>
      <c r="BW264" s="15"/>
      <c r="BX264" s="325"/>
      <c r="BY264" s="16">
        <f>BY266/BY255</f>
        <v>1.1688003391267485</v>
      </c>
      <c r="BZ264" s="16">
        <f>BZ266/BZ255</f>
        <v>1.1688003391267483</v>
      </c>
      <c r="CA264" s="15"/>
      <c r="CB264" s="335">
        <f>CB266/CB255</f>
        <v>1.1688003391267485</v>
      </c>
      <c r="CC264" s="15"/>
      <c r="CD264" s="15"/>
      <c r="CE264" s="15"/>
      <c r="CF264" s="325"/>
      <c r="CG264" s="16">
        <f>CG266/CG255</f>
        <v>1.2248056435358479</v>
      </c>
      <c r="CH264" s="16">
        <f>CH266/CH255</f>
        <v>1.2248056435358483</v>
      </c>
      <c r="CI264" s="15"/>
      <c r="CJ264" s="335">
        <f>CJ266/CJ255</f>
        <v>1.2248056435358481</v>
      </c>
    </row>
    <row r="265" spans="1:88" x14ac:dyDescent="0.2">
      <c r="X265" s="180"/>
      <c r="AB265" s="179"/>
      <c r="AF265" s="314"/>
      <c r="AJ265" s="179"/>
      <c r="AN265" s="314"/>
      <c r="AR265" s="179"/>
      <c r="AV265" s="314"/>
      <c r="AZ265" s="179"/>
      <c r="BD265" s="314"/>
      <c r="BH265" s="179"/>
      <c r="BL265" s="314"/>
      <c r="BP265" s="179"/>
      <c r="BT265" s="314"/>
      <c r="BX265" s="179"/>
      <c r="CB265" s="314"/>
      <c r="CF265" s="179"/>
      <c r="CJ265" s="314"/>
    </row>
    <row r="266" spans="1:88" x14ac:dyDescent="0.2">
      <c r="A266" s="186" t="s">
        <v>836</v>
      </c>
      <c r="B266" s="186"/>
      <c r="C266" s="186"/>
      <c r="D266" s="186"/>
      <c r="E266" s="186"/>
      <c r="F266" s="186"/>
      <c r="G266" s="186"/>
      <c r="H266" s="186"/>
      <c r="I266" s="186"/>
      <c r="J266" s="186"/>
      <c r="K266" s="186"/>
      <c r="L266" s="186"/>
      <c r="M266" s="186"/>
      <c r="N266" s="186">
        <f>N255*N264</f>
        <v>6949.5356700000011</v>
      </c>
      <c r="O266" s="186">
        <f>O118</f>
        <v>7716.1796675191817</v>
      </c>
      <c r="P266" s="186">
        <f>P118</f>
        <v>8040.246362854713</v>
      </c>
      <c r="Q266" s="186">
        <f>Q118</f>
        <v>8805.6691800000008</v>
      </c>
      <c r="R266" s="186">
        <f>R118</f>
        <v>8458.5408599999992</v>
      </c>
      <c r="S266" s="186">
        <f>S118</f>
        <v>9866.6880000000001</v>
      </c>
      <c r="T266" s="186"/>
      <c r="U266" s="186">
        <f t="shared" ref="U266:AF266" si="694">U118</f>
        <v>10693.67145</v>
      </c>
      <c r="V266" s="186">
        <f t="shared" si="694"/>
        <v>5821.2745799999993</v>
      </c>
      <c r="W266" s="186">
        <f t="shared" si="694"/>
        <v>5565.5622400000002</v>
      </c>
      <c r="X266" s="284">
        <f t="shared" si="694"/>
        <v>7668.0149000000001</v>
      </c>
      <c r="Y266" s="186">
        <f t="shared" si="694"/>
        <v>2245.1565000000001</v>
      </c>
      <c r="Z266" s="186">
        <f t="shared" si="694"/>
        <v>2470.3016250000001</v>
      </c>
      <c r="AA266" s="186">
        <f t="shared" si="694"/>
        <v>2571.2219999999998</v>
      </c>
      <c r="AB266" s="283">
        <f t="shared" si="694"/>
        <v>2972.4024749999999</v>
      </c>
      <c r="AC266" s="186">
        <f t="shared" si="694"/>
        <v>4715.4581250000001</v>
      </c>
      <c r="AD266" s="186">
        <f t="shared" si="694"/>
        <v>5543.6244749999996</v>
      </c>
      <c r="AE266" s="186">
        <f t="shared" si="694"/>
        <v>7297.3053932710127</v>
      </c>
      <c r="AF266" s="341">
        <f t="shared" si="694"/>
        <v>10259.0826</v>
      </c>
      <c r="AG266" s="186">
        <f t="shared" ref="AG266:AJ266" si="695">AG118</f>
        <v>2638.6594850000001</v>
      </c>
      <c r="AH266" s="186">
        <f t="shared" si="695"/>
        <v>2914.9576750000006</v>
      </c>
      <c r="AI266" s="186">
        <f t="shared" si="695"/>
        <v>2930.6069100000004</v>
      </c>
      <c r="AJ266" s="283">
        <f t="shared" si="695"/>
        <v>3400.9340899999997</v>
      </c>
      <c r="AK266" s="186">
        <f t="shared" ref="AK266" si="696">AK118</f>
        <v>5553.6171600000007</v>
      </c>
      <c r="AL266" s="186">
        <f>AL118</f>
        <v>6331.5410000000002</v>
      </c>
      <c r="AM266" s="186">
        <f t="shared" ref="AM266:AO266" si="697">AM118</f>
        <v>8484.2240700000002</v>
      </c>
      <c r="AN266" s="341">
        <f t="shared" si="697"/>
        <v>11885.158160000001</v>
      </c>
      <c r="AO266" s="186">
        <f t="shared" si="697"/>
        <v>3087.7261800000006</v>
      </c>
      <c r="AP266" s="186">
        <f>AP118</f>
        <v>3504.1258550000002</v>
      </c>
      <c r="AQ266" s="186">
        <f t="shared" ref="AQ266:AR266" si="698">AQ118</f>
        <v>3765.5200500000001</v>
      </c>
      <c r="AR266" s="283">
        <f t="shared" si="698"/>
        <v>3737.5607150000014</v>
      </c>
      <c r="AS266" s="186">
        <f t="shared" ref="AS266" si="699">AS118</f>
        <v>6591.8520350000008</v>
      </c>
      <c r="AT266" s="186">
        <f>AT118</f>
        <v>7503.0807650000015</v>
      </c>
      <c r="AU266" s="186">
        <f t="shared" ref="AU266:AW266" si="700">AU118</f>
        <v>10357.372085000001</v>
      </c>
      <c r="AV266" s="341">
        <f t="shared" si="700"/>
        <v>14094.932800000002</v>
      </c>
      <c r="AW266" s="186">
        <f t="shared" si="700"/>
        <v>4056.5148000000004</v>
      </c>
      <c r="AX266" s="186">
        <f>AX118</f>
        <v>4227.31855</v>
      </c>
      <c r="AY266" s="186"/>
      <c r="AZ266" s="283"/>
      <c r="BA266" s="186">
        <f>BA118</f>
        <v>8283.8333500000008</v>
      </c>
      <c r="BB266" s="285">
        <f>BB118</f>
        <v>9737.4940859155722</v>
      </c>
      <c r="BC266" s="186"/>
      <c r="BD266" s="301">
        <f>BD118</f>
        <v>18021.327435915573</v>
      </c>
      <c r="BE266" s="186"/>
      <c r="BF266" s="186"/>
      <c r="BG266" s="186"/>
      <c r="BH266" s="283"/>
      <c r="BI266" s="285">
        <f>BI118</f>
        <v>8978.4659666030238</v>
      </c>
      <c r="BJ266" s="285">
        <f>BJ118</f>
        <v>11167.287362414107</v>
      </c>
      <c r="BK266" s="186"/>
      <c r="BL266" s="301">
        <f>BL118</f>
        <v>20145.753329017134</v>
      </c>
      <c r="BM266" s="186"/>
      <c r="BN266" s="186"/>
      <c r="BO266" s="186"/>
      <c r="BP266" s="283"/>
      <c r="BQ266" s="285">
        <f>BQ118</f>
        <v>10038.715016507598</v>
      </c>
      <c r="BR266" s="285">
        <f>BR118</f>
        <v>12336.8886000247</v>
      </c>
      <c r="BS266" s="186"/>
      <c r="BT266" s="301">
        <f>BT118</f>
        <v>22375.603616532298</v>
      </c>
      <c r="BU266" s="186"/>
      <c r="BV266" s="186"/>
      <c r="BW266" s="186"/>
      <c r="BX266" s="283"/>
      <c r="BY266" s="285">
        <f>BY118</f>
        <v>10783.079434473659</v>
      </c>
      <c r="BZ266" s="285">
        <f>BZ118</f>
        <v>13214.80343136645</v>
      </c>
      <c r="CA266" s="186"/>
      <c r="CB266" s="301">
        <f>CB118</f>
        <v>23997.882865840111</v>
      </c>
      <c r="CC266" s="186"/>
      <c r="CD266" s="186"/>
      <c r="CE266" s="186"/>
      <c r="CF266" s="283"/>
      <c r="CG266" s="285">
        <f>CG118</f>
        <v>11307.002388644083</v>
      </c>
      <c r="CH266" s="285">
        <f>CH118</f>
        <v>13858.610609154985</v>
      </c>
      <c r="CI266" s="186"/>
      <c r="CJ266" s="301">
        <f>CJ118</f>
        <v>25165.612997799064</v>
      </c>
    </row>
    <row r="267" spans="1:88" x14ac:dyDescent="0.2">
      <c r="A267" s="197" t="s">
        <v>20</v>
      </c>
      <c r="B267" s="197"/>
      <c r="C267" s="197"/>
      <c r="D267" s="197"/>
      <c r="E267" s="197"/>
      <c r="F267" s="197"/>
      <c r="G267" s="197"/>
      <c r="H267" s="197"/>
      <c r="I267" s="197"/>
      <c r="J267" s="197"/>
      <c r="K267" s="197"/>
      <c r="L267" s="197"/>
      <c r="M267" s="197"/>
      <c r="N267" s="197"/>
      <c r="O267" s="19">
        <f>O266/N266-1</f>
        <v>0.1103158590621609</v>
      </c>
      <c r="P267" s="19">
        <f t="shared" ref="P267:X267" si="701">P266/O266-1</f>
        <v>4.1998334577364904E-2</v>
      </c>
      <c r="Q267" s="19">
        <f>Q266/P266-1</f>
        <v>9.5198925829123704E-2</v>
      </c>
      <c r="R267" s="19"/>
      <c r="S267" s="19">
        <f>S266/R266-1</f>
        <v>0.16647636552293021</v>
      </c>
      <c r="T267" s="19"/>
      <c r="U267" s="19">
        <f>U266/S266-1</f>
        <v>8.3815708979548154E-2</v>
      </c>
      <c r="V267" s="19">
        <f t="shared" si="701"/>
        <v>-0.45563367948806777</v>
      </c>
      <c r="W267" s="19">
        <f t="shared" si="701"/>
        <v>-4.3927208120115746E-2</v>
      </c>
      <c r="X267" s="494">
        <f t="shared" si="701"/>
        <v>0.37776105438001539</v>
      </c>
      <c r="Y267" s="19"/>
      <c r="Z267" s="19"/>
      <c r="AA267" s="19"/>
      <c r="AB267" s="643"/>
      <c r="AC267" s="19"/>
      <c r="AD267" s="19"/>
      <c r="AE267" s="19"/>
      <c r="AF267" s="824">
        <f>AF266/X266-1</f>
        <v>0.3379059292125266</v>
      </c>
      <c r="AG267" s="204">
        <f t="shared" ref="AG267:AJ267" si="702">AG266/Y266-1</f>
        <v>0.17526750807794467</v>
      </c>
      <c r="AH267" s="204">
        <f t="shared" si="702"/>
        <v>0.18000071145158247</v>
      </c>
      <c r="AI267" s="204">
        <f t="shared" si="702"/>
        <v>0.13977202668614397</v>
      </c>
      <c r="AJ267" s="205">
        <f t="shared" si="702"/>
        <v>0.14417011781017308</v>
      </c>
      <c r="AK267" s="204">
        <f>AK266/AC266-1</f>
        <v>0.17774710596120502</v>
      </c>
      <c r="AL267" s="204">
        <f>AL266/AD266-1</f>
        <v>0.14213021256278369</v>
      </c>
      <c r="AM267" s="204">
        <f>AM266/AE266-1</f>
        <v>0.16265163820928596</v>
      </c>
      <c r="AN267" s="824">
        <f>AN266/AF266-1</f>
        <v>0.15850106909169459</v>
      </c>
      <c r="AO267" s="204">
        <f t="shared" ref="AO267:AR267" si="703">AO266/AG266-1</f>
        <v>0.17018743705006734</v>
      </c>
      <c r="AP267" s="204">
        <f t="shared" si="703"/>
        <v>0.20211894843378797</v>
      </c>
      <c r="AQ267" s="204">
        <f t="shared" si="703"/>
        <v>0.28489427809340673</v>
      </c>
      <c r="AR267" s="205">
        <f t="shared" si="703"/>
        <v>9.8980637698862894E-2</v>
      </c>
      <c r="AS267" s="204">
        <f>AS266/AK266-1</f>
        <v>0.18694750557850837</v>
      </c>
      <c r="AT267" s="204">
        <f>AT266/AL266-1</f>
        <v>0.18503232704329031</v>
      </c>
      <c r="AU267" s="204">
        <f>AU266/AM266-1</f>
        <v>0.22078012079188292</v>
      </c>
      <c r="AV267" s="824">
        <f>AV266/AN266-1</f>
        <v>0.18592723885131712</v>
      </c>
      <c r="AW267" s="204">
        <f t="shared" ref="AW267:AX267" si="704">AW266/AO266-1</f>
        <v>0.3137547060601078</v>
      </c>
      <c r="AX267" s="204">
        <f t="shared" si="704"/>
        <v>0.20638319653047965</v>
      </c>
      <c r="AY267" s="19"/>
      <c r="AZ267" s="643"/>
      <c r="BA267" s="204">
        <f>BA266/AS266-1</f>
        <v>0.25667768421018566</v>
      </c>
      <c r="BB267" s="213">
        <f>BB266/AT266-1</f>
        <v>0.2977994494392957</v>
      </c>
      <c r="BC267" s="19"/>
      <c r="BD267" s="823">
        <f>BD266/AV266-1</f>
        <v>0.27856781523041874</v>
      </c>
      <c r="BE267" s="19"/>
      <c r="BF267" s="19"/>
      <c r="BG267" s="19"/>
      <c r="BH267" s="643"/>
      <c r="BI267" s="213">
        <f>BI266/BA266-1</f>
        <v>8.3854006624001221E-2</v>
      </c>
      <c r="BJ267" s="213">
        <f>BJ266/BB266-1</f>
        <v>0.14683380178547223</v>
      </c>
      <c r="BK267" s="19"/>
      <c r="BL267" s="823">
        <f>BL266/BD266-1</f>
        <v>0.11788398499811348</v>
      </c>
      <c r="BM267" s="19"/>
      <c r="BN267" s="19"/>
      <c r="BO267" s="19"/>
      <c r="BP267" s="643"/>
      <c r="BQ267" s="213">
        <f>BQ266/BI266-1</f>
        <v>0.11808799563849282</v>
      </c>
      <c r="BR267" s="213">
        <f>BR266/BJ266-1</f>
        <v>0.10473458769827459</v>
      </c>
      <c r="BS267" s="19"/>
      <c r="BT267" s="823">
        <f>BT266/BL266-1</f>
        <v>0.11068587265502638</v>
      </c>
      <c r="BU267" s="19"/>
      <c r="BV267" s="19"/>
      <c r="BW267" s="19"/>
      <c r="BX267" s="643"/>
      <c r="BY267" s="213">
        <f>BY266/BQ266-1</f>
        <v>7.4149372379037848E-2</v>
      </c>
      <c r="BZ267" s="213">
        <f>BZ266/BR266-1</f>
        <v>7.1161770184095863E-2</v>
      </c>
      <c r="CA267" s="19"/>
      <c r="CB267" s="823">
        <f>CB266/BT266-1</f>
        <v>7.2502144617416553E-2</v>
      </c>
      <c r="CC267" s="19"/>
      <c r="CD267" s="19"/>
      <c r="CE267" s="19"/>
      <c r="CF267" s="643"/>
      <c r="CG267" s="213">
        <f>CG266/BY266-1</f>
        <v>4.8587507618226056E-2</v>
      </c>
      <c r="CH267" s="213">
        <f>CH266/BZ266-1</f>
        <v>4.8718634456597742E-2</v>
      </c>
      <c r="CI267" s="19"/>
      <c r="CJ267" s="823">
        <f>CJ266/CB266-1</f>
        <v>4.8659714629291972E-2</v>
      </c>
    </row>
    <row r="268" spans="1:88" ht="15" x14ac:dyDescent="0.25">
      <c r="O268" s="474"/>
      <c r="P268" s="474"/>
      <c r="Q268" s="474"/>
      <c r="R268" s="474"/>
      <c r="S268" s="474"/>
      <c r="T268" s="474"/>
      <c r="U268" s="474"/>
      <c r="V268" s="474"/>
      <c r="W268" s="474"/>
      <c r="X268" s="478"/>
      <c r="Y268" s="474"/>
      <c r="Z268" s="104"/>
      <c r="AA268" s="474"/>
      <c r="AB268" s="825"/>
      <c r="AC268" s="474"/>
      <c r="AD268" s="474"/>
      <c r="AE268" s="474"/>
      <c r="AF268" s="826"/>
      <c r="AG268" s="474"/>
      <c r="AH268" s="104"/>
      <c r="AI268" s="474"/>
      <c r="AJ268" s="825"/>
      <c r="AK268" s="217"/>
      <c r="AL268" s="474"/>
      <c r="AM268" s="474"/>
      <c r="AN268" s="826"/>
      <c r="AO268" s="474"/>
      <c r="AP268" s="104"/>
      <c r="AQ268" s="474"/>
      <c r="AR268" s="825"/>
      <c r="AS268" s="217"/>
      <c r="AT268" s="474"/>
      <c r="AU268" s="474"/>
      <c r="AV268" s="826"/>
      <c r="AW268" s="474"/>
      <c r="AX268" s="104"/>
      <c r="AY268" s="474"/>
      <c r="AZ268" s="825"/>
      <c r="BA268" s="217"/>
      <c r="BB268" s="474"/>
      <c r="BC268" s="474"/>
      <c r="BD268" s="826"/>
      <c r="BE268" s="474"/>
      <c r="BF268" s="474"/>
      <c r="BG268" s="474"/>
      <c r="BH268" s="825"/>
      <c r="BI268" s="217"/>
      <c r="BJ268" s="474"/>
      <c r="BK268" s="474"/>
      <c r="BL268" s="826"/>
      <c r="BM268" s="474"/>
      <c r="BN268" s="474"/>
      <c r="BO268" s="474"/>
      <c r="BP268" s="825"/>
      <c r="BQ268" s="217"/>
      <c r="BR268" s="474"/>
      <c r="BS268" s="474"/>
      <c r="BT268" s="826"/>
      <c r="BU268" s="474"/>
      <c r="BV268" s="474"/>
      <c r="BW268" s="474"/>
      <c r="BX268" s="825"/>
      <c r="BY268" s="217"/>
      <c r="BZ268" s="474"/>
      <c r="CA268" s="474"/>
      <c r="CB268" s="826"/>
      <c r="CC268" s="474"/>
      <c r="CD268" s="474"/>
      <c r="CE268" s="474"/>
      <c r="CF268" s="825"/>
      <c r="CG268" s="217"/>
      <c r="CH268" s="474"/>
      <c r="CI268" s="474"/>
      <c r="CJ268" s="826"/>
    </row>
    <row r="269" spans="1:88" x14ac:dyDescent="0.2">
      <c r="A269" s="4" t="s">
        <v>837</v>
      </c>
      <c r="N269" s="4">
        <f t="shared" ref="N269:S269" si="705">N266*N258</f>
        <v>3822.2446185000008</v>
      </c>
      <c r="O269" s="4">
        <f t="shared" si="705"/>
        <v>4243.8988171355504</v>
      </c>
      <c r="P269" s="4">
        <f t="shared" si="705"/>
        <v>4422.1354995700922</v>
      </c>
      <c r="Q269" s="4">
        <f t="shared" si="705"/>
        <v>4843.1180490000006</v>
      </c>
      <c r="R269" s="4">
        <f t="shared" si="705"/>
        <v>4652.1974730000002</v>
      </c>
      <c r="S269" s="4">
        <f t="shared" si="705"/>
        <v>5426.6784000000007</v>
      </c>
      <c r="U269" s="4">
        <f t="shared" ref="U269:AC269" si="706">U266*U258</f>
        <v>5881.5192975</v>
      </c>
      <c r="V269" s="4">
        <f t="shared" si="706"/>
        <v>3201.7010190000001</v>
      </c>
      <c r="W269" s="4">
        <f t="shared" si="706"/>
        <v>3061.0592320000005</v>
      </c>
      <c r="X269" s="180">
        <f t="shared" si="706"/>
        <v>4217.408195</v>
      </c>
      <c r="Y269" s="4">
        <f t="shared" si="706"/>
        <v>1234.8360750000002</v>
      </c>
      <c r="Z269" s="4">
        <f t="shared" si="706"/>
        <v>1358.6658937500001</v>
      </c>
      <c r="AA269" s="4">
        <f t="shared" si="706"/>
        <v>1414.1721</v>
      </c>
      <c r="AB269" s="179">
        <f t="shared" si="706"/>
        <v>1634.8213612500001</v>
      </c>
      <c r="AC269" s="4">
        <f t="shared" si="706"/>
        <v>2593.5019687500003</v>
      </c>
      <c r="AD269" s="4">
        <f>AF269-AC269</f>
        <v>3048.9934612499997</v>
      </c>
      <c r="AE269" s="4">
        <f>Y269+Z269+AA269</f>
        <v>4007.6740687500005</v>
      </c>
      <c r="AF269" s="314">
        <f>AF266*AF258</f>
        <v>5642.4954299999999</v>
      </c>
      <c r="AG269" s="4">
        <f t="shared" ref="AG269:AJ269" si="707">AG266*AG258</f>
        <v>1451.2627167500002</v>
      </c>
      <c r="AH269" s="4">
        <f t="shared" si="707"/>
        <v>1603.2267212500005</v>
      </c>
      <c r="AI269" s="4">
        <f t="shared" si="707"/>
        <v>1611.8338005000003</v>
      </c>
      <c r="AJ269" s="179">
        <f t="shared" si="707"/>
        <v>1870.5137494999999</v>
      </c>
      <c r="AK269" s="4">
        <f t="shared" ref="AK269" si="708">AK266*AK258</f>
        <v>3054.4894380000005</v>
      </c>
      <c r="AL269" s="4">
        <f>AN269-AK269</f>
        <v>3482.3475500000004</v>
      </c>
      <c r="AM269" s="4">
        <f>AG269+AH269+AI269</f>
        <v>4666.323238500001</v>
      </c>
      <c r="AN269" s="314">
        <f>AN266*AN258</f>
        <v>6536.8369880000009</v>
      </c>
      <c r="AO269" s="4">
        <f t="shared" ref="AO269:AR269" si="709">AO266*AO258</f>
        <v>1698.2493990000005</v>
      </c>
      <c r="AP269" s="4">
        <f t="shared" si="709"/>
        <v>1927.2692202500002</v>
      </c>
      <c r="AQ269" s="4">
        <f t="shared" si="709"/>
        <v>2071.0360275000003</v>
      </c>
      <c r="AR269" s="179">
        <f t="shared" si="709"/>
        <v>2055.6583932500012</v>
      </c>
      <c r="AS269" s="4">
        <f t="shared" ref="AS269" si="710">AS266*AS258</f>
        <v>3625.5186192500009</v>
      </c>
      <c r="AT269" s="4">
        <f>AV269-AS269</f>
        <v>4126.6944207500001</v>
      </c>
      <c r="AU269" s="4">
        <f>AO269+AP269+AQ269</f>
        <v>5696.5546467500008</v>
      </c>
      <c r="AV269" s="314">
        <f>AV266*AV258</f>
        <v>7752.2130400000015</v>
      </c>
      <c r="AW269" s="4">
        <f t="shared" ref="AW269:AX269" si="711">AW266*AW258</f>
        <v>2231.0831400000002</v>
      </c>
      <c r="AX269" s="4">
        <f t="shared" si="711"/>
        <v>2325.0252025</v>
      </c>
      <c r="AZ269" s="179"/>
      <c r="BA269" s="4">
        <f>BA266*BA258</f>
        <v>4556.1083425000006</v>
      </c>
      <c r="BB269" s="11">
        <f>BD269-BA269</f>
        <v>5355.6217472535654</v>
      </c>
      <c r="BD269" s="603">
        <f>BD266*BD258</f>
        <v>9911.7300897535661</v>
      </c>
      <c r="BH269" s="179"/>
      <c r="BI269" s="11">
        <f>BI266*BI258</f>
        <v>4938.1562816316637</v>
      </c>
      <c r="BJ269" s="11">
        <f>BL269-BI269</f>
        <v>6142.0080493277601</v>
      </c>
      <c r="BL269" s="603">
        <f>BL266*BL258</f>
        <v>11080.164330959424</v>
      </c>
      <c r="BP269" s="179"/>
      <c r="BQ269" s="11">
        <f>BQ266*BQ258</f>
        <v>5521.2932590791797</v>
      </c>
      <c r="BR269" s="11">
        <f>BT269-BQ269</f>
        <v>6785.2887300135853</v>
      </c>
      <c r="BT269" s="603">
        <f>BT266*BT258</f>
        <v>12306.581989092765</v>
      </c>
      <c r="BX269" s="179"/>
      <c r="BY269" s="11">
        <f>BY266*BY258</f>
        <v>5930.6936889605131</v>
      </c>
      <c r="BZ269" s="11">
        <f>CB269-BY269</f>
        <v>7268.1418872515496</v>
      </c>
      <c r="CB269" s="603">
        <f>CB266*CB258</f>
        <v>13198.835576212063</v>
      </c>
      <c r="CF269" s="179"/>
      <c r="CG269" s="11">
        <f>CG266*CG258</f>
        <v>6218.8513137542459</v>
      </c>
      <c r="CH269" s="11">
        <f>CJ269-CG269</f>
        <v>7622.2358350352397</v>
      </c>
      <c r="CJ269" s="603">
        <f>CJ266*CJ258</f>
        <v>13841.087148789486</v>
      </c>
    </row>
    <row r="270" spans="1:88" x14ac:dyDescent="0.2">
      <c r="X270" s="180"/>
      <c r="AB270" s="181"/>
      <c r="AF270" s="314"/>
      <c r="AJ270" s="181"/>
      <c r="AN270" s="314"/>
      <c r="AR270" s="181"/>
      <c r="AV270" s="314"/>
      <c r="AZ270" s="179"/>
      <c r="BD270" s="314"/>
      <c r="BH270" s="179"/>
      <c r="BL270" s="314"/>
      <c r="BP270" s="179"/>
      <c r="BT270" s="314"/>
      <c r="BX270" s="179"/>
      <c r="CB270" s="314"/>
      <c r="CF270" s="179"/>
      <c r="CJ270" s="314"/>
    </row>
    <row r="271" spans="1:88" x14ac:dyDescent="0.2">
      <c r="A271" s="186" t="s">
        <v>838</v>
      </c>
      <c r="B271" s="186"/>
      <c r="C271" s="186"/>
      <c r="D271" s="186"/>
      <c r="E271" s="186"/>
      <c r="F271" s="186"/>
      <c r="G271" s="186"/>
      <c r="H271" s="186"/>
      <c r="I271" s="186"/>
      <c r="J271" s="186"/>
      <c r="K271" s="186"/>
      <c r="L271" s="186"/>
      <c r="M271" s="186"/>
      <c r="N271" s="186">
        <f t="shared" ref="N271:S271" si="712">N269/N261</f>
        <v>3033.5274750000008</v>
      </c>
      <c r="O271" s="186">
        <f t="shared" si="712"/>
        <v>3395.1190537084403</v>
      </c>
      <c r="P271" s="186">
        <f t="shared" si="712"/>
        <v>3566.2383061049131</v>
      </c>
      <c r="Q271" s="186">
        <f t="shared" si="712"/>
        <v>4002.5769000000005</v>
      </c>
      <c r="R271" s="186">
        <f t="shared" si="712"/>
        <v>3844.7913000000003</v>
      </c>
      <c r="S271" s="186">
        <f t="shared" si="712"/>
        <v>4598.880000000001</v>
      </c>
      <c r="T271" s="186"/>
      <c r="U271" s="186">
        <f t="shared" ref="U271:AC271" si="713">U269/U261</f>
        <v>4984.3383877118649</v>
      </c>
      <c r="V271" s="186">
        <f t="shared" si="713"/>
        <v>2760.0870853448278</v>
      </c>
      <c r="W271" s="186">
        <f t="shared" si="713"/>
        <v>2638.8441655172419</v>
      </c>
      <c r="X271" s="284">
        <f t="shared" si="713"/>
        <v>3667.3114739130438</v>
      </c>
      <c r="Y271" s="186">
        <f t="shared" si="713"/>
        <v>1092.7752876106197</v>
      </c>
      <c r="Z271" s="186">
        <f t="shared" si="713"/>
        <v>1202.3591980088497</v>
      </c>
      <c r="AA271" s="186">
        <f t="shared" si="713"/>
        <v>1251.4797345132745</v>
      </c>
      <c r="AB271" s="283">
        <f t="shared" si="713"/>
        <v>1446.7445674778764</v>
      </c>
      <c r="AC271" s="186">
        <f t="shared" si="713"/>
        <v>2295.1344856194696</v>
      </c>
      <c r="AD271" s="186">
        <f>AF271-AC271</f>
        <v>2698.2243019911507</v>
      </c>
      <c r="AE271" s="186">
        <f>Y271+Z271+AA271</f>
        <v>3546.6142201327439</v>
      </c>
      <c r="AF271" s="341">
        <f>AF269/AF261</f>
        <v>4993.3587876106203</v>
      </c>
      <c r="AG271" s="186">
        <f t="shared" ref="AG271:AJ271" si="714">AG269/AG261</f>
        <v>1295.7702828125</v>
      </c>
      <c r="AH271" s="186">
        <f t="shared" si="714"/>
        <v>1431.4524296875004</v>
      </c>
      <c r="AI271" s="186">
        <f t="shared" si="714"/>
        <v>1439.1373218750002</v>
      </c>
      <c r="AJ271" s="283">
        <f t="shared" si="714"/>
        <v>1670.1015620535711</v>
      </c>
      <c r="AK271" s="186">
        <f t="shared" ref="AK271" si="715">AK269/AK261</f>
        <v>2727.2227125000004</v>
      </c>
      <c r="AL271" s="186">
        <f>AN271-AK271</f>
        <v>3109.2388839285709</v>
      </c>
      <c r="AM271" s="186">
        <f>AG271+AH271+AI271</f>
        <v>4166.3600343750004</v>
      </c>
      <c r="AN271" s="341">
        <f>AN269/AN261</f>
        <v>5836.4615964285713</v>
      </c>
      <c r="AO271" s="186">
        <f t="shared" ref="AO271:AR271" si="716">AO269/AO261</f>
        <v>1516.2941062500004</v>
      </c>
      <c r="AP271" s="186">
        <f t="shared" si="716"/>
        <v>1720.7760895089286</v>
      </c>
      <c r="AQ271" s="186">
        <f t="shared" si="716"/>
        <v>1849.1393102678571</v>
      </c>
      <c r="AR271" s="283">
        <f t="shared" si="716"/>
        <v>1835.4092796875009</v>
      </c>
      <c r="AS271" s="186">
        <f t="shared" ref="AS271" si="717">AS269/AS261</f>
        <v>3237.070195758929</v>
      </c>
      <c r="AT271" s="186">
        <f>AV271-AS271</f>
        <v>3684.5485899553578</v>
      </c>
      <c r="AU271" s="186">
        <f>AO271+AP271+AQ271</f>
        <v>5086.2095060267857</v>
      </c>
      <c r="AV271" s="341">
        <f>AV269/AV261</f>
        <v>6921.6187857142868</v>
      </c>
      <c r="AW271" s="186">
        <f t="shared" ref="AW271:AX271" si="718">AW269/AW261</f>
        <v>1992.0385178571428</v>
      </c>
      <c r="AX271" s="186">
        <f t="shared" si="718"/>
        <v>2075.9153593749998</v>
      </c>
      <c r="AY271" s="186"/>
      <c r="AZ271" s="283"/>
      <c r="BA271" s="186">
        <f>BA269/BA261</f>
        <v>4067.953877232143</v>
      </c>
      <c r="BB271" s="285">
        <f>BD271-BA271</f>
        <v>4781.8051314763979</v>
      </c>
      <c r="BC271" s="186"/>
      <c r="BD271" s="301">
        <f>BD269/BD261</f>
        <v>8849.7590087085409</v>
      </c>
      <c r="BE271" s="186"/>
      <c r="BF271" s="186"/>
      <c r="BG271" s="186"/>
      <c r="BH271" s="283"/>
      <c r="BI271" s="285">
        <f>BI269/BI261</f>
        <v>4409.0681085996994</v>
      </c>
      <c r="BJ271" s="285">
        <f>BL271-BI271</f>
        <v>5483.9357583283572</v>
      </c>
      <c r="BK271" s="186"/>
      <c r="BL271" s="301">
        <f>BL269/BL261</f>
        <v>9893.0038669280566</v>
      </c>
      <c r="BM271" s="186"/>
      <c r="BN271" s="186"/>
      <c r="BO271" s="186"/>
      <c r="BP271" s="283"/>
      <c r="BQ271" s="285">
        <f>BQ269/BQ261</f>
        <v>4929.7261241778388</v>
      </c>
      <c r="BR271" s="285">
        <f>BT271-BQ271</f>
        <v>6058.293508940701</v>
      </c>
      <c r="BS271" s="186"/>
      <c r="BT271" s="301">
        <f>BT269/BT261</f>
        <v>10988.01963311854</v>
      </c>
      <c r="BU271" s="186"/>
      <c r="BV271" s="186"/>
      <c r="BW271" s="186"/>
      <c r="BX271" s="283"/>
      <c r="BY271" s="285">
        <f>BY269/BY261</f>
        <v>5248.4014946553216</v>
      </c>
      <c r="BZ271" s="285">
        <f>CB271-BY271</f>
        <v>6431.9839710190718</v>
      </c>
      <c r="CA271" s="186"/>
      <c r="CB271" s="301">
        <f>CB269/CB261</f>
        <v>11680.385465674393</v>
      </c>
      <c r="CC271" s="186"/>
      <c r="CD271" s="186"/>
      <c r="CE271" s="186"/>
      <c r="CF271" s="283"/>
      <c r="CG271" s="285">
        <f>CG269/CG261</f>
        <v>5094.9625221119122</v>
      </c>
      <c r="CH271" s="285">
        <f>CJ271-CG271</f>
        <v>6244.723334727666</v>
      </c>
      <c r="CI271" s="186"/>
      <c r="CJ271" s="301">
        <f>CJ269/CJ261</f>
        <v>11339.685856839578</v>
      </c>
    </row>
    <row r="272" spans="1:88" x14ac:dyDescent="0.2">
      <c r="A272" s="4" t="s">
        <v>318</v>
      </c>
      <c r="O272" s="4">
        <f>O271-N271</f>
        <v>361.59157870843956</v>
      </c>
      <c r="P272" s="4">
        <f>P271-O271</f>
        <v>171.1192523964728</v>
      </c>
      <c r="Q272" s="4">
        <f>Q271-P271</f>
        <v>436.33859389508734</v>
      </c>
      <c r="S272" s="4">
        <f>S271-R271</f>
        <v>754.0887000000007</v>
      </c>
      <c r="U272" s="4">
        <f>U271-S271</f>
        <v>385.45838771186391</v>
      </c>
      <c r="V272" s="4">
        <f>V271-U271</f>
        <v>-2224.2513023670372</v>
      </c>
      <c r="W272" s="4">
        <f>W271-V271</f>
        <v>-121.24291982758587</v>
      </c>
      <c r="X272" s="180">
        <f>X271-W271</f>
        <v>1028.4673083958019</v>
      </c>
      <c r="AB272" s="179"/>
      <c r="AC272" s="11"/>
      <c r="AF272" s="314">
        <f>AF271-X271</f>
        <v>1326.0473136975766</v>
      </c>
      <c r="AJ272" s="179"/>
      <c r="AK272" s="11"/>
      <c r="AN272" s="314">
        <f>AN271-AF271</f>
        <v>843.10280881795097</v>
      </c>
      <c r="AR272" s="179"/>
      <c r="AS272" s="11"/>
      <c r="AV272" s="314">
        <f>AV271-AN271</f>
        <v>1085.1571892857155</v>
      </c>
      <c r="AZ272" s="179"/>
      <c r="BA272" s="11"/>
      <c r="BD272" s="603">
        <f>BD271-AV271</f>
        <v>1928.1402229942541</v>
      </c>
      <c r="BH272" s="179"/>
      <c r="BI272" s="11"/>
      <c r="BL272" s="603">
        <f>BL271-BD271</f>
        <v>1043.2448582195157</v>
      </c>
      <c r="BP272" s="179"/>
      <c r="BQ272" s="11"/>
      <c r="BT272" s="603">
        <f>BT271-BL271</f>
        <v>1095.0157661904832</v>
      </c>
      <c r="BX272" s="179"/>
      <c r="BY272" s="11"/>
      <c r="CB272" s="603">
        <f>CB271-BT271</f>
        <v>692.36583255585356</v>
      </c>
      <c r="CF272" s="179"/>
      <c r="CG272" s="11"/>
      <c r="CJ272" s="603">
        <f>CJ271-CB271</f>
        <v>-340.69960883481508</v>
      </c>
    </row>
    <row r="273" spans="1:88" x14ac:dyDescent="0.2">
      <c r="A273" s="4" t="s">
        <v>729</v>
      </c>
      <c r="O273" s="4">
        <f>(O269/N261)-N271</f>
        <v>334.6461893932933</v>
      </c>
      <c r="P273" s="4">
        <f t="shared" ref="P273:X273" si="719">(P269/O261)-O271</f>
        <v>142.58934594763332</v>
      </c>
      <c r="Q273" s="4">
        <f t="shared" si="719"/>
        <v>339.50205599186165</v>
      </c>
      <c r="S273" s="4">
        <f>(S269/R261)-R271</f>
        <v>640.06688181818254</v>
      </c>
      <c r="U273" s="4">
        <f>(U269/S261)-S271</f>
        <v>385.45838771186391</v>
      </c>
      <c r="V273" s="4">
        <f t="shared" si="719"/>
        <v>-2271.0324394067798</v>
      </c>
      <c r="W273" s="4">
        <f>(W269/V261)-V271</f>
        <v>-121.24291982758587</v>
      </c>
      <c r="X273" s="180">
        <f t="shared" si="719"/>
        <v>996.85255431034466</v>
      </c>
      <c r="AB273" s="179"/>
      <c r="AC273" s="11"/>
      <c r="AF273" s="314">
        <f>(AF269/X261)-X271</f>
        <v>1239.2062913043478</v>
      </c>
      <c r="AJ273" s="179"/>
      <c r="AK273" s="11"/>
      <c r="AN273" s="314">
        <f>(AN269/AF261)-AF271</f>
        <v>791.45270619469102</v>
      </c>
      <c r="AR273" s="179"/>
      <c r="AS273" s="11"/>
      <c r="AV273" s="314">
        <f>(AV269/AN261)-AN271</f>
        <v>1085.1571892857155</v>
      </c>
      <c r="AZ273" s="179"/>
      <c r="BA273" s="11"/>
      <c r="BD273" s="603">
        <f>(BD269/AV261)-AV271</f>
        <v>1928.1402229942541</v>
      </c>
      <c r="BH273" s="179"/>
      <c r="BI273" s="11"/>
      <c r="BL273" s="603">
        <f>(BL269/BD261)-BD271</f>
        <v>1043.2448582195157</v>
      </c>
      <c r="BP273" s="179"/>
      <c r="BQ273" s="11"/>
      <c r="BT273" s="603">
        <f>(BT269/BL261)-BL271</f>
        <v>1095.0157661904832</v>
      </c>
      <c r="BX273" s="179"/>
      <c r="BY273" s="11"/>
      <c r="CB273" s="603">
        <f>(CB269/BT261)-BT271</f>
        <v>796.65498849937285</v>
      </c>
      <c r="CF273" s="179"/>
      <c r="CG273" s="11"/>
      <c r="CJ273" s="603">
        <f>(CJ269/CB261)-CB271</f>
        <v>568.3642235198422</v>
      </c>
    </row>
    <row r="274" spans="1:88" x14ac:dyDescent="0.2">
      <c r="A274" s="4" t="s">
        <v>839</v>
      </c>
      <c r="B274" s="186"/>
      <c r="C274" s="186"/>
      <c r="D274" s="186"/>
      <c r="E274" s="186"/>
      <c r="F274" s="186"/>
      <c r="G274" s="186"/>
      <c r="H274" s="186"/>
      <c r="I274" s="186"/>
      <c r="J274" s="186"/>
      <c r="K274" s="186"/>
      <c r="L274" s="186"/>
      <c r="M274" s="186"/>
      <c r="N274" s="186"/>
      <c r="O274" s="4">
        <f>O272-O273</f>
        <v>26.945389315146258</v>
      </c>
      <c r="P274" s="4">
        <f>P272-P273</f>
        <v>28.529906448839483</v>
      </c>
      <c r="Q274" s="4">
        <f>Q272-Q273</f>
        <v>96.83653790322569</v>
      </c>
      <c r="S274" s="4">
        <f>S272-S273</f>
        <v>114.02181818181816</v>
      </c>
      <c r="U274" s="4">
        <f>U272-U273</f>
        <v>0</v>
      </c>
      <c r="V274" s="4">
        <f>V272-V273</f>
        <v>46.781137039742589</v>
      </c>
      <c r="W274" s="4">
        <f>W272-W273</f>
        <v>0</v>
      </c>
      <c r="X274" s="180">
        <f>X272-X273</f>
        <v>31.614754085457207</v>
      </c>
      <c r="AB274" s="179"/>
      <c r="AC274" s="11"/>
      <c r="AF274" s="314">
        <f>AF272-AF273</f>
        <v>86.841022393228741</v>
      </c>
      <c r="AJ274" s="179"/>
      <c r="AK274" s="11"/>
      <c r="AN274" s="314">
        <f>AN272-AN273</f>
        <v>51.650102623259954</v>
      </c>
      <c r="AR274" s="179"/>
      <c r="AS274" s="11"/>
      <c r="AV274" s="314">
        <f>AV272-AV273</f>
        <v>0</v>
      </c>
      <c r="AZ274" s="179"/>
      <c r="BA274" s="11"/>
      <c r="BD274" s="603">
        <f>BD272-BD273</f>
        <v>0</v>
      </c>
      <c r="BH274" s="179"/>
      <c r="BI274" s="11"/>
      <c r="BL274" s="603">
        <f>BL272-BL273</f>
        <v>0</v>
      </c>
      <c r="BP274" s="179"/>
      <c r="BQ274" s="11"/>
      <c r="BT274" s="603">
        <f>BT272-BT273</f>
        <v>0</v>
      </c>
      <c r="BX274" s="179"/>
      <c r="BY274" s="11"/>
      <c r="CB274" s="603">
        <f>CB272-CB273</f>
        <v>-104.28915594351929</v>
      </c>
      <c r="CF274" s="179"/>
      <c r="CG274" s="11"/>
      <c r="CJ274" s="603">
        <f>CJ272-CJ273</f>
        <v>-909.06383235465728</v>
      </c>
    </row>
    <row r="275" spans="1:88" x14ac:dyDescent="0.2">
      <c r="A275" s="186" t="s">
        <v>840</v>
      </c>
      <c r="B275" s="186"/>
      <c r="C275" s="186"/>
      <c r="D275" s="186"/>
      <c r="E275" s="186"/>
      <c r="F275" s="186"/>
      <c r="G275" s="186"/>
      <c r="H275" s="186"/>
      <c r="I275" s="186"/>
      <c r="J275" s="186"/>
      <c r="K275" s="186"/>
      <c r="L275" s="186"/>
      <c r="M275" s="186"/>
      <c r="N275" s="186"/>
      <c r="O275" s="186">
        <f>SUM($O$274:O274)</f>
        <v>26.945389315146258</v>
      </c>
      <c r="P275" s="186">
        <f>SUM($O$274:P274)</f>
        <v>55.475295763985741</v>
      </c>
      <c r="Q275" s="186">
        <f>SUM($O$274:Q274)</f>
        <v>152.31183366721143</v>
      </c>
      <c r="R275" s="186"/>
      <c r="S275" s="186">
        <f>SUM($O$274:S274)</f>
        <v>266.33365184902959</v>
      </c>
      <c r="T275" s="186"/>
      <c r="U275" s="186">
        <f>SUM($O$274:U274)</f>
        <v>266.33365184902959</v>
      </c>
      <c r="V275" s="186">
        <f>SUM($O$274:V274)</f>
        <v>313.11478888877218</v>
      </c>
      <c r="W275" s="186">
        <f>SUM($O$274:W274)</f>
        <v>313.11478888877218</v>
      </c>
      <c r="X275" s="284">
        <f>SUM($O$274:X274)</f>
        <v>344.72954297422939</v>
      </c>
      <c r="Y275" s="186"/>
      <c r="Z275" s="186"/>
      <c r="AA275" s="186"/>
      <c r="AB275" s="283"/>
      <c r="AC275" s="186">
        <f>AF275/2</f>
        <v>215.78528268372906</v>
      </c>
      <c r="AD275" s="186">
        <f>AF275-AC275</f>
        <v>215.78528268372906</v>
      </c>
      <c r="AE275" s="186"/>
      <c r="AF275" s="341">
        <f>SUM($O$274:AF274)</f>
        <v>431.57056536745813</v>
      </c>
      <c r="AG275" s="186"/>
      <c r="AH275" s="186"/>
      <c r="AI275" s="186"/>
      <c r="AJ275" s="283"/>
      <c r="AK275" s="186">
        <f>AN275/2</f>
        <v>241.61033399535904</v>
      </c>
      <c r="AL275" s="186">
        <f>AN275-AK275</f>
        <v>241.61033399535904</v>
      </c>
      <c r="AM275" s="186"/>
      <c r="AN275" s="341">
        <f>SUM($O$274:AN274)</f>
        <v>483.22066799071808</v>
      </c>
      <c r="AO275" s="186"/>
      <c r="AP275" s="186"/>
      <c r="AQ275" s="186"/>
      <c r="AR275" s="283"/>
      <c r="AS275" s="186">
        <f>AV275/2</f>
        <v>241.61033399535904</v>
      </c>
      <c r="AT275" s="186">
        <f>AV275-AS275</f>
        <v>241.61033399535904</v>
      </c>
      <c r="AU275" s="186"/>
      <c r="AV275" s="341">
        <f>SUM($O$274:AV274)</f>
        <v>483.22066799071808</v>
      </c>
      <c r="AW275" s="186"/>
      <c r="AX275" s="186"/>
      <c r="AY275" s="186"/>
      <c r="AZ275" s="283"/>
      <c r="BA275" s="186">
        <f>BD275/2</f>
        <v>241.61033399535904</v>
      </c>
      <c r="BB275" s="285">
        <f>BD275-BA275</f>
        <v>241.61033399535904</v>
      </c>
      <c r="BC275" s="186"/>
      <c r="BD275" s="301">
        <f>SUM($O$274:BD274)</f>
        <v>483.22066799071808</v>
      </c>
      <c r="BE275" s="186"/>
      <c r="BF275" s="186"/>
      <c r="BG275" s="186"/>
      <c r="BH275" s="283"/>
      <c r="BI275" s="285">
        <f>BL275/2</f>
        <v>241.61033399535904</v>
      </c>
      <c r="BJ275" s="285">
        <f>BL275-BI275</f>
        <v>241.61033399535904</v>
      </c>
      <c r="BK275" s="186"/>
      <c r="BL275" s="301">
        <f>SUM($O$274:BL274)</f>
        <v>483.22066799071808</v>
      </c>
      <c r="BM275" s="186"/>
      <c r="BN275" s="186"/>
      <c r="BO275" s="186"/>
      <c r="BP275" s="283"/>
      <c r="BQ275" s="285">
        <f>BT275/2</f>
        <v>241.61033399535904</v>
      </c>
      <c r="BR275" s="285">
        <f>BT275-BQ275</f>
        <v>241.61033399535904</v>
      </c>
      <c r="BS275" s="186"/>
      <c r="BT275" s="301">
        <f>SUM($O$274:BT274)</f>
        <v>483.22066799071808</v>
      </c>
      <c r="BU275" s="186"/>
      <c r="BV275" s="186"/>
      <c r="BW275" s="186"/>
      <c r="BX275" s="283"/>
      <c r="BY275" s="285">
        <f>CB275/2</f>
        <v>189.4657560235994</v>
      </c>
      <c r="BZ275" s="285">
        <f>CB275-BY275</f>
        <v>189.4657560235994</v>
      </c>
      <c r="CA275" s="186"/>
      <c r="CB275" s="301">
        <f>SUM($O$274:CB274)</f>
        <v>378.93151204719879</v>
      </c>
      <c r="CC275" s="186"/>
      <c r="CD275" s="186"/>
      <c r="CE275" s="186"/>
      <c r="CF275" s="283"/>
      <c r="CG275" s="285">
        <f>CJ275/2</f>
        <v>-265.06616015372924</v>
      </c>
      <c r="CH275" s="285">
        <f>CJ275-CG275</f>
        <v>-265.06616015372924</v>
      </c>
      <c r="CI275" s="186"/>
      <c r="CJ275" s="301">
        <f>SUM($O$274:CJ274)</f>
        <v>-530.13232030745849</v>
      </c>
    </row>
    <row r="276" spans="1:88" x14ac:dyDescent="0.2">
      <c r="A276" s="186"/>
      <c r="B276" s="186"/>
      <c r="C276" s="186"/>
      <c r="D276" s="186"/>
      <c r="E276" s="186"/>
      <c r="F276" s="186"/>
      <c r="G276" s="186"/>
      <c r="H276" s="186"/>
      <c r="I276" s="186"/>
      <c r="J276" s="186"/>
      <c r="K276" s="186"/>
      <c r="L276" s="186"/>
      <c r="M276" s="186"/>
      <c r="N276" s="186"/>
      <c r="O276" s="186"/>
      <c r="P276" s="186"/>
      <c r="Q276" s="186"/>
      <c r="R276" s="186"/>
      <c r="S276" s="186"/>
      <c r="T276" s="186"/>
      <c r="U276" s="186"/>
      <c r="V276" s="186"/>
      <c r="W276" s="186"/>
      <c r="X276" s="284"/>
      <c r="Y276" s="186"/>
      <c r="Z276" s="186"/>
      <c r="AA276" s="186"/>
      <c r="AB276" s="283"/>
      <c r="AC276" s="186"/>
      <c r="AD276" s="186"/>
      <c r="AE276" s="186"/>
      <c r="AF276" s="341"/>
      <c r="AG276" s="186"/>
      <c r="AH276" s="186"/>
      <c r="AI276" s="186"/>
      <c r="AJ276" s="283"/>
      <c r="AK276" s="186"/>
      <c r="AL276" s="186"/>
      <c r="AM276" s="186"/>
      <c r="AN276" s="341"/>
      <c r="AO276" s="186"/>
      <c r="AP276" s="186"/>
      <c r="AQ276" s="186"/>
      <c r="AR276" s="283"/>
      <c r="AS276" s="186"/>
      <c r="AT276" s="186"/>
      <c r="AU276" s="186"/>
      <c r="AV276" s="341"/>
      <c r="AW276" s="186"/>
      <c r="AX276" s="186"/>
      <c r="AY276" s="186"/>
      <c r="AZ276" s="283"/>
      <c r="BA276" s="186"/>
      <c r="BB276" s="186"/>
      <c r="BC276" s="186"/>
      <c r="BD276" s="341"/>
      <c r="BE276" s="186"/>
      <c r="BF276" s="186"/>
      <c r="BG276" s="186"/>
      <c r="BH276" s="283"/>
      <c r="BI276" s="186"/>
      <c r="BJ276" s="186"/>
      <c r="BK276" s="186"/>
      <c r="BL276" s="341"/>
      <c r="BM276" s="186"/>
      <c r="BN276" s="186"/>
      <c r="BO276" s="186"/>
      <c r="BP276" s="283"/>
      <c r="BQ276" s="186"/>
      <c r="BR276" s="186"/>
      <c r="BS276" s="186"/>
      <c r="BT276" s="341"/>
      <c r="BU276" s="186"/>
      <c r="BV276" s="186"/>
      <c r="BW276" s="186"/>
      <c r="BX276" s="283"/>
      <c r="BY276" s="186"/>
      <c r="BZ276" s="186"/>
      <c r="CA276" s="186"/>
      <c r="CB276" s="341"/>
      <c r="CC276" s="186"/>
      <c r="CD276" s="186"/>
      <c r="CE276" s="186"/>
      <c r="CF276" s="283"/>
      <c r="CG276" s="186"/>
      <c r="CH276" s="186"/>
      <c r="CI276" s="186"/>
      <c r="CJ276" s="341"/>
    </row>
    <row r="277" spans="1:88" x14ac:dyDescent="0.2">
      <c r="A277" s="4" t="s">
        <v>841</v>
      </c>
      <c r="B277" s="186"/>
      <c r="C277" s="186"/>
      <c r="D277" s="186"/>
      <c r="E277" s="186"/>
      <c r="F277" s="186"/>
      <c r="G277" s="186"/>
      <c r="H277" s="186"/>
      <c r="I277" s="186"/>
      <c r="J277" s="186"/>
      <c r="K277" s="186"/>
      <c r="L277" s="186"/>
      <c r="M277" s="186"/>
      <c r="N277" s="186"/>
      <c r="O277" s="4">
        <f>O266-O269</f>
        <v>3472.2808503836313</v>
      </c>
      <c r="P277" s="4">
        <f>P266-P269</f>
        <v>3618.1108632846208</v>
      </c>
      <c r="Q277" s="4">
        <f>Q266-Q269</f>
        <v>3962.5511310000002</v>
      </c>
      <c r="R277" s="4">
        <f>R266-R269</f>
        <v>3806.343386999999</v>
      </c>
      <c r="S277" s="4">
        <f>S266-S269</f>
        <v>4440.0095999999994</v>
      </c>
      <c r="U277" s="4">
        <f t="shared" ref="U277:AD277" si="720">U266-U269</f>
        <v>4812.1521524999998</v>
      </c>
      <c r="V277" s="4">
        <f t="shared" si="720"/>
        <v>2619.5735609999992</v>
      </c>
      <c r="W277" s="4">
        <f t="shared" si="720"/>
        <v>2504.5030079999997</v>
      </c>
      <c r="X277" s="180">
        <f t="shared" si="720"/>
        <v>3450.6067050000001</v>
      </c>
      <c r="Y277" s="4">
        <f t="shared" si="720"/>
        <v>1010.3204249999999</v>
      </c>
      <c r="Z277" s="4">
        <f t="shared" si="720"/>
        <v>1111.6357312499999</v>
      </c>
      <c r="AA277" s="4">
        <f t="shared" si="720"/>
        <v>1157.0498999999998</v>
      </c>
      <c r="AB277" s="179">
        <f t="shared" si="720"/>
        <v>1337.5811137499998</v>
      </c>
      <c r="AC277" s="4">
        <f t="shared" si="720"/>
        <v>2121.9561562499998</v>
      </c>
      <c r="AD277" s="4">
        <f t="shared" si="720"/>
        <v>2494.63101375</v>
      </c>
      <c r="AE277" s="4">
        <f>Y277+Z277+AA277</f>
        <v>3279.0060562499993</v>
      </c>
      <c r="AF277" s="314">
        <f t="shared" ref="AF277:AJ277" si="721">AF266-AF269</f>
        <v>4616.5871699999998</v>
      </c>
      <c r="AG277" s="4">
        <f t="shared" si="721"/>
        <v>1187.3967682499999</v>
      </c>
      <c r="AH277" s="4">
        <f t="shared" si="721"/>
        <v>1311.73095375</v>
      </c>
      <c r="AI277" s="4">
        <f t="shared" si="721"/>
        <v>1318.7731095000001</v>
      </c>
      <c r="AJ277" s="179">
        <f t="shared" si="721"/>
        <v>1530.4203404999998</v>
      </c>
      <c r="AK277" s="4">
        <f t="shared" ref="AK277:AL277" si="722">AK266-AK269</f>
        <v>2499.1277220000002</v>
      </c>
      <c r="AL277" s="4">
        <f t="shared" si="722"/>
        <v>2849.1934499999998</v>
      </c>
      <c r="AM277" s="4">
        <f>AG277+AH277+AI277</f>
        <v>3817.9008315000001</v>
      </c>
      <c r="AN277" s="314">
        <f t="shared" ref="AN277:AR277" si="723">AN266-AN269</f>
        <v>5348.3211719999999</v>
      </c>
      <c r="AO277" s="4">
        <f t="shared" si="723"/>
        <v>1389.4767810000001</v>
      </c>
      <c r="AP277" s="4">
        <f t="shared" si="723"/>
        <v>1576.85663475</v>
      </c>
      <c r="AQ277" s="4">
        <f t="shared" si="723"/>
        <v>1694.4840224999998</v>
      </c>
      <c r="AR277" s="179">
        <f t="shared" si="723"/>
        <v>1681.9023217500003</v>
      </c>
      <c r="AS277" s="4">
        <f t="shared" ref="AS277:AT277" si="724">AS266-AS269</f>
        <v>2966.3334157499999</v>
      </c>
      <c r="AT277" s="4">
        <f t="shared" si="724"/>
        <v>3376.3863442500015</v>
      </c>
      <c r="AU277" s="4">
        <f>AO277+AP277+AQ277</f>
        <v>4660.8174382500001</v>
      </c>
      <c r="AV277" s="314">
        <f t="shared" ref="AV277:AX277" si="725">AV266-AV269</f>
        <v>6342.7197600000009</v>
      </c>
      <c r="AW277" s="4">
        <f t="shared" si="725"/>
        <v>1825.4316600000002</v>
      </c>
      <c r="AX277" s="4">
        <f t="shared" si="725"/>
        <v>1902.2933475</v>
      </c>
      <c r="AZ277" s="179"/>
      <c r="BA277" s="4">
        <f>BA266-BA269</f>
        <v>3727.7250075000002</v>
      </c>
      <c r="BB277" s="11">
        <f>BB266-BB269</f>
        <v>4381.8723386620068</v>
      </c>
      <c r="BD277" s="603">
        <f>BD266-BD269</f>
        <v>8109.5973461620069</v>
      </c>
      <c r="BH277" s="179"/>
      <c r="BI277" s="11">
        <f>BI266-BI269</f>
        <v>4040.3096849713602</v>
      </c>
      <c r="BJ277" s="11">
        <f>BJ266-BJ269</f>
        <v>5025.2793130863465</v>
      </c>
      <c r="BL277" s="603">
        <f>BL266-BL269</f>
        <v>9065.5889980577103</v>
      </c>
      <c r="BP277" s="179"/>
      <c r="BQ277" s="11">
        <f>BQ266-BQ269</f>
        <v>4517.4217574284185</v>
      </c>
      <c r="BR277" s="11">
        <f>BR266-BR269</f>
        <v>5551.5998700111149</v>
      </c>
      <c r="BT277" s="603">
        <f>BT266-BT269</f>
        <v>10069.021627439533</v>
      </c>
      <c r="BX277" s="179"/>
      <c r="BY277" s="11">
        <f>BY266-BY269</f>
        <v>4852.3857455131456</v>
      </c>
      <c r="BZ277" s="11">
        <f>BZ266-BZ269</f>
        <v>5946.6615441149006</v>
      </c>
      <c r="CB277" s="603">
        <f>CB266-CB269</f>
        <v>10799.047289628048</v>
      </c>
      <c r="CF277" s="179"/>
      <c r="CG277" s="11">
        <f>CG266-CG269</f>
        <v>5088.1510748898372</v>
      </c>
      <c r="CH277" s="11">
        <f>CH266-CH269</f>
        <v>6236.3747741197449</v>
      </c>
      <c r="CJ277" s="603">
        <f>CJ266-CJ269</f>
        <v>11324.525849009578</v>
      </c>
    </row>
    <row r="278" spans="1:88" x14ac:dyDescent="0.2">
      <c r="A278" s="4" t="s">
        <v>842</v>
      </c>
      <c r="B278" s="186"/>
      <c r="C278" s="186"/>
      <c r="D278" s="186"/>
      <c r="E278" s="186"/>
      <c r="F278" s="186"/>
      <c r="G278" s="186"/>
      <c r="H278" s="186"/>
      <c r="I278" s="186"/>
      <c r="J278" s="186"/>
      <c r="K278" s="186"/>
      <c r="L278" s="186"/>
      <c r="M278" s="186"/>
      <c r="N278" s="186"/>
      <c r="O278" s="4">
        <f>O277/O262</f>
        <v>3128.1809462915594</v>
      </c>
      <c r="P278" s="4">
        <f>P277/P262</f>
        <v>3259.559336292451</v>
      </c>
      <c r="Q278" s="4">
        <f>Q277/Q262</f>
        <v>3506.6824168141598</v>
      </c>
      <c r="R278" s="4">
        <f>R277/R262</f>
        <v>3368.4454752212382</v>
      </c>
      <c r="S278" s="4">
        <f>S277/S262</f>
        <v>3762.72</v>
      </c>
      <c r="U278" s="4">
        <f t="shared" ref="U278:AC278" si="726">U277/U262</f>
        <v>4296.5644218749994</v>
      </c>
      <c r="V278" s="4">
        <f t="shared" si="726"/>
        <v>2297.8715447368418</v>
      </c>
      <c r="W278" s="4">
        <f t="shared" si="726"/>
        <v>2122.4601762711864</v>
      </c>
      <c r="X278" s="180">
        <f t="shared" si="726"/>
        <v>3286.2921000000001</v>
      </c>
      <c r="Y278" s="4">
        <f t="shared" si="726"/>
        <v>944.22469626168208</v>
      </c>
      <c r="Z278" s="4">
        <f t="shared" si="726"/>
        <v>1019.8492947247705</v>
      </c>
      <c r="AA278" s="4">
        <f t="shared" si="726"/>
        <v>1061.5136697247704</v>
      </c>
      <c r="AB278" s="179">
        <f t="shared" si="726"/>
        <v>1250.0758072429903</v>
      </c>
      <c r="AC278" s="4">
        <f t="shared" si="726"/>
        <v>1964.7742187499998</v>
      </c>
      <c r="AD278" s="4">
        <f>AF278-AC278</f>
        <v>2309.8435312499996</v>
      </c>
      <c r="AE278" s="4">
        <f>Y278+Z278+AA278</f>
        <v>3025.5876607112232</v>
      </c>
      <c r="AF278" s="314">
        <f t="shared" ref="AF278:AJ278" si="727">AF277/AF262</f>
        <v>4274.6177499999994</v>
      </c>
      <c r="AG278" s="4">
        <f t="shared" si="727"/>
        <v>1089.3548332568805</v>
      </c>
      <c r="AH278" s="4">
        <f t="shared" si="727"/>
        <v>1225.9167792056073</v>
      </c>
      <c r="AI278" s="4">
        <f t="shared" si="727"/>
        <v>1198.8846450000001</v>
      </c>
      <c r="AJ278" s="179">
        <f t="shared" si="727"/>
        <v>1443.7927740566035</v>
      </c>
      <c r="AK278" s="4">
        <f t="shared" ref="AK278" si="728">AK277/AK262</f>
        <v>2314.0071499999999</v>
      </c>
      <c r="AL278" s="4">
        <f>AN278-AK278</f>
        <v>2638.1420833333327</v>
      </c>
      <c r="AM278" s="4">
        <f>AG278+AH278+AI278</f>
        <v>3514.1562574624877</v>
      </c>
      <c r="AN278" s="314">
        <f t="shared" ref="AN278:AR278" si="729">AN277/AN262</f>
        <v>4952.1492333333326</v>
      </c>
      <c r="AO278" s="4">
        <f t="shared" si="729"/>
        <v>1323.31122</v>
      </c>
      <c r="AP278" s="4">
        <f t="shared" si="729"/>
        <v>1395.4483493362829</v>
      </c>
      <c r="AQ278" s="4">
        <f t="shared" si="729"/>
        <v>1448.2769423076923</v>
      </c>
      <c r="AR278" s="179">
        <f t="shared" si="729"/>
        <v>1437.5233519230778</v>
      </c>
      <c r="AS278" s="4">
        <f t="shared" ref="AS278" si="730">AS277/AS262</f>
        <v>2721.4068034403667</v>
      </c>
      <c r="AT278" s="4">
        <f>AV278-AS278</f>
        <v>2891.6195328428207</v>
      </c>
      <c r="AU278" s="4">
        <f>AO278+AP278+AQ278</f>
        <v>4167.0365116439752</v>
      </c>
      <c r="AV278" s="314">
        <f t="shared" ref="AV278:AX278" si="731">AV277/AV262</f>
        <v>5613.0263362831874</v>
      </c>
      <c r="AW278" s="4">
        <f t="shared" si="731"/>
        <v>1560.1980000000003</v>
      </c>
      <c r="AX278" s="4">
        <f t="shared" si="731"/>
        <v>1625.89175</v>
      </c>
      <c r="AZ278" s="179"/>
      <c r="BA278" s="4">
        <f>BA277/BA262</f>
        <v>3186.0897500000005</v>
      </c>
      <c r="BB278" s="11">
        <f>BD278-BA278</f>
        <v>3745.19003304445</v>
      </c>
      <c r="BD278" s="603">
        <f>BD277/BD262</f>
        <v>6931.2797830444506</v>
      </c>
      <c r="BH278" s="179"/>
      <c r="BI278" s="11">
        <f>BI277/BI262</f>
        <v>3395.2182226650089</v>
      </c>
      <c r="BJ278" s="11">
        <f>BL278-BI278</f>
        <v>4222.9237925095385</v>
      </c>
      <c r="BL278" s="603">
        <f>BL277/BL262</f>
        <v>7618.1420151745469</v>
      </c>
      <c r="BP278" s="179"/>
      <c r="BQ278" s="11">
        <f>BQ277/BQ262</f>
        <v>3764.5181311903489</v>
      </c>
      <c r="BR278" s="11">
        <f>BT278-BQ278</f>
        <v>4626.3332250092626</v>
      </c>
      <c r="BT278" s="603">
        <f>BT277/BT262</f>
        <v>8390.8513561996115</v>
      </c>
      <c r="BX278" s="179"/>
      <c r="BY278" s="11">
        <f>BY277/BY262</f>
        <v>3977.3653651747095</v>
      </c>
      <c r="BZ278" s="11">
        <f>CB278-BY278</f>
        <v>4874.3127410777888</v>
      </c>
      <c r="CB278" s="603">
        <f>CB277/CB262</f>
        <v>8851.6781062524988</v>
      </c>
      <c r="CF278" s="179"/>
      <c r="CG278" s="11">
        <f>CG277/CG262</f>
        <v>4136.708190967347</v>
      </c>
      <c r="CH278" s="11">
        <f>CJ278-CG278</f>
        <v>5070.2233935932854</v>
      </c>
      <c r="CJ278" s="603">
        <f>CJ277/CJ262</f>
        <v>9206.9315845606325</v>
      </c>
    </row>
    <row r="279" spans="1:88" x14ac:dyDescent="0.2">
      <c r="X279" s="180"/>
      <c r="AB279" s="179"/>
      <c r="AF279" s="314"/>
      <c r="AJ279" s="179"/>
      <c r="AN279" s="314"/>
      <c r="AR279" s="179"/>
      <c r="AV279" s="314"/>
      <c r="AZ279" s="179"/>
      <c r="BD279" s="314"/>
      <c r="BH279" s="179"/>
      <c r="BL279" s="314"/>
      <c r="BP279" s="179"/>
      <c r="BT279" s="314"/>
      <c r="BX279" s="179"/>
      <c r="CB279" s="314"/>
      <c r="CF279" s="179"/>
      <c r="CJ279" s="314"/>
    </row>
    <row r="280" spans="1:88" x14ac:dyDescent="0.2">
      <c r="A280" s="186" t="s">
        <v>843</v>
      </c>
      <c r="O280" s="4">
        <f>O255-N255</f>
        <v>1142.3199999999988</v>
      </c>
      <c r="P280" s="4">
        <f t="shared" ref="P280:X280" si="732">P255-O255</f>
        <v>332.13000000000011</v>
      </c>
      <c r="Q280" s="4">
        <f t="shared" si="732"/>
        <v>645.14000000000124</v>
      </c>
      <c r="S280" s="4">
        <f>S255-R255</f>
        <v>1156.71</v>
      </c>
      <c r="U280" s="4">
        <f>U255-S255</f>
        <v>913.04999999999927</v>
      </c>
      <c r="V280" s="4">
        <f t="shared" si="732"/>
        <v>-4217.07</v>
      </c>
      <c r="W280" s="4">
        <f t="shared" si="732"/>
        <v>-296.61999999999989</v>
      </c>
      <c r="X280" s="180">
        <f t="shared" si="732"/>
        <v>2178.42</v>
      </c>
      <c r="AB280" s="179"/>
      <c r="AC280" s="11"/>
      <c r="AF280" s="314">
        <f>AF255-X255</f>
        <v>2328.5965376106187</v>
      </c>
      <c r="AJ280" s="179"/>
      <c r="AK280" s="11"/>
      <c r="AN280" s="314">
        <f>AN255-AF255</f>
        <v>1520.6342921512842</v>
      </c>
      <c r="AR280" s="179"/>
      <c r="AS280" s="11"/>
      <c r="AV280" s="314">
        <f>AV255-AN255</f>
        <v>1746.0342922355703</v>
      </c>
      <c r="AZ280" s="179"/>
      <c r="BA280" s="11"/>
      <c r="BD280" s="603">
        <f>BD255-AV255</f>
        <v>3246.3936697555182</v>
      </c>
      <c r="BH280" s="179"/>
      <c r="BI280" s="11"/>
      <c r="BL280" s="603">
        <f>BL255-BD255</f>
        <v>1730.1070903496111</v>
      </c>
      <c r="BP280" s="179"/>
      <c r="BQ280" s="11"/>
      <c r="BT280" s="603">
        <f>BT255-BL255</f>
        <v>1867.7251072155486</v>
      </c>
      <c r="BX280" s="179"/>
      <c r="BY280" s="11"/>
      <c r="CB280" s="603">
        <f>CB255-BT255</f>
        <v>1153.192582608739</v>
      </c>
      <c r="CF280" s="179"/>
      <c r="CG280" s="11"/>
      <c r="CJ280" s="603">
        <f>CJ255-CB255</f>
        <v>14.553869473318628</v>
      </c>
    </row>
    <row r="281" spans="1:88" x14ac:dyDescent="0.2">
      <c r="A281" s="4" t="s">
        <v>729</v>
      </c>
      <c r="O281" s="4">
        <f>O267*N255</f>
        <v>593.60743129630669</v>
      </c>
      <c r="P281" s="4">
        <f>P267*O255</f>
        <v>273.96773594852442</v>
      </c>
      <c r="Q281" s="4">
        <f>Q267*P255</f>
        <v>652.62957209674948</v>
      </c>
      <c r="S281" s="4">
        <f>S267*R255</f>
        <v>1199.4439011925047</v>
      </c>
      <c r="U281" s="4">
        <f>U267*S255</f>
        <v>700.83343220338986</v>
      </c>
      <c r="V281" s="4">
        <f>V267*U255</f>
        <v>-4225.8429054640073</v>
      </c>
      <c r="W281" s="4">
        <f>W267*V255</f>
        <v>-222.16536924413498</v>
      </c>
      <c r="X281" s="180">
        <f>X267*W255</f>
        <v>1798.5052694610781</v>
      </c>
      <c r="AB281" s="179"/>
      <c r="AC281" s="11"/>
      <c r="AF281" s="314">
        <f>AF267*X255</f>
        <v>2344.8576470588227</v>
      </c>
      <c r="AJ281" s="179"/>
      <c r="AK281" s="11"/>
      <c r="AN281" s="314">
        <f>AN267*AF255</f>
        <v>1468.9841895280251</v>
      </c>
      <c r="AR281" s="179"/>
      <c r="AS281" s="11"/>
      <c r="AV281" s="314">
        <f>AV267*AN255</f>
        <v>2005.896622619048</v>
      </c>
      <c r="AZ281" s="179"/>
      <c r="BA281" s="11"/>
      <c r="BD281" s="603">
        <f>BD267*AV255</f>
        <v>3491.7487063234616</v>
      </c>
      <c r="BH281" s="179"/>
      <c r="BI281" s="11"/>
      <c r="BL281" s="603">
        <f>BL267*BD255</f>
        <v>1860.3317401816564</v>
      </c>
      <c r="BP281" s="179"/>
      <c r="BQ281" s="11"/>
      <c r="BT281" s="603">
        <f>BT267*BL255</f>
        <v>1938.2364631499984</v>
      </c>
      <c r="BX281" s="179"/>
      <c r="BY281" s="11"/>
      <c r="CB281" s="603">
        <f>CB267*BT255</f>
        <v>1405.0097069898027</v>
      </c>
      <c r="CF281" s="179"/>
      <c r="CG281" s="11"/>
      <c r="CJ281" s="603">
        <f>CJ267*CB255</f>
        <v>999.0843541604437</v>
      </c>
    </row>
    <row r="282" spans="1:88" x14ac:dyDescent="0.2">
      <c r="A282" s="4" t="s">
        <v>839</v>
      </c>
      <c r="O282" s="4">
        <f>O274</f>
        <v>26.945389315146258</v>
      </c>
      <c r="P282" s="4">
        <f>P274</f>
        <v>28.529906448839483</v>
      </c>
      <c r="Q282" s="4">
        <f>Q274</f>
        <v>96.83653790322569</v>
      </c>
      <c r="S282" s="4">
        <f>S274</f>
        <v>114.02181818181816</v>
      </c>
      <c r="U282" s="4">
        <f>U274</f>
        <v>0</v>
      </c>
      <c r="V282" s="4">
        <f>V274</f>
        <v>46.781137039742589</v>
      </c>
      <c r="W282" s="4">
        <f>W274</f>
        <v>0</v>
      </c>
      <c r="X282" s="180">
        <f>X274</f>
        <v>31.614754085457207</v>
      </c>
      <c r="AB282" s="179"/>
      <c r="AC282" s="11"/>
      <c r="AF282" s="314">
        <f>AF274</f>
        <v>86.841022393228741</v>
      </c>
      <c r="AJ282" s="179"/>
      <c r="AK282" s="11"/>
      <c r="AN282" s="314">
        <f>AN274</f>
        <v>51.650102623259954</v>
      </c>
      <c r="AR282" s="179"/>
      <c r="AS282" s="11"/>
      <c r="AV282" s="314">
        <f>AV274</f>
        <v>0</v>
      </c>
      <c r="AZ282" s="179"/>
      <c r="BA282" s="11"/>
      <c r="BD282" s="603">
        <f>BD274</f>
        <v>0</v>
      </c>
      <c r="BH282" s="179"/>
      <c r="BI282" s="11"/>
      <c r="BL282" s="603">
        <f>BL274</f>
        <v>0</v>
      </c>
      <c r="BP282" s="179"/>
      <c r="BQ282" s="11"/>
      <c r="BT282" s="603">
        <f>BT274</f>
        <v>0</v>
      </c>
      <c r="BX282" s="179"/>
      <c r="BY282" s="11"/>
      <c r="CB282" s="603">
        <f>CB274</f>
        <v>-104.28915594351929</v>
      </c>
      <c r="CF282" s="179"/>
      <c r="CG282" s="11"/>
      <c r="CJ282" s="603">
        <f>CJ274</f>
        <v>-909.06383235465728</v>
      </c>
    </row>
    <row r="283" spans="1:88" x14ac:dyDescent="0.2">
      <c r="A283" s="4" t="s">
        <v>844</v>
      </c>
      <c r="O283" s="4">
        <f>O280-O281-O282</f>
        <v>521.76717938854586</v>
      </c>
      <c r="P283" s="4">
        <f>P280-P281-P282</f>
        <v>29.632357602636205</v>
      </c>
      <c r="Q283" s="4">
        <f>Q280-Q281-Q282</f>
        <v>-104.32610999997394</v>
      </c>
      <c r="S283" s="4">
        <f>S280-S281-S282</f>
        <v>-156.75571937432278</v>
      </c>
      <c r="U283" s="4">
        <f>U280-U281-U282</f>
        <v>212.21656779660941</v>
      </c>
      <c r="V283" s="4">
        <f>V280-V281-V282</f>
        <v>-38.008231575734953</v>
      </c>
      <c r="W283" s="4">
        <f>W280-W281-W282</f>
        <v>-74.454630755864912</v>
      </c>
      <c r="X283" s="180">
        <f>X280-X281-X282</f>
        <v>348.29997645346475</v>
      </c>
      <c r="AB283" s="179"/>
      <c r="AC283" s="11"/>
      <c r="AF283" s="314">
        <f>AF280-AF281-AF282</f>
        <v>-103.10213184143277</v>
      </c>
      <c r="AJ283" s="179"/>
      <c r="AK283" s="11"/>
      <c r="AN283" s="314">
        <f>AN280-AN281-AN282</f>
        <v>-9.0949470177292824E-13</v>
      </c>
      <c r="AR283" s="179"/>
      <c r="AS283" s="11"/>
      <c r="AV283" s="314">
        <f>AV280-AV281-AV282</f>
        <v>-259.86233038347768</v>
      </c>
      <c r="AZ283" s="179"/>
      <c r="BA283" s="11"/>
      <c r="BD283" s="603">
        <f>BD280-BD281-BD282</f>
        <v>-245.35503656794344</v>
      </c>
      <c r="BH283" s="179"/>
      <c r="BI283" s="11"/>
      <c r="BL283" s="603">
        <f>BL280-BL281-BL282</f>
        <v>-130.22464983204532</v>
      </c>
      <c r="BP283" s="179"/>
      <c r="BQ283" s="11"/>
      <c r="BT283" s="603">
        <f>BT280-BT281-BT282</f>
        <v>-70.511355934449739</v>
      </c>
      <c r="BX283" s="179"/>
      <c r="BY283" s="11"/>
      <c r="CB283" s="603">
        <f>CB280-CB281-CB282</f>
        <v>-147.52796843754436</v>
      </c>
      <c r="CF283" s="179"/>
      <c r="CG283" s="11"/>
      <c r="CJ283" s="603">
        <f>CJ280-CJ281-CJ282</f>
        <v>-75.466652332467788</v>
      </c>
    </row>
    <row r="284" spans="1:88" x14ac:dyDescent="0.2">
      <c r="A284" s="186" t="s">
        <v>840</v>
      </c>
      <c r="O284" s="186">
        <f>SUM($O$282:O283)</f>
        <v>548.71256870369211</v>
      </c>
      <c r="P284" s="186">
        <f>SUM($O$282:P283)</f>
        <v>606.87483275516774</v>
      </c>
      <c r="Q284" s="186">
        <f>SUM($O$282:Q283)</f>
        <v>599.3852606584195</v>
      </c>
      <c r="R284" s="186">
        <f>Q284</f>
        <v>599.3852606584195</v>
      </c>
      <c r="S284" s="186">
        <f>SUM($O$282:S283)</f>
        <v>556.65135946591488</v>
      </c>
      <c r="T284" s="186"/>
      <c r="U284" s="186">
        <f>SUM($O$282:U283)</f>
        <v>768.86792726252429</v>
      </c>
      <c r="V284" s="186">
        <f>SUM($O$282:V283)</f>
        <v>777.64083272653193</v>
      </c>
      <c r="W284" s="186">
        <f>SUM($O$282:W283)</f>
        <v>703.18620197066707</v>
      </c>
      <c r="X284" s="284">
        <f>SUM($O$282:X283)</f>
        <v>1083.100932509589</v>
      </c>
      <c r="Y284" s="186">
        <f>AC284/2</f>
        <v>266.70995576534625</v>
      </c>
      <c r="Z284" s="186">
        <f>AC284-Y284</f>
        <v>266.70995576534625</v>
      </c>
      <c r="AA284" s="186">
        <f>AD284/2</f>
        <v>266.70995576534625</v>
      </c>
      <c r="AB284" s="283">
        <f>AD284-AA284</f>
        <v>266.70995576534625</v>
      </c>
      <c r="AC284" s="186">
        <f>AF284/2</f>
        <v>533.4199115306925</v>
      </c>
      <c r="AD284" s="186">
        <f>AF284-AC284</f>
        <v>533.4199115306925</v>
      </c>
      <c r="AE284" s="186">
        <f>Y284+Z284+AA284</f>
        <v>800.12986729603881</v>
      </c>
      <c r="AF284" s="341">
        <f>SUM($O$282:AF283)</f>
        <v>1066.839823061385</v>
      </c>
      <c r="AG284" s="186">
        <f>AK284/2</f>
        <v>279.62248142116101</v>
      </c>
      <c r="AH284" s="186">
        <f>AK284-AG284</f>
        <v>279.62248142116101</v>
      </c>
      <c r="AI284" s="186">
        <f>AL284/2</f>
        <v>279.62248142116101</v>
      </c>
      <c r="AJ284" s="283">
        <f>AL284-AI284</f>
        <v>279.62248142116101</v>
      </c>
      <c r="AK284" s="186">
        <f>AN284/2</f>
        <v>559.24496284232202</v>
      </c>
      <c r="AL284" s="186">
        <f>AN284-AK284</f>
        <v>559.24496284232202</v>
      </c>
      <c r="AM284" s="186">
        <f>AG284+AH284+AI284</f>
        <v>838.86744426348309</v>
      </c>
      <c r="AN284" s="341">
        <f>SUM($O$282:AN283)</f>
        <v>1118.489925684644</v>
      </c>
      <c r="AO284" s="186">
        <f>AS284/2</f>
        <v>214.65689882529159</v>
      </c>
      <c r="AP284" s="186">
        <f>AS284-AO284</f>
        <v>214.65689882529159</v>
      </c>
      <c r="AQ284" s="186">
        <f>AT284/2</f>
        <v>214.65689882529159</v>
      </c>
      <c r="AR284" s="283">
        <f>AT284-AQ284</f>
        <v>214.65689882529159</v>
      </c>
      <c r="AS284" s="186">
        <f>AV284/2</f>
        <v>429.31379765058318</v>
      </c>
      <c r="AT284" s="186">
        <f>AV284-AS284</f>
        <v>429.31379765058318</v>
      </c>
      <c r="AU284" s="186">
        <f>AO284+AP284+AQ284</f>
        <v>643.97069647587477</v>
      </c>
      <c r="AV284" s="341">
        <f>SUM($O$282:AV283)</f>
        <v>858.62759530116637</v>
      </c>
      <c r="AW284" s="186">
        <f>BA284/2</f>
        <v>153.31813968330573</v>
      </c>
      <c r="AX284" s="186">
        <f>BA284-AW284</f>
        <v>153.31813968330573</v>
      </c>
      <c r="AY284" s="186"/>
      <c r="AZ284" s="283"/>
      <c r="BA284" s="186">
        <f>BD284/2</f>
        <v>306.63627936661146</v>
      </c>
      <c r="BB284" s="285">
        <f>BD284-BA284</f>
        <v>306.63627936661146</v>
      </c>
      <c r="BC284" s="186"/>
      <c r="BD284" s="301">
        <f>SUM($O$282:BD283)</f>
        <v>613.27255873322292</v>
      </c>
      <c r="BE284" s="186"/>
      <c r="BF284" s="186"/>
      <c r="BG284" s="186"/>
      <c r="BH284" s="283"/>
      <c r="BI284" s="285">
        <f>BL284/2</f>
        <v>241.5239544505888</v>
      </c>
      <c r="BJ284" s="285">
        <f>BL284-BI284</f>
        <v>241.5239544505888</v>
      </c>
      <c r="BK284" s="186"/>
      <c r="BL284" s="301">
        <f>SUM($O$282:BL283)</f>
        <v>483.04790890117761</v>
      </c>
      <c r="BM284" s="186"/>
      <c r="BN284" s="186"/>
      <c r="BO284" s="186"/>
      <c r="BP284" s="283"/>
      <c r="BQ284" s="285">
        <f>BT284/2</f>
        <v>206.26827648336393</v>
      </c>
      <c r="BR284" s="285">
        <f>BT284-BQ284</f>
        <v>206.26827648336393</v>
      </c>
      <c r="BS284" s="186"/>
      <c r="BT284" s="301">
        <f>SUM($O$282:BT283)</f>
        <v>412.53655296672787</v>
      </c>
      <c r="BU284" s="186"/>
      <c r="BV284" s="186"/>
      <c r="BW284" s="186"/>
      <c r="BX284" s="283"/>
      <c r="BY284" s="285">
        <f>CB284/2</f>
        <v>80.359714292832109</v>
      </c>
      <c r="BZ284" s="285">
        <f>CB284-BY284</f>
        <v>80.359714292832109</v>
      </c>
      <c r="CA284" s="186"/>
      <c r="CB284" s="301">
        <f>SUM($O$282:CB283)</f>
        <v>160.71942858566422</v>
      </c>
      <c r="CC284" s="186"/>
      <c r="CD284" s="186"/>
      <c r="CE284" s="186"/>
      <c r="CF284" s="283"/>
      <c r="CG284" s="285">
        <f>CJ284/2</f>
        <v>-411.90552805073042</v>
      </c>
      <c r="CH284" s="285">
        <f>CJ284-CG284</f>
        <v>-411.90552805073042</v>
      </c>
      <c r="CI284" s="186"/>
      <c r="CJ284" s="301">
        <f>SUM($O$282:CJ283)</f>
        <v>-823.81105610146085</v>
      </c>
    </row>
    <row r="285" spans="1:88" x14ac:dyDescent="0.2">
      <c r="X285" s="180"/>
      <c r="AB285" s="179"/>
      <c r="AF285" s="314"/>
      <c r="AJ285" s="179"/>
      <c r="AN285" s="314"/>
      <c r="AR285" s="179"/>
      <c r="AV285" s="314"/>
      <c r="AZ285" s="179"/>
      <c r="BD285" s="314"/>
      <c r="BH285" s="179"/>
      <c r="BL285" s="314"/>
      <c r="BP285" s="179"/>
      <c r="BT285" s="314"/>
      <c r="BX285" s="179"/>
      <c r="CB285" s="314"/>
      <c r="CF285" s="179"/>
      <c r="CJ285" s="314"/>
    </row>
    <row r="286" spans="1:88" x14ac:dyDescent="0.2">
      <c r="A286" s="186" t="s">
        <v>845</v>
      </c>
      <c r="B286" s="186"/>
      <c r="C286" s="186"/>
      <c r="D286" s="186"/>
      <c r="E286" s="186"/>
      <c r="F286" s="186"/>
      <c r="G286" s="186"/>
      <c r="H286" s="186"/>
      <c r="I286" s="186"/>
      <c r="J286" s="186"/>
      <c r="K286" s="186"/>
      <c r="L286" s="186"/>
      <c r="M286" s="186"/>
      <c r="N286" s="186"/>
      <c r="O286" s="186">
        <f>O255-O284</f>
        <v>5974.5874312963069</v>
      </c>
      <c r="P286" s="186">
        <f>P255-P284</f>
        <v>6248.5551672448319</v>
      </c>
      <c r="Q286" s="186">
        <f t="shared" ref="Q286:AB286" si="733">Q255-Q284</f>
        <v>6901.184739341581</v>
      </c>
      <c r="R286" s="186">
        <f>R255-R284</f>
        <v>6605.5047393415807</v>
      </c>
      <c r="S286" s="186">
        <f>S255-S284</f>
        <v>7804.9486405340858</v>
      </c>
      <c r="T286" s="186"/>
      <c r="U286" s="186">
        <f t="shared" si="733"/>
        <v>8505.7820727374747</v>
      </c>
      <c r="V286" s="186">
        <f t="shared" si="733"/>
        <v>4279.9391672734682</v>
      </c>
      <c r="W286" s="186">
        <f t="shared" si="733"/>
        <v>4057.7737980293332</v>
      </c>
      <c r="X286" s="284">
        <f t="shared" si="733"/>
        <v>5856.2790674904109</v>
      </c>
      <c r="Y286" s="186">
        <f t="shared" si="733"/>
        <v>1770.2900281069556</v>
      </c>
      <c r="Z286" s="186">
        <f>Z255-Z284</f>
        <v>1955.4985369682738</v>
      </c>
      <c r="AA286" s="186">
        <f>AA255-AA284</f>
        <v>2046.2834484726984</v>
      </c>
      <c r="AB286" s="283">
        <f t="shared" si="733"/>
        <v>2430.1104189555203</v>
      </c>
      <c r="AC286" s="186">
        <f>AC255-AC284</f>
        <v>3726.4887928387766</v>
      </c>
      <c r="AD286" s="186">
        <f>AD255-AD284</f>
        <v>4474.647921710457</v>
      </c>
      <c r="AE286" s="186">
        <f>AE255-AE284</f>
        <v>5772.0720135479278</v>
      </c>
      <c r="AF286" s="341">
        <f t="shared" ref="AF286:AG286" si="734">AF255-AF284</f>
        <v>8201.1367145492331</v>
      </c>
      <c r="AG286" s="186">
        <f t="shared" si="734"/>
        <v>2105.5026346482196</v>
      </c>
      <c r="AH286" s="186">
        <f>AH255-AH284</f>
        <v>2377.7467274719465</v>
      </c>
      <c r="AI286" s="186">
        <f>AI255-AI284</f>
        <v>2358.3994854538396</v>
      </c>
      <c r="AJ286" s="283">
        <f t="shared" ref="AJ286" si="735">AJ255-AJ284</f>
        <v>2834.2718546890137</v>
      </c>
      <c r="AK286" s="186">
        <f>AK255-AK284</f>
        <v>4481.9848996576784</v>
      </c>
      <c r="AL286" s="186">
        <f>AL255-AL284</f>
        <v>5188.1360044195817</v>
      </c>
      <c r="AM286" s="186">
        <f>AM255-AM284</f>
        <v>6841.6488475740052</v>
      </c>
      <c r="AN286" s="341">
        <f t="shared" ref="AN286:AO286" si="736">AN255-AN284</f>
        <v>9670.1209040772592</v>
      </c>
      <c r="AO286" s="186">
        <f t="shared" si="736"/>
        <v>2624.9484274247088</v>
      </c>
      <c r="AP286" s="186">
        <f>AP255-AP284</f>
        <v>2901.5675400199202</v>
      </c>
      <c r="AQ286" s="186">
        <f>AQ255-AQ284</f>
        <v>3082.7593537502576</v>
      </c>
      <c r="AR286" s="283">
        <f t="shared" ref="AR286" si="737">AR255-AR284</f>
        <v>3058.2757327852873</v>
      </c>
      <c r="AS286" s="186">
        <f>AS255-AS284</f>
        <v>5529.163201548713</v>
      </c>
      <c r="AT286" s="186">
        <f>AT255-AT284</f>
        <v>6146.8543251475958</v>
      </c>
      <c r="AU286" s="186">
        <f>AU255-AU284</f>
        <v>8609.2753211948857</v>
      </c>
      <c r="AV286" s="341">
        <f t="shared" ref="AV286:AW286" si="738">AV255-AV284</f>
        <v>11676.017526696307</v>
      </c>
      <c r="AW286" s="186">
        <f t="shared" si="738"/>
        <v>3398.9183781738375</v>
      </c>
      <c r="AX286" s="186">
        <f>AX255-AX284</f>
        <v>3548.4889696916939</v>
      </c>
      <c r="AY286" s="186"/>
      <c r="AZ286" s="283"/>
      <c r="BA286" s="186">
        <f>BA255-BA284</f>
        <v>6947.4073478655328</v>
      </c>
      <c r="BB286" s="285">
        <f>BB255-BB284</f>
        <v>8220.3588851542354</v>
      </c>
      <c r="BC286" s="186"/>
      <c r="BD286" s="301">
        <f>BD255-BD284</f>
        <v>15167.766233019769</v>
      </c>
      <c r="BE286" s="186"/>
      <c r="BF286" s="186"/>
      <c r="BG286" s="186"/>
      <c r="BH286" s="283"/>
      <c r="BI286" s="285">
        <f>BI255-BI284</f>
        <v>7562.7623768141193</v>
      </c>
      <c r="BJ286" s="285">
        <f>BJ255-BJ284</f>
        <v>9465.3355963873073</v>
      </c>
      <c r="BK286" s="186"/>
      <c r="BL286" s="301">
        <f>BL255-BL284</f>
        <v>17028.097973201424</v>
      </c>
      <c r="BM286" s="186"/>
      <c r="BN286" s="186"/>
      <c r="BO286" s="186"/>
      <c r="BP286" s="283"/>
      <c r="BQ286" s="285">
        <f>BQ255-BQ284</f>
        <v>8487.9759788848223</v>
      </c>
      <c r="BR286" s="285">
        <f>BR255-BR284</f>
        <v>10478.3584574666</v>
      </c>
      <c r="BS286" s="186"/>
      <c r="BT286" s="301">
        <f>BT255-BT284</f>
        <v>18966.334436351422</v>
      </c>
      <c r="BU286" s="186"/>
      <c r="BV286" s="186"/>
      <c r="BW286" s="186"/>
      <c r="BX286" s="283"/>
      <c r="BY286" s="285">
        <f>BY255-BY284</f>
        <v>9145.4071455371995</v>
      </c>
      <c r="BZ286" s="285">
        <f>BZ255-BZ284</f>
        <v>11225.936997804029</v>
      </c>
      <c r="CA286" s="186"/>
      <c r="CB286" s="301">
        <f>CB255-CB284</f>
        <v>20371.344143341226</v>
      </c>
      <c r="CC286" s="186"/>
      <c r="CD286" s="186"/>
      <c r="CE286" s="186"/>
      <c r="CF286" s="283"/>
      <c r="CG286" s="285">
        <f>CG255-CG284</f>
        <v>9643.5762411299911</v>
      </c>
      <c r="CH286" s="285">
        <f>CH255-CH284</f>
        <v>11726.852256371683</v>
      </c>
      <c r="CI286" s="186"/>
      <c r="CJ286" s="301">
        <f>CJ255-CJ284</f>
        <v>21370.428497501671</v>
      </c>
    </row>
    <row r="287" spans="1:88" x14ac:dyDescent="0.2">
      <c r="A287" s="4" t="s">
        <v>846</v>
      </c>
      <c r="O287" s="4">
        <f>O108-O275</f>
        <v>1883.4308106848537</v>
      </c>
      <c r="P287" s="4">
        <f>P108-P275</f>
        <v>1866.5352042360144</v>
      </c>
      <c r="Q287" s="4">
        <f>Q108-Q275</f>
        <v>1730.3501663327886</v>
      </c>
      <c r="R287" s="4">
        <f>R108-R275</f>
        <v>1629.662</v>
      </c>
      <c r="S287" s="4">
        <f>S108-S275</f>
        <v>1635.4590143551734</v>
      </c>
      <c r="U287" s="4">
        <f t="shared" ref="U287:AD287" si="739">U108-U275</f>
        <v>2114.7968481509706</v>
      </c>
      <c r="V287" s="4">
        <f t="shared" si="739"/>
        <v>748.33301111122773</v>
      </c>
      <c r="W287" s="4">
        <f t="shared" si="739"/>
        <v>943.86201111122773</v>
      </c>
      <c r="X287" s="180">
        <f t="shared" si="739"/>
        <v>1361.9676570257707</v>
      </c>
      <c r="Y287" s="4">
        <f t="shared" si="739"/>
        <v>0</v>
      </c>
      <c r="Z287" s="4">
        <f t="shared" si="739"/>
        <v>0</v>
      </c>
      <c r="AA287" s="4">
        <f t="shared" si="739"/>
        <v>0</v>
      </c>
      <c r="AB287" s="179">
        <f t="shared" si="739"/>
        <v>0</v>
      </c>
      <c r="AC287" s="4">
        <f t="shared" si="739"/>
        <v>843.52951731627104</v>
      </c>
      <c r="AD287" s="4">
        <f t="shared" si="739"/>
        <v>1234.5007173162712</v>
      </c>
      <c r="AF287" s="314">
        <f>AF108-AF275</f>
        <v>2078.030234632542</v>
      </c>
      <c r="AG287" s="4">
        <f>AG108-AG275</f>
        <v>0</v>
      </c>
      <c r="AH287" s="4">
        <f t="shared" ref="AH287:AJ287" si="740">AH108-AH275</f>
        <v>0</v>
      </c>
      <c r="AI287" s="4">
        <f t="shared" si="740"/>
        <v>0</v>
      </c>
      <c r="AJ287" s="179">
        <f t="shared" si="740"/>
        <v>0</v>
      </c>
      <c r="AK287" s="4">
        <f t="shared" ref="AK287:AL287" si="741">AK108-AK275</f>
        <v>1101.033466004641</v>
      </c>
      <c r="AL287" s="4">
        <f t="shared" si="741"/>
        <v>1391.3527993379746</v>
      </c>
      <c r="AN287" s="314">
        <f>AN108-AN275</f>
        <v>2492.3862653426154</v>
      </c>
      <c r="AO287" s="4">
        <f>AO108-AO275</f>
        <v>0</v>
      </c>
      <c r="AP287" s="4">
        <f t="shared" ref="AP287:AR287" si="742">AP108-AP275</f>
        <v>0</v>
      </c>
      <c r="AQ287" s="4">
        <f t="shared" si="742"/>
        <v>0</v>
      </c>
      <c r="AR287" s="179">
        <f t="shared" si="742"/>
        <v>0</v>
      </c>
      <c r="AS287" s="4">
        <f t="shared" ref="AS287:AT287" si="743">AS108-AS275</f>
        <v>1543.438466004641</v>
      </c>
      <c r="AT287" s="4">
        <f t="shared" si="743"/>
        <v>1706.1428660046411</v>
      </c>
      <c r="AV287" s="314">
        <f>AV108-AV275</f>
        <v>3249.5813320092821</v>
      </c>
      <c r="AW287" s="4">
        <f>AW108-AW275</f>
        <v>0</v>
      </c>
      <c r="AX287" s="4">
        <f t="shared" ref="AX287" si="744">AX108-AX275</f>
        <v>0</v>
      </c>
      <c r="AZ287" s="179"/>
      <c r="BA287" s="4">
        <f>BA108-BA275</f>
        <v>2062.4600660046408</v>
      </c>
      <c r="BB287" s="11">
        <f>BB108-BB275</f>
        <v>2337.0966395403166</v>
      </c>
      <c r="BD287" s="603">
        <f>BD108-BD275</f>
        <v>4399.5567055449574</v>
      </c>
      <c r="BH287" s="179"/>
      <c r="BI287" s="11">
        <f>BI108-BI275</f>
        <v>2166.0789755501773</v>
      </c>
      <c r="BJ287" s="11">
        <f>BJ108-BJ275</f>
        <v>2793.5552625583168</v>
      </c>
      <c r="BL287" s="603">
        <f>BL108-BL275</f>
        <v>4959.6342381084942</v>
      </c>
      <c r="BP287" s="179"/>
      <c r="BQ287" s="11">
        <f>BQ108-BQ275</f>
        <v>2438.8269951879338</v>
      </c>
      <c r="BR287" s="11">
        <f>BR108-BR275</f>
        <v>2902.1109411677035</v>
      </c>
      <c r="BT287" s="603">
        <f>BT108-BT275</f>
        <v>5340.9379363556363</v>
      </c>
      <c r="BX287" s="179"/>
      <c r="BY287" s="11">
        <f>BY108-BY275</f>
        <v>2754.7097391211546</v>
      </c>
      <c r="BZ287" s="11">
        <f>BZ108-BZ275</f>
        <v>2988.360182733858</v>
      </c>
      <c r="CB287" s="603">
        <f>CB108-CB275</f>
        <v>5743.0699218550126</v>
      </c>
      <c r="CF287" s="179"/>
      <c r="CG287" s="11">
        <f>CG108-CG275</f>
        <v>3238.9618400240734</v>
      </c>
      <c r="CH287" s="11">
        <f>CH108-CH275</f>
        <v>3600.5608215387128</v>
      </c>
      <c r="CJ287" s="603">
        <f>CJ108-CJ275</f>
        <v>6839.5226615627871</v>
      </c>
    </row>
    <row r="288" spans="1:88" x14ac:dyDescent="0.2">
      <c r="A288" s="4" t="s">
        <v>778</v>
      </c>
      <c r="O288" s="272">
        <f>O287/O286</f>
        <v>0.3152403127986706</v>
      </c>
      <c r="P288" s="272">
        <f t="shared" ref="P288:AB288" si="745">P287/P286</f>
        <v>0.29871468752015895</v>
      </c>
      <c r="Q288" s="272">
        <f t="shared" si="745"/>
        <v>0.25073233534360878</v>
      </c>
      <c r="R288" s="272">
        <f>R287/R286</f>
        <v>0.24671271376037804</v>
      </c>
      <c r="S288" s="272">
        <f>S287/S286</f>
        <v>0.20954129100371124</v>
      </c>
      <c r="T288" s="272"/>
      <c r="U288" s="272">
        <f t="shared" si="745"/>
        <v>0.24863049982543828</v>
      </c>
      <c r="V288" s="272">
        <f t="shared" si="745"/>
        <v>0.17484664661436128</v>
      </c>
      <c r="W288" s="272">
        <f t="shared" si="745"/>
        <v>0.23260587161601182</v>
      </c>
      <c r="X288" s="275">
        <f t="shared" si="745"/>
        <v>0.23256536126947486</v>
      </c>
      <c r="Y288" s="272">
        <f t="shared" si="745"/>
        <v>0</v>
      </c>
      <c r="Z288" s="272">
        <f t="shared" si="745"/>
        <v>0</v>
      </c>
      <c r="AA288" s="272">
        <f t="shared" si="745"/>
        <v>0</v>
      </c>
      <c r="AB288" s="248">
        <f t="shared" si="745"/>
        <v>0</v>
      </c>
      <c r="AC288" s="278">
        <f>AC287/AC286</f>
        <v>0.2263604063260001</v>
      </c>
      <c r="AD288" s="278">
        <f>AD287/AD286</f>
        <v>0.27588778802609726</v>
      </c>
      <c r="AE288" s="272"/>
      <c r="AF288" s="602">
        <f t="shared" ref="AF288:AJ288" si="746">AF287/AF286</f>
        <v>0.25338319637398687</v>
      </c>
      <c r="AG288" s="272">
        <f t="shared" si="746"/>
        <v>0</v>
      </c>
      <c r="AH288" s="272">
        <f t="shared" si="746"/>
        <v>0</v>
      </c>
      <c r="AI288" s="272">
        <f t="shared" si="746"/>
        <v>0</v>
      </c>
      <c r="AJ288" s="248">
        <f t="shared" si="746"/>
        <v>0</v>
      </c>
      <c r="AK288" s="278">
        <f>AK287/AK286</f>
        <v>0.2456575581253598</v>
      </c>
      <c r="AL288" s="278">
        <f>AL287/AL286</f>
        <v>0.26817970811727615</v>
      </c>
      <c r="AM288" s="272"/>
      <c r="AN288" s="602">
        <f t="shared" ref="AN288:AR288" si="747">AN287/AN286</f>
        <v>0.25774096208990921</v>
      </c>
      <c r="AO288" s="272">
        <f t="shared" si="747"/>
        <v>0</v>
      </c>
      <c r="AP288" s="272">
        <f t="shared" si="747"/>
        <v>0</v>
      </c>
      <c r="AQ288" s="272">
        <f t="shared" si="747"/>
        <v>0</v>
      </c>
      <c r="AR288" s="248">
        <f t="shared" si="747"/>
        <v>0</v>
      </c>
      <c r="AS288" s="278">
        <f>AS287/AS286</f>
        <v>0.27914503691486725</v>
      </c>
      <c r="AT288" s="278">
        <f>AT287/AT286</f>
        <v>0.27756357573410917</v>
      </c>
      <c r="AU288" s="272"/>
      <c r="AV288" s="602">
        <f t="shared" ref="AV288:AX288" si="748">AV287/AV286</f>
        <v>0.27831247465836417</v>
      </c>
      <c r="AW288" s="272">
        <f t="shared" si="748"/>
        <v>0</v>
      </c>
      <c r="AX288" s="272">
        <f t="shared" si="748"/>
        <v>0</v>
      </c>
      <c r="AY288" s="272"/>
      <c r="AZ288" s="248"/>
      <c r="BA288" s="278">
        <f>BA287/BA286</f>
        <v>0.29686758854557377</v>
      </c>
      <c r="BB288" s="299">
        <f>BB287/BB286</f>
        <v>0.28430591318355397</v>
      </c>
      <c r="BC288" s="272"/>
      <c r="BD288" s="700">
        <f>BD287/BD286</f>
        <v>0.29005963290542119</v>
      </c>
      <c r="BE288" s="272"/>
      <c r="BF288" s="272"/>
      <c r="BG288" s="272"/>
      <c r="BH288" s="248"/>
      <c r="BI288" s="299">
        <f>BI287/BI286</f>
        <v>0.28641372922028224</v>
      </c>
      <c r="BJ288" s="299">
        <f>BJ287/BJ286</f>
        <v>0.29513536357068526</v>
      </c>
      <c r="BK288" s="272"/>
      <c r="BL288" s="700">
        <f>BL287/BL286</f>
        <v>0.2912617866019972</v>
      </c>
      <c r="BM288" s="272"/>
      <c r="BN288" s="272"/>
      <c r="BO288" s="272"/>
      <c r="BP288" s="248"/>
      <c r="BQ288" s="299">
        <f>BQ287/BQ286</f>
        <v>0.28732727345775955</v>
      </c>
      <c r="BR288" s="299">
        <f>BR287/BR286</f>
        <v>0.27696236514028932</v>
      </c>
      <c r="BS288" s="272"/>
      <c r="BT288" s="700">
        <f>BT287/BT286</f>
        <v>0.28160095743746039</v>
      </c>
      <c r="BU288" s="272"/>
      <c r="BV288" s="272"/>
      <c r="BW288" s="272"/>
      <c r="BX288" s="248"/>
      <c r="BY288" s="299">
        <f>BY287/BY286</f>
        <v>0.30121236761617609</v>
      </c>
      <c r="BZ288" s="299">
        <f>BZ287/BZ286</f>
        <v>0.26620140334997683</v>
      </c>
      <c r="CA288" s="272"/>
      <c r="CB288" s="700">
        <f>CB287/CB286</f>
        <v>0.28191904674745027</v>
      </c>
      <c r="CC288" s="272"/>
      <c r="CD288" s="272"/>
      <c r="CE288" s="272"/>
      <c r="CF288" s="248"/>
      <c r="CG288" s="299">
        <f>CG287/CG286</f>
        <v>0.33586729228207424</v>
      </c>
      <c r="CH288" s="299">
        <f>CH287/CH286</f>
        <v>0.30703557466432474</v>
      </c>
      <c r="CI288" s="272"/>
      <c r="CJ288" s="700">
        <f>CJ287/CJ286</f>
        <v>0.32004611710815101</v>
      </c>
    </row>
    <row r="289" spans="1:88" x14ac:dyDescent="0.2">
      <c r="X289" s="180"/>
      <c r="AB289" s="179"/>
      <c r="AF289" s="314"/>
      <c r="AJ289" s="179"/>
      <c r="AN289" s="314"/>
      <c r="AR289" s="179"/>
      <c r="AV289" s="314"/>
      <c r="AZ289" s="179"/>
      <c r="BD289" s="314"/>
      <c r="BH289" s="179"/>
      <c r="BL289" s="314"/>
      <c r="BP289" s="179"/>
      <c r="BT289" s="314"/>
      <c r="BX289" s="179"/>
      <c r="CB289" s="314"/>
      <c r="CF289" s="179"/>
      <c r="CJ289" s="314"/>
    </row>
    <row r="290" spans="1:88" x14ac:dyDescent="0.2">
      <c r="A290" s="186" t="s">
        <v>847</v>
      </c>
      <c r="B290" s="186"/>
      <c r="C290" s="186"/>
      <c r="D290" s="186"/>
      <c r="E290" s="186"/>
      <c r="F290" s="186"/>
      <c r="G290" s="186"/>
      <c r="H290" s="186"/>
      <c r="I290" s="186"/>
      <c r="J290" s="186"/>
      <c r="K290" s="186"/>
      <c r="L290" s="186"/>
      <c r="M290" s="186"/>
      <c r="N290" s="186"/>
      <c r="O290" s="186">
        <f>O286*(O116/O118)</f>
        <v>2829.349901345709</v>
      </c>
      <c r="P290" s="186">
        <f>P286*(P116/P118)</f>
        <v>2873.850150600827</v>
      </c>
      <c r="Q290" s="186">
        <f>Q286*(Q116/Q118)</f>
        <v>3116.8317403458805</v>
      </c>
      <c r="R290" s="186">
        <f>R286*(R116/R118)</f>
        <v>2834.6403951550055</v>
      </c>
      <c r="S290" s="186">
        <f>S286*(S116/S118)</f>
        <v>3519.2476909526304</v>
      </c>
      <c r="T290" s="186"/>
      <c r="U290" s="186">
        <f t="shared" ref="U290:AC290" si="749">U286*(U116/U118)</f>
        <v>3769.8189056521346</v>
      </c>
      <c r="V290" s="186">
        <f t="shared" si="749"/>
        <v>1793.4375348788692</v>
      </c>
      <c r="W290" s="186">
        <f t="shared" si="749"/>
        <v>1416.9617198788028</v>
      </c>
      <c r="X290" s="284">
        <f t="shared" si="749"/>
        <v>2279.4676049370401</v>
      </c>
      <c r="Y290" s="186">
        <f t="shared" si="749"/>
        <v>820.15604685937592</v>
      </c>
      <c r="Z290" s="186">
        <f t="shared" si="749"/>
        <v>901.07969377777056</v>
      </c>
      <c r="AA290" s="186">
        <f t="shared" si="749"/>
        <v>807.52352473361623</v>
      </c>
      <c r="AB290" s="283">
        <f t="shared" si="749"/>
        <v>688.19399601866201</v>
      </c>
      <c r="AC290" s="186">
        <f t="shared" si="749"/>
        <v>1721.5683645418042</v>
      </c>
      <c r="AD290" s="186">
        <f>AF290-AC290</f>
        <v>1503.9422296118894</v>
      </c>
      <c r="AE290" s="186">
        <f>Y290+Z290+AA290</f>
        <v>2528.7592653707629</v>
      </c>
      <c r="AF290" s="341">
        <f>AF286*(AF116/AF118)</f>
        <v>3225.5105941536935</v>
      </c>
      <c r="AG290" s="186">
        <f t="shared" ref="AG290:AJ290" si="750">AG286*(AG116/AG118)</f>
        <v>871.80077322692011</v>
      </c>
      <c r="AH290" s="186">
        <f t="shared" si="750"/>
        <v>930.01086768495429</v>
      </c>
      <c r="AI290" s="186">
        <f t="shared" si="750"/>
        <v>848.94213250630389</v>
      </c>
      <c r="AJ290" s="283">
        <f t="shared" si="750"/>
        <v>686.33002777821002</v>
      </c>
      <c r="AK290" s="186">
        <f t="shared" ref="AK290" si="751">AK286*(AK116/AK118)</f>
        <v>1801.8672775203988</v>
      </c>
      <c r="AL290" s="186">
        <f>AN290-AK290</f>
        <v>1543.0925339717066</v>
      </c>
      <c r="AM290" s="186">
        <f>AG290+AH290+AI290</f>
        <v>2650.7537734181783</v>
      </c>
      <c r="AN290" s="341">
        <f>AN286*(AN116/AN118)</f>
        <v>3344.9598114921055</v>
      </c>
      <c r="AO290" s="186">
        <f t="shared" ref="AO290:AR290" si="752">AO286*(AO116/AO118)</f>
        <v>1020.0016595397101</v>
      </c>
      <c r="AP290" s="186">
        <f t="shared" si="752"/>
        <v>1126.1302941568088</v>
      </c>
      <c r="AQ290" s="186">
        <f t="shared" si="752"/>
        <v>1250.0031770997421</v>
      </c>
      <c r="AR290" s="283">
        <f t="shared" si="752"/>
        <v>393.12876730119086</v>
      </c>
      <c r="AS290" s="186">
        <f t="shared" ref="AS290" si="753">AS286*(AS116/AS118)</f>
        <v>2147.1429691785884</v>
      </c>
      <c r="AT290" s="186">
        <f>AV290-AS290</f>
        <v>1636.1829642931361</v>
      </c>
      <c r="AU290" s="186">
        <f>AO290+AP290+AQ290</f>
        <v>3396.1351307962609</v>
      </c>
      <c r="AV290" s="341">
        <f>AV286*(AV116/AV118)</f>
        <v>3783.3259334717245</v>
      </c>
      <c r="AW290" s="186">
        <f t="shared" ref="AW290:AX290" si="754">AW286*(AW116/AW118)</f>
        <v>1269.6940411665626</v>
      </c>
      <c r="AX290" s="186">
        <f t="shared" si="754"/>
        <v>1184.79900826977</v>
      </c>
      <c r="AY290" s="186"/>
      <c r="AZ290" s="283"/>
      <c r="BA290" s="186">
        <f>BA286*(BA116/BA118)</f>
        <v>2454.618456266297</v>
      </c>
      <c r="BB290" s="285">
        <f>BD290-BA290</f>
        <v>2519.0931943889195</v>
      </c>
      <c r="BC290" s="186"/>
      <c r="BD290" s="301">
        <f>BD286*(BD116/BD118)</f>
        <v>4973.7116506552165</v>
      </c>
      <c r="BE290" s="186"/>
      <c r="BF290" s="186"/>
      <c r="BG290" s="186"/>
      <c r="BH290" s="283"/>
      <c r="BI290" s="285">
        <f>BI286*(BI116/BI118)</f>
        <v>2306.2587386039454</v>
      </c>
      <c r="BJ290" s="285">
        <f>BL290-BI290</f>
        <v>3093.5811845629237</v>
      </c>
      <c r="BK290" s="186"/>
      <c r="BL290" s="301">
        <f>BL286*(BL116/BL118)</f>
        <v>5399.8399231668691</v>
      </c>
      <c r="BM290" s="186"/>
      <c r="BN290" s="186"/>
      <c r="BO290" s="186"/>
      <c r="BP290" s="283"/>
      <c r="BQ290" s="285">
        <f>BQ286*(BQ116/BQ118)</f>
        <v>2621.8907110143655</v>
      </c>
      <c r="BR290" s="285">
        <f>BT290-BQ290</f>
        <v>3389.1323640799128</v>
      </c>
      <c r="BS290" s="186"/>
      <c r="BT290" s="301">
        <f>BT286*(BT116/BT118)</f>
        <v>6011.0230750942783</v>
      </c>
      <c r="BU290" s="186"/>
      <c r="BV290" s="186"/>
      <c r="BW290" s="186"/>
      <c r="BX290" s="283"/>
      <c r="BY290" s="285">
        <f>BY286*(BY116/BY118)</f>
        <v>2756.2944597209298</v>
      </c>
      <c r="BZ290" s="285">
        <f>CB290-BY290</f>
        <v>3523.3245241892073</v>
      </c>
      <c r="CA290" s="186"/>
      <c r="CB290" s="301">
        <f>CB286*(CB116/CB118)</f>
        <v>6279.6189839101371</v>
      </c>
      <c r="CC290" s="186"/>
      <c r="CD290" s="186"/>
      <c r="CE290" s="186"/>
      <c r="CF290" s="283"/>
      <c r="CG290" s="285">
        <f>CG286*(CG116/CG118)</f>
        <v>2835.0950483374127</v>
      </c>
      <c r="CH290" s="285">
        <f>CJ290-CG290</f>
        <v>3574.831033668931</v>
      </c>
      <c r="CI290" s="186"/>
      <c r="CJ290" s="301">
        <f>CJ286*(CJ116/CJ118)</f>
        <v>6409.9260820063437</v>
      </c>
    </row>
    <row r="291" spans="1:88" x14ac:dyDescent="0.2">
      <c r="A291" s="186" t="s">
        <v>848</v>
      </c>
      <c r="B291" s="186"/>
      <c r="C291" s="186"/>
      <c r="D291" s="186"/>
      <c r="E291" s="186"/>
      <c r="F291" s="186"/>
      <c r="G291" s="186"/>
      <c r="H291" s="186"/>
      <c r="I291" s="186"/>
      <c r="J291" s="186"/>
      <c r="K291" s="186"/>
      <c r="L291" s="186"/>
      <c r="M291" s="186"/>
      <c r="N291" s="186"/>
      <c r="O291" s="186">
        <f>O286-O290</f>
        <v>3145.2375299505979</v>
      </c>
      <c r="P291" s="186">
        <f>P286-P290</f>
        <v>3374.7050166440049</v>
      </c>
      <c r="Q291" s="186">
        <f>Q286-Q290</f>
        <v>3784.3529989957005</v>
      </c>
      <c r="R291" s="186">
        <f>R286-R290</f>
        <v>3770.8643441865752</v>
      </c>
      <c r="S291" s="186">
        <f>S286-S290</f>
        <v>4285.7009495814555</v>
      </c>
      <c r="T291" s="186"/>
      <c r="U291" s="186">
        <f t="shared" ref="U291:AE291" si="755">U286-U290</f>
        <v>4735.9631670853396</v>
      </c>
      <c r="V291" s="186">
        <f t="shared" si="755"/>
        <v>2486.5016323945993</v>
      </c>
      <c r="W291" s="186">
        <f t="shared" si="755"/>
        <v>2640.8120781505304</v>
      </c>
      <c r="X291" s="284">
        <f t="shared" si="755"/>
        <v>3576.8114625533708</v>
      </c>
      <c r="Y291" s="186">
        <f t="shared" si="755"/>
        <v>950.13398124757964</v>
      </c>
      <c r="Z291" s="186">
        <f t="shared" si="755"/>
        <v>1054.4188431905031</v>
      </c>
      <c r="AA291" s="186">
        <f t="shared" si="755"/>
        <v>1238.7599237390823</v>
      </c>
      <c r="AB291" s="283">
        <f t="shared" si="755"/>
        <v>1741.9164229368585</v>
      </c>
      <c r="AC291" s="186">
        <f t="shared" si="755"/>
        <v>2004.9204282969724</v>
      </c>
      <c r="AD291" s="186">
        <f t="shared" si="755"/>
        <v>2970.7056920985679</v>
      </c>
      <c r="AE291" s="186">
        <f t="shared" si="755"/>
        <v>3243.3127481771648</v>
      </c>
      <c r="AF291" s="341">
        <f t="shared" ref="AF291:AJ291" si="756">AF286-AF290</f>
        <v>4975.6261203955401</v>
      </c>
      <c r="AG291" s="186">
        <f t="shared" si="756"/>
        <v>1233.7018614212993</v>
      </c>
      <c r="AH291" s="186">
        <f t="shared" si="756"/>
        <v>1447.7358597869923</v>
      </c>
      <c r="AI291" s="186">
        <f t="shared" si="756"/>
        <v>1509.4573529475356</v>
      </c>
      <c r="AJ291" s="283">
        <f t="shared" si="756"/>
        <v>2147.9418269108037</v>
      </c>
      <c r="AK291" s="186">
        <f t="shared" ref="AK291:AL291" si="757">AK286-AK290</f>
        <v>2680.1176221372798</v>
      </c>
      <c r="AL291" s="186">
        <f t="shared" si="757"/>
        <v>3645.0434704478748</v>
      </c>
      <c r="AM291" s="186">
        <f t="shared" ref="AM291:AR291" si="758">AM286-AM290</f>
        <v>4190.8950741558274</v>
      </c>
      <c r="AN291" s="341">
        <f t="shared" si="758"/>
        <v>6325.1610925851537</v>
      </c>
      <c r="AO291" s="186">
        <f t="shared" si="758"/>
        <v>1604.9467678849987</v>
      </c>
      <c r="AP291" s="186">
        <f t="shared" si="758"/>
        <v>1775.4372458631115</v>
      </c>
      <c r="AQ291" s="186">
        <f t="shared" si="758"/>
        <v>1832.7561766505155</v>
      </c>
      <c r="AR291" s="283">
        <f t="shared" si="758"/>
        <v>2665.1469654840967</v>
      </c>
      <c r="AS291" s="186">
        <f t="shared" ref="AS291:AT291" si="759">AS286-AS290</f>
        <v>3382.0202323701246</v>
      </c>
      <c r="AT291" s="186">
        <f t="shared" si="759"/>
        <v>4510.6713608544596</v>
      </c>
      <c r="AU291" s="186">
        <f t="shared" ref="AU291:AX291" si="760">AU286-AU290</f>
        <v>5213.1401903986243</v>
      </c>
      <c r="AV291" s="341">
        <f t="shared" si="760"/>
        <v>7892.6915932245829</v>
      </c>
      <c r="AW291" s="186">
        <f t="shared" si="760"/>
        <v>2129.2243370072747</v>
      </c>
      <c r="AX291" s="186">
        <f t="shared" si="760"/>
        <v>2363.6899614219237</v>
      </c>
      <c r="AY291" s="186"/>
      <c r="AZ291" s="283"/>
      <c r="BA291" s="186">
        <f>BA286-BA290</f>
        <v>4492.7888915992353</v>
      </c>
      <c r="BB291" s="285">
        <f>BB286-BB290</f>
        <v>5701.2656907653163</v>
      </c>
      <c r="BC291" s="186"/>
      <c r="BD291" s="301">
        <f>BD286-BD290</f>
        <v>10194.054582364552</v>
      </c>
      <c r="BE291" s="186"/>
      <c r="BF291" s="186"/>
      <c r="BG291" s="186"/>
      <c r="BH291" s="283"/>
      <c r="BI291" s="285">
        <f>BI286-BI290</f>
        <v>5256.5036382101734</v>
      </c>
      <c r="BJ291" s="285">
        <f>BJ286-BJ290</f>
        <v>6371.7544118243841</v>
      </c>
      <c r="BK291" s="186"/>
      <c r="BL291" s="301">
        <f>BL286-BL290</f>
        <v>11628.258050034554</v>
      </c>
      <c r="BM291" s="186"/>
      <c r="BN291" s="186"/>
      <c r="BO291" s="186"/>
      <c r="BP291" s="283"/>
      <c r="BQ291" s="285">
        <f>BQ286-BQ290</f>
        <v>5866.0852678704568</v>
      </c>
      <c r="BR291" s="285">
        <f>BR286-BR290</f>
        <v>7089.2260933866874</v>
      </c>
      <c r="BS291" s="186"/>
      <c r="BT291" s="301">
        <f>BT286-BT290</f>
        <v>12955.311361257143</v>
      </c>
      <c r="BU291" s="186"/>
      <c r="BV291" s="186"/>
      <c r="BW291" s="186"/>
      <c r="BX291" s="283"/>
      <c r="BY291" s="285">
        <f>BY286-BY290</f>
        <v>6389.1126858162697</v>
      </c>
      <c r="BZ291" s="285">
        <f>BZ286-BZ290</f>
        <v>7702.6124736148213</v>
      </c>
      <c r="CA291" s="186"/>
      <c r="CB291" s="301">
        <f>CB286-CB290</f>
        <v>14091.725159431089</v>
      </c>
      <c r="CC291" s="186"/>
      <c r="CD291" s="186"/>
      <c r="CE291" s="186"/>
      <c r="CF291" s="283"/>
      <c r="CG291" s="285">
        <f>CG286-CG290</f>
        <v>6808.4811927925784</v>
      </c>
      <c r="CH291" s="285">
        <f>CH286-CH290</f>
        <v>8152.0212227027523</v>
      </c>
      <c r="CI291" s="186"/>
      <c r="CJ291" s="301">
        <f>CJ286-CJ290</f>
        <v>14960.502415495328</v>
      </c>
    </row>
    <row r="292" spans="1:88" x14ac:dyDescent="0.2">
      <c r="X292" s="180"/>
      <c r="AB292" s="179"/>
      <c r="AF292" s="603"/>
      <c r="AJ292" s="179"/>
      <c r="AN292" s="603"/>
      <c r="AR292" s="179"/>
      <c r="AV292" s="603"/>
      <c r="AZ292" s="179"/>
      <c r="BD292" s="603"/>
      <c r="BH292" s="179"/>
      <c r="BL292" s="603"/>
      <c r="BP292" s="179"/>
      <c r="BT292" s="603"/>
      <c r="BX292" s="179"/>
      <c r="CB292" s="603"/>
      <c r="CF292" s="179"/>
      <c r="CJ292" s="603"/>
    </row>
    <row r="293" spans="1:88" x14ac:dyDescent="0.2">
      <c r="A293" s="434" t="s">
        <v>849</v>
      </c>
      <c r="B293" s="434"/>
      <c r="C293" s="434"/>
      <c r="D293" s="434"/>
      <c r="E293" s="434"/>
      <c r="F293" s="434"/>
      <c r="G293" s="434"/>
      <c r="H293" s="434"/>
      <c r="I293" s="434"/>
      <c r="J293" s="434"/>
      <c r="K293" s="434"/>
      <c r="L293" s="434"/>
      <c r="M293" s="434"/>
      <c r="N293" s="434"/>
      <c r="O293" s="434"/>
      <c r="P293" s="434"/>
      <c r="Q293" s="434"/>
      <c r="R293" s="434"/>
      <c r="S293" s="434"/>
      <c r="T293" s="434"/>
      <c r="U293" s="434"/>
      <c r="V293" s="434"/>
      <c r="W293" s="434"/>
      <c r="X293" s="437"/>
      <c r="Y293" s="434">
        <f>Y255-(Y266/1.12)</f>
        <v>32.395966015159047</v>
      </c>
      <c r="Z293" s="434">
        <f>AC293-Y293</f>
        <v>-98.595633205322429</v>
      </c>
      <c r="AA293" s="434">
        <f>AA255-(AA266/1.01)</f>
        <v>-232.77095219759849</v>
      </c>
      <c r="AB293" s="436">
        <f>AD293-AA293</f>
        <v>282.70950993955648</v>
      </c>
      <c r="AC293" s="434">
        <f>AC255-(AC266/1.09)</f>
        <v>-66.199667190163382</v>
      </c>
      <c r="AD293" s="434">
        <f>AF293-AC293</f>
        <v>49.938557741957993</v>
      </c>
      <c r="AE293" s="434"/>
      <c r="AF293" s="1117">
        <f>AF255-(AF266/X264)</f>
        <v>-16.261109448205389</v>
      </c>
      <c r="AG293" s="434">
        <f>AG255-(AG266/1.12)</f>
        <v>29.179147319380718</v>
      </c>
      <c r="AH293" s="434">
        <f>AK293-AG293</f>
        <v>-2.5020252257018001</v>
      </c>
      <c r="AI293" s="434">
        <f>AI255-(AI266/AA264)</f>
        <v>2.5840981699639087</v>
      </c>
      <c r="AJ293" s="436">
        <f>AL293-AI293</f>
        <v>27.829826202547338</v>
      </c>
      <c r="AK293" s="434">
        <f>AK255-(AK266/AC264)</f>
        <v>26.677122093678918</v>
      </c>
      <c r="AL293" s="434">
        <f>AN293-AK293</f>
        <v>30.413924372511246</v>
      </c>
      <c r="AM293" s="434">
        <f>AG293+AH293+AI293</f>
        <v>29.261220263642826</v>
      </c>
      <c r="AN293" s="1117">
        <f>AN255-(AN266/AF264)</f>
        <v>57.091046466190164</v>
      </c>
      <c r="AO293" s="434">
        <f>AO255-(AO266/1.12)</f>
        <v>82.706951250000202</v>
      </c>
      <c r="AP293" s="434">
        <f>AS293-AO293</f>
        <v>-105.9468622140439</v>
      </c>
      <c r="AQ293" s="434">
        <f>AQ255-(AQ266/AI264)</f>
        <v>-91.890723122020063</v>
      </c>
      <c r="AR293" s="436">
        <f>AT293-AQ293</f>
        <v>-140.5443891070272</v>
      </c>
      <c r="AS293" s="434">
        <f>AS255-(AS266/AK264)</f>
        <v>-23.239910964043702</v>
      </c>
      <c r="AT293" s="434">
        <f>AV293-AS293</f>
        <v>-232.43511222904726</v>
      </c>
      <c r="AU293" s="434">
        <f>AO293+AP293+AQ293</f>
        <v>-115.13063408606376</v>
      </c>
      <c r="AV293" s="1117">
        <f>AV255-(AV266/AN264)</f>
        <v>-255.67502319309096</v>
      </c>
      <c r="AW293" s="434">
        <f>AW255-(AW266/1.12)</f>
        <v>-69.651696428571086</v>
      </c>
      <c r="AX293" s="434">
        <f>BA293-AW293</f>
        <v>-162.82374547620384</v>
      </c>
      <c r="AY293" s="434"/>
      <c r="AZ293" s="436"/>
      <c r="BA293" s="434">
        <f>BA255-(BA266/AS264)</f>
        <v>-232.47544190477493</v>
      </c>
      <c r="BB293" s="827">
        <f>BD293-BA293</f>
        <v>-12.566189566397952</v>
      </c>
      <c r="BC293" s="434"/>
      <c r="BD293" s="701">
        <f>BD255-(BD266/AV264)</f>
        <v>-245.04163147117288</v>
      </c>
      <c r="BE293" s="434"/>
      <c r="BF293" s="434"/>
      <c r="BG293" s="434"/>
      <c r="BH293" s="436"/>
      <c r="BI293" s="827">
        <f>BI255-(BI266/BA264)</f>
        <v>-54.327206243408909</v>
      </c>
      <c r="BJ293" s="827">
        <f>BL293-BI293</f>
        <v>-75.897443588636634</v>
      </c>
      <c r="BK293" s="434"/>
      <c r="BL293" s="701">
        <f>BL255-(BL266/BD264)</f>
        <v>-130.22464983204554</v>
      </c>
      <c r="BM293" s="434"/>
      <c r="BN293" s="434"/>
      <c r="BO293" s="434"/>
      <c r="BP293" s="436"/>
      <c r="BQ293" s="827">
        <f>BQ255-(BQ266/BI264)</f>
        <v>-31.634606144458303</v>
      </c>
      <c r="BR293" s="827">
        <f>BT293-BQ293</f>
        <v>-38.876749789991663</v>
      </c>
      <c r="BS293" s="434"/>
      <c r="BT293" s="701">
        <f>BT255-(BT266/BL264)</f>
        <v>-70.511355934449966</v>
      </c>
      <c r="BU293" s="434"/>
      <c r="BV293" s="434"/>
      <c r="BW293" s="434"/>
      <c r="BX293" s="436"/>
      <c r="BY293" s="827">
        <f>BY255-(BY266/BQ264)</f>
        <v>-113.15015038376077</v>
      </c>
      <c r="BZ293" s="827">
        <f>CB293-BY293</f>
        <v>-138.66697399730037</v>
      </c>
      <c r="CA293" s="434"/>
      <c r="CB293" s="701">
        <f>CB255-(CB266/BT264)</f>
        <v>-251.81712438106115</v>
      </c>
      <c r="CC293" s="434"/>
      <c r="CD293" s="434"/>
      <c r="CE293" s="434"/>
      <c r="CF293" s="436"/>
      <c r="CG293" s="827">
        <f>CG255-(CG266/BY264)</f>
        <v>-442.3531643367387</v>
      </c>
      <c r="CH293" s="827">
        <f>CJ293-CG293</f>
        <v>-542.17732035038716</v>
      </c>
      <c r="CI293" s="434"/>
      <c r="CJ293" s="701">
        <f>CJ255-(CJ266/CB264)</f>
        <v>-984.53048468712586</v>
      </c>
    </row>
    <row r="295" spans="1:88" ht="11.25" customHeight="1" x14ac:dyDescent="0.25">
      <c r="A295" s="780" t="s">
        <v>850</v>
      </c>
      <c r="B295" s="781"/>
      <c r="C295" s="782"/>
      <c r="D295" s="782"/>
      <c r="E295" s="782"/>
      <c r="F295" s="782"/>
      <c r="G295" s="782"/>
      <c r="H295" s="783"/>
      <c r="I295" s="783"/>
      <c r="J295" s="782"/>
      <c r="K295" s="782"/>
      <c r="L295" s="782"/>
      <c r="M295" s="782"/>
      <c r="N295" s="782"/>
      <c r="O295" s="782"/>
      <c r="P295" s="782"/>
      <c r="Q295" s="782"/>
      <c r="R295" s="782"/>
      <c r="S295" s="782"/>
      <c r="T295" s="782"/>
      <c r="U295" s="782"/>
      <c r="V295" s="782"/>
      <c r="W295" s="782"/>
      <c r="X295" s="784"/>
      <c r="Y295" s="782"/>
      <c r="Z295" s="782"/>
      <c r="AA295" s="782"/>
      <c r="AB295" s="785"/>
      <c r="AC295" s="782"/>
      <c r="AD295" s="782"/>
      <c r="AE295" s="782"/>
      <c r="AF295" s="786"/>
      <c r="AG295" s="782"/>
      <c r="AH295" s="782"/>
      <c r="AI295" s="782"/>
      <c r="AJ295" s="785"/>
      <c r="AK295" s="782"/>
      <c r="AL295" s="782"/>
      <c r="AM295" s="782"/>
      <c r="AN295" s="786"/>
      <c r="AO295" s="782"/>
      <c r="AP295" s="782"/>
      <c r="AQ295" s="782"/>
      <c r="AR295" s="785"/>
      <c r="AS295" s="782"/>
      <c r="AT295" s="782"/>
      <c r="AU295" s="782"/>
      <c r="AV295" s="786"/>
      <c r="AW295" s="782"/>
      <c r="AX295" s="782"/>
      <c r="AY295" s="782"/>
      <c r="AZ295" s="785"/>
      <c r="BA295" s="782"/>
      <c r="BB295" s="782"/>
      <c r="BC295" s="782"/>
      <c r="BD295" s="786"/>
      <c r="BE295" s="782"/>
      <c r="BF295" s="782"/>
      <c r="BG295" s="782"/>
      <c r="BH295" s="785"/>
      <c r="BI295" s="782"/>
      <c r="BJ295" s="782"/>
      <c r="BK295" s="782"/>
      <c r="BL295" s="786"/>
      <c r="BM295" s="782"/>
      <c r="BN295" s="782"/>
      <c r="BO295" s="782"/>
      <c r="BP295" s="785"/>
      <c r="BQ295" s="782"/>
      <c r="BR295" s="782"/>
      <c r="BS295" s="782"/>
      <c r="BT295" s="786"/>
      <c r="BU295" s="782"/>
      <c r="BV295" s="782"/>
      <c r="BW295" s="782"/>
      <c r="BX295" s="785"/>
      <c r="BY295" s="782"/>
      <c r="BZ295" s="782"/>
      <c r="CA295" s="782"/>
      <c r="CB295" s="786"/>
      <c r="CC295" s="782"/>
      <c r="CD295" s="782"/>
      <c r="CE295" s="782"/>
      <c r="CF295" s="785"/>
      <c r="CG295" s="782"/>
      <c r="CH295" s="782"/>
      <c r="CI295" s="782"/>
      <c r="CJ295" s="786"/>
    </row>
    <row r="296" spans="1:88" hidden="1" outlineLevel="1" x14ac:dyDescent="0.2">
      <c r="A296" s="680"/>
      <c r="B296" s="284"/>
      <c r="C296" s="49"/>
      <c r="D296" s="49"/>
      <c r="E296" s="49"/>
      <c r="F296" s="49"/>
      <c r="G296" s="49"/>
      <c r="H296" s="104"/>
      <c r="I296" s="104"/>
      <c r="J296" s="49"/>
      <c r="K296" s="49"/>
      <c r="L296" s="49"/>
      <c r="M296" s="49"/>
      <c r="N296" s="49"/>
      <c r="O296" s="49"/>
      <c r="P296" s="49"/>
      <c r="Q296" s="49"/>
      <c r="R296" s="49"/>
      <c r="S296" s="49"/>
      <c r="T296" s="49"/>
      <c r="U296" s="49"/>
      <c r="V296" s="49"/>
      <c r="W296" s="49"/>
      <c r="X296" s="133"/>
      <c r="Y296" s="49"/>
      <c r="Z296" s="49"/>
      <c r="AA296" s="49"/>
      <c r="AB296" s="614"/>
      <c r="AC296" s="49"/>
      <c r="AD296" s="49"/>
      <c r="AE296" s="49"/>
      <c r="AF296" s="763"/>
      <c r="AG296" s="49"/>
      <c r="AH296" s="49"/>
      <c r="AI296" s="49"/>
      <c r="AJ296" s="614"/>
      <c r="AK296" s="49"/>
      <c r="AL296" s="49"/>
      <c r="AM296" s="49"/>
      <c r="AN296" s="763"/>
      <c r="AO296" s="49"/>
      <c r="AP296" s="49"/>
      <c r="AQ296" s="49"/>
      <c r="AR296" s="614"/>
      <c r="AS296" s="49"/>
      <c r="AT296" s="49"/>
      <c r="AU296" s="49"/>
      <c r="AV296" s="763"/>
      <c r="AW296" s="49"/>
      <c r="AX296" s="49"/>
      <c r="AY296" s="49"/>
      <c r="AZ296" s="614"/>
      <c r="BA296" s="49"/>
      <c r="BB296" s="49"/>
      <c r="BC296" s="49"/>
      <c r="BD296" s="763"/>
      <c r="BE296" s="49"/>
      <c r="BF296" s="49"/>
      <c r="BG296" s="49"/>
      <c r="BH296" s="614"/>
      <c r="BI296" s="49"/>
      <c r="BJ296" s="49"/>
      <c r="BK296" s="49"/>
      <c r="BL296" s="763"/>
      <c r="BM296" s="49"/>
      <c r="BN296" s="49"/>
      <c r="BO296" s="49"/>
      <c r="BP296" s="614"/>
      <c r="BQ296" s="49"/>
      <c r="BR296" s="49"/>
      <c r="BS296" s="49"/>
      <c r="BT296" s="763"/>
      <c r="BU296" s="49"/>
      <c r="BV296" s="49"/>
      <c r="BW296" s="49"/>
      <c r="BX296" s="614"/>
      <c r="BY296" s="49"/>
      <c r="BZ296" s="49"/>
      <c r="CA296" s="49"/>
      <c r="CB296" s="763"/>
      <c r="CC296" s="49"/>
      <c r="CD296" s="49"/>
      <c r="CE296" s="49"/>
      <c r="CF296" s="614"/>
      <c r="CG296" s="49"/>
      <c r="CH296" s="49"/>
      <c r="CI296" s="49"/>
      <c r="CJ296" s="763"/>
    </row>
    <row r="297" spans="1:88" hidden="1" outlineLevel="1" x14ac:dyDescent="0.2">
      <c r="A297" s="680" t="s">
        <v>851</v>
      </c>
      <c r="B297" s="284"/>
      <c r="C297" s="572"/>
      <c r="D297" s="566">
        <f t="shared" ref="D297:P297" si="761">D8</f>
        <v>517.80000000000018</v>
      </c>
      <c r="E297" s="566">
        <f t="shared" si="761"/>
        <v>539.16000000000031</v>
      </c>
      <c r="F297" s="566">
        <f t="shared" si="761"/>
        <v>507.30000000000018</v>
      </c>
      <c r="G297" s="566">
        <f t="shared" si="761"/>
        <v>532.52999999999975</v>
      </c>
      <c r="H297" s="566">
        <f t="shared" si="761"/>
        <v>639.54</v>
      </c>
      <c r="I297" s="566">
        <f t="shared" si="761"/>
        <v>567.30000000000018</v>
      </c>
      <c r="J297" s="566">
        <f t="shared" si="761"/>
        <v>616.44000000000096</v>
      </c>
      <c r="K297" s="566">
        <f t="shared" si="761"/>
        <v>733.19999999999982</v>
      </c>
      <c r="L297" s="566">
        <f t="shared" si="761"/>
        <v>840.59999999999945</v>
      </c>
      <c r="M297" s="566">
        <f t="shared" si="761"/>
        <v>758.90000000000009</v>
      </c>
      <c r="N297" s="566">
        <f t="shared" si="761"/>
        <v>733.77</v>
      </c>
      <c r="O297" s="566">
        <f t="shared" si="761"/>
        <v>745.52</v>
      </c>
      <c r="P297" s="566">
        <f t="shared" si="761"/>
        <v>375.64</v>
      </c>
      <c r="Q297" s="141">
        <v>0</v>
      </c>
      <c r="R297" s="141"/>
      <c r="S297" s="141">
        <f>Q297*(1+S298)</f>
        <v>0</v>
      </c>
      <c r="T297" s="141"/>
      <c r="U297" s="141">
        <f>S297*(1+U298)</f>
        <v>0</v>
      </c>
      <c r="V297" s="141">
        <f>U297*(1+V298)</f>
        <v>0</v>
      </c>
      <c r="W297" s="141">
        <f>V297*(1+W298)</f>
        <v>0</v>
      </c>
      <c r="X297" s="144">
        <f>W297*(1+X298)</f>
        <v>0</v>
      </c>
      <c r="Y297" s="149"/>
      <c r="Z297" s="146"/>
      <c r="AA297" s="146"/>
      <c r="AB297" s="789"/>
      <c r="AC297" s="542"/>
      <c r="AD297" s="149"/>
      <c r="AE297" s="146"/>
      <c r="AF297" s="618"/>
      <c r="AG297" s="149"/>
      <c r="AH297" s="146"/>
      <c r="AI297" s="146"/>
      <c r="AJ297" s="789"/>
      <c r="AK297" s="542"/>
      <c r="AL297" s="149"/>
      <c r="AM297" s="146"/>
      <c r="AN297" s="618"/>
      <c r="AO297" s="149"/>
      <c r="AP297" s="146"/>
      <c r="AQ297" s="146"/>
      <c r="AR297" s="789"/>
      <c r="AS297" s="542"/>
      <c r="AT297" s="149"/>
      <c r="AU297" s="146"/>
      <c r="AV297" s="618"/>
      <c r="AW297" s="149"/>
      <c r="AX297" s="146"/>
      <c r="AY297" s="146"/>
      <c r="AZ297" s="789"/>
      <c r="BA297" s="542"/>
      <c r="BB297" s="149"/>
      <c r="BC297" s="146"/>
      <c r="BD297" s="618"/>
      <c r="BE297" s="149"/>
      <c r="BF297" s="146"/>
      <c r="BG297" s="146"/>
      <c r="BH297" s="789"/>
      <c r="BI297" s="542"/>
      <c r="BJ297" s="149"/>
      <c r="BK297" s="146"/>
      <c r="BL297" s="618"/>
      <c r="BM297" s="149"/>
      <c r="BN297" s="146"/>
      <c r="BO297" s="146"/>
      <c r="BP297" s="789"/>
      <c r="BQ297" s="542"/>
      <c r="BR297" s="149"/>
      <c r="BS297" s="146"/>
      <c r="BT297" s="618"/>
      <c r="BU297" s="149"/>
      <c r="BV297" s="146"/>
      <c r="BW297" s="146"/>
      <c r="BX297" s="789"/>
      <c r="BY297" s="542"/>
      <c r="BZ297" s="149"/>
      <c r="CA297" s="146"/>
      <c r="CB297" s="618"/>
      <c r="CC297" s="149"/>
      <c r="CD297" s="146"/>
      <c r="CE297" s="146"/>
      <c r="CF297" s="789"/>
      <c r="CG297" s="542"/>
      <c r="CH297" s="149"/>
      <c r="CI297" s="146"/>
      <c r="CJ297" s="618"/>
    </row>
    <row r="298" spans="1:88" hidden="1" outlineLevel="1" x14ac:dyDescent="0.2">
      <c r="A298" s="202" t="s">
        <v>728</v>
      </c>
      <c r="B298" s="284"/>
      <c r="C298" s="49"/>
      <c r="D298" s="151"/>
      <c r="E298" s="638">
        <f t="shared" ref="E298:L298" si="762">E297/D297-1</f>
        <v>4.1251448435689619E-2</v>
      </c>
      <c r="F298" s="638">
        <f t="shared" si="762"/>
        <v>-5.909192076563563E-2</v>
      </c>
      <c r="G298" s="638">
        <f t="shared" si="762"/>
        <v>4.9733885274984235E-2</v>
      </c>
      <c r="H298" s="638">
        <f t="shared" si="762"/>
        <v>0.20094642555349052</v>
      </c>
      <c r="I298" s="638">
        <f t="shared" si="762"/>
        <v>-0.11295618725959244</v>
      </c>
      <c r="J298" s="638">
        <f t="shared" si="762"/>
        <v>8.662083553675437E-2</v>
      </c>
      <c r="K298" s="638">
        <f t="shared" si="762"/>
        <v>0.18941016157290025</v>
      </c>
      <c r="L298" s="638">
        <f t="shared" si="762"/>
        <v>0.14648117839607155</v>
      </c>
      <c r="M298" s="638">
        <f>M297/L297-1</f>
        <v>-9.719248156078919E-2</v>
      </c>
      <c r="N298" s="638">
        <f>N297/M297-1</f>
        <v>-3.3113717222295613E-2</v>
      </c>
      <c r="O298" s="638">
        <f>O297/N297-1</f>
        <v>1.6013192144677557E-2</v>
      </c>
      <c r="P298" s="638">
        <f>P297/O297-1</f>
        <v>-0.49613692456272129</v>
      </c>
      <c r="Q298" s="828"/>
      <c r="R298" s="828"/>
      <c r="S298" s="828"/>
      <c r="T298" s="828"/>
      <c r="U298" s="828"/>
      <c r="V298" s="828"/>
      <c r="W298" s="828"/>
      <c r="X298" s="829"/>
      <c r="Y298" s="828"/>
      <c r="Z298" s="828"/>
      <c r="AA298" s="828"/>
      <c r="AB298" s="830"/>
      <c r="AC298" s="828"/>
      <c r="AD298" s="828"/>
      <c r="AE298" s="828"/>
      <c r="AF298" s="831"/>
      <c r="AG298" s="828"/>
      <c r="AH298" s="828"/>
      <c r="AI298" s="828"/>
      <c r="AJ298" s="830"/>
      <c r="AK298" s="828"/>
      <c r="AL298" s="828"/>
      <c r="AM298" s="828"/>
      <c r="AN298" s="831"/>
      <c r="AO298" s="828"/>
      <c r="AP298" s="828"/>
      <c r="AQ298" s="828"/>
      <c r="AR298" s="830"/>
      <c r="AS298" s="828"/>
      <c r="AT298" s="828"/>
      <c r="AU298" s="828"/>
      <c r="AV298" s="831"/>
      <c r="AW298" s="828"/>
      <c r="AX298" s="828"/>
      <c r="AY298" s="828"/>
      <c r="AZ298" s="830"/>
      <c r="BA298" s="828"/>
      <c r="BB298" s="828"/>
      <c r="BC298" s="828"/>
      <c r="BD298" s="831"/>
      <c r="BE298" s="828"/>
      <c r="BF298" s="828"/>
      <c r="BG298" s="828"/>
      <c r="BH298" s="830"/>
      <c r="BI298" s="828"/>
      <c r="BJ298" s="828"/>
      <c r="BK298" s="828"/>
      <c r="BL298" s="831"/>
      <c r="BM298" s="828"/>
      <c r="BN298" s="828"/>
      <c r="BO298" s="828"/>
      <c r="BP298" s="830"/>
      <c r="BQ298" s="828"/>
      <c r="BR298" s="828"/>
      <c r="BS298" s="828"/>
      <c r="BT298" s="831"/>
      <c r="BU298" s="828"/>
      <c r="BV298" s="828"/>
      <c r="BW298" s="828"/>
      <c r="BX298" s="830"/>
      <c r="BY298" s="828"/>
      <c r="BZ298" s="828"/>
      <c r="CA298" s="828"/>
      <c r="CB298" s="831"/>
      <c r="CC298" s="828"/>
      <c r="CD298" s="828"/>
      <c r="CE298" s="828"/>
      <c r="CF298" s="830"/>
      <c r="CG298" s="828"/>
      <c r="CH298" s="828"/>
      <c r="CI298" s="828"/>
      <c r="CJ298" s="831"/>
    </row>
    <row r="299" spans="1:88" hidden="1" outlineLevel="1" x14ac:dyDescent="0.2">
      <c r="A299" s="680"/>
      <c r="B299" s="284"/>
      <c r="C299" s="49"/>
      <c r="D299" s="49"/>
      <c r="E299" s="49"/>
      <c r="F299" s="49"/>
      <c r="G299" s="49"/>
      <c r="H299" s="104"/>
      <c r="I299" s="104"/>
      <c r="J299" s="49"/>
      <c r="K299" s="49"/>
      <c r="L299" s="49"/>
      <c r="M299" s="49"/>
      <c r="N299" s="49"/>
      <c r="O299" s="49"/>
      <c r="P299" s="49"/>
      <c r="Q299" s="49"/>
      <c r="R299" s="49"/>
      <c r="S299" s="49"/>
      <c r="T299" s="49"/>
      <c r="U299" s="141"/>
      <c r="V299" s="49"/>
      <c r="W299" s="49"/>
      <c r="X299" s="133"/>
      <c r="Y299" s="49"/>
      <c r="Z299" s="49"/>
      <c r="AA299" s="49"/>
      <c r="AB299" s="614"/>
      <c r="AC299" s="49"/>
      <c r="AD299" s="49"/>
      <c r="AE299" s="49"/>
      <c r="AF299" s="615"/>
      <c r="AG299" s="49"/>
      <c r="AH299" s="49"/>
      <c r="AI299" s="49"/>
      <c r="AJ299" s="614"/>
      <c r="AK299" s="49"/>
      <c r="AL299" s="49"/>
      <c r="AM299" s="49"/>
      <c r="AN299" s="615"/>
      <c r="AO299" s="49"/>
      <c r="AP299" s="49"/>
      <c r="AQ299" s="49"/>
      <c r="AR299" s="614"/>
      <c r="AS299" s="49"/>
      <c r="AT299" s="49"/>
      <c r="AU299" s="49"/>
      <c r="AV299" s="615"/>
      <c r="AW299" s="49"/>
      <c r="AX299" s="49"/>
      <c r="AY299" s="49"/>
      <c r="AZ299" s="614"/>
      <c r="BA299" s="49"/>
      <c r="BB299" s="49"/>
      <c r="BC299" s="49"/>
      <c r="BD299" s="615"/>
      <c r="BE299" s="49"/>
      <c r="BF299" s="49"/>
      <c r="BG299" s="49"/>
      <c r="BH299" s="614"/>
      <c r="BI299" s="49"/>
      <c r="BJ299" s="49"/>
      <c r="BK299" s="49"/>
      <c r="BL299" s="615"/>
      <c r="BM299" s="49"/>
      <c r="BN299" s="49"/>
      <c r="BO299" s="49"/>
      <c r="BP299" s="614"/>
      <c r="BQ299" s="49"/>
      <c r="BR299" s="49"/>
      <c r="BS299" s="49"/>
      <c r="BT299" s="615"/>
      <c r="BU299" s="49"/>
      <c r="BV299" s="49"/>
      <c r="BW299" s="49"/>
      <c r="BX299" s="614"/>
      <c r="BY299" s="49"/>
      <c r="BZ299" s="49"/>
      <c r="CA299" s="49"/>
      <c r="CB299" s="615"/>
      <c r="CC299" s="49"/>
      <c r="CD299" s="49"/>
      <c r="CE299" s="49"/>
      <c r="CF299" s="614"/>
      <c r="CG299" s="49"/>
      <c r="CH299" s="49"/>
      <c r="CI299" s="49"/>
      <c r="CJ299" s="615"/>
    </row>
    <row r="300" spans="1:88" hidden="1" outlineLevel="1" x14ac:dyDescent="0.2">
      <c r="A300" s="680" t="s">
        <v>852</v>
      </c>
      <c r="B300" s="284"/>
      <c r="C300" s="49"/>
      <c r="D300" s="151"/>
      <c r="E300" s="151"/>
      <c r="F300" s="151"/>
      <c r="G300" s="151"/>
      <c r="H300" s="151"/>
      <c r="I300" s="151"/>
      <c r="J300" s="151"/>
      <c r="K300" s="151"/>
      <c r="L300" s="151"/>
      <c r="M300" s="151"/>
      <c r="N300" s="820">
        <f>N297*N301</f>
        <v>36.688499999999998</v>
      </c>
      <c r="O300" s="622">
        <f>O297*O301</f>
        <v>37.276000000000003</v>
      </c>
      <c r="P300" s="141">
        <v>38</v>
      </c>
      <c r="Q300" s="141">
        <v>86</v>
      </c>
      <c r="R300" s="141">
        <f>+Q300</f>
        <v>86</v>
      </c>
      <c r="S300" s="141">
        <v>83</v>
      </c>
      <c r="T300" s="141">
        <f>S300</f>
        <v>83</v>
      </c>
      <c r="U300" s="141">
        <v>69</v>
      </c>
      <c r="V300" s="141">
        <v>-33</v>
      </c>
      <c r="W300" s="141">
        <v>-47</v>
      </c>
      <c r="X300" s="144">
        <v>-10</v>
      </c>
      <c r="Y300" s="149"/>
      <c r="Z300" s="141"/>
      <c r="AA300" s="141"/>
      <c r="AB300" s="617"/>
      <c r="AC300" s="542"/>
      <c r="AD300" s="149"/>
      <c r="AE300" s="141"/>
      <c r="AF300" s="618"/>
      <c r="AG300" s="149"/>
      <c r="AH300" s="141"/>
      <c r="AI300" s="141"/>
      <c r="AJ300" s="617"/>
      <c r="AK300" s="542"/>
      <c r="AL300" s="149"/>
      <c r="AM300" s="141"/>
      <c r="AN300" s="618"/>
      <c r="AO300" s="149"/>
      <c r="AP300" s="141"/>
      <c r="AQ300" s="141"/>
      <c r="AR300" s="617"/>
      <c r="AS300" s="542"/>
      <c r="AT300" s="149"/>
      <c r="AU300" s="141"/>
      <c r="AV300" s="618"/>
      <c r="AW300" s="149"/>
      <c r="AX300" s="141"/>
      <c r="AY300" s="141"/>
      <c r="AZ300" s="617"/>
      <c r="BA300" s="542"/>
      <c r="BB300" s="149"/>
      <c r="BC300" s="141"/>
      <c r="BD300" s="618"/>
      <c r="BE300" s="149"/>
      <c r="BF300" s="141"/>
      <c r="BG300" s="141"/>
      <c r="BH300" s="617"/>
      <c r="BI300" s="542"/>
      <c r="BJ300" s="149"/>
      <c r="BK300" s="141"/>
      <c r="BL300" s="618"/>
      <c r="BM300" s="149"/>
      <c r="BN300" s="141"/>
      <c r="BO300" s="141"/>
      <c r="BP300" s="617"/>
      <c r="BQ300" s="542"/>
      <c r="BR300" s="149"/>
      <c r="BS300" s="141"/>
      <c r="BT300" s="618"/>
      <c r="BU300" s="149"/>
      <c r="BV300" s="141"/>
      <c r="BW300" s="141"/>
      <c r="BX300" s="617"/>
      <c r="BY300" s="542"/>
      <c r="BZ300" s="149"/>
      <c r="CA300" s="141"/>
      <c r="CB300" s="618"/>
      <c r="CC300" s="149"/>
      <c r="CD300" s="141"/>
      <c r="CE300" s="141"/>
      <c r="CF300" s="617"/>
      <c r="CG300" s="542"/>
      <c r="CH300" s="149"/>
      <c r="CI300" s="141"/>
      <c r="CJ300" s="618"/>
    </row>
    <row r="301" spans="1:88" hidden="1" outlineLevel="1" x14ac:dyDescent="0.2">
      <c r="A301" s="690" t="s">
        <v>461</v>
      </c>
      <c r="B301" s="284"/>
      <c r="C301" s="49"/>
      <c r="D301" s="151"/>
      <c r="E301" s="151"/>
      <c r="F301" s="151"/>
      <c r="G301" s="151"/>
      <c r="H301" s="151"/>
      <c r="I301" s="151"/>
      <c r="J301" s="151"/>
      <c r="K301" s="151"/>
      <c r="L301" s="151"/>
      <c r="M301" s="151"/>
      <c r="N301" s="19">
        <v>0.05</v>
      </c>
      <c r="O301" s="19">
        <v>0.05</v>
      </c>
      <c r="P301" s="638"/>
      <c r="Q301" s="49"/>
      <c r="R301" s="49"/>
      <c r="S301" s="49"/>
      <c r="T301" s="49"/>
      <c r="U301" s="49"/>
      <c r="V301" s="49"/>
      <c r="W301" s="49"/>
      <c r="X301" s="133"/>
      <c r="Y301" s="49"/>
      <c r="Z301" s="49"/>
      <c r="AA301" s="49"/>
      <c r="AB301" s="614"/>
      <c r="AC301" s="49"/>
      <c r="AD301" s="49"/>
      <c r="AE301" s="49"/>
      <c r="AF301" s="832"/>
      <c r="AG301" s="49"/>
      <c r="AH301" s="49"/>
      <c r="AI301" s="49"/>
      <c r="AJ301" s="614"/>
      <c r="AK301" s="49"/>
      <c r="AL301" s="49"/>
      <c r="AM301" s="49"/>
      <c r="AN301" s="832"/>
      <c r="AO301" s="49"/>
      <c r="AP301" s="49"/>
      <c r="AQ301" s="49"/>
      <c r="AR301" s="614"/>
      <c r="AS301" s="49"/>
      <c r="AT301" s="49"/>
      <c r="AU301" s="49"/>
      <c r="AV301" s="832"/>
      <c r="AW301" s="49"/>
      <c r="AX301" s="49"/>
      <c r="AY301" s="49"/>
      <c r="AZ301" s="614"/>
      <c r="BA301" s="49"/>
      <c r="BB301" s="49"/>
      <c r="BC301" s="49"/>
      <c r="BD301" s="832"/>
      <c r="BE301" s="49"/>
      <c r="BF301" s="49"/>
      <c r="BG301" s="49"/>
      <c r="BH301" s="614"/>
      <c r="BI301" s="49"/>
      <c r="BJ301" s="49"/>
      <c r="BK301" s="49"/>
      <c r="BL301" s="832"/>
      <c r="BM301" s="49"/>
      <c r="BN301" s="49"/>
      <c r="BO301" s="49"/>
      <c r="BP301" s="614"/>
      <c r="BQ301" s="49"/>
      <c r="BR301" s="49"/>
      <c r="BS301" s="49"/>
      <c r="BT301" s="832"/>
      <c r="BU301" s="49"/>
      <c r="BV301" s="49"/>
      <c r="BW301" s="49"/>
      <c r="BX301" s="614"/>
      <c r="BY301" s="49"/>
      <c r="BZ301" s="49"/>
      <c r="CA301" s="49"/>
      <c r="CB301" s="832"/>
      <c r="CC301" s="49"/>
      <c r="CD301" s="49"/>
      <c r="CE301" s="49"/>
      <c r="CF301" s="614"/>
      <c r="CG301" s="49"/>
      <c r="CH301" s="49"/>
      <c r="CI301" s="49"/>
      <c r="CJ301" s="832"/>
    </row>
    <row r="302" spans="1:88" hidden="1" outlineLevel="1" x14ac:dyDescent="0.2">
      <c r="C302" s="19"/>
      <c r="D302" s="451"/>
      <c r="E302" s="833"/>
      <c r="F302" s="833"/>
      <c r="G302" s="833"/>
      <c r="H302" s="833"/>
      <c r="I302" s="833"/>
      <c r="J302" s="833"/>
      <c r="K302" s="833"/>
      <c r="L302" s="833"/>
      <c r="M302" s="833"/>
      <c r="N302" s="833"/>
      <c r="O302" s="833"/>
      <c r="P302" s="833"/>
      <c r="Q302" s="833"/>
      <c r="R302" s="833"/>
      <c r="S302" s="833"/>
      <c r="T302" s="833"/>
      <c r="U302" s="833"/>
      <c r="V302" s="833"/>
      <c r="W302" s="833"/>
      <c r="X302" s="834"/>
      <c r="Y302" s="833"/>
      <c r="Z302" s="833"/>
      <c r="AA302" s="833"/>
      <c r="AB302" s="835"/>
      <c r="AC302" s="833"/>
      <c r="AD302" s="833"/>
      <c r="AE302" s="833"/>
      <c r="AF302" s="836"/>
      <c r="AG302" s="833"/>
      <c r="AH302" s="833"/>
      <c r="AI302" s="833"/>
      <c r="AJ302" s="835"/>
      <c r="AK302" s="833"/>
      <c r="AL302" s="833"/>
      <c r="AM302" s="833"/>
      <c r="AN302" s="836"/>
      <c r="AO302" s="833"/>
      <c r="AP302" s="833"/>
      <c r="AQ302" s="833"/>
      <c r="AR302" s="835"/>
      <c r="AS302" s="833"/>
      <c r="AT302" s="833"/>
      <c r="AU302" s="833"/>
      <c r="AV302" s="836"/>
      <c r="AW302" s="833"/>
      <c r="AX302" s="833"/>
      <c r="AY302" s="833"/>
      <c r="AZ302" s="835"/>
      <c r="BA302" s="833"/>
      <c r="BB302" s="833"/>
      <c r="BC302" s="833"/>
      <c r="BD302" s="836"/>
      <c r="BE302" s="833"/>
      <c r="BF302" s="833"/>
      <c r="BG302" s="833"/>
      <c r="BH302" s="835"/>
      <c r="BI302" s="833"/>
      <c r="BJ302" s="833"/>
      <c r="BK302" s="833"/>
      <c r="BL302" s="836"/>
      <c r="BM302" s="833"/>
      <c r="BN302" s="833"/>
      <c r="BO302" s="833"/>
      <c r="BP302" s="835"/>
      <c r="BQ302" s="833"/>
      <c r="BR302" s="833"/>
      <c r="BS302" s="833"/>
      <c r="BT302" s="836"/>
      <c r="BU302" s="833"/>
      <c r="BV302" s="833"/>
      <c r="BW302" s="833"/>
      <c r="BX302" s="835"/>
      <c r="BY302" s="833"/>
      <c r="BZ302" s="833"/>
      <c r="CA302" s="833"/>
      <c r="CB302" s="836"/>
      <c r="CC302" s="833"/>
      <c r="CD302" s="833"/>
      <c r="CE302" s="833"/>
      <c r="CF302" s="835"/>
      <c r="CG302" s="833"/>
      <c r="CH302" s="833"/>
      <c r="CI302" s="833"/>
      <c r="CJ302" s="836"/>
    </row>
    <row r="303" spans="1:88" hidden="1" outlineLevel="1" collapsed="1" x14ac:dyDescent="0.2">
      <c r="C303" s="19"/>
      <c r="D303" s="451"/>
      <c r="E303" s="833"/>
      <c r="F303" s="833"/>
      <c r="G303" s="833"/>
      <c r="H303" s="833"/>
      <c r="I303" s="833"/>
      <c r="J303" s="833"/>
      <c r="K303" s="833"/>
      <c r="L303" s="833"/>
      <c r="M303" s="833"/>
      <c r="N303" s="833"/>
      <c r="O303" s="833"/>
      <c r="P303" s="833"/>
      <c r="Q303" s="833"/>
      <c r="R303" s="833"/>
      <c r="S303" s="833"/>
      <c r="T303" s="833"/>
      <c r="U303" s="833"/>
      <c r="V303" s="833"/>
      <c r="W303" s="833"/>
      <c r="X303" s="834"/>
      <c r="Y303" s="833"/>
      <c r="Z303" s="833"/>
      <c r="AA303" s="833"/>
      <c r="AB303" s="835"/>
      <c r="AC303" s="833"/>
      <c r="AD303" s="833"/>
      <c r="AE303" s="833"/>
      <c r="AF303" s="836"/>
      <c r="AG303" s="833"/>
      <c r="AH303" s="833"/>
      <c r="AI303" s="833"/>
      <c r="AJ303" s="835"/>
      <c r="AK303" s="833"/>
      <c r="AL303" s="833"/>
      <c r="AM303" s="833"/>
      <c r="AN303" s="836"/>
      <c r="AO303" s="833"/>
      <c r="AP303" s="833"/>
      <c r="AQ303" s="833"/>
      <c r="AR303" s="835"/>
      <c r="AS303" s="833"/>
      <c r="AT303" s="833"/>
      <c r="AU303" s="833"/>
      <c r="AV303" s="836"/>
      <c r="AW303" s="833"/>
      <c r="AX303" s="833"/>
      <c r="AY303" s="833"/>
      <c r="AZ303" s="835"/>
      <c r="BA303" s="833"/>
      <c r="BB303" s="833"/>
      <c r="BC303" s="833"/>
      <c r="BD303" s="836"/>
      <c r="BE303" s="833"/>
      <c r="BF303" s="833"/>
      <c r="BG303" s="833"/>
      <c r="BH303" s="835"/>
      <c r="BI303" s="833"/>
      <c r="BJ303" s="833"/>
      <c r="BK303" s="833"/>
      <c r="BL303" s="836"/>
      <c r="BM303" s="833"/>
      <c r="BN303" s="833"/>
      <c r="BO303" s="833"/>
      <c r="BP303" s="835"/>
      <c r="BQ303" s="833"/>
      <c r="BR303" s="833"/>
      <c r="BS303" s="833"/>
      <c r="BT303" s="836"/>
      <c r="BU303" s="833"/>
      <c r="BV303" s="833"/>
      <c r="BW303" s="833"/>
      <c r="BX303" s="835"/>
      <c r="BY303" s="833"/>
      <c r="BZ303" s="833"/>
      <c r="CA303" s="833"/>
      <c r="CB303" s="836"/>
      <c r="CC303" s="833"/>
      <c r="CD303" s="833"/>
      <c r="CE303" s="833"/>
      <c r="CF303" s="835"/>
      <c r="CG303" s="833"/>
      <c r="CH303" s="833"/>
      <c r="CI303" s="833"/>
      <c r="CJ303" s="836"/>
    </row>
    <row r="304" spans="1:88" collapsed="1" x14ac:dyDescent="0.2"/>
  </sheetData>
  <dataConsolidate/>
  <pageMargins left="0.75" right="0.75" top="1" bottom="1" header="0.5" footer="0.5"/>
  <pageSetup paperSize="9" scale="96" fitToHeight="0"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58050-C841-4C9C-979C-E3D5CFE78AD8}">
  <sheetPr codeName="Sheet10">
    <tabColor theme="8" tint="0.79998168889431442"/>
    <pageSetUpPr fitToPage="1"/>
  </sheetPr>
  <dimension ref="A1:BY209"/>
  <sheetViews>
    <sheetView showGridLines="0" zoomScaleNormal="100" workbookViewId="0">
      <pane xSplit="1" ySplit="2" topLeftCell="H3" activePane="bottomRight" state="frozen"/>
      <selection pane="topRight" activeCell="B1" sqref="B1"/>
      <selection pane="bottomLeft" activeCell="A2" sqref="A2"/>
      <selection pane="bottomRight" activeCell="AL78" sqref="AL78"/>
    </sheetView>
  </sheetViews>
  <sheetFormatPr defaultColWidth="8.85546875" defaultRowHeight="11.25" outlineLevelCol="2" x14ac:dyDescent="0.2"/>
  <cols>
    <col min="1" max="1" width="34.28515625" style="4" bestFit="1" customWidth="1"/>
    <col min="2" max="2" width="8.28515625" style="4" bestFit="1" customWidth="1"/>
    <col min="3" max="7" width="7.28515625" style="4" customWidth="1"/>
    <col min="8" max="10" width="8.85546875" style="4"/>
    <col min="11" max="14" width="7.28515625" style="4" hidden="1" customWidth="1" outlineLevel="2"/>
    <col min="15" max="17" width="7.28515625" style="4" hidden="1" customWidth="1" outlineLevel="1"/>
    <col min="18" max="18" width="8.85546875" style="4" collapsed="1"/>
    <col min="19" max="22" width="7.28515625" style="4" hidden="1" customWidth="1" outlineLevel="2"/>
    <col min="23" max="25" width="7.28515625" style="4" hidden="1" customWidth="1" outlineLevel="1"/>
    <col min="26" max="26" width="8.85546875" style="4" collapsed="1"/>
    <col min="27" max="30" width="7.140625" style="4" hidden="1" customWidth="1" outlineLevel="2"/>
    <col min="31" max="33" width="7.140625" style="4" hidden="1" customWidth="1" outlineLevel="1"/>
    <col min="34" max="34" width="8.85546875" style="4" collapsed="1"/>
    <col min="35" max="38" width="7.140625" style="4" hidden="1" customWidth="1" outlineLevel="2"/>
    <col min="39" max="41" width="7.140625" style="4" hidden="1" customWidth="1" outlineLevel="1"/>
    <col min="42" max="42" width="8.85546875" style="4" collapsed="1"/>
    <col min="43" max="46" width="7.140625" style="4" hidden="1" customWidth="1" outlineLevel="2"/>
    <col min="47" max="49" width="7.140625" style="4" hidden="1" customWidth="1" outlineLevel="1"/>
    <col min="50" max="50" width="8.85546875" style="4" collapsed="1"/>
    <col min="51" max="54" width="7.140625" style="4" hidden="1" customWidth="1" outlineLevel="2"/>
    <col min="55" max="57" width="7.140625" style="4" hidden="1" customWidth="1" outlineLevel="1"/>
    <col min="58" max="58" width="8.85546875" style="4" collapsed="1"/>
    <col min="59" max="62" width="7.140625" style="4" hidden="1" customWidth="1" outlineLevel="2"/>
    <col min="63" max="65" width="7.140625" style="4" hidden="1" customWidth="1" outlineLevel="1"/>
    <col min="66" max="66" width="8.85546875" style="4" collapsed="1"/>
    <col min="67" max="70" width="7.140625" style="4" hidden="1" customWidth="1" outlineLevel="2"/>
    <col min="71" max="73" width="7.140625" style="4" hidden="1" customWidth="1" outlineLevel="1"/>
    <col min="74" max="74" width="8.85546875" style="4" collapsed="1"/>
    <col min="75" max="16384" width="8.85546875" style="4"/>
  </cols>
  <sheetData>
    <row r="1" spans="1:75" x14ac:dyDescent="0.2">
      <c r="E1" s="17" t="s">
        <v>853</v>
      </c>
      <c r="F1" s="17" t="s">
        <v>853</v>
      </c>
      <c r="G1" s="17" t="s">
        <v>853</v>
      </c>
      <c r="H1" s="17" t="s">
        <v>853</v>
      </c>
      <c r="I1" s="17" t="s">
        <v>853</v>
      </c>
      <c r="J1" s="37" t="s">
        <v>853</v>
      </c>
      <c r="K1" s="17"/>
      <c r="L1" s="17"/>
      <c r="M1" s="17"/>
      <c r="N1" s="17"/>
      <c r="O1" s="17"/>
      <c r="P1" s="17"/>
      <c r="Q1" s="17"/>
      <c r="R1" s="17" t="s">
        <v>853</v>
      </c>
      <c r="S1" s="17"/>
      <c r="T1" s="17"/>
      <c r="U1" s="17"/>
      <c r="V1" s="17"/>
      <c r="W1" s="17"/>
      <c r="X1" s="17"/>
      <c r="Y1" s="17"/>
      <c r="Z1" s="17" t="s">
        <v>853</v>
      </c>
      <c r="AA1" s="17"/>
      <c r="AB1" s="17"/>
      <c r="AC1" s="17"/>
      <c r="AD1" s="17"/>
      <c r="AE1" s="17"/>
      <c r="AF1" s="17"/>
      <c r="AG1" s="17"/>
      <c r="AH1" s="17" t="s">
        <v>853</v>
      </c>
      <c r="AI1" s="17"/>
      <c r="AJ1" s="17"/>
      <c r="AK1" s="17"/>
      <c r="AL1" s="17"/>
      <c r="AM1" s="17"/>
      <c r="AN1" s="17"/>
      <c r="AO1" s="17"/>
      <c r="AP1" s="17" t="s">
        <v>853</v>
      </c>
      <c r="AQ1" s="17"/>
      <c r="AR1" s="17"/>
      <c r="AS1" s="17"/>
      <c r="AT1" s="17"/>
      <c r="AU1" s="17"/>
      <c r="AV1" s="17"/>
      <c r="AW1" s="17"/>
      <c r="AX1" s="17" t="s">
        <v>853</v>
      </c>
      <c r="AY1" s="17"/>
      <c r="AZ1" s="17"/>
      <c r="BA1" s="17"/>
      <c r="BB1" s="17"/>
      <c r="BC1" s="17"/>
      <c r="BD1" s="17"/>
      <c r="BE1" s="17"/>
      <c r="BF1" s="17" t="s">
        <v>853</v>
      </c>
      <c r="BG1" s="17"/>
      <c r="BH1" s="17"/>
      <c r="BI1" s="17"/>
      <c r="BJ1" s="17"/>
      <c r="BK1" s="17"/>
      <c r="BL1" s="17"/>
      <c r="BM1" s="17"/>
      <c r="BN1" s="17" t="s">
        <v>853</v>
      </c>
      <c r="BO1" s="17"/>
      <c r="BP1" s="17"/>
      <c r="BQ1" s="17"/>
      <c r="BR1" s="17"/>
      <c r="BS1" s="17"/>
      <c r="BT1" s="17"/>
      <c r="BU1" s="17"/>
      <c r="BV1" s="17" t="s">
        <v>853</v>
      </c>
      <c r="BW1" s="17"/>
    </row>
    <row r="2" spans="1:75" x14ac:dyDescent="0.2">
      <c r="A2" s="448" t="s">
        <v>854</v>
      </c>
      <c r="B2" s="40">
        <v>2014</v>
      </c>
      <c r="C2" s="40">
        <f>B2+1</f>
        <v>2015</v>
      </c>
      <c r="D2" s="40">
        <f t="shared" ref="D2:J2" si="0">C2+1</f>
        <v>2016</v>
      </c>
      <c r="E2" s="40">
        <f t="shared" si="0"/>
        <v>2017</v>
      </c>
      <c r="F2" s="40">
        <f t="shared" si="0"/>
        <v>2018</v>
      </c>
      <c r="G2" s="40">
        <f t="shared" si="0"/>
        <v>2019</v>
      </c>
      <c r="H2" s="40">
        <f t="shared" si="0"/>
        <v>2020</v>
      </c>
      <c r="I2" s="40">
        <f t="shared" si="0"/>
        <v>2021</v>
      </c>
      <c r="J2" s="43">
        <f t="shared" si="0"/>
        <v>2022</v>
      </c>
      <c r="K2" s="41" t="str">
        <f>Propulsion!Y3</f>
        <v>1Q23</v>
      </c>
      <c r="L2" s="41" t="str">
        <f>Propulsion!Z3</f>
        <v>2Q23</v>
      </c>
      <c r="M2" s="41" t="str">
        <f>Propulsion!AA3</f>
        <v>3Q23</v>
      </c>
      <c r="N2" s="1376" t="str">
        <f>Propulsion!AB3</f>
        <v>4Q23</v>
      </c>
      <c r="O2" s="41" t="str">
        <f>Propulsion!AC3</f>
        <v>1H23</v>
      </c>
      <c r="P2" s="41" t="str">
        <f>Propulsion!AD3</f>
        <v>2H23</v>
      </c>
      <c r="Q2" s="41" t="str">
        <f>Propulsion!AE3</f>
        <v>9M23</v>
      </c>
      <c r="R2" s="1348">
        <f>J2+1</f>
        <v>2023</v>
      </c>
      <c r="S2" s="41" t="str">
        <f>Propulsion!AG3</f>
        <v>1Q24</v>
      </c>
      <c r="T2" s="41" t="str">
        <f>Propulsion!AH3</f>
        <v>2Q24</v>
      </c>
      <c r="U2" s="41" t="str">
        <f>Propulsion!AI3</f>
        <v>3Q24</v>
      </c>
      <c r="V2" s="1376" t="str">
        <f>Propulsion!AJ3</f>
        <v>4Q24</v>
      </c>
      <c r="W2" s="41" t="str">
        <f>Propulsion!AK3</f>
        <v>1H24</v>
      </c>
      <c r="X2" s="41" t="str">
        <f>Propulsion!AL3</f>
        <v>2H24</v>
      </c>
      <c r="Y2" s="41" t="str">
        <f>Propulsion!AM3</f>
        <v>9M24</v>
      </c>
      <c r="Z2" s="1348">
        <f>R2+1</f>
        <v>2024</v>
      </c>
      <c r="AA2" s="41" t="str">
        <f>Propulsion!AO3</f>
        <v>1Q25</v>
      </c>
      <c r="AB2" s="41" t="str">
        <f>Propulsion!AP3</f>
        <v>2Q25</v>
      </c>
      <c r="AC2" s="41" t="str">
        <f>Propulsion!AQ3</f>
        <v>3Q25</v>
      </c>
      <c r="AD2" s="1376" t="str">
        <f>Propulsion!AR3</f>
        <v>4Q25</v>
      </c>
      <c r="AE2" s="41" t="str">
        <f>Propulsion!AS3</f>
        <v>1H25</v>
      </c>
      <c r="AF2" s="41" t="str">
        <f>Propulsion!AT3</f>
        <v>2H25</v>
      </c>
      <c r="AG2" s="41" t="str">
        <f>Propulsion!AU3</f>
        <v>9M25</v>
      </c>
      <c r="AH2" s="1348">
        <f>Z2+1</f>
        <v>2025</v>
      </c>
      <c r="AI2" s="41" t="str">
        <f>Propulsion!AW3</f>
        <v>1Q26</v>
      </c>
      <c r="AJ2" s="41" t="str">
        <f>Propulsion!AX3</f>
        <v>2Q26</v>
      </c>
      <c r="AK2" s="578" t="str">
        <f>Propulsion!AY3</f>
        <v>3Q26e</v>
      </c>
      <c r="AL2" s="837" t="str">
        <f>Propulsion!AZ3</f>
        <v>4Q26e</v>
      </c>
      <c r="AM2" s="41" t="str">
        <f>Propulsion!BA3</f>
        <v>1H26</v>
      </c>
      <c r="AN2" s="578" t="str">
        <f>Propulsion!BB3</f>
        <v>2H26e</v>
      </c>
      <c r="AO2" s="578" t="str">
        <f>Propulsion!BC3</f>
        <v>9M26e</v>
      </c>
      <c r="AP2" s="579">
        <f>AH2+1</f>
        <v>2026</v>
      </c>
      <c r="AQ2" s="578" t="str">
        <f>Propulsion!BE3</f>
        <v>1Q27e</v>
      </c>
      <c r="AR2" s="578" t="str">
        <f>Propulsion!BF3</f>
        <v>2Q27e</v>
      </c>
      <c r="AS2" s="578" t="str">
        <f>Propulsion!BG3</f>
        <v>3Q27e</v>
      </c>
      <c r="AT2" s="837" t="str">
        <f>Propulsion!BH3</f>
        <v>4Q27e</v>
      </c>
      <c r="AU2" s="578" t="str">
        <f>Propulsion!BI3</f>
        <v>1H27e</v>
      </c>
      <c r="AV2" s="578" t="str">
        <f>Propulsion!BJ3</f>
        <v>2H27e</v>
      </c>
      <c r="AW2" s="578" t="str">
        <f>Propulsion!BK3</f>
        <v>9M27e</v>
      </c>
      <c r="AX2" s="579">
        <f>AP2+1</f>
        <v>2027</v>
      </c>
      <c r="AY2" s="578" t="str">
        <f>Propulsion!BM3</f>
        <v>1Q28e</v>
      </c>
      <c r="AZ2" s="578" t="str">
        <f>Propulsion!BN3</f>
        <v>2Q28e</v>
      </c>
      <c r="BA2" s="578" t="str">
        <f>Propulsion!BO3</f>
        <v>3Q28e</v>
      </c>
      <c r="BB2" s="837" t="str">
        <f>Propulsion!BP3</f>
        <v>4Q28e</v>
      </c>
      <c r="BC2" s="578" t="str">
        <f>Propulsion!BQ3</f>
        <v>1H28e</v>
      </c>
      <c r="BD2" s="578" t="str">
        <f>Propulsion!BR3</f>
        <v>2H28e</v>
      </c>
      <c r="BE2" s="578" t="str">
        <f>Propulsion!BS3</f>
        <v>9M28e</v>
      </c>
      <c r="BF2" s="579">
        <f>AX2+1</f>
        <v>2028</v>
      </c>
      <c r="BG2" s="578" t="str">
        <f>Propulsion!BU3</f>
        <v>1Q29e</v>
      </c>
      <c r="BH2" s="578" t="str">
        <f>Propulsion!BV3</f>
        <v>2Q29e</v>
      </c>
      <c r="BI2" s="578" t="str">
        <f>Propulsion!BW3</f>
        <v>3Q29e</v>
      </c>
      <c r="BJ2" s="837" t="str">
        <f>Propulsion!BX3</f>
        <v>4Q29e</v>
      </c>
      <c r="BK2" s="578" t="str">
        <f>Propulsion!BY3</f>
        <v>1H29e</v>
      </c>
      <c r="BL2" s="578" t="str">
        <f>Propulsion!BZ3</f>
        <v>2H29e</v>
      </c>
      <c r="BM2" s="578" t="str">
        <f>Propulsion!CA3</f>
        <v>9M29e</v>
      </c>
      <c r="BN2" s="579">
        <f>BF2+1</f>
        <v>2029</v>
      </c>
      <c r="BO2" s="578" t="str">
        <f>Propulsion!CC3</f>
        <v>1Q30e</v>
      </c>
      <c r="BP2" s="578" t="str">
        <f>Propulsion!CD3</f>
        <v>2Q30e</v>
      </c>
      <c r="BQ2" s="578" t="str">
        <f>Propulsion!CE3</f>
        <v>3Q30e</v>
      </c>
      <c r="BR2" s="837" t="str">
        <f>Propulsion!CF3</f>
        <v>4Q30e</v>
      </c>
      <c r="BS2" s="578" t="str">
        <f>Propulsion!CG3</f>
        <v>1H30e</v>
      </c>
      <c r="BT2" s="578" t="str">
        <f>Propulsion!CH3</f>
        <v>2H30e</v>
      </c>
      <c r="BU2" s="578" t="str">
        <f>Propulsion!CI3</f>
        <v>9M30e</v>
      </c>
      <c r="BV2" s="579">
        <f>BN2+1</f>
        <v>2030</v>
      </c>
      <c r="BW2" s="580"/>
    </row>
    <row r="3" spans="1:75" x14ac:dyDescent="0.2">
      <c r="A3" s="202"/>
      <c r="B3" s="838"/>
      <c r="C3" s="838"/>
      <c r="D3" s="838"/>
      <c r="E3" s="838"/>
      <c r="F3" s="838"/>
      <c r="G3" s="580"/>
      <c r="H3" s="580"/>
      <c r="I3" s="580"/>
      <c r="J3" s="581"/>
      <c r="K3" s="580"/>
      <c r="L3" s="580"/>
      <c r="M3" s="580"/>
      <c r="N3" s="582"/>
      <c r="O3" s="580"/>
      <c r="P3" s="580"/>
      <c r="Q3" s="580"/>
      <c r="R3" s="583"/>
      <c r="S3" s="580"/>
      <c r="T3" s="580"/>
      <c r="U3" s="580"/>
      <c r="V3" s="582"/>
      <c r="W3" s="580"/>
      <c r="X3" s="580"/>
      <c r="Y3" s="580"/>
      <c r="Z3" s="583"/>
      <c r="AA3" s="580"/>
      <c r="AB3" s="580"/>
      <c r="AC3" s="580"/>
      <c r="AD3" s="582"/>
      <c r="AE3" s="580"/>
      <c r="AF3" s="580"/>
      <c r="AG3" s="580"/>
      <c r="AH3" s="583"/>
      <c r="AI3" s="580"/>
      <c r="AJ3" s="580"/>
      <c r="AK3" s="580"/>
      <c r="AL3" s="582"/>
      <c r="AM3" s="580"/>
      <c r="AN3" s="580"/>
      <c r="AO3" s="580"/>
      <c r="AP3" s="583"/>
      <c r="AQ3" s="580"/>
      <c r="AR3" s="580"/>
      <c r="AS3" s="580"/>
      <c r="AT3" s="582"/>
      <c r="AU3" s="580"/>
      <c r="AV3" s="580"/>
      <c r="AW3" s="580"/>
      <c r="AX3" s="583"/>
      <c r="AY3" s="580"/>
      <c r="AZ3" s="580"/>
      <c r="BA3" s="580"/>
      <c r="BB3" s="582"/>
      <c r="BC3" s="580"/>
      <c r="BD3" s="580"/>
      <c r="BE3" s="580"/>
      <c r="BF3" s="583"/>
      <c r="BG3" s="580"/>
      <c r="BH3" s="580"/>
      <c r="BI3" s="580"/>
      <c r="BJ3" s="582"/>
      <c r="BK3" s="580"/>
      <c r="BL3" s="580"/>
      <c r="BM3" s="580"/>
      <c r="BN3" s="583"/>
      <c r="BO3" s="580"/>
      <c r="BP3" s="580"/>
      <c r="BQ3" s="580"/>
      <c r="BR3" s="582"/>
      <c r="BS3" s="580"/>
      <c r="BT3" s="580"/>
      <c r="BU3" s="580"/>
      <c r="BV3" s="583"/>
    </row>
    <row r="4" spans="1:75" ht="12" thickBot="1" x14ac:dyDescent="0.25">
      <c r="A4" s="12" t="s">
        <v>797</v>
      </c>
      <c r="B4" s="839">
        <f>Propulsion!N116</f>
        <v>3533.1569736743513</v>
      </c>
      <c r="C4" s="839">
        <f>Propulsion!O116</f>
        <v>3654.105397587984</v>
      </c>
      <c r="D4" s="839">
        <f>Propulsion!P116</f>
        <v>3697.8889682982626</v>
      </c>
      <c r="E4" s="839">
        <f>Propulsion!R116</f>
        <v>3629.8394372532257</v>
      </c>
      <c r="F4" s="839">
        <f>Propulsion!S116</f>
        <v>4448.8850036781205</v>
      </c>
      <c r="G4" s="839">
        <f>Propulsion!U116</f>
        <v>4739.5059570422545</v>
      </c>
      <c r="H4" s="839">
        <f>Propulsion!V116</f>
        <v>2439.3085799999994</v>
      </c>
      <c r="I4" s="839">
        <f>Propulsion!W116</f>
        <v>1943.4766540000005</v>
      </c>
      <c r="J4" s="840">
        <f>Propulsion!X116</f>
        <v>2984.658237302001</v>
      </c>
      <c r="K4" s="839">
        <f>Propulsion!Y116</f>
        <v>1040.1565000000001</v>
      </c>
      <c r="L4" s="839">
        <f>Propulsion!Z116</f>
        <v>1138.2972626738626</v>
      </c>
      <c r="M4" s="839">
        <f>Propulsion!AA116</f>
        <v>1014.6796886141751</v>
      </c>
      <c r="N4" s="1377">
        <f>Propulsion!AB116</f>
        <v>841.76814398632177</v>
      </c>
      <c r="O4" s="839">
        <f>Propulsion!AC116</f>
        <v>2178.4537626738625</v>
      </c>
      <c r="P4" s="839">
        <f>Propulsion!AD116</f>
        <v>1856.4478326004964</v>
      </c>
      <c r="Q4" s="12">
        <f t="shared" ref="Q4:BV4" si="1">Q9+Q13+Q20</f>
        <v>3203.7587195590509</v>
      </c>
      <c r="R4" s="1378">
        <f>Propulsion!AF116</f>
        <v>4034.9015952743594</v>
      </c>
      <c r="S4" s="839">
        <f>Propulsion!AG116</f>
        <v>1092.5587750166305</v>
      </c>
      <c r="T4" s="839">
        <f>Propulsion!AH116</f>
        <v>1140.1308159822299</v>
      </c>
      <c r="U4" s="839">
        <f>Propulsion!AI116</f>
        <v>1054.9169871593433</v>
      </c>
      <c r="V4" s="1377">
        <f>Propulsion!AJ116</f>
        <v>823.54950693947239</v>
      </c>
      <c r="W4" s="839">
        <f>Propulsion!AK116</f>
        <v>2232.6895909988602</v>
      </c>
      <c r="X4" s="839">
        <f>Propulsion!AL116</f>
        <v>1878.4664940988159</v>
      </c>
      <c r="Y4" s="12">
        <f t="shared" si="1"/>
        <v>3287.6065781582038</v>
      </c>
      <c r="Z4" s="1378">
        <f>Propulsion!AN116</f>
        <v>4111.1560850976757</v>
      </c>
      <c r="AA4" s="839">
        <f>Propulsion!AO116</f>
        <v>1199.8276975270389</v>
      </c>
      <c r="AB4" s="839">
        <f>Propulsion!AP116</f>
        <v>1359.9898073806471</v>
      </c>
      <c r="AC4" s="839">
        <f>Propulsion!AQ116</f>
        <v>1526.8502941063816</v>
      </c>
      <c r="AD4" s="1377">
        <f>Propulsion!AR116</f>
        <v>480.44805798564221</v>
      </c>
      <c r="AE4" s="839">
        <f>Propulsion!AS116</f>
        <v>2559.8175049076863</v>
      </c>
      <c r="AF4" s="839">
        <f>Propulsion!AT116</f>
        <v>2007.2983520920234</v>
      </c>
      <c r="AG4" s="12">
        <f t="shared" ref="AG4" si="2">AG9+AG13+AG20</f>
        <v>4086.6677990140679</v>
      </c>
      <c r="AH4" s="1378">
        <f>Propulsion!AV116</f>
        <v>4567.1158569997096</v>
      </c>
      <c r="AI4" s="839">
        <f>Propulsion!AW116</f>
        <v>1515.3446174342193</v>
      </c>
      <c r="AJ4" s="839">
        <f>Propulsion!AX116</f>
        <v>1411.4522740409029</v>
      </c>
      <c r="AK4" s="13">
        <f t="shared" si="1"/>
        <v>1443.360973762439</v>
      </c>
      <c r="AL4" s="687">
        <f t="shared" si="1"/>
        <v>1539.2743379801882</v>
      </c>
      <c r="AM4" s="839">
        <f>Propulsion!BA116</f>
        <v>2926.7968914751227</v>
      </c>
      <c r="AN4" s="13">
        <f t="shared" si="1"/>
        <v>2982.635311742627</v>
      </c>
      <c r="AO4" s="13">
        <f t="shared" si="1"/>
        <v>4370.1578652375611</v>
      </c>
      <c r="AP4" s="688">
        <f t="shared" si="1"/>
        <v>5909.4322032177488</v>
      </c>
      <c r="AQ4" s="13">
        <f t="shared" si="1"/>
        <v>1357.3540455000002</v>
      </c>
      <c r="AR4" s="13">
        <f t="shared" si="1"/>
        <v>1380.6224455000001</v>
      </c>
      <c r="AS4" s="13">
        <f t="shared" si="1"/>
        <v>1381.6900455000002</v>
      </c>
      <c r="AT4" s="687">
        <f t="shared" si="1"/>
        <v>2268.8240206662208</v>
      </c>
      <c r="AU4" s="13">
        <f t="shared" si="1"/>
        <v>2737.9764910000004</v>
      </c>
      <c r="AV4" s="13">
        <f t="shared" si="1"/>
        <v>3650.5140661662213</v>
      </c>
      <c r="AW4" s="13">
        <f t="shared" si="1"/>
        <v>4119.6665365000008</v>
      </c>
      <c r="AX4" s="688">
        <f t="shared" si="1"/>
        <v>6388.4905571662221</v>
      </c>
      <c r="AY4" s="13">
        <f t="shared" si="1"/>
        <v>1540.4912468650007</v>
      </c>
      <c r="AZ4" s="13">
        <f t="shared" si="1"/>
        <v>1560.4145188650004</v>
      </c>
      <c r="BA4" s="13">
        <f t="shared" si="1"/>
        <v>1563.6915668650006</v>
      </c>
      <c r="BB4" s="687">
        <f t="shared" si="1"/>
        <v>2426.9295045755771</v>
      </c>
      <c r="BC4" s="13">
        <f t="shared" si="1"/>
        <v>3100.9057657300009</v>
      </c>
      <c r="BD4" s="13">
        <f t="shared" si="1"/>
        <v>3990.6210714405779</v>
      </c>
      <c r="BE4" s="13">
        <f t="shared" si="1"/>
        <v>4664.5973325950017</v>
      </c>
      <c r="BF4" s="688">
        <f t="shared" si="1"/>
        <v>7091.5268371705788</v>
      </c>
      <c r="BG4" s="13">
        <f t="shared" si="1"/>
        <v>1626.6649926709504</v>
      </c>
      <c r="BH4" s="13">
        <f t="shared" si="1"/>
        <v>1623.2003912309506</v>
      </c>
      <c r="BI4" s="13">
        <f t="shared" si="1"/>
        <v>1626.6649926709504</v>
      </c>
      <c r="BJ4" s="687">
        <f t="shared" si="1"/>
        <v>2520.9962548369776</v>
      </c>
      <c r="BK4" s="13">
        <f t="shared" si="1"/>
        <v>3249.8653839019012</v>
      </c>
      <c r="BL4" s="13">
        <f t="shared" si="1"/>
        <v>4147.6612475079282</v>
      </c>
      <c r="BM4" s="13">
        <f t="shared" si="1"/>
        <v>4876.5303765728522</v>
      </c>
      <c r="BN4" s="688">
        <f t="shared" si="1"/>
        <v>7397.526631409829</v>
      </c>
      <c r="BO4" s="13">
        <f t="shared" si="1"/>
        <v>1662.749783483079</v>
      </c>
      <c r="BP4" s="13">
        <f t="shared" si="1"/>
        <v>1661.372480087879</v>
      </c>
      <c r="BQ4" s="13">
        <f t="shared" si="1"/>
        <v>1662.749783483079</v>
      </c>
      <c r="BR4" s="687">
        <f t="shared" si="1"/>
        <v>2561.3958383151376</v>
      </c>
      <c r="BS4" s="13">
        <f t="shared" si="1"/>
        <v>3324.1222635709578</v>
      </c>
      <c r="BT4" s="13">
        <f t="shared" si="1"/>
        <v>4224.1456217982168</v>
      </c>
      <c r="BU4" s="13">
        <f t="shared" si="1"/>
        <v>4986.8720470540366</v>
      </c>
      <c r="BV4" s="688">
        <f t="shared" si="1"/>
        <v>7548.2678853691741</v>
      </c>
    </row>
    <row r="5" spans="1:75" x14ac:dyDescent="0.2">
      <c r="A5" s="841" t="s">
        <v>20</v>
      </c>
      <c r="B5" s="842"/>
      <c r="C5" s="843">
        <f t="shared" ref="C5:J5" si="3">C4/B4-1</f>
        <v>3.4232394658607834E-2</v>
      </c>
      <c r="D5" s="843">
        <f t="shared" si="3"/>
        <v>1.1982021848406355E-2</v>
      </c>
      <c r="E5" s="843">
        <f>E4/D4-1</f>
        <v>-1.8402264542938029E-2</v>
      </c>
      <c r="F5" s="843">
        <f>F4/E4-1</f>
        <v>0.22564236809457427</v>
      </c>
      <c r="G5" s="843">
        <f>G4/F4-1</f>
        <v>6.5324447164595734E-2</v>
      </c>
      <c r="H5" s="843">
        <f>H4/G4-1</f>
        <v>-0.4853242928462782</v>
      </c>
      <c r="I5" s="843">
        <f t="shared" si="3"/>
        <v>-0.20326740538911192</v>
      </c>
      <c r="J5" s="844">
        <f t="shared" si="3"/>
        <v>0.5357314589599389</v>
      </c>
      <c r="K5" s="843"/>
      <c r="L5" s="843"/>
      <c r="M5" s="843"/>
      <c r="N5" s="845"/>
      <c r="O5" s="843"/>
      <c r="P5" s="843"/>
      <c r="Q5" s="843"/>
      <c r="R5" s="1379">
        <f>R4/J4-1</f>
        <v>0.35188060892416684</v>
      </c>
      <c r="S5" s="843">
        <f t="shared" ref="S5:BV5" si="4">S4/K4-1</f>
        <v>5.0379221796557072E-2</v>
      </c>
      <c r="T5" s="843">
        <f t="shared" si="4"/>
        <v>1.61078601213549E-3</v>
      </c>
      <c r="U5" s="843">
        <f t="shared" si="4"/>
        <v>3.9655172954258466E-2</v>
      </c>
      <c r="V5" s="845">
        <f t="shared" si="4"/>
        <v>-2.1643295932502582E-2</v>
      </c>
      <c r="W5" s="843">
        <f t="shared" si="4"/>
        <v>2.4896478986282444E-2</v>
      </c>
      <c r="X5" s="843">
        <f t="shared" si="4"/>
        <v>1.1860641118838222E-2</v>
      </c>
      <c r="Y5" s="843">
        <f t="shared" si="4"/>
        <v>2.6171714519966471E-2</v>
      </c>
      <c r="Z5" s="1379">
        <f>Z4/R4-1</f>
        <v>1.8898723555643926E-2</v>
      </c>
      <c r="AA5" s="843">
        <f t="shared" si="4"/>
        <v>9.8181374735446747E-2</v>
      </c>
      <c r="AB5" s="843">
        <f t="shared" si="4"/>
        <v>0.19283663621442182</v>
      </c>
      <c r="AC5" s="843">
        <f t="shared" si="4"/>
        <v>0.4473653497777581</v>
      </c>
      <c r="AD5" s="845">
        <f t="shared" si="4"/>
        <v>-0.41661302212284224</v>
      </c>
      <c r="AE5" s="843">
        <f t="shared" si="4"/>
        <v>0.14651741792842587</v>
      </c>
      <c r="AF5" s="843">
        <f t="shared" si="4"/>
        <v>6.8583527253710086E-2</v>
      </c>
      <c r="AG5" s="843">
        <f t="shared" si="4"/>
        <v>0.24305256783599627</v>
      </c>
      <c r="AH5" s="1379">
        <f>AH4/Z4-1</f>
        <v>0.11090792041557851</v>
      </c>
      <c r="AI5" s="843">
        <f t="shared" si="4"/>
        <v>0.26296852502862822</v>
      </c>
      <c r="AJ5" s="843">
        <f t="shared" si="4"/>
        <v>3.7840332612031125E-2</v>
      </c>
      <c r="AK5" s="847">
        <f t="shared" si="4"/>
        <v>-5.4680750736473716E-2</v>
      </c>
      <c r="AL5" s="848">
        <f t="shared" si="4"/>
        <v>2.2038309082439627</v>
      </c>
      <c r="AM5" s="843">
        <f t="shared" si="4"/>
        <v>0.14336154271305013</v>
      </c>
      <c r="AN5" s="847">
        <f t="shared" si="4"/>
        <v>0.4858953621090254</v>
      </c>
      <c r="AO5" s="847">
        <f t="shared" si="4"/>
        <v>6.9369491274012152E-2</v>
      </c>
      <c r="AP5" s="846">
        <f t="shared" si="4"/>
        <v>0.29390897630958102</v>
      </c>
      <c r="AQ5" s="847">
        <f t="shared" si="4"/>
        <v>-0.10426048973713231</v>
      </c>
      <c r="AR5" s="847">
        <f t="shared" si="4"/>
        <v>-2.1842629118899559E-2</v>
      </c>
      <c r="AS5" s="847">
        <f t="shared" si="4"/>
        <v>-4.2727307571355455E-2</v>
      </c>
      <c r="AT5" s="848">
        <f t="shared" si="4"/>
        <v>0.47395689298850807</v>
      </c>
      <c r="AU5" s="847">
        <f t="shared" si="4"/>
        <v>-6.4514350491863381E-2</v>
      </c>
      <c r="AV5" s="847">
        <f t="shared" si="4"/>
        <v>0.22392236549810751</v>
      </c>
      <c r="AW5" s="847">
        <f t="shared" si="4"/>
        <v>-5.7318599570531426E-2</v>
      </c>
      <c r="AX5" s="846">
        <f t="shared" si="4"/>
        <v>8.1066731536004522E-2</v>
      </c>
      <c r="AY5" s="847">
        <f t="shared" si="4"/>
        <v>0.13492220542764821</v>
      </c>
      <c r="AZ5" s="847">
        <f t="shared" si="4"/>
        <v>0.13022537330970851</v>
      </c>
      <c r="BA5" s="847">
        <f t="shared" si="4"/>
        <v>0.13172384208582644</v>
      </c>
      <c r="BB5" s="848">
        <f t="shared" si="4"/>
        <v>6.968609397168235E-2</v>
      </c>
      <c r="BC5" s="847">
        <f t="shared" si="4"/>
        <v>0.13255383160629219</v>
      </c>
      <c r="BD5" s="847">
        <f t="shared" si="4"/>
        <v>9.316687981743299E-2</v>
      </c>
      <c r="BE5" s="847">
        <f t="shared" si="4"/>
        <v>0.13227546241108268</v>
      </c>
      <c r="BF5" s="846">
        <f t="shared" si="4"/>
        <v>0.11004732240164827</v>
      </c>
      <c r="BG5" s="847">
        <f t="shared" si="4"/>
        <v>5.5939133689541398E-2</v>
      </c>
      <c r="BH5" s="847">
        <f t="shared" si="4"/>
        <v>4.0236662506587528E-2</v>
      </c>
      <c r="BI5" s="847">
        <f t="shared" si="4"/>
        <v>4.0272280761994184E-2</v>
      </c>
      <c r="BJ5" s="848">
        <f t="shared" si="4"/>
        <v>3.8759572572690359E-2</v>
      </c>
      <c r="BK5" s="847">
        <f t="shared" si="4"/>
        <v>4.8037454029769E-2</v>
      </c>
      <c r="BL5" s="847">
        <f t="shared" si="4"/>
        <v>3.9352314653783971E-2</v>
      </c>
      <c r="BM5" s="847">
        <f t="shared" si="4"/>
        <v>4.5434370614783282E-2</v>
      </c>
      <c r="BN5" s="846">
        <f t="shared" si="4"/>
        <v>4.3150057986855117E-2</v>
      </c>
      <c r="BO5" s="847">
        <f t="shared" si="4"/>
        <v>2.2183295868978048E-2</v>
      </c>
      <c r="BP5" s="847">
        <f t="shared" si="4"/>
        <v>2.3516559670109904E-2</v>
      </c>
      <c r="BQ5" s="847">
        <f t="shared" si="4"/>
        <v>2.2183295868978048E-2</v>
      </c>
      <c r="BR5" s="848">
        <f t="shared" si="4"/>
        <v>1.6025245337293104E-2</v>
      </c>
      <c r="BS5" s="847">
        <f t="shared" si="4"/>
        <v>2.2849217089694118E-2</v>
      </c>
      <c r="BT5" s="847">
        <f t="shared" si="4"/>
        <v>1.8440361863265364E-2</v>
      </c>
      <c r="BU5" s="847">
        <f t="shared" si="4"/>
        <v>2.2627085645005485E-2</v>
      </c>
      <c r="BV5" s="846">
        <f t="shared" si="4"/>
        <v>2.0377250596070651E-2</v>
      </c>
    </row>
    <row r="6" spans="1:75" x14ac:dyDescent="0.2">
      <c r="A6" s="849" t="s">
        <v>855</v>
      </c>
      <c r="B6" s="386">
        <f>B4/Propulsion!N118</f>
        <v>0.50840187624712929</v>
      </c>
      <c r="C6" s="850">
        <f>C4/Propulsion!O118</f>
        <v>0.47356406344058216</v>
      </c>
      <c r="D6" s="850">
        <f>D4/Propulsion!P118</f>
        <v>0.4599223458353478</v>
      </c>
      <c r="E6" s="850">
        <f>E4/Propulsion!R118</f>
        <v>0.42913304993519014</v>
      </c>
      <c r="F6" s="850">
        <f>F4/Propulsion!S118</f>
        <v>0.45089953221163176</v>
      </c>
      <c r="G6" s="850">
        <f>G4/Propulsion!U118</f>
        <v>0.44320661797050576</v>
      </c>
      <c r="H6" s="850">
        <f>H4/Propulsion!V118</f>
        <v>0.4190334172486328</v>
      </c>
      <c r="I6" s="850">
        <f>I4/Propulsion!W118</f>
        <v>0.34919682328447027</v>
      </c>
      <c r="J6" s="851">
        <f>J4/Propulsion!X118</f>
        <v>0.38923479886587087</v>
      </c>
      <c r="K6" s="850">
        <f>K4/Propulsion!Y118</f>
        <v>0.46328908474754432</v>
      </c>
      <c r="L6" s="850">
        <f>L4/Propulsion!Z118</f>
        <v>0.4607928243069761</v>
      </c>
      <c r="M6" s="850">
        <f>M4/Propulsion!AA118</f>
        <v>0.3946293585750959</v>
      </c>
      <c r="N6" s="852">
        <f>N4/Propulsion!AB118</f>
        <v>0.28319453743770745</v>
      </c>
      <c r="O6" s="850">
        <f>O4/Propulsion!AC118</f>
        <v>0.46198136107376891</v>
      </c>
      <c r="P6" s="850">
        <f>P4/Propulsion!AD118</f>
        <v>0.33487979587587352</v>
      </c>
      <c r="Q6" s="850">
        <f>Q4/Propulsion!AE118</f>
        <v>0.43903311522542265</v>
      </c>
      <c r="R6" s="1380">
        <f>R4/Propulsion!AF118</f>
        <v>0.39330042973573087</v>
      </c>
      <c r="S6" s="850">
        <f>S4/Propulsion!AG118</f>
        <v>0.41405826755119579</v>
      </c>
      <c r="T6" s="850">
        <f>T4/Propulsion!AH118</f>
        <v>0.39113117345082199</v>
      </c>
      <c r="U6" s="850">
        <f>U4/Propulsion!AI118</f>
        <v>0.35996536538547341</v>
      </c>
      <c r="V6" s="852">
        <f>V4/Propulsion!AJ118</f>
        <v>0.24215391570245703</v>
      </c>
      <c r="W6" s="850">
        <f>W4/Propulsion!AK118</f>
        <v>0.40202439719464927</v>
      </c>
      <c r="X6" s="850">
        <f>X4/Propulsion!AL118</f>
        <v>0.29668393430585316</v>
      </c>
      <c r="Y6" s="850">
        <f>Y4/Propulsion!AM118</f>
        <v>0.38749643468082096</v>
      </c>
      <c r="Z6" s="1380">
        <f>Z4/Propulsion!AN118</f>
        <v>0.34590672078171786</v>
      </c>
      <c r="AA6" s="850">
        <f>AA4/Propulsion!AO118</f>
        <v>0.38857969508392054</v>
      </c>
      <c r="AB6" s="850">
        <f>AB4/Propulsion!AP118</f>
        <v>0.38811100504283885</v>
      </c>
      <c r="AC6" s="850">
        <f>AC4/Propulsion!AQ118</f>
        <v>0.40548191852182053</v>
      </c>
      <c r="AD6" s="852">
        <f>AD4/Propulsion!AR118</f>
        <v>0.12854588717648216</v>
      </c>
      <c r="AE6" s="850">
        <f>AE4/Propulsion!AS118</f>
        <v>0.38833054675925927</v>
      </c>
      <c r="AF6" s="850">
        <f>AF4/Propulsion!AT118</f>
        <v>0.26752988738380229</v>
      </c>
      <c r="AG6" s="850">
        <f>AG4/Propulsion!AU118</f>
        <v>0.39456608930102638</v>
      </c>
      <c r="AH6" s="1380">
        <f>AH4/Propulsion!AV118</f>
        <v>0.32402537293400285</v>
      </c>
      <c r="AI6" s="850">
        <f>AI4/Propulsion!AW118</f>
        <v>0.37355826174582651</v>
      </c>
      <c r="AJ6" s="850">
        <f>AJ4/Propulsion!AX118</f>
        <v>0.33388831651707507</v>
      </c>
      <c r="AK6" s="723">
        <f>AK4/Propulsion!AY118</f>
        <v>0.33663305884504779</v>
      </c>
      <c r="AL6" s="724">
        <f>AL4/Propulsion!AZ118</f>
        <v>0.28244315950142318</v>
      </c>
      <c r="AM6" s="850">
        <f>AM4/Propulsion!BA118</f>
        <v>0.35331431329133661</v>
      </c>
      <c r="AN6" s="723">
        <f>AN4/Propulsion!BB118</f>
        <v>0.30630419750978299</v>
      </c>
      <c r="AO6" s="723">
        <f>AO4/Propulsion!BC118</f>
        <v>0.34762498802801728</v>
      </c>
      <c r="AP6" s="722">
        <f>AP4/Propulsion!BD118</f>
        <v>0.32791325856721054</v>
      </c>
      <c r="AQ6" s="723">
        <f>AQ4/Propulsion!BE118</f>
        <v>0.32640253993611301</v>
      </c>
      <c r="AR6" s="723">
        <f>AR4/Propulsion!BF118</f>
        <v>0.28643986828020501</v>
      </c>
      <c r="AS6" s="723">
        <f>AS4/Propulsion!BG118</f>
        <v>0.28659788443657386</v>
      </c>
      <c r="AT6" s="724">
        <f>AT4/Propulsion!BH118</f>
        <v>0.35750446562338117</v>
      </c>
      <c r="AU6" s="723">
        <f>AU4/Propulsion!BI118</f>
        <v>0.30494925315575994</v>
      </c>
      <c r="AV6" s="723">
        <f>AV4/Propulsion!BJ118</f>
        <v>0.32689353714070318</v>
      </c>
      <c r="AW6" s="723">
        <f>AW4/Propulsion!BK118</f>
        <v>0.29853798931937958</v>
      </c>
      <c r="AX6" s="722">
        <f>AX4/Propulsion!BL118</f>
        <v>0.31711351036769109</v>
      </c>
      <c r="AY6" s="723">
        <f>AY4/Propulsion!BM118</f>
        <v>0.33077049606991232</v>
      </c>
      <c r="AZ6" s="723">
        <f>AZ4/Propulsion!BN118</f>
        <v>0.28996260139578389</v>
      </c>
      <c r="BA6" s="723">
        <f>BA4/Propulsion!BO118</f>
        <v>0.29039471868861394</v>
      </c>
      <c r="BB6" s="724">
        <f>BB4/Propulsion!BP118</f>
        <v>0.34908909999378007</v>
      </c>
      <c r="BC6" s="723">
        <f>BC4/Propulsion!BQ118</f>
        <v>0.30889469026970995</v>
      </c>
      <c r="BD6" s="723">
        <f>BD4/Propulsion!BR118</f>
        <v>0.32347062544056593</v>
      </c>
      <c r="BE6" s="723">
        <f>BE4/Propulsion!BS118</f>
        <v>0.30243587901101476</v>
      </c>
      <c r="BF6" s="722">
        <f>BF4/Propulsion!BT118</f>
        <v>0.31693119697253563</v>
      </c>
      <c r="BG6" s="723">
        <f>BG4/Propulsion!BU118</f>
        <v>0.32469724233149067</v>
      </c>
      <c r="BH6" s="723">
        <f>BH4/Propulsion!BV118</f>
        <v>0.28115693926905944</v>
      </c>
      <c r="BI6" s="723">
        <f>BI4/Propulsion!BW118</f>
        <v>0.28158806454827934</v>
      </c>
      <c r="BJ6" s="724">
        <f>BJ4/Propulsion!BX118</f>
        <v>0.33893244397998001</v>
      </c>
      <c r="BK6" s="723">
        <f>BK4/Propulsion!BY118</f>
        <v>0.30138564810271501</v>
      </c>
      <c r="BL6" s="723">
        <f>BL4/Propulsion!BZ118</f>
        <v>0.31386477059984902</v>
      </c>
      <c r="BM6" s="723">
        <f>BM4/Propulsion!CA118</f>
        <v>0.29447943306727947</v>
      </c>
      <c r="BN6" s="722">
        <f>BN4/Propulsion!CB118</f>
        <v>0.30825746890947076</v>
      </c>
      <c r="BO6" s="723">
        <f>BO4/Propulsion!CC118</f>
        <v>0.31724034193076178</v>
      </c>
      <c r="BP6" s="723">
        <f>BP4/Propulsion!CD118</f>
        <v>0.27389585394175181</v>
      </c>
      <c r="BQ6" s="723">
        <f>BQ4/Propulsion!CE118</f>
        <v>0.27406068854200022</v>
      </c>
      <c r="BR6" s="724">
        <f>BR4/Propulsion!CF118</f>
        <v>0.32874129096029214</v>
      </c>
      <c r="BS6" s="723">
        <f>BS4/Propulsion!CG118</f>
        <v>0.29398793325713457</v>
      </c>
      <c r="BT6" s="723">
        <f>BT4/Propulsion!CH118</f>
        <v>0.30480296625173597</v>
      </c>
      <c r="BU6" s="723">
        <f>BU4/Propulsion!CI118</f>
        <v>0.28702927703736247</v>
      </c>
      <c r="BV6" s="722">
        <f>BV4/Propulsion!CJ118</f>
        <v>0.29994373218841641</v>
      </c>
    </row>
    <row r="7" spans="1:75" x14ac:dyDescent="0.2">
      <c r="A7" s="849"/>
      <c r="B7" s="386"/>
      <c r="C7" s="850"/>
      <c r="D7" s="850"/>
      <c r="E7" s="850"/>
      <c r="F7" s="850"/>
      <c r="G7" s="850"/>
      <c r="H7" s="850"/>
      <c r="I7" s="850"/>
      <c r="J7" s="851"/>
      <c r="K7" s="850"/>
      <c r="L7" s="850"/>
      <c r="M7" s="850"/>
      <c r="N7" s="852"/>
      <c r="O7" s="850"/>
      <c r="P7" s="850"/>
      <c r="Q7" s="850"/>
      <c r="R7" s="1380"/>
      <c r="S7" s="723"/>
      <c r="T7" s="723"/>
      <c r="U7" s="723"/>
      <c r="V7" s="724"/>
      <c r="W7" s="723"/>
      <c r="X7" s="723"/>
      <c r="Y7" s="723"/>
      <c r="Z7" s="722"/>
      <c r="AA7" s="723"/>
      <c r="AB7" s="723"/>
      <c r="AC7" s="723"/>
      <c r="AD7" s="724"/>
      <c r="AE7" s="723"/>
      <c r="AF7" s="723"/>
      <c r="AG7" s="723"/>
      <c r="AH7" s="722"/>
      <c r="AI7" s="723"/>
      <c r="AJ7" s="723"/>
      <c r="AK7" s="723"/>
      <c r="AL7" s="724"/>
      <c r="AM7" s="723"/>
      <c r="AN7" s="723"/>
      <c r="AO7" s="723"/>
      <c r="AP7" s="722"/>
      <c r="AQ7" s="723"/>
      <c r="AR7" s="723"/>
      <c r="AS7" s="723"/>
      <c r="AT7" s="724"/>
      <c r="AU7" s="723"/>
      <c r="AV7" s="723"/>
      <c r="AW7" s="723"/>
      <c r="AX7" s="722"/>
      <c r="AY7" s="723"/>
      <c r="AZ7" s="723"/>
      <c r="BA7" s="723"/>
      <c r="BB7" s="724"/>
      <c r="BC7" s="723"/>
      <c r="BD7" s="723"/>
      <c r="BE7" s="723"/>
      <c r="BF7" s="722"/>
      <c r="BG7" s="723"/>
      <c r="BH7" s="723"/>
      <c r="BI7" s="723"/>
      <c r="BJ7" s="724"/>
      <c r="BK7" s="723"/>
      <c r="BL7" s="723"/>
      <c r="BM7" s="723"/>
      <c r="BN7" s="722"/>
      <c r="BO7" s="723"/>
      <c r="BP7" s="723"/>
      <c r="BQ7" s="723"/>
      <c r="BR7" s="724"/>
      <c r="BS7" s="723"/>
      <c r="BT7" s="723"/>
      <c r="BU7" s="723"/>
      <c r="BV7" s="722"/>
    </row>
    <row r="8" spans="1:75" x14ac:dyDescent="0.2">
      <c r="A8" s="197"/>
      <c r="B8" s="338"/>
      <c r="C8" s="269"/>
      <c r="D8" s="269"/>
      <c r="E8" s="269"/>
      <c r="F8" s="269"/>
      <c r="G8" s="269"/>
      <c r="H8" s="269"/>
      <c r="I8" s="269"/>
      <c r="J8" s="853"/>
      <c r="K8" s="269"/>
      <c r="L8" s="269"/>
      <c r="M8" s="269"/>
      <c r="N8" s="270"/>
      <c r="O8" s="269"/>
      <c r="P8" s="269"/>
      <c r="Q8" s="269"/>
      <c r="R8" s="854"/>
      <c r="S8" s="855"/>
      <c r="T8" s="855"/>
      <c r="U8" s="855"/>
      <c r="V8" s="856"/>
      <c r="W8" s="855"/>
      <c r="X8" s="855"/>
      <c r="Y8" s="855"/>
      <c r="Z8" s="854"/>
      <c r="AA8" s="855"/>
      <c r="AB8" s="855"/>
      <c r="AC8" s="855"/>
      <c r="AD8" s="856"/>
      <c r="AE8" s="855"/>
      <c r="AF8" s="855"/>
      <c r="AG8" s="855"/>
      <c r="AH8" s="854"/>
      <c r="AI8" s="855"/>
      <c r="AJ8" s="855"/>
      <c r="AK8" s="855"/>
      <c r="AL8" s="856"/>
      <c r="AM8" s="855"/>
      <c r="AN8" s="855"/>
      <c r="AO8" s="855"/>
      <c r="AP8" s="854"/>
      <c r="AQ8" s="855"/>
      <c r="AR8" s="855"/>
      <c r="AS8" s="855"/>
      <c r="AT8" s="856"/>
      <c r="AU8" s="855"/>
      <c r="AV8" s="855"/>
      <c r="AW8" s="855"/>
      <c r="AX8" s="854"/>
      <c r="AY8" s="855"/>
      <c r="AZ8" s="855"/>
      <c r="BA8" s="855"/>
      <c r="BB8" s="856"/>
      <c r="BC8" s="855"/>
      <c r="BD8" s="855"/>
      <c r="BE8" s="855"/>
      <c r="BF8" s="854"/>
      <c r="BG8" s="855"/>
      <c r="BH8" s="855"/>
      <c r="BI8" s="855"/>
      <c r="BJ8" s="856"/>
      <c r="BK8" s="855"/>
      <c r="BL8" s="855"/>
      <c r="BM8" s="855"/>
      <c r="BN8" s="854"/>
      <c r="BO8" s="855"/>
      <c r="BP8" s="855"/>
      <c r="BQ8" s="855"/>
      <c r="BR8" s="856"/>
      <c r="BS8" s="855"/>
      <c r="BT8" s="855"/>
      <c r="BU8" s="855"/>
      <c r="BV8" s="854"/>
    </row>
    <row r="9" spans="1:75" x14ac:dyDescent="0.2">
      <c r="A9" s="410" t="s">
        <v>856</v>
      </c>
      <c r="B9" s="410">
        <f t="shared" ref="B9:M9" si="5">B4-B13-B20</f>
        <v>182.42878492435125</v>
      </c>
      <c r="C9" s="410">
        <f t="shared" si="5"/>
        <v>147.41352608798388</v>
      </c>
      <c r="D9" s="410">
        <f t="shared" si="5"/>
        <v>-5.8500727170787741</v>
      </c>
      <c r="E9" s="410">
        <f t="shared" si="5"/>
        <v>35.627720996166545</v>
      </c>
      <c r="F9" s="410">
        <f t="shared" si="5"/>
        <v>255.73923314823696</v>
      </c>
      <c r="G9" s="410">
        <f t="shared" si="5"/>
        <v>-246.51065592960072</v>
      </c>
      <c r="H9" s="410">
        <f t="shared" si="5"/>
        <v>-154.95260822378407</v>
      </c>
      <c r="I9" s="410">
        <f t="shared" si="5"/>
        <v>-47.774957617334849</v>
      </c>
      <c r="J9" s="803">
        <f t="shared" si="5"/>
        <v>525.84106495828121</v>
      </c>
      <c r="K9" s="410">
        <f t="shared" si="5"/>
        <v>313.60960558070644</v>
      </c>
      <c r="L9" s="410">
        <f t="shared" si="5"/>
        <v>315.13198866041682</v>
      </c>
      <c r="M9" s="410">
        <f t="shared" si="5"/>
        <v>224.41950240756208</v>
      </c>
      <c r="N9" s="1528">
        <f>P9-M9</f>
        <v>-925.90914598607901</v>
      </c>
      <c r="O9" s="410">
        <f>O4-O13-O20</f>
        <v>628.74159424112304</v>
      </c>
      <c r="P9" s="410">
        <f>R9-O9</f>
        <v>-701.48964357851696</v>
      </c>
      <c r="Q9" s="410">
        <f>K9+L9+M9</f>
        <v>853.16109664868532</v>
      </c>
      <c r="R9" s="1381">
        <f t="shared" ref="R9:U9" si="6">R4-R13-R20</f>
        <v>-72.748049337393923</v>
      </c>
      <c r="S9" s="410">
        <f t="shared" si="6"/>
        <v>4.7019944716552686</v>
      </c>
      <c r="T9" s="410">
        <f t="shared" si="6"/>
        <v>343.70942526285131</v>
      </c>
      <c r="U9" s="410">
        <f t="shared" si="6"/>
        <v>77.903370433146421</v>
      </c>
      <c r="V9" s="1383">
        <f>X9-U9</f>
        <v>-155.88716520197332</v>
      </c>
      <c r="W9" s="410">
        <f>W4-W13-W20</f>
        <v>349.04597804875289</v>
      </c>
      <c r="X9" s="410">
        <f>Z9-W9</f>
        <v>-77.983794768826897</v>
      </c>
      <c r="Y9" s="410">
        <f>S9+T9+U9</f>
        <v>426.31479016765297</v>
      </c>
      <c r="Z9" s="1381">
        <f t="shared" ref="Z9:AC9" si="7">Z4-Z13-Z20</f>
        <v>271.06218327992599</v>
      </c>
      <c r="AA9" s="410">
        <f t="shared" si="7"/>
        <v>297.52054752703896</v>
      </c>
      <c r="AB9" s="410">
        <f t="shared" si="7"/>
        <v>306.76395738064724</v>
      </c>
      <c r="AC9" s="410">
        <f t="shared" si="7"/>
        <v>352.28324410638157</v>
      </c>
      <c r="AD9" s="1383">
        <f>AF9-AC9</f>
        <v>-651.86299201435838</v>
      </c>
      <c r="AE9" s="410">
        <f>AE4-AE13-AE20</f>
        <v>604.28450490768626</v>
      </c>
      <c r="AF9" s="410">
        <f>AH9-AE9</f>
        <v>-299.57974790797681</v>
      </c>
      <c r="AG9" s="410">
        <f>AA9+AB9+AC9</f>
        <v>956.56774901406766</v>
      </c>
      <c r="AH9" s="1381">
        <f t="shared" ref="AH9:AJ9" si="8">AH4-AH13-AH20</f>
        <v>304.70475699970945</v>
      </c>
      <c r="AI9" s="410">
        <f t="shared" si="8"/>
        <v>34.395229434219146</v>
      </c>
      <c r="AJ9" s="410">
        <f t="shared" si="8"/>
        <v>89.35672204090281</v>
      </c>
      <c r="AK9" s="858">
        <f>AN9/2</f>
        <v>188.12402426243881</v>
      </c>
      <c r="AL9" s="857">
        <f>AN9-AK9</f>
        <v>188.12402426243881</v>
      </c>
      <c r="AM9" s="410">
        <f>AM4-AM13-AM20</f>
        <v>123.75195147512241</v>
      </c>
      <c r="AN9" s="858">
        <f>AP9-AM9</f>
        <v>376.24804852487762</v>
      </c>
      <c r="AO9" s="858">
        <f>AI9+AJ9+AK9</f>
        <v>311.87597573756079</v>
      </c>
      <c r="AP9" s="1725">
        <v>500</v>
      </c>
      <c r="AQ9" s="858">
        <f>AU9/2</f>
        <v>125</v>
      </c>
      <c r="AR9" s="858">
        <f>AU9-AQ9</f>
        <v>125</v>
      </c>
      <c r="AS9" s="858">
        <f>AV9/2</f>
        <v>125</v>
      </c>
      <c r="AT9" s="857">
        <f>AV9-AS9</f>
        <v>125</v>
      </c>
      <c r="AU9" s="859">
        <f>AX9/2</f>
        <v>250</v>
      </c>
      <c r="AV9" s="858">
        <f>AX9-AU9</f>
        <v>250</v>
      </c>
      <c r="AW9" s="858">
        <f>AQ9+AR9+AS9</f>
        <v>375</v>
      </c>
      <c r="AX9" s="860">
        <f>AP9</f>
        <v>500</v>
      </c>
      <c r="AY9" s="858">
        <f>BC9/2</f>
        <v>125</v>
      </c>
      <c r="AZ9" s="858">
        <f>BC9-AY9</f>
        <v>125</v>
      </c>
      <c r="BA9" s="858">
        <f>BD9/2</f>
        <v>125</v>
      </c>
      <c r="BB9" s="857">
        <f>BD9-BA9</f>
        <v>125</v>
      </c>
      <c r="BC9" s="859">
        <f>BF9/2</f>
        <v>250</v>
      </c>
      <c r="BD9" s="858">
        <f>BF9-BC9</f>
        <v>250</v>
      </c>
      <c r="BE9" s="858">
        <f>AY9+AZ9+BA9</f>
        <v>375</v>
      </c>
      <c r="BF9" s="860">
        <f>AX9</f>
        <v>500</v>
      </c>
      <c r="BG9" s="858">
        <f>BK9/2</f>
        <v>125</v>
      </c>
      <c r="BH9" s="858">
        <f>BK9-BG9</f>
        <v>125</v>
      </c>
      <c r="BI9" s="858">
        <f>BL9/2</f>
        <v>125</v>
      </c>
      <c r="BJ9" s="857">
        <f>BL9-BI9</f>
        <v>125</v>
      </c>
      <c r="BK9" s="859">
        <f>BN9/2</f>
        <v>250</v>
      </c>
      <c r="BL9" s="858">
        <f>BN9-BK9</f>
        <v>250</v>
      </c>
      <c r="BM9" s="858">
        <f>BG9+BH9+BI9</f>
        <v>375</v>
      </c>
      <c r="BN9" s="860">
        <f>BF9</f>
        <v>500</v>
      </c>
      <c r="BO9" s="858">
        <f>BS9/2</f>
        <v>125</v>
      </c>
      <c r="BP9" s="858">
        <f>BS9-BO9</f>
        <v>125</v>
      </c>
      <c r="BQ9" s="858">
        <f>BT9/2</f>
        <v>125</v>
      </c>
      <c r="BR9" s="857">
        <f>BT9-BQ9</f>
        <v>125</v>
      </c>
      <c r="BS9" s="859">
        <f>BV9/2</f>
        <v>250</v>
      </c>
      <c r="BT9" s="858">
        <f>BV9-BS9</f>
        <v>250</v>
      </c>
      <c r="BU9" s="858">
        <f>BO9+BP9+BQ9</f>
        <v>375</v>
      </c>
      <c r="BV9" s="860">
        <f>BN9</f>
        <v>500</v>
      </c>
    </row>
    <row r="10" spans="1:75" x14ac:dyDescent="0.2">
      <c r="A10" s="197"/>
      <c r="B10" s="338"/>
      <c r="C10" s="269"/>
      <c r="D10" s="269"/>
      <c r="E10" s="269"/>
      <c r="F10" s="269"/>
      <c r="G10" s="269"/>
      <c r="H10" s="269"/>
      <c r="I10" s="269"/>
      <c r="J10" s="853"/>
      <c r="K10" s="269"/>
      <c r="L10" s="269"/>
      <c r="M10" s="269"/>
      <c r="N10" s="270"/>
      <c r="O10" s="269"/>
      <c r="P10" s="269"/>
      <c r="Q10" s="269"/>
      <c r="R10" s="1382"/>
      <c r="S10" s="269"/>
      <c r="T10" s="269"/>
      <c r="U10" s="269"/>
      <c r="V10" s="856"/>
      <c r="W10" s="269"/>
      <c r="X10" s="269"/>
      <c r="Y10" s="269"/>
      <c r="Z10" s="1382"/>
      <c r="AA10" s="269"/>
      <c r="AB10" s="269"/>
      <c r="AC10" s="269"/>
      <c r="AD10" s="856"/>
      <c r="AE10" s="269"/>
      <c r="AF10" s="269"/>
      <c r="AG10" s="269"/>
      <c r="AH10" s="1382"/>
      <c r="AI10" s="269"/>
      <c r="AJ10" s="269"/>
      <c r="AK10" s="855"/>
      <c r="AL10" s="856"/>
      <c r="AM10" s="269"/>
      <c r="AN10" s="855"/>
      <c r="AO10" s="855"/>
      <c r="AP10" s="854"/>
      <c r="AQ10" s="855"/>
      <c r="AR10" s="855"/>
      <c r="AS10" s="855"/>
      <c r="AT10" s="856"/>
      <c r="AU10" s="855"/>
      <c r="AV10" s="855"/>
      <c r="AW10" s="855"/>
      <c r="AX10" s="854"/>
      <c r="AY10" s="855"/>
      <c r="AZ10" s="855"/>
      <c r="BA10" s="855"/>
      <c r="BB10" s="856"/>
      <c r="BC10" s="855"/>
      <c r="BD10" s="855"/>
      <c r="BE10" s="855"/>
      <c r="BF10" s="854"/>
      <c r="BG10" s="855"/>
      <c r="BH10" s="855"/>
      <c r="BI10" s="855"/>
      <c r="BJ10" s="856"/>
      <c r="BK10" s="855"/>
      <c r="BL10" s="855"/>
      <c r="BM10" s="855"/>
      <c r="BN10" s="854"/>
      <c r="BO10" s="855"/>
      <c r="BP10" s="855"/>
      <c r="BQ10" s="855"/>
      <c r="BR10" s="856"/>
      <c r="BS10" s="855"/>
      <c r="BT10" s="855"/>
      <c r="BU10" s="855"/>
      <c r="BV10" s="854"/>
    </row>
    <row r="11" spans="1:75" x14ac:dyDescent="0.2">
      <c r="A11" s="4" t="s">
        <v>790</v>
      </c>
      <c r="B11" s="38">
        <f>((B49*(1-B67))*B80*(1-B98)*B119)+((B49*B67)*B80*B119)</f>
        <v>2434.8463387500001</v>
      </c>
      <c r="C11" s="4">
        <f>((C49*(1-C67))*C80*(1-C98)*C119)+((C49*C67)*C80*C119)</f>
        <v>2593.8504375000002</v>
      </c>
      <c r="D11" s="4">
        <f>((D49*(1-D67))*D80*(1-D98)*D119)+((D49*D67)*D80*(1-D105)*D119)</f>
        <v>2661.8752456593561</v>
      </c>
      <c r="E11" s="4">
        <f t="shared" ref="E11:BO11" si="9">((E49*(1-E67))*E80*(1-E98)*E119)+((E49*E67)*E80*(1-E105)*E119)</f>
        <v>2304.4394063987152</v>
      </c>
      <c r="F11" s="4">
        <f t="shared" si="9"/>
        <v>1726.9377958222017</v>
      </c>
      <c r="G11" s="4">
        <f t="shared" si="9"/>
        <v>695.06905793231363</v>
      </c>
      <c r="H11" s="4">
        <f t="shared" si="9"/>
        <v>279.62604795696302</v>
      </c>
      <c r="I11" s="4">
        <f t="shared" si="9"/>
        <v>164.34696023630119</v>
      </c>
      <c r="J11" s="180">
        <f t="shared" si="9"/>
        <v>86.263847222432489</v>
      </c>
      <c r="K11" s="4">
        <f t="shared" si="9"/>
        <v>19.922378008149355</v>
      </c>
      <c r="L11" s="4">
        <f t="shared" si="9"/>
        <v>11.953426804889613</v>
      </c>
      <c r="M11" s="4">
        <f t="shared" si="9"/>
        <v>18.59421947427273</v>
      </c>
      <c r="N11" s="179">
        <f t="shared" si="9"/>
        <v>18.59421947427273</v>
      </c>
      <c r="O11" s="4">
        <f t="shared" si="9"/>
        <v>31.875804813038968</v>
      </c>
      <c r="P11" s="4">
        <f t="shared" si="9"/>
        <v>37.188438948545461</v>
      </c>
      <c r="Q11" s="4">
        <f t="shared" si="9"/>
        <v>61.095292558324687</v>
      </c>
      <c r="R11" s="314">
        <f t="shared" si="9"/>
        <v>80.602850283176124</v>
      </c>
      <c r="S11" s="4">
        <f t="shared" ref="S11:U11" si="10">((S49*(1-S67))*S80*(1-S98)*S119)+((S49*S67)*S80*(1-S105)*S119)</f>
        <v>18.35847133450963</v>
      </c>
      <c r="T11" s="4">
        <f t="shared" si="10"/>
        <v>22.768990914912926</v>
      </c>
      <c r="U11" s="4">
        <f t="shared" si="10"/>
        <v>18.632238012304949</v>
      </c>
      <c r="V11" s="179">
        <f t="shared" ref="V11:V12" si="11">X11-U11</f>
        <v>27.328356012862141</v>
      </c>
      <c r="W11" s="4">
        <f t="shared" ref="W11" si="12">((W49*(1-W67))*W80*(1-W98)*W119)+((W49*W67)*W80*(1-W105)*W119)</f>
        <v>41.483703647102466</v>
      </c>
      <c r="X11" s="4">
        <f t="shared" ref="X11:X12" si="13">Z11-W11</f>
        <v>45.96059402516709</v>
      </c>
      <c r="Y11" s="4">
        <f t="shared" ref="Y11:Y12" si="14">S11+T11+U11</f>
        <v>59.759700261727502</v>
      </c>
      <c r="Z11" s="314">
        <f t="shared" ref="Z11:AA11" si="15">((Z49*(1-Z67))*Z80*(1-Z98)*Z119)+((Z49*Z67)*Z80*(1-Z105)*Z119)</f>
        <v>87.444297672269556</v>
      </c>
      <c r="AA11" s="4">
        <f t="shared" si="15"/>
        <v>18</v>
      </c>
      <c r="AB11" s="4">
        <f>AE11-AA11</f>
        <v>18.399999999999999</v>
      </c>
      <c r="AC11" s="4">
        <f t="shared" ref="AC11" si="16">((AC49*(1-AC67))*AC80*(1-AC98)*AC119)+((AC49*AC67)*AC80*(1-AC105)*AC119)</f>
        <v>17.399999999999999</v>
      </c>
      <c r="AD11" s="179">
        <f t="shared" ref="AD11:AD12" si="17">AF11-AC11</f>
        <v>8.6000000000000014</v>
      </c>
      <c r="AE11" s="4">
        <f t="shared" ref="AE11" si="18">((AE49*(1-AE67))*AE80*(1-AE98)*AE119)+((AE49*AE67)*AE80*(1-AE105)*AE119)</f>
        <v>36.4</v>
      </c>
      <c r="AF11" s="4">
        <f t="shared" ref="AF11:AF12" si="19">AH11-AE11</f>
        <v>26</v>
      </c>
      <c r="AG11" s="4">
        <f t="shared" ref="AG11:AG12" si="20">AA11+AB11+AC11</f>
        <v>53.8</v>
      </c>
      <c r="AH11" s="314">
        <f t="shared" ref="AH11" si="21">((AH49*(1-AH67))*AH80*(1-AH98)*AH119)+((AH49*AH67)*AH80*(1-AH105)*AH119)</f>
        <v>62.4</v>
      </c>
      <c r="AI11" s="4">
        <f t="shared" si="9"/>
        <v>17.64</v>
      </c>
      <c r="AJ11" s="4">
        <f>AM11-AI11</f>
        <v>12.543999999999997</v>
      </c>
      <c r="AK11" s="11">
        <f t="shared" si="9"/>
        <v>10.583999999999998</v>
      </c>
      <c r="AL11" s="181">
        <f t="shared" ref="AL11:AL12" si="22">AN11-AK11</f>
        <v>6.8399601161858978</v>
      </c>
      <c r="AM11" s="4">
        <f t="shared" ref="AM11" si="23">((AM49*(1-AM67))*AM80*(1-AM98)*AM119)+((AM49*AM67)*AM80*(1-AM105)*AM119)</f>
        <v>30.183999999999997</v>
      </c>
      <c r="AN11" s="11">
        <f t="shared" ref="AN11:AN12" si="24">AP11-AM11</f>
        <v>17.423960116185896</v>
      </c>
      <c r="AO11" s="11">
        <f t="shared" ref="AO11:AO12" si="25">AI11+AJ11+AK11</f>
        <v>40.767999999999994</v>
      </c>
      <c r="AP11" s="603">
        <f t="shared" si="9"/>
        <v>47.607960116185893</v>
      </c>
      <c r="AQ11" s="11">
        <f t="shared" si="9"/>
        <v>6.7227999999999994</v>
      </c>
      <c r="AR11" s="11">
        <f>AU11-AQ11</f>
        <v>7.6831999999999976</v>
      </c>
      <c r="AS11" s="11">
        <f t="shared" si="9"/>
        <v>6.7227999999999994</v>
      </c>
      <c r="AT11" s="181">
        <f t="shared" ref="AT11:AT12" si="26">AV11-AS11</f>
        <v>13.905784974916386</v>
      </c>
      <c r="AU11" s="11">
        <f t="shared" si="9"/>
        <v>14.405999999999997</v>
      </c>
      <c r="AV11" s="11">
        <f t="shared" ref="AV11:AV12" si="27">AX11-AU11</f>
        <v>20.628584974916386</v>
      </c>
      <c r="AW11" s="11">
        <f t="shared" ref="AW11:AW12" si="28">AQ11+AR11+AS11</f>
        <v>21.128799999999998</v>
      </c>
      <c r="AX11" s="603">
        <f t="shared" si="9"/>
        <v>35.034584974916385</v>
      </c>
      <c r="AY11" s="11">
        <f t="shared" si="9"/>
        <v>6.5883439999999993</v>
      </c>
      <c r="AZ11" s="11">
        <f>BC11-AY11</f>
        <v>7.5295359999999967</v>
      </c>
      <c r="BA11" s="11">
        <f t="shared" si="9"/>
        <v>6.5883439999999993</v>
      </c>
      <c r="BB11" s="181">
        <f t="shared" ref="BB11:BB12" si="29">BD11-BA11</f>
        <v>13.552230555239287</v>
      </c>
      <c r="BC11" s="11">
        <f t="shared" si="9"/>
        <v>14.117879999999996</v>
      </c>
      <c r="BD11" s="11">
        <f t="shared" ref="BD11:BD12" si="30">BF11-BC11</f>
        <v>20.140574555239287</v>
      </c>
      <c r="BE11" s="11">
        <f t="shared" ref="BE11:BE12" si="31">AY11+AZ11+BA11</f>
        <v>20.706223999999995</v>
      </c>
      <c r="BF11" s="603">
        <f t="shared" si="9"/>
        <v>34.258454555239283</v>
      </c>
      <c r="BG11" s="11">
        <f t="shared" si="9"/>
        <v>6.4565771199999986</v>
      </c>
      <c r="BH11" s="11">
        <f>BK11-BG11</f>
        <v>7.3789452799999999</v>
      </c>
      <c r="BI11" s="11">
        <f t="shared" si="9"/>
        <v>6.4565771199999986</v>
      </c>
      <c r="BJ11" s="181">
        <f t="shared" ref="BJ11:BJ12" si="32">BL11-BI11</f>
        <v>13.26362587980697</v>
      </c>
      <c r="BK11" s="11">
        <f t="shared" si="9"/>
        <v>13.835522399999999</v>
      </c>
      <c r="BL11" s="11">
        <f t="shared" ref="BL11:BL12" si="33">BN11-BK11</f>
        <v>19.720202999806968</v>
      </c>
      <c r="BM11" s="11">
        <f t="shared" ref="BM11:BM12" si="34">BG11+BH11+BI11</f>
        <v>20.292099519999997</v>
      </c>
      <c r="BN11" s="603">
        <f t="shared" si="9"/>
        <v>33.555725399806967</v>
      </c>
      <c r="BO11" s="11">
        <f t="shared" si="9"/>
        <v>6.3274455775999998</v>
      </c>
      <c r="BP11" s="11">
        <f>BS11-BO11</f>
        <v>7.2313663743999994</v>
      </c>
      <c r="BQ11" s="11">
        <f t="shared" ref="BQ11:BV11" si="35">((BQ49*(1-BQ67))*BQ80*(1-BQ98)*BQ119)+((BQ49*BQ67)*BQ80*(1-BQ105)*BQ119)</f>
        <v>6.3274455775999998</v>
      </c>
      <c r="BR11" s="181">
        <f t="shared" ref="BR11:BR12" si="36">BT11-BQ11</f>
        <v>12.216917122250297</v>
      </c>
      <c r="BS11" s="11">
        <f t="shared" si="35"/>
        <v>13.558811951999999</v>
      </c>
      <c r="BT11" s="11">
        <f t="shared" ref="BT11:BT12" si="37">BV11-BS11</f>
        <v>18.544362699850296</v>
      </c>
      <c r="BU11" s="11">
        <f t="shared" ref="BU11:BU12" si="38">BO11+BP11+BQ11</f>
        <v>19.886257529599998</v>
      </c>
      <c r="BV11" s="603">
        <f t="shared" si="35"/>
        <v>32.103174651850296</v>
      </c>
    </row>
    <row r="12" spans="1:75" x14ac:dyDescent="0.2">
      <c r="A12" s="4" t="s">
        <v>857</v>
      </c>
      <c r="B12" s="38">
        <f>((B50*(1-B67))*B81*(1-B99)*B120)+((B50*B67)*B81*(1-B105)*B120)</f>
        <v>0</v>
      </c>
      <c r="C12" s="4">
        <f t="shared" ref="C12:BN12" si="39">((C50*(1-C67))*C81*(1-C99)*C120)+((C50*C67)*C81*(1-C105)*C120)</f>
        <v>0</v>
      </c>
      <c r="D12" s="434">
        <f t="shared" si="39"/>
        <v>106.39303190161017</v>
      </c>
      <c r="E12" s="434">
        <f t="shared" si="39"/>
        <v>640.66129467321252</v>
      </c>
      <c r="F12" s="434">
        <f t="shared" si="39"/>
        <v>1939.0922767559039</v>
      </c>
      <c r="G12" s="434">
        <f t="shared" si="39"/>
        <v>3705.0839687213438</v>
      </c>
      <c r="H12" s="434">
        <f t="shared" si="39"/>
        <v>1851.5703346449484</v>
      </c>
      <c r="I12" s="434">
        <f t="shared" si="39"/>
        <v>1509.0534545441858</v>
      </c>
      <c r="J12" s="437">
        <f>((J50*(1-J67))*J81*(1-J99)*J120)+((J50*J67)*J81*(1-J105)*J120)</f>
        <v>2097.2193496460986</v>
      </c>
      <c r="K12" s="434">
        <f t="shared" si="39"/>
        <v>650.19683177012405</v>
      </c>
      <c r="L12" s="434">
        <f t="shared" si="39"/>
        <v>744.3510177914809</v>
      </c>
      <c r="M12" s="434">
        <f t="shared" si="39"/>
        <v>691.05619551524114</v>
      </c>
      <c r="N12" s="436">
        <f t="shared" si="39"/>
        <v>703.49165404636369</v>
      </c>
      <c r="O12" s="434">
        <f t="shared" si="39"/>
        <v>1394.5478495616051</v>
      </c>
      <c r="P12" s="434">
        <f t="shared" si="39"/>
        <v>1394.5478495616051</v>
      </c>
      <c r="Q12" s="434">
        <f>K12+L12+M12</f>
        <v>2085.604045076846</v>
      </c>
      <c r="R12" s="1117">
        <f>((R50*(1-R67))*R81*(1-R99)*R120)+((R50*R67)*R81*(1-R105)*R120)</f>
        <v>3749.2886023513183</v>
      </c>
      <c r="S12" s="434">
        <f>((S50*(1-S67))*S81*(1-S99)*S120)+((S50*S67)*S81*(1-S105)*S120)</f>
        <v>986.25783109794725</v>
      </c>
      <c r="T12" s="434">
        <f t="shared" ref="T12:U12" si="40">((T50*(1-T67))*T81*(1-T99)*T120)+((T50*T67)*T81*(1-T105)*T120)</f>
        <v>709.91400364554636</v>
      </c>
      <c r="U12" s="434">
        <f t="shared" si="40"/>
        <v>882.79481611900724</v>
      </c>
      <c r="V12" s="436">
        <f t="shared" si="11"/>
        <v>919.5443415693187</v>
      </c>
      <c r="W12" s="434">
        <f>((W50*(1-W67))*W81*(1-W99)*W120)+((W50*W67)*W81*(1-W105)*W120)</f>
        <v>1695.1810350315673</v>
      </c>
      <c r="X12" s="434">
        <f t="shared" si="13"/>
        <v>1802.3391576883259</v>
      </c>
      <c r="Y12" s="434">
        <f t="shared" si="14"/>
        <v>2578.9666508625005</v>
      </c>
      <c r="Z12" s="1117">
        <f>((Z50*(1-Z67))*Z81*(1-Z99)*Z120)+((Z50*Z67)*Z81*(1-Z105)*Z120)</f>
        <v>3497.5201927198932</v>
      </c>
      <c r="AA12" s="434">
        <f>((AA50*(1-AA67))*AA81*(1-AA99)*AA120)+((AA50*AA67)*AA81*(1-AA105)*AA120)</f>
        <v>807.46875</v>
      </c>
      <c r="AB12" s="434">
        <f>AE12-AA12</f>
        <v>942.13124999999991</v>
      </c>
      <c r="AC12" s="434">
        <f>((AC50*(1-AC67))*AC81*(1-AC99)*AC120)+((AC50*AC67)*AC81*(1-AC105)*AC120)</f>
        <v>1065.4349999999999</v>
      </c>
      <c r="AD12" s="436">
        <f t="shared" si="17"/>
        <v>1036.7400000000002</v>
      </c>
      <c r="AE12" s="434">
        <f>((AE50*(1-AE67))*AE81*(1-AE99)*AE120)+((AE50*AE67)*AE81*(1-AE105)*AE120)</f>
        <v>1749.6</v>
      </c>
      <c r="AF12" s="434">
        <f t="shared" si="19"/>
        <v>2102.1750000000002</v>
      </c>
      <c r="AG12" s="434">
        <f t="shared" si="20"/>
        <v>2815.0349999999999</v>
      </c>
      <c r="AH12" s="1117">
        <f>((AH50*(1-AH67))*AH81*(1-AH99)*AH120)+((AH50*AH67)*AH81*(1-AH105)*AH120)</f>
        <v>3851.7750000000001</v>
      </c>
      <c r="AI12" s="434">
        <f>((AI50*(1-AI67))*AI81*(1-AI99)*AI120)+((AI50*AI67)*AI81*(1-AI105)*AI120)</f>
        <v>1368.9</v>
      </c>
      <c r="AJ12" s="434">
        <f>AM12-AI12</f>
        <v>1201.98</v>
      </c>
      <c r="AK12" s="827">
        <f t="shared" si="39"/>
        <v>1164.8520000000001</v>
      </c>
      <c r="AL12" s="861">
        <f t="shared" si="22"/>
        <v>1264.5094041015634</v>
      </c>
      <c r="AM12" s="434">
        <f>((AM50*(1-AM67))*AM81*(1-AM99)*AM120)+((AM50*AM67)*AM81*(1-AM105)*AM120)</f>
        <v>2570.88</v>
      </c>
      <c r="AN12" s="827">
        <f t="shared" si="24"/>
        <v>2429.3614041015635</v>
      </c>
      <c r="AO12" s="827">
        <f t="shared" si="25"/>
        <v>3735.732</v>
      </c>
      <c r="AP12" s="701">
        <f t="shared" si="39"/>
        <v>5000.2414041015636</v>
      </c>
      <c r="AQ12" s="827">
        <f t="shared" si="39"/>
        <v>1151.9040000000002</v>
      </c>
      <c r="AR12" s="827">
        <f>AU12-AQ12</f>
        <v>1174.2120000000002</v>
      </c>
      <c r="AS12" s="827">
        <f t="shared" si="39"/>
        <v>1176.2400000000002</v>
      </c>
      <c r="AT12" s="861">
        <f t="shared" si="26"/>
        <v>2011.9546428913045</v>
      </c>
      <c r="AU12" s="827">
        <f t="shared" si="39"/>
        <v>2326.1160000000004</v>
      </c>
      <c r="AV12" s="827">
        <f t="shared" si="27"/>
        <v>3188.1946428913047</v>
      </c>
      <c r="AW12" s="827">
        <f t="shared" si="28"/>
        <v>3502.3560000000007</v>
      </c>
      <c r="AX12" s="701">
        <f t="shared" si="39"/>
        <v>5514.3106428913052</v>
      </c>
      <c r="AY12" s="827">
        <f t="shared" si="39"/>
        <v>1332.9638400000006</v>
      </c>
      <c r="AZ12" s="827">
        <f>BC12-AY12</f>
        <v>1351.9459200000003</v>
      </c>
      <c r="BA12" s="827">
        <f t="shared" si="39"/>
        <v>1356.1641600000005</v>
      </c>
      <c r="BB12" s="861">
        <f t="shared" si="29"/>
        <v>2166.8747734363378</v>
      </c>
      <c r="BC12" s="827">
        <f t="shared" si="39"/>
        <v>2684.9097600000009</v>
      </c>
      <c r="BD12" s="827">
        <f t="shared" si="30"/>
        <v>3523.0389334363385</v>
      </c>
      <c r="BE12" s="827">
        <f t="shared" si="31"/>
        <v>4041.0739200000016</v>
      </c>
      <c r="BF12" s="701">
        <f t="shared" si="39"/>
        <v>6207.9486934363395</v>
      </c>
      <c r="BG12" s="827">
        <f t="shared" si="39"/>
        <v>1416.9911808000004</v>
      </c>
      <c r="BH12" s="827">
        <f>BK12-BG12</f>
        <v>1412.6042112000007</v>
      </c>
      <c r="BI12" s="827">
        <f t="shared" si="39"/>
        <v>1416.9911808000004</v>
      </c>
      <c r="BJ12" s="861">
        <f t="shared" si="32"/>
        <v>2257.5850533556504</v>
      </c>
      <c r="BK12" s="827">
        <f t="shared" si="39"/>
        <v>2829.5953920000011</v>
      </c>
      <c r="BL12" s="827">
        <f t="shared" si="33"/>
        <v>3674.576234155651</v>
      </c>
      <c r="BM12" s="827">
        <f t="shared" si="34"/>
        <v>4246.5865728000017</v>
      </c>
      <c r="BN12" s="701">
        <f t="shared" si="39"/>
        <v>6504.1716261556521</v>
      </c>
      <c r="BO12" s="827">
        <f t="shared" ref="BO12:BV12" si="41">((BO50*(1-BO67))*BO81*(1-BO99)*BO120)+((BO50*BO67)*BO81*(1-BO105)*BO120)</f>
        <v>1450.8585861120005</v>
      </c>
      <c r="BP12" s="827">
        <f>BS12-BO12</f>
        <v>1448.5773619200004</v>
      </c>
      <c r="BQ12" s="827">
        <f t="shared" si="41"/>
        <v>1450.8585861120005</v>
      </c>
      <c r="BR12" s="861">
        <f t="shared" si="36"/>
        <v>2295.2769183233218</v>
      </c>
      <c r="BS12" s="827">
        <f t="shared" si="41"/>
        <v>2899.4359480320009</v>
      </c>
      <c r="BT12" s="827">
        <f t="shared" si="37"/>
        <v>3746.1355044353222</v>
      </c>
      <c r="BU12" s="827">
        <f t="shared" si="38"/>
        <v>4350.2945341440009</v>
      </c>
      <c r="BV12" s="701">
        <f t="shared" si="41"/>
        <v>6645.5714524673231</v>
      </c>
    </row>
    <row r="13" spans="1:75" x14ac:dyDescent="0.2">
      <c r="A13" s="410" t="s">
        <v>858</v>
      </c>
      <c r="B13" s="410">
        <f t="shared" ref="B13:G13" si="42">SUM(B11:B12)</f>
        <v>2434.8463387500001</v>
      </c>
      <c r="C13" s="410">
        <f t="shared" si="42"/>
        <v>2593.8504375000002</v>
      </c>
      <c r="D13" s="410">
        <f t="shared" si="42"/>
        <v>2768.2682775609665</v>
      </c>
      <c r="E13" s="410">
        <f>SUM(E11:E12)</f>
        <v>2945.1007010719277</v>
      </c>
      <c r="F13" s="410">
        <f t="shared" si="42"/>
        <v>3666.0300725781053</v>
      </c>
      <c r="G13" s="410">
        <f t="shared" si="42"/>
        <v>4400.1530266536574</v>
      </c>
      <c r="H13" s="410">
        <f t="shared" ref="H13:BS13" si="43">SUM(H11:H12)</f>
        <v>2131.1963826019114</v>
      </c>
      <c r="I13" s="410">
        <f t="shared" si="43"/>
        <v>1673.4004147804869</v>
      </c>
      <c r="J13" s="803">
        <f t="shared" si="43"/>
        <v>2183.4831968685312</v>
      </c>
      <c r="K13" s="410">
        <f>SUM(K11:K12)</f>
        <v>670.11920977827344</v>
      </c>
      <c r="L13" s="410">
        <f t="shared" si="43"/>
        <v>756.30444459637056</v>
      </c>
      <c r="M13" s="410">
        <f>SUM(M11:M12)</f>
        <v>709.65041498951382</v>
      </c>
      <c r="N13" s="1383">
        <f t="shared" si="43"/>
        <v>722.08587352063637</v>
      </c>
      <c r="O13" s="410">
        <f>SUM(O11:O12)</f>
        <v>1426.423654374644</v>
      </c>
      <c r="P13" s="410">
        <f t="shared" si="43"/>
        <v>1431.7362885101504</v>
      </c>
      <c r="Q13" s="410">
        <f t="shared" si="43"/>
        <v>2146.6993376351707</v>
      </c>
      <c r="R13" s="1381">
        <f t="shared" ref="R13" si="44">SUM(R11:R12)</f>
        <v>3829.8914526344943</v>
      </c>
      <c r="S13" s="410">
        <f>SUM(S11:S12)</f>
        <v>1004.6163024324569</v>
      </c>
      <c r="T13" s="410">
        <f t="shared" ref="T13" si="45">SUM(T11:T12)</f>
        <v>732.68299456045929</v>
      </c>
      <c r="U13" s="410">
        <f>SUM(U11:U12)</f>
        <v>901.42705413131216</v>
      </c>
      <c r="V13" s="1383">
        <f t="shared" si="43"/>
        <v>946.87269758218088</v>
      </c>
      <c r="W13" s="410">
        <f>SUM(W11:W12)</f>
        <v>1736.6647386786697</v>
      </c>
      <c r="X13" s="410">
        <f t="shared" ref="X13" si="46">SUM(X11:X12)</f>
        <v>1848.2997517134929</v>
      </c>
      <c r="Y13" s="410">
        <f t="shared" ref="Y13:Z13" si="47">SUM(Y11:Y12)</f>
        <v>2638.7263511242281</v>
      </c>
      <c r="Z13" s="1381">
        <f t="shared" si="47"/>
        <v>3584.9644903921626</v>
      </c>
      <c r="AA13" s="410">
        <f>SUM(AA11:AA12)</f>
        <v>825.46875</v>
      </c>
      <c r="AB13" s="410">
        <f t="shared" ref="AB13" si="48">SUM(AB11:AB12)</f>
        <v>960.53124999999989</v>
      </c>
      <c r="AC13" s="410">
        <f>SUM(AC11:AC12)</f>
        <v>1082.835</v>
      </c>
      <c r="AD13" s="1383">
        <f t="shared" si="43"/>
        <v>1045.3400000000001</v>
      </c>
      <c r="AE13" s="410">
        <f>SUM(AE11:AE12)</f>
        <v>1786</v>
      </c>
      <c r="AF13" s="410">
        <f t="shared" si="43"/>
        <v>2128.1750000000002</v>
      </c>
      <c r="AG13" s="410">
        <f t="shared" si="43"/>
        <v>2868.835</v>
      </c>
      <c r="AH13" s="1381">
        <f t="shared" si="43"/>
        <v>3914.1750000000002</v>
      </c>
      <c r="AI13" s="410">
        <f t="shared" si="43"/>
        <v>1386.5400000000002</v>
      </c>
      <c r="AJ13" s="410">
        <f t="shared" si="43"/>
        <v>1214.5240000000001</v>
      </c>
      <c r="AK13" s="858">
        <f t="shared" si="43"/>
        <v>1175.4360000000001</v>
      </c>
      <c r="AL13" s="857">
        <f t="shared" si="43"/>
        <v>1271.3493642177493</v>
      </c>
      <c r="AM13" s="410">
        <f>SUM(AM11:AM12)</f>
        <v>2601.0640000000003</v>
      </c>
      <c r="AN13" s="858">
        <f t="shared" si="43"/>
        <v>2446.7853642177492</v>
      </c>
      <c r="AO13" s="858">
        <f t="shared" si="43"/>
        <v>3776.5</v>
      </c>
      <c r="AP13" s="860">
        <f t="shared" si="43"/>
        <v>5047.8493642177491</v>
      </c>
      <c r="AQ13" s="858">
        <f t="shared" si="43"/>
        <v>1158.6268000000002</v>
      </c>
      <c r="AR13" s="858">
        <f t="shared" si="43"/>
        <v>1181.8952000000002</v>
      </c>
      <c r="AS13" s="858">
        <f t="shared" si="43"/>
        <v>1182.9628000000002</v>
      </c>
      <c r="AT13" s="857">
        <f t="shared" si="43"/>
        <v>2025.8604278662208</v>
      </c>
      <c r="AU13" s="858">
        <f t="shared" si="43"/>
        <v>2340.5220000000004</v>
      </c>
      <c r="AV13" s="858">
        <f t="shared" si="43"/>
        <v>3208.8232278662213</v>
      </c>
      <c r="AW13" s="858">
        <f t="shared" si="43"/>
        <v>3523.4848000000006</v>
      </c>
      <c r="AX13" s="860">
        <f t="shared" si="43"/>
        <v>5549.3452278662216</v>
      </c>
      <c r="AY13" s="858">
        <f t="shared" si="43"/>
        <v>1339.5521840000006</v>
      </c>
      <c r="AZ13" s="858">
        <f t="shared" si="43"/>
        <v>1359.4754560000003</v>
      </c>
      <c r="BA13" s="858">
        <f t="shared" si="43"/>
        <v>1362.7525040000005</v>
      </c>
      <c r="BB13" s="857">
        <f t="shared" si="43"/>
        <v>2180.4270039915773</v>
      </c>
      <c r="BC13" s="858">
        <f t="shared" si="43"/>
        <v>2699.0276400000007</v>
      </c>
      <c r="BD13" s="858">
        <f t="shared" si="43"/>
        <v>3543.1795079915778</v>
      </c>
      <c r="BE13" s="858">
        <f t="shared" si="43"/>
        <v>4061.7801440000017</v>
      </c>
      <c r="BF13" s="860">
        <f t="shared" si="43"/>
        <v>6242.2071479915785</v>
      </c>
      <c r="BG13" s="858">
        <f t="shared" si="43"/>
        <v>1423.4477579200004</v>
      </c>
      <c r="BH13" s="858">
        <f t="shared" si="43"/>
        <v>1419.9831564800006</v>
      </c>
      <c r="BI13" s="858">
        <f t="shared" si="43"/>
        <v>1423.4477579200004</v>
      </c>
      <c r="BJ13" s="857">
        <f t="shared" si="43"/>
        <v>2270.8486792354574</v>
      </c>
      <c r="BK13" s="858">
        <f t="shared" si="43"/>
        <v>2843.4309144000013</v>
      </c>
      <c r="BL13" s="858">
        <f t="shared" si="43"/>
        <v>3694.2964371554581</v>
      </c>
      <c r="BM13" s="858">
        <f t="shared" si="43"/>
        <v>4266.8786723200019</v>
      </c>
      <c r="BN13" s="860">
        <f t="shared" si="43"/>
        <v>6537.7273515554589</v>
      </c>
      <c r="BO13" s="858">
        <f t="shared" si="43"/>
        <v>1457.1860316896004</v>
      </c>
      <c r="BP13" s="858">
        <f t="shared" si="43"/>
        <v>1455.8087282944005</v>
      </c>
      <c r="BQ13" s="858">
        <f t="shared" si="43"/>
        <v>1457.1860316896004</v>
      </c>
      <c r="BR13" s="857">
        <f t="shared" si="43"/>
        <v>2307.4938354455721</v>
      </c>
      <c r="BS13" s="858">
        <f t="shared" si="43"/>
        <v>2912.9947599840007</v>
      </c>
      <c r="BT13" s="858">
        <f t="shared" ref="BT13:BV13" si="49">SUM(BT11:BT12)</f>
        <v>3764.6798671351726</v>
      </c>
      <c r="BU13" s="858">
        <f t="shared" si="49"/>
        <v>4370.1807916736007</v>
      </c>
      <c r="BV13" s="860">
        <f t="shared" si="49"/>
        <v>6677.6746271191732</v>
      </c>
    </row>
    <row r="14" spans="1:75" x14ac:dyDescent="0.2">
      <c r="A14" s="186"/>
      <c r="B14" s="186"/>
      <c r="C14" s="186"/>
      <c r="D14" s="186"/>
      <c r="E14" s="186"/>
      <c r="F14" s="186"/>
      <c r="G14" s="186"/>
      <c r="H14" s="186"/>
      <c r="I14" s="186"/>
      <c r="J14" s="284"/>
      <c r="K14" s="186"/>
      <c r="L14" s="186"/>
      <c r="M14" s="186"/>
      <c r="N14" s="283"/>
      <c r="O14" s="186"/>
      <c r="P14" s="186"/>
      <c r="Q14" s="186"/>
      <c r="R14" s="341"/>
      <c r="S14" s="186"/>
      <c r="T14" s="186"/>
      <c r="U14" s="186"/>
      <c r="V14" s="283"/>
      <c r="W14" s="186"/>
      <c r="X14" s="186"/>
      <c r="Y14" s="186"/>
      <c r="Z14" s="341"/>
      <c r="AA14" s="186"/>
      <c r="AB14" s="186"/>
      <c r="AC14" s="186"/>
      <c r="AD14" s="283"/>
      <c r="AE14" s="186"/>
      <c r="AF14" s="186"/>
      <c r="AG14" s="186"/>
      <c r="AH14" s="341"/>
      <c r="AI14" s="186"/>
      <c r="AJ14" s="186"/>
      <c r="AK14" s="186"/>
      <c r="AL14" s="283"/>
      <c r="AM14" s="186"/>
      <c r="AN14" s="186"/>
      <c r="AO14" s="186"/>
      <c r="AP14" s="341"/>
      <c r="AQ14" s="186"/>
      <c r="AR14" s="186"/>
      <c r="AS14" s="186"/>
      <c r="AT14" s="283"/>
      <c r="AU14" s="186"/>
      <c r="AV14" s="186"/>
      <c r="AW14" s="186"/>
      <c r="AX14" s="341"/>
      <c r="AY14" s="186"/>
      <c r="AZ14" s="186"/>
      <c r="BA14" s="186"/>
      <c r="BB14" s="283"/>
      <c r="BC14" s="186"/>
      <c r="BD14" s="186"/>
      <c r="BE14" s="186"/>
      <c r="BF14" s="341"/>
      <c r="BG14" s="186"/>
      <c r="BH14" s="186"/>
      <c r="BI14" s="186"/>
      <c r="BJ14" s="283"/>
      <c r="BK14" s="186"/>
      <c r="BL14" s="186"/>
      <c r="BM14" s="186"/>
      <c r="BN14" s="341"/>
      <c r="BO14" s="186"/>
      <c r="BP14" s="186"/>
      <c r="BQ14" s="186"/>
      <c r="BR14" s="283"/>
      <c r="BS14" s="186"/>
      <c r="BT14" s="186"/>
      <c r="BU14" s="186"/>
      <c r="BV14" s="341"/>
    </row>
    <row r="15" spans="1:75" x14ac:dyDescent="0.2">
      <c r="A15" s="4" t="s">
        <v>802</v>
      </c>
      <c r="B15" s="4">
        <f t="shared" ref="B15:K15" si="50">((B54*(1-B68))*B82*(1-B100)*B121)+((B54*B68)*B82*B121)</f>
        <v>510.21360000000004</v>
      </c>
      <c r="C15" s="4">
        <f t="shared" si="50"/>
        <v>486.68708399999997</v>
      </c>
      <c r="D15" s="4">
        <f t="shared" si="50"/>
        <v>499.26621686999999</v>
      </c>
      <c r="E15" s="4">
        <f t="shared" si="50"/>
        <v>381.72868413210006</v>
      </c>
      <c r="F15" s="4">
        <f t="shared" si="50"/>
        <v>239.12580659875198</v>
      </c>
      <c r="G15" s="4">
        <f t="shared" si="50"/>
        <v>226.42224812319324</v>
      </c>
      <c r="H15" s="4">
        <f t="shared" si="50"/>
        <v>183.13786169030953</v>
      </c>
      <c r="I15" s="4">
        <f t="shared" si="50"/>
        <v>128.67425412675661</v>
      </c>
      <c r="J15" s="180">
        <f t="shared" si="50"/>
        <v>136.8459840096881</v>
      </c>
      <c r="K15" s="4">
        <f t="shared" si="50"/>
        <v>32.034400802267896</v>
      </c>
      <c r="L15" s="4">
        <f>O15-K15</f>
        <v>32.034400802267896</v>
      </c>
      <c r="M15" s="4">
        <f>((M54*(1-M68))*M82*(1-M100)*M121)+((M54*M68)*M82*M121)</f>
        <v>32.034400802267896</v>
      </c>
      <c r="N15" s="179">
        <f>P15-M15</f>
        <v>44.848161123175032</v>
      </c>
      <c r="O15" s="4">
        <f>((O54*(1-O68))*O82*(1-O100)*O121)+((O54*O68)*O82*O121)</f>
        <v>64.068801604535793</v>
      </c>
      <c r="P15" s="4">
        <f>R15-O15</f>
        <v>76.882561925442928</v>
      </c>
      <c r="Q15" s="4">
        <f>K15+L15+M15</f>
        <v>96.103202406803689</v>
      </c>
      <c r="R15" s="314">
        <f>((R54*(1-R68))*R82*(1-R100)*R121)+((R54*R68)*R82*R121)</f>
        <v>140.95136352997872</v>
      </c>
      <c r="S15" s="4">
        <f t="shared" ref="S15" si="51">((S54*(1-S68))*S82*(1-S100)*S121)+((S54*S68)*S82*S121)</f>
        <v>35.942597700144574</v>
      </c>
      <c r="T15" s="4">
        <f>W15-S15</f>
        <v>35.942597700144574</v>
      </c>
      <c r="U15" s="4">
        <f>((U54*(1-U68))*U82*(1-U100)*U121)+((U54*U68)*U82*U121)</f>
        <v>35.942597700144574</v>
      </c>
      <c r="V15" s="179">
        <f>X15-U15</f>
        <v>-15.575125670062633</v>
      </c>
      <c r="W15" s="4">
        <f>((W54*(1-W68))*W82*(1-W100)*W121)+((W54*W68)*W82*W121)</f>
        <v>71.885195400289149</v>
      </c>
      <c r="X15" s="4">
        <f>Z15-W15</f>
        <v>20.367472030081942</v>
      </c>
      <c r="Y15" s="4">
        <f>S15+T15+U15</f>
        <v>107.82779310043372</v>
      </c>
      <c r="Z15" s="314">
        <f>((Z54*(1-Z68))*Z82*(1-Z100)*Z121)+((Z54*Z68)*Z82*Z121)</f>
        <v>92.252667430371091</v>
      </c>
      <c r="AA15" s="4">
        <f>((AA54*(1-AA68))*AA82*(1-AA100)*AA121)+((AA54*AA68)*AA82*AA121)</f>
        <v>45.788400000000003</v>
      </c>
      <c r="AB15" s="4">
        <f>AE15-AA15</f>
        <v>52.329599999999992</v>
      </c>
      <c r="AC15" s="4">
        <f>((AC54*(1-AC68))*AC82*(1-AC100)*AC121)+((AC54*AC68)*AC82*AC121)</f>
        <v>58.870800000000003</v>
      </c>
      <c r="AD15" s="179">
        <f>AF15-AC15</f>
        <v>26.164800000000014</v>
      </c>
      <c r="AE15" s="4">
        <f>((AE54*(1-AE68))*AE82*(1-AE100)*AE121)+((AE54*AE68)*AE82*AE121)</f>
        <v>98.117999999999995</v>
      </c>
      <c r="AF15" s="4">
        <f>AH15-AE15</f>
        <v>85.035600000000017</v>
      </c>
      <c r="AG15" s="4">
        <f>AA15+AB15+AC15</f>
        <v>156.9888</v>
      </c>
      <c r="AH15" s="314">
        <f>((AH54*(1-AH68))*AH82*(1-AH100)*AH121)+((AH54*AH68)*AH82*AH121)</f>
        <v>183.15360000000001</v>
      </c>
      <c r="AI15" s="4">
        <f>((AI54*(1-AI68))*AI82*(1-AI100)*AI121)+((AI54*AI68)*AI82*AI121)</f>
        <v>53.899488000000012</v>
      </c>
      <c r="AJ15" s="4">
        <f>AM15-AI15</f>
        <v>47.162051999999981</v>
      </c>
      <c r="AK15" s="11">
        <f>((AK54*(1-AK68))*AK82*(1-AK100)*AK121)+((AK54*AK68)*AK82*AK121)</f>
        <v>30.318462000000004</v>
      </c>
      <c r="AL15" s="181">
        <f>AN15-AK15</f>
        <v>30.318462000000032</v>
      </c>
      <c r="AM15" s="4">
        <f>((AM54*(1-AM68))*AM82*(1-AM100)*AM121)+((AM54*AM68)*AM82*AM121)</f>
        <v>101.06153999999999</v>
      </c>
      <c r="AN15" s="11">
        <f>AP15-AM15</f>
        <v>60.636924000000036</v>
      </c>
      <c r="AO15" s="11">
        <f>AI15+AJ15+AK15</f>
        <v>131.38000199999999</v>
      </c>
      <c r="AP15" s="603">
        <f>((AP54*(1-AP68))*AP82*(1-AP100)*AP121)+((AP54*AP68)*AP82*AP121)</f>
        <v>161.69846400000003</v>
      </c>
      <c r="AQ15" s="11">
        <f>((AQ54*(1-AQ68))*AQ82*(1-AQ100)*AQ121)+((AQ54*AQ68)*AQ82*AQ121)</f>
        <v>0</v>
      </c>
      <c r="AR15" s="11">
        <f>AU15-AQ15</f>
        <v>0</v>
      </c>
      <c r="AS15" s="11">
        <f>((AS54*(1-AS68))*AS82*(1-AS100)*AS121)+((AS54*AS68)*AS82*AS121)</f>
        <v>0</v>
      </c>
      <c r="AT15" s="181">
        <f>AV15-AS15</f>
        <v>0</v>
      </c>
      <c r="AU15" s="11">
        <f>((AU54*(1-AU68))*AU82*(1-AU100)*AU121)+((AU54*AU68)*AU82*AU121)</f>
        <v>0</v>
      </c>
      <c r="AV15" s="11">
        <f>AX15-AU15</f>
        <v>0</v>
      </c>
      <c r="AW15" s="11">
        <f>AQ15+AR15+AS15</f>
        <v>0</v>
      </c>
      <c r="AX15" s="603">
        <f>((AX54*(1-AX68))*AX82*(1-AX100)*AX121)+((AX54*AX68)*AX82*AX121)</f>
        <v>0</v>
      </c>
      <c r="AY15" s="11">
        <f>((AY54*(1-AY68))*AY82*(1-AY100)*AY121)+((AY54*AY68)*AY82*AY121)</f>
        <v>0</v>
      </c>
      <c r="AZ15" s="11">
        <f>BC15-AY15</f>
        <v>0</v>
      </c>
      <c r="BA15" s="11">
        <f>((BA54*(1-BA68))*BA82*(1-BA100)*BA121)+((BA54*BA68)*BA82*BA121)</f>
        <v>0</v>
      </c>
      <c r="BB15" s="181">
        <f>BD15-BA15</f>
        <v>0</v>
      </c>
      <c r="BC15" s="11">
        <f>((BC54*(1-BC68))*BC82*(1-BC100)*BC121)+((BC54*BC68)*BC82*BC121)</f>
        <v>0</v>
      </c>
      <c r="BD15" s="11">
        <f>BF15-BC15</f>
        <v>0</v>
      </c>
      <c r="BE15" s="11">
        <f>AY15+AZ15+BA15</f>
        <v>0</v>
      </c>
      <c r="BF15" s="603">
        <f>((BF54*(1-BF68))*BF82*(1-BF100)*BF121)+((BF54*BF68)*BF82*BF121)</f>
        <v>0</v>
      </c>
      <c r="BG15" s="11">
        <f>((BG54*(1-BG68))*BG82*(1-BG100)*BG121)+((BG54*BG68)*BG82*BG121)</f>
        <v>0</v>
      </c>
      <c r="BH15" s="11">
        <f>BK15-BG15</f>
        <v>0</v>
      </c>
      <c r="BI15" s="11">
        <f>((BI54*(1-BI68))*BI82*(1-BI100)*BI121)+((BI54*BI68)*BI82*BI121)</f>
        <v>0</v>
      </c>
      <c r="BJ15" s="181">
        <f>BL15-BI15</f>
        <v>0</v>
      </c>
      <c r="BK15" s="11">
        <f>((BK54*(1-BK68))*BK82*(1-BK100)*BK121)+((BK54*BK68)*BK82*BK121)</f>
        <v>0</v>
      </c>
      <c r="BL15" s="11">
        <f>BN15-BK15</f>
        <v>0</v>
      </c>
      <c r="BM15" s="11">
        <f>BG15+BH15+BI15</f>
        <v>0</v>
      </c>
      <c r="BN15" s="603">
        <f>((BN54*(1-BN68))*BN82*(1-BN100)*BN121)+((BN54*BN68)*BN82*BN121)</f>
        <v>0</v>
      </c>
      <c r="BO15" s="11">
        <f>((BO54*(1-BO68))*BO82*(1-BO100)*BO121)+((BO54*BO68)*BO82*BO121)</f>
        <v>0</v>
      </c>
      <c r="BP15" s="11">
        <f>BS15-BO15</f>
        <v>0</v>
      </c>
      <c r="BQ15" s="11">
        <f>((BQ54*(1-BQ68))*BQ82*(1-BQ100)*BQ121)+((BQ54*BQ68)*BQ82*BQ121)</f>
        <v>0</v>
      </c>
      <c r="BR15" s="181">
        <f>BT15-BQ15</f>
        <v>0</v>
      </c>
      <c r="BS15" s="11">
        <f>((BS54*(1-BS68))*BS82*(1-BS100)*BS121)+((BS54*BS68)*BS82*BS121)</f>
        <v>0</v>
      </c>
      <c r="BT15" s="11">
        <f>BV15-BS15</f>
        <v>0</v>
      </c>
      <c r="BU15" s="11">
        <f>BO15+BP15+BQ15</f>
        <v>0</v>
      </c>
      <c r="BV15" s="603">
        <f>((BV54*(1-BV68))*BV82*(1-BV100)*BV121)+((BV54*BV68)*BV82*BV121)</f>
        <v>0</v>
      </c>
    </row>
    <row r="16" spans="1:75" x14ac:dyDescent="0.2">
      <c r="A16" s="4" t="s">
        <v>859</v>
      </c>
      <c r="B16" s="4">
        <f t="shared" ref="B16:K16" si="52">((B55*(1-B68))*B83*(1-B101)*B122)+((B55*B68)*B83*B122)</f>
        <v>0</v>
      </c>
      <c r="C16" s="4">
        <f t="shared" si="52"/>
        <v>0</v>
      </c>
      <c r="D16" s="4">
        <f t="shared" si="52"/>
        <v>0</v>
      </c>
      <c r="E16" s="4">
        <f t="shared" si="52"/>
        <v>0</v>
      </c>
      <c r="F16" s="4">
        <f t="shared" si="52"/>
        <v>0</v>
      </c>
      <c r="G16" s="4">
        <f t="shared" si="52"/>
        <v>45.364063635933746</v>
      </c>
      <c r="H16" s="4">
        <f t="shared" si="52"/>
        <v>0</v>
      </c>
      <c r="I16" s="4">
        <f t="shared" si="52"/>
        <v>0</v>
      </c>
      <c r="J16" s="180">
        <f t="shared" si="52"/>
        <v>0</v>
      </c>
      <c r="K16" s="4">
        <f t="shared" si="52"/>
        <v>0</v>
      </c>
      <c r="L16" s="4">
        <f>O16-K16</f>
        <v>0</v>
      </c>
      <c r="M16" s="4">
        <f>((M55*(1-M68))*M83*(1-M101)*M122)+((M55*M68)*M83*M122)</f>
        <v>0</v>
      </c>
      <c r="N16" s="179">
        <f>P16-M16</f>
        <v>0</v>
      </c>
      <c r="O16" s="4">
        <f>((O55*(1-O68))*O83*(1-O101)*O122)+((O55*O68)*O83*O122)</f>
        <v>0</v>
      </c>
      <c r="P16" s="4">
        <f>R16-O16</f>
        <v>0</v>
      </c>
      <c r="Q16" s="4">
        <f>K16+L16+M16</f>
        <v>0</v>
      </c>
      <c r="R16" s="314">
        <f>((R55*(1-R68))*R83*(1-R101)*R122)+((R55*R68)*R83*R122)</f>
        <v>0</v>
      </c>
      <c r="S16" s="4">
        <f t="shared" ref="S16" si="53">((S55*(1-S68))*S83*(1-S101)*S122)+((S55*S68)*S83*S122)</f>
        <v>0</v>
      </c>
      <c r="T16" s="4">
        <f>W16-S16</f>
        <v>0</v>
      </c>
      <c r="U16" s="4">
        <f>((U55*(1-U68))*U83*(1-U101)*U122)+((U55*U68)*U83*U122)</f>
        <v>0</v>
      </c>
      <c r="V16" s="179">
        <f>X16-U16</f>
        <v>0</v>
      </c>
      <c r="W16" s="4">
        <f>((W55*(1-W68))*W83*(1-W101)*W122)+((W55*W68)*W83*W122)</f>
        <v>0</v>
      </c>
      <c r="X16" s="4">
        <f>Z16-W16</f>
        <v>0</v>
      </c>
      <c r="Y16" s="4">
        <f>S16+T16+U16</f>
        <v>0</v>
      </c>
      <c r="Z16" s="314">
        <f>((Z55*(1-Z68))*Z83*(1-Z101)*Z122)+((Z55*Z68)*Z83*Z122)</f>
        <v>0</v>
      </c>
      <c r="AA16" s="4">
        <f t="shared" ref="AA16" si="54">((AA55*(1-AA68))*AA83*(1-AA101)*AA122)+((AA55*AA68)*AA83*AA122)</f>
        <v>0</v>
      </c>
      <c r="AB16" s="4">
        <f>AE16-AA16</f>
        <v>0</v>
      </c>
      <c r="AC16" s="4">
        <f>((AC55*(1-AC68))*AC83*(1-AC101)*AC122)+((AC55*AC68)*AC83*AC122)</f>
        <v>0</v>
      </c>
      <c r="AD16" s="179">
        <f>AF16-AC16</f>
        <v>0</v>
      </c>
      <c r="AE16" s="4">
        <f>((AE55*(1-AE68))*AE83*(1-AE101)*AE122)+((AE55*AE68)*AE83*AE122)</f>
        <v>0</v>
      </c>
      <c r="AF16" s="4">
        <f>AH16-AE16</f>
        <v>0</v>
      </c>
      <c r="AG16" s="4">
        <f>AA16+AB16+AC16</f>
        <v>0</v>
      </c>
      <c r="AH16" s="314">
        <f>((AH55*(1-AH68))*AH83*(1-AH101)*AH122)+((AH55*AH68)*AH83*AH122)</f>
        <v>0</v>
      </c>
      <c r="AI16" s="4">
        <f>((AI55*(1-AI68))*AI83*(1-AI101)*AI122)+((AI55*AI68)*AI83*AI122)</f>
        <v>0</v>
      </c>
      <c r="AJ16" s="4">
        <f>AM16-AI16</f>
        <v>0</v>
      </c>
      <c r="AK16" s="11">
        <f>((AK55*(1-AK68))*AK83*(1-AK101)*AK122)+((AK55*AK68)*AK83*AK122)</f>
        <v>0</v>
      </c>
      <c r="AL16" s="181">
        <f>AN16-AK16</f>
        <v>0</v>
      </c>
      <c r="AM16" s="4">
        <f>((AM55*(1-AM68))*AM83*(1-AM101)*AM122)+((AM55*AM68)*AM83*AM122)</f>
        <v>0</v>
      </c>
      <c r="AN16" s="11">
        <f>AP16-AM16</f>
        <v>0</v>
      </c>
      <c r="AO16" s="11">
        <f>AI16+AJ16+AK16</f>
        <v>0</v>
      </c>
      <c r="AP16" s="603">
        <f>((AP55*(1-AP68))*AP83*(1-AP101)*AP122)+((AP55*AP68)*AP83*AP122)</f>
        <v>0</v>
      </c>
      <c r="AQ16" s="11">
        <f>((AQ55*(1-AQ68))*AQ83*(1-AQ101)*AQ122)+((AQ55*AQ68)*AQ83*AQ122)</f>
        <v>22.406208000000003</v>
      </c>
      <c r="AR16" s="11">
        <f>AU16-AQ16</f>
        <v>22.406208000000003</v>
      </c>
      <c r="AS16" s="11">
        <f>((AS55*(1-AS68))*AS83*(1-AS101)*AS122)+((AS55*AS68)*AS83*AS122)</f>
        <v>22.406208000000003</v>
      </c>
      <c r="AT16" s="181">
        <f>AV16-AS16</f>
        <v>35.849932800000033</v>
      </c>
      <c r="AU16" s="11">
        <f>((AU55*(1-AU68))*AU83*(1-AU101)*AU122)+((AU55*AU68)*AU83*AU122)</f>
        <v>44.812416000000006</v>
      </c>
      <c r="AV16" s="11">
        <f>AX16-AU16</f>
        <v>58.256140800000033</v>
      </c>
      <c r="AW16" s="11">
        <f>AQ16+AR16+AS16</f>
        <v>67.218624000000005</v>
      </c>
      <c r="AX16" s="603">
        <f>((AX55*(1-AX68))*AX83*(1-AX101)*AX122)+((AX55*AX68)*AX83*AX122)</f>
        <v>103.06855680000004</v>
      </c>
      <c r="AY16" s="11">
        <f>((AY55*(1-AY68))*AY83*(1-AY101)*AY122)+((AY55*AY68)*AY83*AY122)</f>
        <v>23.078394240000005</v>
      </c>
      <c r="AZ16" s="11">
        <f>BC16-AY16</f>
        <v>23.078394240000005</v>
      </c>
      <c r="BA16" s="11">
        <f>((BA55*(1-BA68))*BA83*(1-BA101)*BA122)+((BA55*BA68)*BA83*BA122)</f>
        <v>23.078394240000005</v>
      </c>
      <c r="BB16" s="181">
        <f>BD16-BA16</f>
        <v>36.925430784000028</v>
      </c>
      <c r="BC16" s="11">
        <f>((BC55*(1-BC68))*BC83*(1-BC101)*BC122)+((BC55*BC68)*BC83*BC122)</f>
        <v>46.15678848000001</v>
      </c>
      <c r="BD16" s="11">
        <f>BF16-BC16</f>
        <v>60.003825024000029</v>
      </c>
      <c r="BE16" s="11">
        <f>AY16+AZ16+BA16</f>
        <v>69.235182720000012</v>
      </c>
      <c r="BF16" s="603">
        <f>((BF55*(1-BF68))*BF83*(1-BF101)*BF122)+((BF55*BF68)*BF83*BF122)</f>
        <v>106.16061350400004</v>
      </c>
      <c r="BG16" s="11">
        <f>((BG55*(1-BG68))*BG83*(1-BG101)*BG122)+((BG55*BG68)*BG83*BG122)</f>
        <v>23.770746067200005</v>
      </c>
      <c r="BH16" s="11">
        <f>BK16-BG16</f>
        <v>23.770746067200005</v>
      </c>
      <c r="BI16" s="11">
        <f>((BI55*(1-BI68))*BI83*(1-BI101)*BI122)+((BI55*BI68)*BI83*BI122)</f>
        <v>23.770746067200005</v>
      </c>
      <c r="BJ16" s="181">
        <f>BL16-BI16</f>
        <v>38.033193707520027</v>
      </c>
      <c r="BK16" s="11">
        <f>((BK55*(1-BK68))*BK83*(1-BK101)*BK122)+((BK55*BK68)*BK83*BK122)</f>
        <v>47.541492134400009</v>
      </c>
      <c r="BL16" s="11">
        <f>BN16-BK16</f>
        <v>61.803939774720028</v>
      </c>
      <c r="BM16" s="11">
        <f>BG16+BH16+BI16</f>
        <v>71.31223820160001</v>
      </c>
      <c r="BN16" s="603">
        <f>((BN55*(1-BN68))*BN83*(1-BN101)*BN122)+((BN55*BN68)*BN83*BN122)</f>
        <v>109.34543190912004</v>
      </c>
      <c r="BO16" s="11">
        <f>((BO55*(1-BO68))*BO83*(1-BO101)*BO122)+((BO55*BO68)*BO83*BO122)</f>
        <v>24.483868449216008</v>
      </c>
      <c r="BP16" s="11">
        <f>BS16-BO16</f>
        <v>24.483868449216008</v>
      </c>
      <c r="BQ16" s="11">
        <f>((BQ55*(1-BQ68))*BQ83*(1-BQ101)*BQ122)+((BQ55*BQ68)*BQ83*BQ122)</f>
        <v>24.483868449216008</v>
      </c>
      <c r="BR16" s="181">
        <f>BT16-BQ16</f>
        <v>39.174189518745607</v>
      </c>
      <c r="BS16" s="11">
        <f>((BS55*(1-BS68))*BS83*(1-BS101)*BS122)+((BS55*BS68)*BS83*BS122)</f>
        <v>48.967736898432015</v>
      </c>
      <c r="BT16" s="11">
        <f>BV16-BS16</f>
        <v>63.658057967961618</v>
      </c>
      <c r="BU16" s="11">
        <f>BO16+BP16+BQ16</f>
        <v>73.451605347648027</v>
      </c>
      <c r="BV16" s="603">
        <f>((BV55*(1-BV68))*BV83*(1-BV101)*BV122)+((BV55*BV68)*BV83*BV122)</f>
        <v>112.62579486639363</v>
      </c>
    </row>
    <row r="17" spans="1:75" x14ac:dyDescent="0.2">
      <c r="A17" s="4" t="s">
        <v>860</v>
      </c>
      <c r="B17" s="4">
        <f t="shared" ref="B17:K17" si="55">((B56*(1-B68))*B84*(1-B102)*B123)+((B56*B68)*B84*B123)</f>
        <v>130.41</v>
      </c>
      <c r="C17" s="4">
        <f t="shared" si="55"/>
        <v>133.17759000000001</v>
      </c>
      <c r="D17" s="4">
        <f t="shared" si="55"/>
        <v>114.73141207500001</v>
      </c>
      <c r="E17" s="4">
        <f t="shared" si="55"/>
        <v>14.093358591374997</v>
      </c>
      <c r="F17" s="4">
        <f t="shared" si="55"/>
        <v>1.6553408289074998</v>
      </c>
      <c r="G17" s="4">
        <f t="shared" si="55"/>
        <v>0</v>
      </c>
      <c r="H17" s="4">
        <f t="shared" si="55"/>
        <v>0</v>
      </c>
      <c r="I17" s="4">
        <f t="shared" si="55"/>
        <v>0</v>
      </c>
      <c r="J17" s="180">
        <f t="shared" si="55"/>
        <v>0</v>
      </c>
      <c r="K17" s="4">
        <f t="shared" si="55"/>
        <v>0</v>
      </c>
      <c r="L17" s="4">
        <f>O17-K17</f>
        <v>0</v>
      </c>
      <c r="M17" s="4">
        <f>((M56*(1-M68))*M84*(1-M102)*M123)+((M56*M68)*M84*M123)</f>
        <v>0</v>
      </c>
      <c r="N17" s="179">
        <f>P17-M17</f>
        <v>0</v>
      </c>
      <c r="O17" s="4">
        <f>((O56*(1-O68))*O84*(1-O102)*O123)+((O56*O68)*O84*O123)</f>
        <v>0</v>
      </c>
      <c r="P17" s="4">
        <f>R17-O17</f>
        <v>0</v>
      </c>
      <c r="Q17" s="4">
        <f>K17+L17+M17</f>
        <v>0</v>
      </c>
      <c r="R17" s="314">
        <f>((R56*(1-R68))*R84*(1-R102)*R123)+((R56*R68)*R84*R123)</f>
        <v>0</v>
      </c>
      <c r="S17" s="4">
        <f t="shared" ref="S17" si="56">((S56*(1-S68))*S84*(1-S102)*S123)+((S56*S68)*S84*S123)</f>
        <v>0</v>
      </c>
      <c r="T17" s="4">
        <f>W17-S17</f>
        <v>0</v>
      </c>
      <c r="U17" s="4">
        <f>((U56*(1-U68))*U84*(1-U102)*U123)+((U56*U68)*U84*U123)</f>
        <v>0</v>
      </c>
      <c r="V17" s="179">
        <f>X17-U17</f>
        <v>0</v>
      </c>
      <c r="W17" s="4">
        <f>((W56*(1-W68))*W84*(1-W102)*W123)+((W56*W68)*W84*W123)</f>
        <v>0</v>
      </c>
      <c r="X17" s="4">
        <f>Z17-W17</f>
        <v>0</v>
      </c>
      <c r="Y17" s="4">
        <f>S17+T17+U17</f>
        <v>0</v>
      </c>
      <c r="Z17" s="314">
        <f>((Z56*(1-Z68))*Z84*(1-Z102)*Z123)+((Z56*Z68)*Z84*Z123)</f>
        <v>0</v>
      </c>
      <c r="AA17" s="4">
        <f t="shared" ref="AA17" si="57">((AA56*(1-AA68))*AA84*(1-AA102)*AA123)+((AA56*AA68)*AA84*AA123)</f>
        <v>0</v>
      </c>
      <c r="AB17" s="4">
        <f>AE17-AA17</f>
        <v>0</v>
      </c>
      <c r="AC17" s="4">
        <f>((AC56*(1-AC68))*AC84*(1-AC102)*AC123)+((AC56*AC68)*AC84*AC123)</f>
        <v>0</v>
      </c>
      <c r="AD17" s="179">
        <f>AF17-AC17</f>
        <v>0</v>
      </c>
      <c r="AE17" s="4">
        <f>((AE56*(1-AE68))*AE84*(1-AE102)*AE123)+((AE56*AE68)*AE84*AE123)</f>
        <v>0</v>
      </c>
      <c r="AF17" s="4">
        <f>AH17-AE17</f>
        <v>0</v>
      </c>
      <c r="AG17" s="4">
        <f>AA17+AB17+AC17</f>
        <v>0</v>
      </c>
      <c r="AH17" s="314">
        <f>((AH56*(1-AH68))*AH84*(1-AH102)*AH123)+((AH56*AH68)*AH84*AH123)</f>
        <v>0</v>
      </c>
      <c r="AI17" s="4">
        <f>((AI56*(1-AI68))*AI84*(1-AI102)*AI123)+((AI56*AI68)*AI84*AI123)</f>
        <v>0</v>
      </c>
      <c r="AJ17" s="4">
        <f>AM17-AI17</f>
        <v>0</v>
      </c>
      <c r="AK17" s="11">
        <f>((AK56*(1-AK68))*AK84*(1-AK102)*AK123)+((AK56*AK68)*AK84*AK123)</f>
        <v>0</v>
      </c>
      <c r="AL17" s="181">
        <f>AN17-AK17</f>
        <v>0</v>
      </c>
      <c r="AM17" s="4">
        <f>((AM56*(1-AM68))*AM84*(1-AM102)*AM123)+((AM56*AM68)*AM84*AM123)</f>
        <v>0</v>
      </c>
      <c r="AN17" s="11">
        <f>AP17-AM17</f>
        <v>0</v>
      </c>
      <c r="AO17" s="11">
        <f>AI17+AJ17+AK17</f>
        <v>0</v>
      </c>
      <c r="AP17" s="603">
        <f>((AP56*(1-AP68))*AP84*(1-AP102)*AP123)+((AP56*AP68)*AP84*AP123)</f>
        <v>0</v>
      </c>
      <c r="AQ17" s="11">
        <f>((AQ56*(1-AQ68))*AQ84*(1-AQ102)*AQ123)+((AQ56*AQ68)*AQ84*AQ123)</f>
        <v>0</v>
      </c>
      <c r="AR17" s="11">
        <f>AU17-AQ17</f>
        <v>0</v>
      </c>
      <c r="AS17" s="11">
        <f>((AS56*(1-AS68))*AS84*(1-AS102)*AS123)+((AS56*AS68)*AS84*AS123)</f>
        <v>0</v>
      </c>
      <c r="AT17" s="181">
        <f>AV17-AS17</f>
        <v>0</v>
      </c>
      <c r="AU17" s="11">
        <f>((AU56*(1-AU68))*AU84*(1-AU102)*AU123)+((AU56*AU68)*AU84*AU123)</f>
        <v>0</v>
      </c>
      <c r="AV17" s="11">
        <f>AX17-AU17</f>
        <v>0</v>
      </c>
      <c r="AW17" s="11">
        <f>AQ17+AR17+AS17</f>
        <v>0</v>
      </c>
      <c r="AX17" s="603">
        <f>((AX56*(1-AX68))*AX84*(1-AX102)*AX123)+((AX56*AX68)*AX84*AX123)</f>
        <v>0</v>
      </c>
      <c r="AY17" s="11">
        <f>((AY56*(1-AY68))*AY84*(1-AY102)*AY123)+((AY56*AY68)*AY84*AY123)</f>
        <v>0</v>
      </c>
      <c r="AZ17" s="11">
        <f>BC17-AY17</f>
        <v>0</v>
      </c>
      <c r="BA17" s="11">
        <f>((BA56*(1-BA68))*BA84*(1-BA102)*BA123)+((BA56*BA68)*BA84*BA123)</f>
        <v>0</v>
      </c>
      <c r="BB17" s="181">
        <f>BD17-BA17</f>
        <v>0</v>
      </c>
      <c r="BC17" s="11">
        <f>((BC56*(1-BC68))*BC84*(1-BC102)*BC123)+((BC56*BC68)*BC84*BC123)</f>
        <v>0</v>
      </c>
      <c r="BD17" s="11">
        <f>BF17-BC17</f>
        <v>0</v>
      </c>
      <c r="BE17" s="11">
        <f>AY17+AZ17+BA17</f>
        <v>0</v>
      </c>
      <c r="BF17" s="603">
        <f>((BF56*(1-BF68))*BF84*(1-BF102)*BF123)+((BF56*BF68)*BF84*BF123)</f>
        <v>0</v>
      </c>
      <c r="BG17" s="11">
        <f>((BG56*(1-BG68))*BG84*(1-BG102)*BG123)+((BG56*BG68)*BG84*BG123)</f>
        <v>0</v>
      </c>
      <c r="BH17" s="11">
        <f>BK17-BG17</f>
        <v>0</v>
      </c>
      <c r="BI17" s="11">
        <f>((BI56*(1-BI68))*BI84*(1-BI102)*BI123)+((BI56*BI68)*BI84*BI123)</f>
        <v>0</v>
      </c>
      <c r="BJ17" s="181">
        <f>BL17-BI17</f>
        <v>0</v>
      </c>
      <c r="BK17" s="11">
        <f>((BK56*(1-BK68))*BK84*(1-BK102)*BK123)+((BK56*BK68)*BK84*BK123)</f>
        <v>0</v>
      </c>
      <c r="BL17" s="11">
        <f>BN17-BK17</f>
        <v>0</v>
      </c>
      <c r="BM17" s="11">
        <f>BG17+BH17+BI17</f>
        <v>0</v>
      </c>
      <c r="BN17" s="603">
        <f>((BN56*(1-BN68))*BN84*(1-BN102)*BN123)+((BN56*BN68)*BN84*BN123)</f>
        <v>0</v>
      </c>
      <c r="BO17" s="11">
        <f>((BO56*(1-BO68))*BO84*(1-BO102)*BO123)+((BO56*BO68)*BO84*BO123)</f>
        <v>0</v>
      </c>
      <c r="BP17" s="11">
        <f>BS17-BO17</f>
        <v>0</v>
      </c>
      <c r="BQ17" s="11">
        <f>((BQ56*(1-BQ68))*BQ84*(1-BQ102)*BQ123)+((BQ56*BQ68)*BQ84*BQ123)</f>
        <v>0</v>
      </c>
      <c r="BR17" s="181">
        <f>BT17-BQ17</f>
        <v>0</v>
      </c>
      <c r="BS17" s="11">
        <f>((BS56*(1-BS68))*BS84*(1-BS102)*BS123)+((BS56*BS68)*BS84*BS123)</f>
        <v>0</v>
      </c>
      <c r="BT17" s="11">
        <f>BV17-BS17</f>
        <v>0</v>
      </c>
      <c r="BU17" s="11">
        <f>BO17+BP17+BQ17</f>
        <v>0</v>
      </c>
      <c r="BV17" s="603">
        <f>((BV56*(1-BV68))*BV84*(1-BV102)*BV123)+((BV56*BV68)*BV84*BV123)</f>
        <v>0</v>
      </c>
    </row>
    <row r="18" spans="1:75" x14ac:dyDescent="0.2">
      <c r="A18" s="4" t="s">
        <v>861</v>
      </c>
      <c r="B18" s="4">
        <f t="shared" ref="B18:K18" si="58">((B57*(1-B68))*B85*(1-B103)*B124)+((B57*B68)*B85*B124)</f>
        <v>166.58325000000002</v>
      </c>
      <c r="C18" s="4">
        <f t="shared" si="58"/>
        <v>172.76150999999999</v>
      </c>
      <c r="D18" s="4">
        <f t="shared" si="58"/>
        <v>191.90194519687498</v>
      </c>
      <c r="E18" s="4">
        <f t="shared" si="58"/>
        <v>159.33324851915626</v>
      </c>
      <c r="F18" s="4">
        <f t="shared" si="58"/>
        <v>182.28455556421875</v>
      </c>
      <c r="G18" s="4">
        <f t="shared" si="58"/>
        <v>220.9288813438331</v>
      </c>
      <c r="H18" s="4">
        <f t="shared" si="58"/>
        <v>157.71744624334008</v>
      </c>
      <c r="I18" s="4">
        <f t="shared" si="58"/>
        <v>78.470256505307134</v>
      </c>
      <c r="J18" s="180">
        <f t="shared" si="58"/>
        <v>66.762940511055618</v>
      </c>
      <c r="K18" s="4">
        <f t="shared" si="58"/>
        <v>11.721448078361471</v>
      </c>
      <c r="L18" s="4">
        <f>O18-K18</f>
        <v>13.284307822143001</v>
      </c>
      <c r="M18" s="4">
        <f>((M57*(1-M68))*M85*(1-M103)*M124)+((M57*M68)*M85*M124)</f>
        <v>15.628597437815294</v>
      </c>
      <c r="N18" s="179">
        <f>P18-M18</f>
        <v>57.700781740414079</v>
      </c>
      <c r="O18" s="4">
        <f>((O57*(1-O68))*O85*(1-O103)*O124)+((O57*O68)*O85*O124)</f>
        <v>25.005755900504472</v>
      </c>
      <c r="P18" s="4">
        <f>R18-O18</f>
        <v>73.329379178229374</v>
      </c>
      <c r="Q18" s="4">
        <f>K18+L18+M18</f>
        <v>40.634353338319769</v>
      </c>
      <c r="R18" s="314">
        <f>((R57*(1-R68))*R85*(1-R103)*R124)+((R57*R68)*R85*R124)</f>
        <v>98.335135078733842</v>
      </c>
      <c r="S18" s="4">
        <f t="shared" ref="S18" si="59">((S57*(1-S68))*S85*(1-S103)*S124)+((S57*S68)*S85*S124)</f>
        <v>24.549400855320265</v>
      </c>
      <c r="T18" s="4">
        <f>W18-S18</f>
        <v>7.8908788463529405</v>
      </c>
      <c r="U18" s="4">
        <f>((U57*(1-U68))*U85*(1-U103)*U124)+((U57*U68)*U85*U124)</f>
        <v>25.426165171581701</v>
      </c>
      <c r="V18" s="179">
        <f>X18-U18</f>
        <v>55.674534082601298</v>
      </c>
      <c r="W18" s="4">
        <f>((W57*(1-W68))*W85*(1-W103)*W124)+((W57*W68)*W85*W124)</f>
        <v>32.440279701673205</v>
      </c>
      <c r="X18" s="4">
        <f>Z18-W18</f>
        <v>81.100699254182999</v>
      </c>
      <c r="Y18" s="4">
        <f>S18+T18+U18</f>
        <v>57.866444873254906</v>
      </c>
      <c r="Z18" s="314">
        <f>((Z57*(1-Z68))*Z85*(1-Z103)*Z124)+((Z57*Z68)*Z85*Z124)</f>
        <v>113.5409789558562</v>
      </c>
      <c r="AA18" s="4">
        <f t="shared" ref="AA18" si="60">((AA57*(1-AA68))*AA85*(1-AA103)*AA124)+((AA57*AA68)*AA85*AA124)</f>
        <v>20.7</v>
      </c>
      <c r="AB18" s="4">
        <f>AE18-AA18</f>
        <v>20.7</v>
      </c>
      <c r="AC18" s="4">
        <f>((AC57*(1-AC68))*AC85*(1-AC103)*AC124)+((AC57*AC68)*AC85*AC124)</f>
        <v>27.168749999999999</v>
      </c>
      <c r="AD18" s="179">
        <f>AF18-AC18</f>
        <v>27.168749999999999</v>
      </c>
      <c r="AE18" s="4">
        <f>((AE57*(1-AE68))*AE85*(1-AE103)*AE124)+((AE57*AE68)*AE85*AE124)</f>
        <v>41.4</v>
      </c>
      <c r="AF18" s="4">
        <f>AH18-AE18</f>
        <v>54.337499999999999</v>
      </c>
      <c r="AG18" s="4">
        <f>AA18+AB18+AC18</f>
        <v>68.568749999999994</v>
      </c>
      <c r="AH18" s="314">
        <f>((AH57*(1-AH68))*AH85*(1-AH103)*AH124)+((AH57*AH68)*AH85*AH124)</f>
        <v>95.737499999999997</v>
      </c>
      <c r="AI18" s="4">
        <f>((AI57*(1-AI68))*AI85*(1-AI103)*AI124)+((AI57*AI68)*AI85*AI124)</f>
        <v>15.99075</v>
      </c>
      <c r="AJ18" s="4">
        <f>AM18-AI18</f>
        <v>39.08850000000001</v>
      </c>
      <c r="AK18" s="11">
        <f>((AK57*(1-AK68))*AK85*(1-AK103)*AK124)+((AK57*AK68)*AK85*AK124)</f>
        <v>45.751312500000019</v>
      </c>
      <c r="AL18" s="181">
        <f>AN18-AK18</f>
        <v>45.751312500000004</v>
      </c>
      <c r="AM18" s="4">
        <f>((AM57*(1-AM68))*AM85*(1-AM103)*AM124)+((AM57*AM68)*AM85*AM124)</f>
        <v>55.079250000000009</v>
      </c>
      <c r="AN18" s="11">
        <f>AP18-AM18</f>
        <v>91.502625000000023</v>
      </c>
      <c r="AO18" s="11">
        <f>AI18+AJ18+AK18</f>
        <v>100.83056250000003</v>
      </c>
      <c r="AP18" s="603">
        <f>((AP57*(1-AP68))*AP85*(1-AP103)*AP124)+((AP57*AP68)*AP85*AP124)</f>
        <v>146.58187500000003</v>
      </c>
      <c r="AQ18" s="11">
        <f>((AQ57*(1-AQ68))*AQ85*(1-AQ103)*AQ124)+((AQ57*AQ68)*AQ85*AQ124)</f>
        <v>39.385912499999996</v>
      </c>
      <c r="AR18" s="11">
        <f>AU18-AQ18</f>
        <v>39.385912499999996</v>
      </c>
      <c r="AS18" s="11">
        <f>((AS57*(1-AS68))*AS85*(1-AS103)*AS124)+((AS57*AS68)*AS85*AS124)</f>
        <v>39.385912499999996</v>
      </c>
      <c r="AT18" s="181">
        <f>AV18-AS18</f>
        <v>63.017460000000035</v>
      </c>
      <c r="AU18" s="11">
        <f>((AU57*(1-AU68))*AU85*(1-AU103)*AU124)+((AU57*AU68)*AU85*AU124)</f>
        <v>78.771824999999993</v>
      </c>
      <c r="AV18" s="11">
        <f>AX18-AU18</f>
        <v>102.40337250000003</v>
      </c>
      <c r="AW18" s="11">
        <f>AQ18+AR18+AS18</f>
        <v>118.1577375</v>
      </c>
      <c r="AX18" s="603">
        <f>((AX57*(1-AX68))*AX85*(1-AX103)*AX124)+((AX57*AX68)*AX85*AX124)</f>
        <v>181.17519750000002</v>
      </c>
      <c r="AY18" s="11">
        <f>((AY57*(1-AY68))*AY85*(1-AY103)*AY124)+((AY57*AY68)*AY85*AY124)</f>
        <v>40.567489875000007</v>
      </c>
      <c r="AZ18" s="11">
        <f>BC18-AY18</f>
        <v>40.567489875000007</v>
      </c>
      <c r="BA18" s="11">
        <f>((BA57*(1-BA68))*BA85*(1-BA103)*BA124)+((BA57*BA68)*BA85*BA124)</f>
        <v>40.567489875000007</v>
      </c>
      <c r="BB18" s="181">
        <f>BD18-BA18</f>
        <v>64.907983799999982</v>
      </c>
      <c r="BC18" s="11">
        <f>((BC57*(1-BC68))*BC85*(1-BC103)*BC124)+((BC57*BC68)*BC85*BC124)</f>
        <v>81.134979750000014</v>
      </c>
      <c r="BD18" s="11">
        <f>BF18-BC18</f>
        <v>105.47547367499999</v>
      </c>
      <c r="BE18" s="11">
        <f>AY18+AZ18+BA18</f>
        <v>121.70246962500002</v>
      </c>
      <c r="BF18" s="603">
        <f>((BF57*(1-BF68))*BF85*(1-BF103)*BF124)+((BF57*BF68)*BF85*BF124)</f>
        <v>186.610453425</v>
      </c>
      <c r="BG18" s="11">
        <f>((BG57*(1-BG68))*BG85*(1-BG103)*BG124)+((BG57*BG68)*BG85*BG124)</f>
        <v>41.78451457125</v>
      </c>
      <c r="BH18" s="11">
        <f>BK18-BG18</f>
        <v>41.78451457125</v>
      </c>
      <c r="BI18" s="11">
        <f>((BI57*(1-BI68))*BI85*(1-BI103)*BI124)+((BI57*BI68)*BI85*BI124)</f>
        <v>41.78451457125</v>
      </c>
      <c r="BJ18" s="181">
        <f>BL18-BI18</f>
        <v>66.855223314000014</v>
      </c>
      <c r="BK18" s="11">
        <f>((BK57*(1-BK68))*BK85*(1-BK103)*BK124)+((BK57*BK68)*BK85*BK124)</f>
        <v>83.5690291425</v>
      </c>
      <c r="BL18" s="11">
        <f>BN18-BK18</f>
        <v>108.63973788525001</v>
      </c>
      <c r="BM18" s="11">
        <f>BG18+BH18+BI18</f>
        <v>125.35354371375</v>
      </c>
      <c r="BN18" s="603">
        <f>((BN57*(1-BN68))*BN85*(1-BN103)*BN124)+((BN57*BN68)*BN85*BN124)</f>
        <v>192.20876702775001</v>
      </c>
      <c r="BO18" s="11">
        <f>((BO57*(1-BO68))*BO85*(1-BO103)*BO124)+((BO57*BO68)*BO85*BO124)</f>
        <v>43.038050008387508</v>
      </c>
      <c r="BP18" s="11">
        <f>BS18-BO18</f>
        <v>43.038050008387508</v>
      </c>
      <c r="BQ18" s="11">
        <f>((BQ57*(1-BQ68))*BQ85*(1-BQ103)*BQ124)+((BQ57*BQ68)*BQ85*BQ124)</f>
        <v>43.038050008387508</v>
      </c>
      <c r="BR18" s="181">
        <f>BT18-BQ18</f>
        <v>68.860880013419973</v>
      </c>
      <c r="BS18" s="11">
        <f>((BS57*(1-BS68))*BS85*(1-BS103)*BS124)+((BS57*BS68)*BS85*BS124)</f>
        <v>86.076100016775015</v>
      </c>
      <c r="BT18" s="11">
        <f>BV18-BS18</f>
        <v>111.89893002180749</v>
      </c>
      <c r="BU18" s="11">
        <f>BO18+BP18+BQ18</f>
        <v>129.11415002516253</v>
      </c>
      <c r="BV18" s="603">
        <f>((BV57*(1-BV68))*BV85*(1-BV103)*BV124)+((BV57*BV68)*BV85*BV124)</f>
        <v>197.9750300385825</v>
      </c>
    </row>
    <row r="19" spans="1:75" x14ac:dyDescent="0.2">
      <c r="A19" s="4" t="s">
        <v>862</v>
      </c>
      <c r="B19" s="4">
        <f t="shared" ref="B19:K19" si="61">((B58*(1-B68))*B86*(1-B104)*B125)+((B58*B68)*B86*B125)</f>
        <v>108.675</v>
      </c>
      <c r="C19" s="4">
        <f t="shared" si="61"/>
        <v>120.21525</v>
      </c>
      <c r="D19" s="4">
        <f t="shared" si="61"/>
        <v>129.5711893125</v>
      </c>
      <c r="E19" s="4">
        <f t="shared" si="61"/>
        <v>93.955723942500015</v>
      </c>
      <c r="F19" s="4">
        <f t="shared" si="61"/>
        <v>104.04999495989999</v>
      </c>
      <c r="G19" s="4">
        <f t="shared" si="61"/>
        <v>93.148393215237761</v>
      </c>
      <c r="H19" s="4">
        <f t="shared" si="61"/>
        <v>122.20949768822251</v>
      </c>
      <c r="I19" s="4">
        <f t="shared" si="61"/>
        <v>110.70668620478466</v>
      </c>
      <c r="J19" s="180">
        <f t="shared" si="61"/>
        <v>71.72505095444491</v>
      </c>
      <c r="K19" s="4">
        <f t="shared" si="61"/>
        <v>12.671835760390781</v>
      </c>
      <c r="L19" s="4">
        <f>O19-K19</f>
        <v>21.542120792664324</v>
      </c>
      <c r="M19" s="4">
        <f>((M58*(1-M68))*M86*(1-M104)*M125)+((M58*M68)*M86*M125)</f>
        <v>32.946772977016032</v>
      </c>
      <c r="N19" s="179">
        <f>P19-M19</f>
        <v>-28.689036161524733</v>
      </c>
      <c r="O19" s="4">
        <f>((O58*(1-O68))*O86*(1-O104)*O125)+((O58*O68)*O86*O125)</f>
        <v>34.213956553055105</v>
      </c>
      <c r="P19" s="4">
        <f>R19-O19</f>
        <v>4.2577368154912989</v>
      </c>
      <c r="Q19" s="4">
        <f>K19+L19+M19</f>
        <v>67.160729530071137</v>
      </c>
      <c r="R19" s="314">
        <f>((R58*(1-R68))*R86*(1-R104)*R125)+((R58*R68)*R86*R125)</f>
        <v>38.471693368546404</v>
      </c>
      <c r="S19" s="4">
        <f t="shared" ref="S19" si="62">((S58*(1-S68))*S86*(1-S104)*S125)+((S58*S68)*S86*S125)</f>
        <v>22.748479557053528</v>
      </c>
      <c r="T19" s="4">
        <f>W19-S19</f>
        <v>19.904919612421835</v>
      </c>
      <c r="U19" s="4">
        <f>((U58*(1-U68))*U86*(1-U104)*U125)+((U58*U68)*U86*U125)</f>
        <v>14.217799723158455</v>
      </c>
      <c r="V19" s="179">
        <f>X19-U19</f>
        <v>-7.5354338532739842</v>
      </c>
      <c r="W19" s="4">
        <f>((W58*(1-W68))*W86*(1-W104)*W125)+((W58*W68)*W86*W125)</f>
        <v>42.653399169475364</v>
      </c>
      <c r="X19" s="4">
        <f>Z19-W19</f>
        <v>6.682365869884471</v>
      </c>
      <c r="Y19" s="4">
        <f>S19+T19+U19</f>
        <v>56.871198892633821</v>
      </c>
      <c r="Z19" s="314">
        <f>((Z58*(1-Z68))*Z86*(1-Z104)*Z125)+((Z58*Z68)*Z86*Z125)</f>
        <v>49.335765039359835</v>
      </c>
      <c r="AA19" s="4">
        <f t="shared" ref="AA19" si="63">((AA58*(1-AA68))*AA86*(1-AA104)*AA125)+((AA58*AA68)*AA86*AA125)</f>
        <v>10.35</v>
      </c>
      <c r="AB19" s="4">
        <f>AE19-AA19</f>
        <v>19.665000000000006</v>
      </c>
      <c r="AC19" s="4">
        <f>((AC58*(1-AC68))*AC86*(1-AC104)*AC125)+((AC58*AC68)*AC86*AC125)</f>
        <v>5.6924999999999999</v>
      </c>
      <c r="AD19" s="179">
        <f>AF19-AC19</f>
        <v>33.63750000000001</v>
      </c>
      <c r="AE19" s="4">
        <f>((AE58*(1-AE68))*AE86*(1-AE104)*AE125)+((AE58*AE68)*AE86*AE125)</f>
        <v>30.015000000000004</v>
      </c>
      <c r="AF19" s="4">
        <f>AH19-AE19</f>
        <v>39.330000000000013</v>
      </c>
      <c r="AG19" s="4">
        <f>AA19+AB19+AC19</f>
        <v>35.70750000000001</v>
      </c>
      <c r="AH19" s="314">
        <f>((AH58*(1-AH68))*AH86*(1-AH104)*AH125)+((AH58*AH68)*AH86*AH125)</f>
        <v>69.345000000000013</v>
      </c>
      <c r="AI19" s="4">
        <f>((AI58*(1-AI68))*AI86*(1-AI104)*AI125)+((AI58*AI68)*AI86*AI125)</f>
        <v>24.51915</v>
      </c>
      <c r="AJ19" s="4">
        <f>AM19-AI19</f>
        <v>21.321000000000002</v>
      </c>
      <c r="AK19" s="11">
        <f>((AK58*(1-AK68))*AK86*(1-AK104)*AK125)+((AK58*AK68)*AK86*AK125)</f>
        <v>3.7311750000000004</v>
      </c>
      <c r="AL19" s="181">
        <f>AN19-AK19</f>
        <v>3.7311750000000004</v>
      </c>
      <c r="AM19" s="4">
        <f>((AM58*(1-AM68))*AM86*(1-AM104)*AM125)+((AM58*AM68)*AM86*AM125)</f>
        <v>45.840150000000001</v>
      </c>
      <c r="AN19" s="11">
        <f>AP19-AM19</f>
        <v>7.4623500000000007</v>
      </c>
      <c r="AO19" s="11">
        <f>AI19+AJ19+AK19</f>
        <v>49.571325000000002</v>
      </c>
      <c r="AP19" s="603">
        <f>((AP58*(1-AP68))*AP86*(1-AP104)*AP125)+((AP58*AP68)*AP86*AP125)</f>
        <v>53.302500000000002</v>
      </c>
      <c r="AQ19" s="11">
        <f>((AQ58*(1-AQ68))*AQ86*(1-AQ104)*AQ125)+((AQ58*AQ68)*AQ86*AQ125)</f>
        <v>11.935125000000001</v>
      </c>
      <c r="AR19" s="11">
        <f>AU19-AQ19</f>
        <v>11.935125000000001</v>
      </c>
      <c r="AS19" s="11">
        <f>((AS58*(1-AS68))*AS86*(1-AS104)*AS125)+((AS58*AS68)*AS86*AS125)</f>
        <v>11.935125000000001</v>
      </c>
      <c r="AT19" s="181">
        <f>AV19-AS19</f>
        <v>19.096199999999996</v>
      </c>
      <c r="AU19" s="11">
        <f>((AU58*(1-AU68))*AU86*(1-AU104)*AU125)+((AU58*AU68)*AU86*AU125)</f>
        <v>23.870250000000002</v>
      </c>
      <c r="AV19" s="11">
        <f>AX19-AU19</f>
        <v>31.031324999999999</v>
      </c>
      <c r="AW19" s="11">
        <f>AQ19+AR19+AS19</f>
        <v>35.805375000000005</v>
      </c>
      <c r="AX19" s="603">
        <f>((AX58*(1-AX68))*AX86*(1-AX104)*AX125)+((AX58*AX68)*AX86*AX125)</f>
        <v>54.901575000000001</v>
      </c>
      <c r="AY19" s="11">
        <f>((AY58*(1-AY68))*AY86*(1-AY104)*AY125)+((AY58*AY68)*AY86*AY125)</f>
        <v>12.293178750000001</v>
      </c>
      <c r="AZ19" s="11">
        <f>BC19-AY19</f>
        <v>12.293178750000001</v>
      </c>
      <c r="BA19" s="11">
        <f>((BA58*(1-BA68))*BA86*(1-BA104)*BA125)+((BA58*BA68)*BA86*BA125)</f>
        <v>12.293178750000001</v>
      </c>
      <c r="BB19" s="181">
        <f>BD19-BA19</f>
        <v>19.669086</v>
      </c>
      <c r="BC19" s="11">
        <f>((BC58*(1-BC68))*BC86*(1-BC104)*BC125)+((BC58*BC68)*BC86*BC125)</f>
        <v>24.586357500000002</v>
      </c>
      <c r="BD19" s="11">
        <f>BF19-BC19</f>
        <v>31.962264749999999</v>
      </c>
      <c r="BE19" s="11">
        <f>AY19+AZ19+BA19</f>
        <v>36.879536250000001</v>
      </c>
      <c r="BF19" s="603">
        <f>((BF58*(1-BF68))*BF86*(1-BF104)*BF125)+((BF58*BF68)*BF86*BF125)</f>
        <v>56.548622250000001</v>
      </c>
      <c r="BG19" s="11">
        <f>((BG58*(1-BG68))*BG86*(1-BG104)*BG125)+((BG58*BG68)*BG86*BG125)</f>
        <v>12.661974112499999</v>
      </c>
      <c r="BH19" s="11">
        <f>BK19-BG19</f>
        <v>12.661974112499999</v>
      </c>
      <c r="BI19" s="11">
        <f>((BI58*(1-BI68))*BI86*(1-BI104)*BI125)+((BI58*BI68)*BI86*BI125)</f>
        <v>12.661974112499999</v>
      </c>
      <c r="BJ19" s="181">
        <f>BL19-BI19</f>
        <v>20.259158579999998</v>
      </c>
      <c r="BK19" s="11">
        <f>((BK58*(1-BK68))*BK86*(1-BK104)*BK125)+((BK58*BK68)*BK86*BK125)</f>
        <v>25.323948224999999</v>
      </c>
      <c r="BL19" s="11">
        <f>BN19-BK19</f>
        <v>32.921132692499995</v>
      </c>
      <c r="BM19" s="11">
        <f>BG19+BH19+BI19</f>
        <v>37.9859223375</v>
      </c>
      <c r="BN19" s="603">
        <f>((BN58*(1-BN68))*BN86*(1-BN104)*BN125)+((BN58*BN68)*BN86*BN125)</f>
        <v>58.245080917499997</v>
      </c>
      <c r="BO19" s="11">
        <f>((BO58*(1-BO68))*BO86*(1-BO104)*BO125)+((BO58*BO68)*BO86*BO125)</f>
        <v>13.041833335875001</v>
      </c>
      <c r="BP19" s="11">
        <f>BS19-BO19</f>
        <v>13.041833335875001</v>
      </c>
      <c r="BQ19" s="11">
        <f>((BQ58*(1-BQ68))*BQ86*(1-BQ104)*BQ125)+((BQ58*BQ68)*BQ86*BQ125)</f>
        <v>13.041833335875001</v>
      </c>
      <c r="BR19" s="181">
        <f>BT19-BQ19</f>
        <v>20.866933337399995</v>
      </c>
      <c r="BS19" s="11">
        <f>((BS58*(1-BS68))*BS86*(1-BS104)*BS125)+((BS58*BS68)*BS86*BS125)</f>
        <v>26.083666671750002</v>
      </c>
      <c r="BT19" s="11">
        <f>BV19-BS19</f>
        <v>33.908766673274997</v>
      </c>
      <c r="BU19" s="11">
        <f>BO19+BP19+BQ19</f>
        <v>39.125500007625007</v>
      </c>
      <c r="BV19" s="603">
        <f>((BV58*(1-BV68))*BV86*(1-BV104)*BV125)+((BV58*BV68)*BV86*BV125)</f>
        <v>59.992433345024999</v>
      </c>
    </row>
    <row r="20" spans="1:75" x14ac:dyDescent="0.2">
      <c r="A20" s="410" t="s">
        <v>793</v>
      </c>
      <c r="B20" s="410">
        <f t="shared" ref="B20:Q20" si="64">SUM(B15:B19)</f>
        <v>915.88184999999999</v>
      </c>
      <c r="C20" s="410">
        <f t="shared" si="64"/>
        <v>912.84143399999994</v>
      </c>
      <c r="D20" s="410">
        <f t="shared" si="64"/>
        <v>935.47076345437495</v>
      </c>
      <c r="E20" s="410">
        <f t="shared" si="64"/>
        <v>649.11101518513146</v>
      </c>
      <c r="F20" s="410">
        <f t="shared" si="64"/>
        <v>527.1156979517782</v>
      </c>
      <c r="G20" s="410">
        <f t="shared" si="64"/>
        <v>585.8635863181978</v>
      </c>
      <c r="H20" s="410">
        <f t="shared" si="64"/>
        <v>463.0648056218721</v>
      </c>
      <c r="I20" s="410">
        <f t="shared" si="64"/>
        <v>317.85119683684843</v>
      </c>
      <c r="J20" s="803">
        <f t="shared" si="64"/>
        <v>275.33397547518859</v>
      </c>
      <c r="K20" s="410">
        <f t="shared" si="64"/>
        <v>56.42768464102015</v>
      </c>
      <c r="L20" s="410">
        <f t="shared" si="64"/>
        <v>66.860829417075223</v>
      </c>
      <c r="M20" s="410">
        <f t="shared" ref="M20" si="65">SUM(M15:M19)</f>
        <v>80.609771217099222</v>
      </c>
      <c r="N20" s="1383">
        <f t="shared" si="64"/>
        <v>73.859906702064364</v>
      </c>
      <c r="O20" s="410">
        <f t="shared" ref="O20" si="66">SUM(O15:O19)</f>
        <v>123.28851405809536</v>
      </c>
      <c r="P20" s="410">
        <f t="shared" si="64"/>
        <v>154.46967791916359</v>
      </c>
      <c r="Q20" s="410">
        <f t="shared" si="64"/>
        <v>203.89828527519461</v>
      </c>
      <c r="R20" s="1381">
        <f t="shared" ref="R20" si="67">SUM(R15:R19)</f>
        <v>277.758191977259</v>
      </c>
      <c r="S20" s="410">
        <f t="shared" ref="S20" si="68">SUM(S15:S19)</f>
        <v>83.24047811251836</v>
      </c>
      <c r="T20" s="410">
        <f t="shared" ref="T20:U20" si="69">SUM(T15:T19)</f>
        <v>63.73839615891935</v>
      </c>
      <c r="U20" s="410">
        <f t="shared" si="69"/>
        <v>75.586562594884725</v>
      </c>
      <c r="V20" s="1383">
        <f t="shared" ref="V20:W20" si="70">SUM(V15:V19)</f>
        <v>32.563974559264679</v>
      </c>
      <c r="W20" s="410">
        <f t="shared" si="70"/>
        <v>146.97887427143772</v>
      </c>
      <c r="X20" s="410">
        <f t="shared" ref="X20" si="71">SUM(X15:X19)</f>
        <v>108.15053715414942</v>
      </c>
      <c r="Y20" s="410">
        <f t="shared" ref="Y20:AC20" si="72">SUM(Y15:Y19)</f>
        <v>222.56543686632247</v>
      </c>
      <c r="Z20" s="1381">
        <f t="shared" si="72"/>
        <v>255.12941142558714</v>
      </c>
      <c r="AA20" s="410">
        <f t="shared" si="72"/>
        <v>76.838399999999993</v>
      </c>
      <c r="AB20" s="410">
        <f t="shared" si="72"/>
        <v>92.694599999999994</v>
      </c>
      <c r="AC20" s="410">
        <f t="shared" si="72"/>
        <v>91.732050000000001</v>
      </c>
      <c r="AD20" s="1383">
        <f t="shared" ref="AD20:BV20" si="73">SUM(AD15:AD19)</f>
        <v>86.97105000000002</v>
      </c>
      <c r="AE20" s="410">
        <f t="shared" si="73"/>
        <v>169.53300000000002</v>
      </c>
      <c r="AF20" s="410">
        <f t="shared" si="73"/>
        <v>178.70310000000003</v>
      </c>
      <c r="AG20" s="410">
        <f t="shared" si="73"/>
        <v>261.26504999999997</v>
      </c>
      <c r="AH20" s="1381">
        <f t="shared" si="73"/>
        <v>348.23610000000002</v>
      </c>
      <c r="AI20" s="410">
        <f t="shared" si="73"/>
        <v>94.409388000000007</v>
      </c>
      <c r="AJ20" s="410">
        <f t="shared" si="73"/>
        <v>107.571552</v>
      </c>
      <c r="AK20" s="858">
        <f t="shared" si="73"/>
        <v>79.80094950000003</v>
      </c>
      <c r="AL20" s="857">
        <f t="shared" si="73"/>
        <v>79.80094950000003</v>
      </c>
      <c r="AM20" s="410">
        <f t="shared" ref="AM20" si="74">SUM(AM15:AM19)</f>
        <v>201.98094</v>
      </c>
      <c r="AN20" s="858">
        <f t="shared" si="73"/>
        <v>159.60189900000006</v>
      </c>
      <c r="AO20" s="858">
        <f t="shared" si="73"/>
        <v>281.78188950000003</v>
      </c>
      <c r="AP20" s="860">
        <f t="shared" si="73"/>
        <v>361.58283900000004</v>
      </c>
      <c r="AQ20" s="858">
        <f t="shared" si="73"/>
        <v>73.727245499999995</v>
      </c>
      <c r="AR20" s="858">
        <f t="shared" si="73"/>
        <v>73.727245499999995</v>
      </c>
      <c r="AS20" s="858">
        <f t="shared" si="73"/>
        <v>73.727245499999995</v>
      </c>
      <c r="AT20" s="857">
        <f t="shared" si="73"/>
        <v>117.96359280000006</v>
      </c>
      <c r="AU20" s="858">
        <f t="shared" si="73"/>
        <v>147.45449099999999</v>
      </c>
      <c r="AV20" s="858">
        <f t="shared" si="73"/>
        <v>191.69083830000008</v>
      </c>
      <c r="AW20" s="858">
        <f t="shared" si="73"/>
        <v>221.1817365</v>
      </c>
      <c r="AX20" s="860">
        <f t="shared" si="73"/>
        <v>339.14532930000007</v>
      </c>
      <c r="AY20" s="858">
        <f t="shared" si="73"/>
        <v>75.939062865000011</v>
      </c>
      <c r="AZ20" s="858">
        <f t="shared" si="73"/>
        <v>75.939062865000011</v>
      </c>
      <c r="BA20" s="858">
        <f t="shared" si="73"/>
        <v>75.939062865000011</v>
      </c>
      <c r="BB20" s="857">
        <f t="shared" si="73"/>
        <v>121.50250058400002</v>
      </c>
      <c r="BC20" s="858">
        <f t="shared" si="73"/>
        <v>151.87812573000002</v>
      </c>
      <c r="BD20" s="858">
        <f t="shared" si="73"/>
        <v>197.44156344900003</v>
      </c>
      <c r="BE20" s="858">
        <f t="shared" si="73"/>
        <v>227.81718859500003</v>
      </c>
      <c r="BF20" s="860">
        <f t="shared" si="73"/>
        <v>349.31968917900002</v>
      </c>
      <c r="BG20" s="858">
        <f t="shared" si="73"/>
        <v>78.217234750950013</v>
      </c>
      <c r="BH20" s="858">
        <f t="shared" si="73"/>
        <v>78.217234750950013</v>
      </c>
      <c r="BI20" s="858">
        <f t="shared" si="73"/>
        <v>78.217234750950013</v>
      </c>
      <c r="BJ20" s="857">
        <f t="shared" si="73"/>
        <v>125.14757560152003</v>
      </c>
      <c r="BK20" s="858">
        <f t="shared" si="73"/>
        <v>156.43446950190003</v>
      </c>
      <c r="BL20" s="858">
        <f t="shared" si="73"/>
        <v>203.36481035247004</v>
      </c>
      <c r="BM20" s="858">
        <f t="shared" si="73"/>
        <v>234.65170425285001</v>
      </c>
      <c r="BN20" s="860">
        <f t="shared" si="73"/>
        <v>359.79927985437007</v>
      </c>
      <c r="BO20" s="858">
        <f t="shared" si="73"/>
        <v>80.563751793478517</v>
      </c>
      <c r="BP20" s="858">
        <f t="shared" si="73"/>
        <v>80.563751793478517</v>
      </c>
      <c r="BQ20" s="858">
        <f t="shared" si="73"/>
        <v>80.563751793478517</v>
      </c>
      <c r="BR20" s="857">
        <f t="shared" si="73"/>
        <v>128.90200286956556</v>
      </c>
      <c r="BS20" s="858">
        <f t="shared" si="73"/>
        <v>161.12750358695703</v>
      </c>
      <c r="BT20" s="858">
        <f t="shared" si="73"/>
        <v>209.46575466304409</v>
      </c>
      <c r="BU20" s="858">
        <f t="shared" si="73"/>
        <v>241.69125538043556</v>
      </c>
      <c r="BV20" s="860">
        <f t="shared" si="73"/>
        <v>370.59325825000116</v>
      </c>
    </row>
    <row r="21" spans="1:75" x14ac:dyDescent="0.2">
      <c r="A21" s="202"/>
      <c r="B21" s="838"/>
      <c r="C21" s="838"/>
      <c r="D21" s="838"/>
      <c r="E21" s="838"/>
      <c r="F21" s="838"/>
      <c r="G21" s="580"/>
      <c r="H21" s="580"/>
      <c r="I21" s="580"/>
      <c r="J21" s="581"/>
      <c r="K21" s="580"/>
      <c r="L21" s="580"/>
      <c r="M21" s="580"/>
      <c r="N21" s="582"/>
      <c r="O21" s="580"/>
      <c r="P21" s="580"/>
      <c r="Q21" s="580"/>
      <c r="R21" s="583"/>
      <c r="S21" s="580"/>
      <c r="T21" s="580"/>
      <c r="U21" s="580"/>
      <c r="V21" s="582"/>
      <c r="W21" s="580"/>
      <c r="X21" s="580"/>
      <c r="Y21" s="580"/>
      <c r="Z21" s="583"/>
      <c r="AA21" s="580"/>
      <c r="AB21" s="580"/>
      <c r="AC21" s="580"/>
      <c r="AD21" s="582"/>
      <c r="AE21" s="580"/>
      <c r="AF21" s="580"/>
      <c r="AG21" s="580"/>
      <c r="AH21" s="583"/>
      <c r="AI21" s="580"/>
      <c r="AJ21" s="580"/>
      <c r="AK21" s="580"/>
      <c r="AL21" s="582"/>
      <c r="AM21" s="580"/>
      <c r="AN21" s="580"/>
      <c r="AO21" s="580"/>
      <c r="AP21" s="583"/>
      <c r="AQ21" s="580"/>
      <c r="AR21" s="580"/>
      <c r="AS21" s="580"/>
      <c r="AT21" s="582"/>
      <c r="AU21" s="580"/>
      <c r="AV21" s="580"/>
      <c r="AW21" s="580"/>
      <c r="AX21" s="583"/>
      <c r="AY21" s="580"/>
      <c r="AZ21" s="580"/>
      <c r="BA21" s="580"/>
      <c r="BB21" s="582"/>
      <c r="BC21" s="580"/>
      <c r="BD21" s="580"/>
      <c r="BE21" s="580"/>
      <c r="BF21" s="583"/>
      <c r="BG21" s="580"/>
      <c r="BH21" s="580"/>
      <c r="BI21" s="580"/>
      <c r="BJ21" s="582"/>
      <c r="BK21" s="580"/>
      <c r="BL21" s="580"/>
      <c r="BM21" s="580"/>
      <c r="BN21" s="583"/>
      <c r="BO21" s="580"/>
      <c r="BP21" s="580"/>
      <c r="BQ21" s="580"/>
      <c r="BR21" s="582"/>
      <c r="BS21" s="580"/>
      <c r="BT21" s="580"/>
      <c r="BU21" s="580"/>
      <c r="BV21" s="583"/>
    </row>
    <row r="22" spans="1:75" ht="11.25" customHeight="1" x14ac:dyDescent="0.2">
      <c r="A22" s="202"/>
      <c r="B22" s="838"/>
      <c r="C22" s="838"/>
      <c r="D22" s="838"/>
      <c r="E22" s="838"/>
      <c r="F22" s="838"/>
      <c r="G22" s="580"/>
      <c r="H22" s="580"/>
      <c r="I22" s="580"/>
      <c r="J22" s="581"/>
      <c r="K22" s="580"/>
      <c r="L22" s="580"/>
      <c r="M22" s="580"/>
      <c r="N22" s="582"/>
      <c r="O22" s="580"/>
      <c r="P22" s="580"/>
      <c r="Q22" s="580"/>
      <c r="R22" s="583"/>
      <c r="S22" s="580"/>
      <c r="T22" s="580"/>
      <c r="U22" s="580"/>
      <c r="V22" s="582"/>
      <c r="W22" s="580"/>
      <c r="X22" s="580"/>
      <c r="Y22" s="580"/>
      <c r="Z22" s="583"/>
      <c r="AA22" s="580"/>
      <c r="AB22" s="580"/>
      <c r="AC22" s="580"/>
      <c r="AD22" s="582"/>
      <c r="AE22" s="580"/>
      <c r="AF22" s="580"/>
      <c r="AG22" s="580"/>
      <c r="AH22" s="583"/>
      <c r="AI22" s="580"/>
      <c r="AJ22" s="580"/>
      <c r="AK22" s="580"/>
      <c r="AL22" s="582"/>
      <c r="AM22" s="580"/>
      <c r="AN22" s="580"/>
      <c r="AO22" s="580"/>
      <c r="AP22" s="583"/>
      <c r="AQ22" s="580"/>
      <c r="AR22" s="580"/>
      <c r="AS22" s="580"/>
      <c r="AT22" s="582"/>
      <c r="AU22" s="580"/>
      <c r="AV22" s="580"/>
      <c r="AW22" s="580"/>
      <c r="AX22" s="583"/>
      <c r="AY22" s="580"/>
      <c r="AZ22" s="580"/>
      <c r="BA22" s="580"/>
      <c r="BB22" s="582"/>
      <c r="BC22" s="580"/>
      <c r="BD22" s="580"/>
      <c r="BE22" s="580"/>
      <c r="BF22" s="583"/>
      <c r="BG22" s="580"/>
      <c r="BH22" s="580"/>
      <c r="BI22" s="580"/>
      <c r="BJ22" s="582"/>
      <c r="BK22" s="580"/>
      <c r="BL22" s="580"/>
      <c r="BM22" s="580"/>
      <c r="BN22" s="583"/>
      <c r="BO22" s="580"/>
      <c r="BP22" s="580"/>
      <c r="BQ22" s="580"/>
      <c r="BR22" s="582"/>
      <c r="BS22" s="580"/>
      <c r="BT22" s="580"/>
      <c r="BU22" s="580"/>
      <c r="BV22" s="583"/>
    </row>
    <row r="23" spans="1:75" ht="11.25" customHeight="1" x14ac:dyDescent="0.2">
      <c r="A23" s="186" t="s">
        <v>863</v>
      </c>
      <c r="B23" s="862"/>
      <c r="C23" s="862"/>
      <c r="D23" s="862"/>
      <c r="E23" s="862"/>
      <c r="F23" s="862"/>
      <c r="G23" s="863"/>
      <c r="H23" s="863"/>
      <c r="I23" s="863"/>
      <c r="J23" s="864"/>
      <c r="K23" s="863"/>
      <c r="L23" s="863"/>
      <c r="M23" s="863"/>
      <c r="N23" s="865"/>
      <c r="O23" s="863"/>
      <c r="P23" s="863"/>
      <c r="Q23" s="863"/>
      <c r="R23" s="866"/>
      <c r="S23" s="863"/>
      <c r="T23" s="863"/>
      <c r="U23" s="863"/>
      <c r="V23" s="865"/>
      <c r="W23" s="863"/>
      <c r="X23" s="863"/>
      <c r="Y23" s="863"/>
      <c r="Z23" s="866"/>
      <c r="AA23" s="863"/>
      <c r="AB23" s="863"/>
      <c r="AC23" s="863"/>
      <c r="AD23" s="865"/>
      <c r="AE23" s="863"/>
      <c r="AF23" s="863"/>
      <c r="AG23" s="863"/>
      <c r="AH23" s="866"/>
      <c r="AI23" s="863"/>
      <c r="AJ23" s="863"/>
      <c r="AK23" s="863"/>
      <c r="AL23" s="865"/>
      <c r="AM23" s="863"/>
      <c r="AN23" s="863"/>
      <c r="AO23" s="863"/>
      <c r="AP23" s="866"/>
      <c r="AQ23" s="863"/>
      <c r="AR23" s="863"/>
      <c r="AS23" s="863"/>
      <c r="AT23" s="865"/>
      <c r="AU23" s="863"/>
      <c r="AV23" s="863"/>
      <c r="AW23" s="863"/>
      <c r="AX23" s="866"/>
      <c r="AY23" s="863"/>
      <c r="AZ23" s="863"/>
      <c r="BA23" s="863"/>
      <c r="BB23" s="865"/>
      <c r="BC23" s="863"/>
      <c r="BD23" s="863"/>
      <c r="BE23" s="863"/>
      <c r="BF23" s="866"/>
      <c r="BG23" s="863"/>
      <c r="BH23" s="863"/>
      <c r="BI23" s="863"/>
      <c r="BJ23" s="865"/>
      <c r="BK23" s="863"/>
      <c r="BL23" s="863"/>
      <c r="BM23" s="863"/>
      <c r="BN23" s="866"/>
      <c r="BO23" s="863"/>
      <c r="BP23" s="863"/>
      <c r="BQ23" s="863"/>
      <c r="BR23" s="865"/>
      <c r="BS23" s="863"/>
      <c r="BT23" s="863"/>
      <c r="BU23" s="863"/>
      <c r="BV23" s="866"/>
    </row>
    <row r="24" spans="1:75" s="14" customFormat="1" ht="11.25" customHeight="1" x14ac:dyDescent="0.25">
      <c r="A24" s="31" t="s">
        <v>864</v>
      </c>
      <c r="B24" s="31">
        <f t="shared" ref="B24:BM24" si="75">B9/B4</f>
        <v>5.1633365368035748E-2</v>
      </c>
      <c r="C24" s="31">
        <f t="shared" si="75"/>
        <v>4.0341892213970942E-2</v>
      </c>
      <c r="D24" s="31">
        <f t="shared" si="75"/>
        <v>-1.5820033449438391E-3</v>
      </c>
      <c r="E24" s="31">
        <f t="shared" si="75"/>
        <v>9.8152333214845382E-3</v>
      </c>
      <c r="F24" s="31">
        <f t="shared" si="75"/>
        <v>5.748389381537268E-2</v>
      </c>
      <c r="G24" s="32">
        <f t="shared" si="75"/>
        <v>-5.2011888615377679E-2</v>
      </c>
      <c r="H24" s="32">
        <f t="shared" si="75"/>
        <v>-6.3523167791991325E-2</v>
      </c>
      <c r="I24" s="32">
        <f t="shared" si="75"/>
        <v>-2.458221328206129E-2</v>
      </c>
      <c r="J24" s="1384">
        <f t="shared" si="75"/>
        <v>0.17618133238384381</v>
      </c>
      <c r="K24" s="32">
        <f t="shared" si="75"/>
        <v>0.30150232737160843</v>
      </c>
      <c r="L24" s="32">
        <f t="shared" si="75"/>
        <v>0.27684507289437832</v>
      </c>
      <c r="M24" s="32">
        <f t="shared" si="75"/>
        <v>0.22117275523083427</v>
      </c>
      <c r="N24" s="1385">
        <f t="shared" si="75"/>
        <v>-1.0999574557446361</v>
      </c>
      <c r="O24" s="32">
        <f t="shared" si="75"/>
        <v>0.28861828743585427</v>
      </c>
      <c r="P24" s="32">
        <f t="shared" si="75"/>
        <v>-0.37786660700068053</v>
      </c>
      <c r="Q24" s="32">
        <f t="shared" si="75"/>
        <v>0.26630004670455026</v>
      </c>
      <c r="R24" s="625">
        <f t="shared" si="75"/>
        <v>-1.8029696045771176E-2</v>
      </c>
      <c r="S24" s="32">
        <f t="shared" ref="S24:U24" si="76">S9/S4</f>
        <v>4.3036535691946612E-3</v>
      </c>
      <c r="T24" s="32">
        <f t="shared" si="76"/>
        <v>0.30146490248730229</v>
      </c>
      <c r="U24" s="32">
        <f t="shared" si="76"/>
        <v>7.3847868013693529E-2</v>
      </c>
      <c r="V24" s="872">
        <f t="shared" si="75"/>
        <v>-0.1892869389009669</v>
      </c>
      <c r="W24" s="32">
        <f t="shared" ref="W24" si="77">W9/W4</f>
        <v>0.15633430614624613</v>
      </c>
      <c r="X24" s="104">
        <f t="shared" si="75"/>
        <v>-4.1514605138719386E-2</v>
      </c>
      <c r="Y24" s="32">
        <f t="shared" ref="Y24" si="78">Y9/Y4</f>
        <v>0.12967329880647846</v>
      </c>
      <c r="Z24" s="625">
        <f t="shared" si="75"/>
        <v>6.5933323296209975E-2</v>
      </c>
      <c r="AA24" s="32">
        <f t="shared" si="75"/>
        <v>0.24796939438909238</v>
      </c>
      <c r="AB24" s="32">
        <f t="shared" si="75"/>
        <v>0.2255634238696814</v>
      </c>
      <c r="AC24" s="32">
        <f t="shared" si="75"/>
        <v>0.23072546500871069</v>
      </c>
      <c r="AD24" s="872">
        <f t="shared" si="75"/>
        <v>-1.3567814068130519</v>
      </c>
      <c r="AE24" s="32">
        <f t="shared" si="75"/>
        <v>0.2360654631625696</v>
      </c>
      <c r="AF24" s="104">
        <f t="shared" si="75"/>
        <v>-0.14924525175629832</v>
      </c>
      <c r="AG24" s="32">
        <f t="shared" si="75"/>
        <v>0.23407034681038794</v>
      </c>
      <c r="AH24" s="625">
        <f t="shared" ref="AH24" si="79">AH9/AH4</f>
        <v>6.6717106931436621E-2</v>
      </c>
      <c r="AI24" s="32">
        <f t="shared" si="75"/>
        <v>2.2697958628352888E-2</v>
      </c>
      <c r="AJ24" s="32">
        <f t="shared" ref="AJ24" si="80">AJ9/AJ4</f>
        <v>6.3308355290738874E-2</v>
      </c>
      <c r="AK24" s="461">
        <f t="shared" si="75"/>
        <v>0.1303374746041886</v>
      </c>
      <c r="AL24" s="868">
        <f t="shared" si="75"/>
        <v>0.12221604662706989</v>
      </c>
      <c r="AM24" s="32">
        <f t="shared" ref="AM24" si="81">AM9/AM4</f>
        <v>4.2282384485091723E-2</v>
      </c>
      <c r="AN24" s="461">
        <f t="shared" si="75"/>
        <v>0.12614617920051777</v>
      </c>
      <c r="AO24" s="461">
        <f t="shared" si="75"/>
        <v>7.1364922127500133E-2</v>
      </c>
      <c r="AP24" s="867">
        <f t="shared" si="75"/>
        <v>8.4610497727301906E-2</v>
      </c>
      <c r="AQ24" s="461">
        <f t="shared" si="75"/>
        <v>9.2090932660059605E-2</v>
      </c>
      <c r="AR24" s="461">
        <f t="shared" si="75"/>
        <v>9.0538872815971463E-2</v>
      </c>
      <c r="AS24" s="461">
        <f t="shared" si="75"/>
        <v>9.0468915519157214E-2</v>
      </c>
      <c r="AT24" s="868">
        <f t="shared" si="75"/>
        <v>5.5094621205259812E-2</v>
      </c>
      <c r="AU24" s="461">
        <f t="shared" si="75"/>
        <v>9.1308307730827765E-2</v>
      </c>
      <c r="AV24" s="461">
        <f t="shared" si="75"/>
        <v>6.8483505464903088E-2</v>
      </c>
      <c r="AW24" s="461">
        <f t="shared" si="75"/>
        <v>9.102678497823119E-2</v>
      </c>
      <c r="AX24" s="867">
        <f t="shared" si="75"/>
        <v>7.8265749244808738E-2</v>
      </c>
      <c r="AY24" s="461">
        <f t="shared" si="75"/>
        <v>8.1142947260741075E-2</v>
      </c>
      <c r="AZ24" s="461">
        <f t="shared" si="75"/>
        <v>8.0106919340202837E-2</v>
      </c>
      <c r="BA24" s="461">
        <f t="shared" si="75"/>
        <v>7.9939038266100548E-2</v>
      </c>
      <c r="BB24" s="868">
        <f t="shared" si="75"/>
        <v>5.150541034023981E-2</v>
      </c>
      <c r="BC24" s="461">
        <f t="shared" si="75"/>
        <v>8.0621605068719709E-2</v>
      </c>
      <c r="BD24" s="461">
        <f t="shared" si="75"/>
        <v>6.2646890176859676E-2</v>
      </c>
      <c r="BE24" s="461">
        <f t="shared" si="75"/>
        <v>8.0392791330474944E-2</v>
      </c>
      <c r="BF24" s="867">
        <f t="shared" si="75"/>
        <v>7.0506678107629228E-2</v>
      </c>
      <c r="BG24" s="461">
        <f t="shared" si="75"/>
        <v>7.6844341375265343E-2</v>
      </c>
      <c r="BH24" s="461">
        <f t="shared" si="75"/>
        <v>7.7008359950681449E-2</v>
      </c>
      <c r="BI24" s="461">
        <f t="shared" si="75"/>
        <v>7.6844341375265343E-2</v>
      </c>
      <c r="BJ24" s="868">
        <f t="shared" si="75"/>
        <v>4.9583572272336923E-2</v>
      </c>
      <c r="BK24" s="461">
        <f t="shared" si="75"/>
        <v>7.6926263234891698E-2</v>
      </c>
      <c r="BL24" s="461">
        <f t="shared" si="75"/>
        <v>6.0274932083763944E-2</v>
      </c>
      <c r="BM24" s="461">
        <f t="shared" si="75"/>
        <v>7.6898936547493427E-2</v>
      </c>
      <c r="BN24" s="867">
        <f t="shared" ref="BN24:BV24" si="82">BN9/BN4</f>
        <v>6.7590158834576503E-2</v>
      </c>
      <c r="BO24" s="461">
        <f t="shared" si="82"/>
        <v>7.5176674952351336E-2</v>
      </c>
      <c r="BP24" s="461">
        <f t="shared" si="82"/>
        <v>7.5238997574696834E-2</v>
      </c>
      <c r="BQ24" s="461">
        <f t="shared" si="82"/>
        <v>7.5176674952351336E-2</v>
      </c>
      <c r="BR24" s="868">
        <f t="shared" si="82"/>
        <v>4.8801516005516681E-2</v>
      </c>
      <c r="BS24" s="461">
        <f t="shared" si="82"/>
        <v>7.520782335227226E-2</v>
      </c>
      <c r="BT24" s="461">
        <f t="shared" si="82"/>
        <v>5.9183565715609759E-2</v>
      </c>
      <c r="BU24" s="461">
        <f t="shared" si="82"/>
        <v>7.5197437684716401E-2</v>
      </c>
      <c r="BV24" s="867">
        <f t="shared" si="82"/>
        <v>6.6240362370968739E-2</v>
      </c>
      <c r="BW24" s="23"/>
    </row>
    <row r="25" spans="1:75" s="14" customFormat="1" ht="11.25" customHeight="1" x14ac:dyDescent="0.25">
      <c r="A25" s="31" t="s">
        <v>865</v>
      </c>
      <c r="B25" s="31">
        <f t="shared" ref="B25:BM25" si="83">B13/B4</f>
        <v>0.68914185157696262</v>
      </c>
      <c r="C25" s="31">
        <f t="shared" si="83"/>
        <v>0.70984554501688946</v>
      </c>
      <c r="D25" s="31">
        <f t="shared" si="83"/>
        <v>0.74860773303177364</v>
      </c>
      <c r="E25" s="31">
        <f t="shared" si="83"/>
        <v>0.81135839531804366</v>
      </c>
      <c r="F25" s="31">
        <f t="shared" si="83"/>
        <v>0.82403345322416988</v>
      </c>
      <c r="G25" s="32">
        <f t="shared" si="83"/>
        <v>0.9283990919170878</v>
      </c>
      <c r="H25" s="32">
        <f t="shared" si="83"/>
        <v>0.8736887165796432</v>
      </c>
      <c r="I25" s="32">
        <f t="shared" si="83"/>
        <v>0.86103448237278724</v>
      </c>
      <c r="J25" s="1384">
        <f t="shared" si="83"/>
        <v>0.73156891786789746</v>
      </c>
      <c r="K25" s="32">
        <f t="shared" si="83"/>
        <v>0.64424844701568795</v>
      </c>
      <c r="L25" s="32">
        <f t="shared" si="83"/>
        <v>0.66441734456938761</v>
      </c>
      <c r="M25" s="32">
        <f t="shared" si="83"/>
        <v>0.69938368034028264</v>
      </c>
      <c r="N25" s="1385">
        <f t="shared" si="83"/>
        <v>0.85782038519667458</v>
      </c>
      <c r="O25" s="32">
        <f t="shared" si="83"/>
        <v>0.65478720678644708</v>
      </c>
      <c r="P25" s="32">
        <f t="shared" si="83"/>
        <v>0.77122355035669721</v>
      </c>
      <c r="Q25" s="32">
        <f t="shared" si="83"/>
        <v>0.67005649474459539</v>
      </c>
      <c r="R25" s="625">
        <f t="shared" si="83"/>
        <v>0.94919079491802949</v>
      </c>
      <c r="S25" s="32">
        <f t="shared" ref="S25:U25" si="84">S13/S4</f>
        <v>0.91950778796057453</v>
      </c>
      <c r="T25" s="32">
        <f t="shared" si="84"/>
        <v>0.64263063877389215</v>
      </c>
      <c r="U25" s="32">
        <f t="shared" si="84"/>
        <v>0.85450046316786932</v>
      </c>
      <c r="V25" s="872">
        <f t="shared" si="83"/>
        <v>1.1497459346445487</v>
      </c>
      <c r="W25" s="32">
        <f t="shared" ref="W25" si="85">W13/W4</f>
        <v>0.77783528246831701</v>
      </c>
      <c r="X25" s="104">
        <f t="shared" si="83"/>
        <v>0.98394076099835082</v>
      </c>
      <c r="Y25" s="32">
        <f t="shared" ref="Y25" si="86">Y13/Y4</f>
        <v>0.80262838280440052</v>
      </c>
      <c r="Z25" s="625">
        <f t="shared" si="83"/>
        <v>0.87200885011082918</v>
      </c>
      <c r="AA25" s="32">
        <f t="shared" si="83"/>
        <v>0.6879894102306281</v>
      </c>
      <c r="AB25" s="32">
        <f t="shared" si="83"/>
        <v>0.70627827119527598</v>
      </c>
      <c r="AC25" s="32">
        <f t="shared" si="83"/>
        <v>0.70919526569155222</v>
      </c>
      <c r="AD25" s="872">
        <f t="shared" si="83"/>
        <v>2.1757606938464078</v>
      </c>
      <c r="AE25" s="32">
        <f t="shared" si="83"/>
        <v>0.69770598746819956</v>
      </c>
      <c r="AF25" s="104">
        <f t="shared" si="83"/>
        <v>1.0602185757697644</v>
      </c>
      <c r="AG25" s="32">
        <f t="shared" si="83"/>
        <v>0.7019985819968344</v>
      </c>
      <c r="AH25" s="625">
        <f t="shared" ref="AH25" si="87">AH13/AH4</f>
        <v>0.85703431280400055</v>
      </c>
      <c r="AI25" s="32">
        <f t="shared" si="83"/>
        <v>0.91499978555880501</v>
      </c>
      <c r="AJ25" s="32">
        <f t="shared" ref="AJ25" si="88">AJ13/AJ4</f>
        <v>0.86047826223899937</v>
      </c>
      <c r="AK25" s="461">
        <f t="shared" si="83"/>
        <v>0.81437424273428061</v>
      </c>
      <c r="AL25" s="868">
        <f t="shared" si="83"/>
        <v>0.82594072599559754</v>
      </c>
      <c r="AM25" s="32">
        <f t="shared" ref="AM25" si="89">AM13/AM4</f>
        <v>0.88870669761065957</v>
      </c>
      <c r="AN25" s="461">
        <f t="shared" si="83"/>
        <v>0.82034345754063931</v>
      </c>
      <c r="AO25" s="461">
        <f t="shared" si="83"/>
        <v>0.86415642556992844</v>
      </c>
      <c r="AP25" s="867">
        <f t="shared" si="83"/>
        <v>0.85420209431781646</v>
      </c>
      <c r="AQ25" s="461">
        <f t="shared" si="83"/>
        <v>0.85359218093552292</v>
      </c>
      <c r="AR25" s="461">
        <f t="shared" si="83"/>
        <v>0.8560596735568573</v>
      </c>
      <c r="AS25" s="461">
        <f t="shared" si="83"/>
        <v>0.85617089292404547</v>
      </c>
      <c r="AT25" s="868">
        <f t="shared" si="83"/>
        <v>0.89291210310412006</v>
      </c>
      <c r="AU25" s="461">
        <f t="shared" si="83"/>
        <v>0.85483641210708994</v>
      </c>
      <c r="AV25" s="461">
        <f t="shared" si="83"/>
        <v>0.8790058522459373</v>
      </c>
      <c r="AW25" s="461">
        <f t="shared" si="83"/>
        <v>0.85528398203644262</v>
      </c>
      <c r="AX25" s="867">
        <f t="shared" si="83"/>
        <v>0.86864732415410739</v>
      </c>
      <c r="AY25" s="461">
        <f t="shared" si="83"/>
        <v>0.86956169775458048</v>
      </c>
      <c r="AZ25" s="461">
        <f t="shared" si="83"/>
        <v>0.87122712559021998</v>
      </c>
      <c r="BA25" s="461">
        <f t="shared" si="83"/>
        <v>0.871496996515843</v>
      </c>
      <c r="BB25" s="868">
        <f t="shared" si="83"/>
        <v>0.89843030046020711</v>
      </c>
      <c r="BC25" s="461">
        <f t="shared" si="83"/>
        <v>0.87039976184655454</v>
      </c>
      <c r="BD25" s="461">
        <f t="shared" si="83"/>
        <v>0.8878767100561924</v>
      </c>
      <c r="BE25" s="461">
        <f t="shared" si="83"/>
        <v>0.87076758279162292</v>
      </c>
      <c r="BF25" s="867">
        <f t="shared" si="83"/>
        <v>0.880234580129169</v>
      </c>
      <c r="BG25" s="461">
        <f t="shared" si="83"/>
        <v>0.87507124351568455</v>
      </c>
      <c r="BH25" s="461">
        <f t="shared" si="83"/>
        <v>0.87480459230493368</v>
      </c>
      <c r="BI25" s="461">
        <f t="shared" si="83"/>
        <v>0.87507124351568455</v>
      </c>
      <c r="BJ25" s="868">
        <f t="shared" si="83"/>
        <v>0.90077431685129727</v>
      </c>
      <c r="BK25" s="461">
        <f t="shared" si="83"/>
        <v>0.87493806004545316</v>
      </c>
      <c r="BL25" s="461">
        <f t="shared" si="83"/>
        <v>0.89069386738734535</v>
      </c>
      <c r="BM25" s="461">
        <f t="shared" si="83"/>
        <v>0.87498248607623685</v>
      </c>
      <c r="BN25" s="867">
        <f t="shared" ref="BN25:BV25" si="90">BN13/BN4</f>
        <v>0.88377206021757726</v>
      </c>
      <c r="BO25" s="461">
        <f t="shared" si="90"/>
        <v>0.87637120519548661</v>
      </c>
      <c r="BP25" s="461">
        <f t="shared" si="90"/>
        <v>0.87626871501891912</v>
      </c>
      <c r="BQ25" s="461">
        <f t="shared" si="90"/>
        <v>0.87637120519548661</v>
      </c>
      <c r="BR25" s="868">
        <f t="shared" si="90"/>
        <v>0.90087357874502527</v>
      </c>
      <c r="BS25" s="461">
        <f t="shared" si="90"/>
        <v>0.87631998133988576</v>
      </c>
      <c r="BT25" s="461">
        <f t="shared" si="90"/>
        <v>0.89122871325930997</v>
      </c>
      <c r="BU25" s="461">
        <f t="shared" si="90"/>
        <v>0.87633706067418704</v>
      </c>
      <c r="BV25" s="867">
        <f t="shared" si="90"/>
        <v>0.88466317419159513</v>
      </c>
      <c r="BW25" s="23"/>
    </row>
    <row r="26" spans="1:75" s="14" customFormat="1" ht="11.25" customHeight="1" x14ac:dyDescent="0.25">
      <c r="A26" s="31" t="s">
        <v>866</v>
      </c>
      <c r="B26" s="31">
        <f t="shared" ref="B26:BM26" si="91">B20/B4</f>
        <v>0.25922478305500168</v>
      </c>
      <c r="C26" s="31">
        <f t="shared" si="91"/>
        <v>0.24981256276913957</v>
      </c>
      <c r="D26" s="31">
        <f t="shared" si="91"/>
        <v>0.25297427031317027</v>
      </c>
      <c r="E26" s="31">
        <f t="shared" si="91"/>
        <v>0.17882637136047183</v>
      </c>
      <c r="F26" s="31">
        <f t="shared" si="91"/>
        <v>0.11848265296045744</v>
      </c>
      <c r="G26" s="32">
        <f t="shared" si="91"/>
        <v>0.12361279669828984</v>
      </c>
      <c r="H26" s="32">
        <f t="shared" si="91"/>
        <v>0.18983445121234813</v>
      </c>
      <c r="I26" s="32">
        <f t="shared" si="91"/>
        <v>0.16354773090927407</v>
      </c>
      <c r="J26" s="1384">
        <f t="shared" si="91"/>
        <v>9.2249749748258725E-2</v>
      </c>
      <c r="K26" s="32">
        <f t="shared" si="91"/>
        <v>5.4249225612703615E-2</v>
      </c>
      <c r="L26" s="32">
        <f t="shared" si="91"/>
        <v>5.8737582536233984E-2</v>
      </c>
      <c r="M26" s="32">
        <f t="shared" si="91"/>
        <v>7.9443564428883062E-2</v>
      </c>
      <c r="N26" s="1385">
        <f t="shared" si="91"/>
        <v>8.774376558405915E-2</v>
      </c>
      <c r="O26" s="32">
        <f t="shared" si="91"/>
        <v>5.6594505777698687E-2</v>
      </c>
      <c r="P26" s="32">
        <f t="shared" si="91"/>
        <v>8.3207120182194269E-2</v>
      </c>
      <c r="Q26" s="32">
        <f t="shared" si="91"/>
        <v>6.3643458550854334E-2</v>
      </c>
      <c r="R26" s="625">
        <f t="shared" si="91"/>
        <v>6.8838901127741728E-2</v>
      </c>
      <c r="S26" s="32">
        <f t="shared" ref="S26:U26" si="92">S20/S4</f>
        <v>7.6188558470230858E-2</v>
      </c>
      <c r="T26" s="32">
        <f t="shared" si="92"/>
        <v>5.5904458738805618E-2</v>
      </c>
      <c r="U26" s="32">
        <f t="shared" si="92"/>
        <v>7.1651668818437098E-2</v>
      </c>
      <c r="V26" s="872">
        <f t="shared" si="91"/>
        <v>3.9541004256418065E-2</v>
      </c>
      <c r="W26" s="32">
        <f t="shared" ref="W26" si="93">W20/W4</f>
        <v>6.5830411385436854E-2</v>
      </c>
      <c r="X26" s="104">
        <f t="shared" si="91"/>
        <v>5.7573844140368362E-2</v>
      </c>
      <c r="Y26" s="32">
        <f t="shared" ref="Y26" si="94">Y20/Y4</f>
        <v>6.7698318389120937E-2</v>
      </c>
      <c r="Z26" s="625">
        <f t="shared" si="91"/>
        <v>6.2057826592960795E-2</v>
      </c>
      <c r="AA26" s="32">
        <f t="shared" si="91"/>
        <v>6.4041195380279498E-2</v>
      </c>
      <c r="AB26" s="32">
        <f t="shared" si="91"/>
        <v>6.8158304935042602E-2</v>
      </c>
      <c r="AC26" s="32">
        <f t="shared" si="91"/>
        <v>6.0079269299737038E-2</v>
      </c>
      <c r="AD26" s="872">
        <f t="shared" si="91"/>
        <v>0.18102071296664307</v>
      </c>
      <c r="AE26" s="32">
        <f t="shared" si="91"/>
        <v>6.6228549369230838E-2</v>
      </c>
      <c r="AF26" s="104">
        <f t="shared" si="91"/>
        <v>8.902667598653391E-2</v>
      </c>
      <c r="AG26" s="32">
        <f t="shared" si="91"/>
        <v>6.3931071192777564E-2</v>
      </c>
      <c r="AH26" s="625">
        <f t="shared" ref="AH26" si="95">AH20/AH4</f>
        <v>7.6248580264562826E-2</v>
      </c>
      <c r="AI26" s="32">
        <f t="shared" si="91"/>
        <v>6.2302255812842051E-2</v>
      </c>
      <c r="AJ26" s="32">
        <f t="shared" ref="AJ26" si="96">AJ20/AJ4</f>
        <v>7.6213382470261729E-2</v>
      </c>
      <c r="AK26" s="461">
        <f t="shared" si="91"/>
        <v>5.5288282661530776E-2</v>
      </c>
      <c r="AL26" s="868">
        <f t="shared" si="91"/>
        <v>5.1843227377332615E-2</v>
      </c>
      <c r="AM26" s="32">
        <f t="shared" ref="AM26" si="97">AM20/AM4</f>
        <v>6.9010917904248709E-2</v>
      </c>
      <c r="AN26" s="461">
        <f t="shared" si="91"/>
        <v>5.3510363258842883E-2</v>
      </c>
      <c r="AO26" s="461">
        <f t="shared" si="91"/>
        <v>6.4478652302571327E-2</v>
      </c>
      <c r="AP26" s="867">
        <f t="shared" si="91"/>
        <v>6.1187407954881742E-2</v>
      </c>
      <c r="AQ26" s="461">
        <f t="shared" si="91"/>
        <v>5.431688640441746E-2</v>
      </c>
      <c r="AR26" s="461">
        <f t="shared" si="91"/>
        <v>5.3401453627171226E-2</v>
      </c>
      <c r="AS26" s="461">
        <f t="shared" si="91"/>
        <v>5.3360191556797304E-2</v>
      </c>
      <c r="AT26" s="868">
        <f t="shared" si="91"/>
        <v>5.1993275690620136E-2</v>
      </c>
      <c r="AU26" s="461">
        <f t="shared" si="91"/>
        <v>5.3855280162082284E-2</v>
      </c>
      <c r="AV26" s="461">
        <f t="shared" si="91"/>
        <v>5.2510642289159637E-2</v>
      </c>
      <c r="AW26" s="461">
        <f t="shared" si="91"/>
        <v>5.3689232985326109E-2</v>
      </c>
      <c r="AX26" s="867">
        <f t="shared" si="91"/>
        <v>5.308692660108378E-2</v>
      </c>
      <c r="AY26" s="461">
        <f t="shared" si="91"/>
        <v>4.9295354984678373E-2</v>
      </c>
      <c r="AZ26" s="461">
        <f t="shared" si="91"/>
        <v>4.8665955069577181E-2</v>
      </c>
      <c r="BA26" s="461">
        <f t="shared" si="91"/>
        <v>4.8563965218056407E-2</v>
      </c>
      <c r="BB26" s="868">
        <f t="shared" si="91"/>
        <v>5.0064289199553184E-2</v>
      </c>
      <c r="BC26" s="461">
        <f t="shared" si="91"/>
        <v>4.8978633084725672E-2</v>
      </c>
      <c r="BD26" s="461">
        <f t="shared" si="91"/>
        <v>4.9476399766947912E-2</v>
      </c>
      <c r="BE26" s="461">
        <f t="shared" si="91"/>
        <v>4.8839625877902117E-2</v>
      </c>
      <c r="BF26" s="867">
        <f t="shared" si="91"/>
        <v>4.9258741763201698E-2</v>
      </c>
      <c r="BG26" s="461">
        <f t="shared" si="91"/>
        <v>4.8084415109050156E-2</v>
      </c>
      <c r="BH26" s="461">
        <f t="shared" si="91"/>
        <v>4.818704774438487E-2</v>
      </c>
      <c r="BI26" s="461">
        <f t="shared" si="91"/>
        <v>4.8084415109050156E-2</v>
      </c>
      <c r="BJ26" s="868">
        <f t="shared" si="91"/>
        <v>4.964211087636574E-2</v>
      </c>
      <c r="BK26" s="461">
        <f t="shared" si="91"/>
        <v>4.8135676719655192E-2</v>
      </c>
      <c r="BL26" s="461">
        <f t="shared" si="91"/>
        <v>4.9031200528890664E-2</v>
      </c>
      <c r="BM26" s="461">
        <f t="shared" si="91"/>
        <v>4.8118577376269615E-2</v>
      </c>
      <c r="BN26" s="867">
        <f t="shared" ref="BN26:BV26" si="98">BN20/BN4</f>
        <v>4.8637780947846231E-2</v>
      </c>
      <c r="BO26" s="461">
        <f t="shared" si="98"/>
        <v>4.8452119852161975E-2</v>
      </c>
      <c r="BP26" s="461">
        <f t="shared" si="98"/>
        <v>4.8492287406384067E-2</v>
      </c>
      <c r="BQ26" s="461">
        <f t="shared" si="98"/>
        <v>4.8452119852161975E-2</v>
      </c>
      <c r="BR26" s="868">
        <f t="shared" si="98"/>
        <v>5.0324905249458089E-2</v>
      </c>
      <c r="BS26" s="461">
        <f t="shared" si="98"/>
        <v>4.8472195307841914E-2</v>
      </c>
      <c r="BT26" s="461">
        <f t="shared" si="98"/>
        <v>4.9587721025080245E-2</v>
      </c>
      <c r="BU26" s="461">
        <f t="shared" si="98"/>
        <v>4.8465501641096476E-2</v>
      </c>
      <c r="BV26" s="867">
        <f t="shared" si="98"/>
        <v>4.909646343743615E-2</v>
      </c>
      <c r="BW26" s="23"/>
    </row>
    <row r="27" spans="1:75" ht="11.25" customHeight="1" x14ac:dyDescent="0.2">
      <c r="A27" s="202"/>
      <c r="B27" s="838"/>
      <c r="C27" s="838"/>
      <c r="D27" s="838"/>
      <c r="E27" s="838"/>
      <c r="F27" s="838"/>
      <c r="G27" s="580"/>
      <c r="H27" s="580"/>
      <c r="I27" s="580"/>
      <c r="J27" s="581"/>
      <c r="K27" s="580"/>
      <c r="L27" s="580"/>
      <c r="M27" s="580"/>
      <c r="N27" s="582"/>
      <c r="O27" s="580"/>
      <c r="P27" s="580"/>
      <c r="Q27" s="580"/>
      <c r="R27" s="583"/>
      <c r="S27" s="580"/>
      <c r="T27" s="580"/>
      <c r="U27" s="580"/>
      <c r="V27" s="582"/>
      <c r="W27" s="580"/>
      <c r="X27" s="580"/>
      <c r="Y27" s="580"/>
      <c r="Z27" s="583"/>
      <c r="AA27" s="580"/>
      <c r="AB27" s="580"/>
      <c r="AC27" s="580"/>
      <c r="AD27" s="582"/>
      <c r="AE27" s="580"/>
      <c r="AF27" s="580"/>
      <c r="AG27" s="580"/>
      <c r="AH27" s="583"/>
      <c r="AI27" s="580"/>
      <c r="AJ27" s="580"/>
      <c r="AK27" s="580"/>
      <c r="AL27" s="582"/>
      <c r="AM27" s="580"/>
      <c r="AN27" s="580"/>
      <c r="AO27" s="580"/>
      <c r="AP27" s="583"/>
      <c r="AQ27" s="580"/>
      <c r="AR27" s="580"/>
      <c r="AS27" s="580"/>
      <c r="AT27" s="582"/>
      <c r="AU27" s="580"/>
      <c r="AV27" s="580"/>
      <c r="AW27" s="580"/>
      <c r="AX27" s="583"/>
      <c r="AY27" s="580"/>
      <c r="AZ27" s="580"/>
      <c r="BA27" s="580"/>
      <c r="BB27" s="582"/>
      <c r="BC27" s="580"/>
      <c r="BD27" s="580"/>
      <c r="BE27" s="580"/>
      <c r="BF27" s="583"/>
      <c r="BG27" s="580"/>
      <c r="BH27" s="580"/>
      <c r="BI27" s="580"/>
      <c r="BJ27" s="582"/>
      <c r="BK27" s="580"/>
      <c r="BL27" s="580"/>
      <c r="BM27" s="580"/>
      <c r="BN27" s="583"/>
      <c r="BO27" s="580"/>
      <c r="BP27" s="580"/>
      <c r="BQ27" s="580"/>
      <c r="BR27" s="582"/>
      <c r="BS27" s="580"/>
      <c r="BT27" s="580"/>
      <c r="BU27" s="580"/>
      <c r="BV27" s="583"/>
    </row>
    <row r="28" spans="1:75" ht="11.25" customHeight="1" x14ac:dyDescent="0.2">
      <c r="A28" s="202"/>
      <c r="B28" s="838"/>
      <c r="C28" s="838"/>
      <c r="D28" s="838"/>
      <c r="E28" s="838"/>
      <c r="F28" s="838"/>
      <c r="G28" s="580"/>
      <c r="H28" s="580"/>
      <c r="I28" s="580"/>
      <c r="J28" s="581"/>
      <c r="K28" s="580"/>
      <c r="L28" s="580"/>
      <c r="M28" s="580"/>
      <c r="N28" s="582"/>
      <c r="O28" s="580"/>
      <c r="P28" s="580"/>
      <c r="Q28" s="580"/>
      <c r="R28" s="583"/>
      <c r="S28" s="580"/>
      <c r="T28" s="580"/>
      <c r="U28" s="580"/>
      <c r="V28" s="582"/>
      <c r="W28" s="580"/>
      <c r="X28" s="580"/>
      <c r="Y28" s="580"/>
      <c r="Z28" s="583"/>
      <c r="AA28" s="580"/>
      <c r="AB28" s="580"/>
      <c r="AC28" s="580"/>
      <c r="AD28" s="582"/>
      <c r="AE28" s="580"/>
      <c r="AF28" s="580"/>
      <c r="AG28" s="580"/>
      <c r="AH28" s="583"/>
      <c r="AI28" s="580"/>
      <c r="AJ28" s="580"/>
      <c r="AK28" s="580"/>
      <c r="AL28" s="582"/>
      <c r="AM28" s="580"/>
      <c r="AN28" s="580"/>
      <c r="AO28" s="580"/>
      <c r="AP28" s="583"/>
      <c r="AQ28" s="580"/>
      <c r="AR28" s="580"/>
      <c r="AS28" s="580"/>
      <c r="AT28" s="582"/>
      <c r="AU28" s="580"/>
      <c r="AV28" s="580"/>
      <c r="AW28" s="580"/>
      <c r="AX28" s="583"/>
      <c r="AY28" s="580"/>
      <c r="AZ28" s="580"/>
      <c r="BA28" s="580"/>
      <c r="BB28" s="582"/>
      <c r="BC28" s="580"/>
      <c r="BD28" s="580"/>
      <c r="BE28" s="580"/>
      <c r="BF28" s="583"/>
      <c r="BG28" s="580"/>
      <c r="BH28" s="580"/>
      <c r="BI28" s="580"/>
      <c r="BJ28" s="582"/>
      <c r="BK28" s="580"/>
      <c r="BL28" s="580"/>
      <c r="BM28" s="580"/>
      <c r="BN28" s="583"/>
      <c r="BO28" s="580"/>
      <c r="BP28" s="580"/>
      <c r="BQ28" s="580"/>
      <c r="BR28" s="582"/>
      <c r="BS28" s="580"/>
      <c r="BT28" s="580"/>
      <c r="BU28" s="580"/>
      <c r="BV28" s="583"/>
    </row>
    <row r="29" spans="1:75" ht="12" thickBot="1" x14ac:dyDescent="0.25">
      <c r="A29" s="12" t="s">
        <v>867</v>
      </c>
      <c r="B29" s="839"/>
      <c r="C29" s="839"/>
      <c r="D29" s="839"/>
      <c r="E29" s="839"/>
      <c r="F29" s="839"/>
      <c r="G29" s="839"/>
      <c r="H29" s="839"/>
      <c r="I29" s="839"/>
      <c r="J29" s="840"/>
      <c r="K29" s="839"/>
      <c r="L29" s="839"/>
      <c r="M29" s="839"/>
      <c r="N29" s="687"/>
      <c r="O29" s="839"/>
      <c r="P29" s="13"/>
      <c r="Q29" s="12"/>
      <c r="R29" s="688"/>
      <c r="S29" s="13"/>
      <c r="T29" s="13"/>
      <c r="U29" s="13"/>
      <c r="V29" s="687"/>
      <c r="W29" s="13"/>
      <c r="X29" s="13"/>
      <c r="Y29" s="13"/>
      <c r="Z29" s="688"/>
      <c r="AA29" s="13"/>
      <c r="AB29" s="13"/>
      <c r="AC29" s="13"/>
      <c r="AD29" s="687"/>
      <c r="AE29" s="13"/>
      <c r="AF29" s="13"/>
      <c r="AG29" s="13"/>
      <c r="AH29" s="688"/>
      <c r="AI29" s="13"/>
      <c r="AJ29" s="13"/>
      <c r="AK29" s="13"/>
      <c r="AL29" s="687"/>
      <c r="AM29" s="13"/>
      <c r="AN29" s="13"/>
      <c r="AO29" s="13"/>
      <c r="AP29" s="688"/>
      <c r="AQ29" s="13"/>
      <c r="AR29" s="13"/>
      <c r="AS29" s="13"/>
      <c r="AT29" s="687"/>
      <c r="AU29" s="13"/>
      <c r="AV29" s="13"/>
      <c r="AW29" s="13"/>
      <c r="AX29" s="688"/>
      <c r="AY29" s="13"/>
      <c r="AZ29" s="13"/>
      <c r="BA29" s="13"/>
      <c r="BB29" s="687"/>
      <c r="BC29" s="13"/>
      <c r="BD29" s="13"/>
      <c r="BE29" s="13"/>
      <c r="BF29" s="688"/>
      <c r="BG29" s="13"/>
      <c r="BH29" s="13"/>
      <c r="BI29" s="13"/>
      <c r="BJ29" s="687"/>
      <c r="BK29" s="13"/>
      <c r="BL29" s="13"/>
      <c r="BM29" s="13"/>
      <c r="BN29" s="688"/>
      <c r="BO29" s="13"/>
      <c r="BP29" s="13"/>
      <c r="BQ29" s="13"/>
      <c r="BR29" s="687"/>
      <c r="BS29" s="13"/>
      <c r="BT29" s="13"/>
      <c r="BU29" s="13"/>
      <c r="BV29" s="688"/>
    </row>
    <row r="30" spans="1:75" x14ac:dyDescent="0.2">
      <c r="A30" s="4" t="s">
        <v>790</v>
      </c>
      <c r="B30" s="4">
        <f t="shared" ref="B30:J30" si="99">B11*B128</f>
        <v>365.22695081249998</v>
      </c>
      <c r="C30" s="4">
        <f t="shared" si="99"/>
        <v>389.07756562500003</v>
      </c>
      <c r="D30" s="4">
        <f t="shared" si="99"/>
        <v>399.28128684890339</v>
      </c>
      <c r="E30" s="4">
        <f t="shared" si="99"/>
        <v>345.66591095980726</v>
      </c>
      <c r="F30" s="4">
        <f t="shared" si="99"/>
        <v>328.11818120621831</v>
      </c>
      <c r="G30" s="4">
        <f t="shared" si="99"/>
        <v>139.01381158646274</v>
      </c>
      <c r="H30" s="4">
        <f t="shared" si="99"/>
        <v>55.925209591392608</v>
      </c>
      <c r="I30" s="4">
        <f t="shared" si="99"/>
        <v>32.869392047260241</v>
      </c>
      <c r="J30" s="180">
        <f t="shared" si="99"/>
        <v>12.939577083364872</v>
      </c>
      <c r="N30" s="179"/>
      <c r="O30" s="4">
        <f>O11*O128</f>
        <v>3.1875804813038968</v>
      </c>
      <c r="P30" s="4">
        <f>R30-O30</f>
        <v>4.8727045470137167</v>
      </c>
      <c r="R30" s="314">
        <f>R11*R128</f>
        <v>8.0602850283176135</v>
      </c>
      <c r="V30" s="179"/>
      <c r="W30" s="4">
        <f>W11*W128</f>
        <v>4.1483703647102468</v>
      </c>
      <c r="X30" s="4">
        <f>Z30-W30</f>
        <v>4.5960594025167092</v>
      </c>
      <c r="Z30" s="314">
        <f>Z11*Z128</f>
        <v>8.744429767226956</v>
      </c>
      <c r="AD30" s="179"/>
      <c r="AE30" s="4">
        <f>AE11*AE128</f>
        <v>3.64</v>
      </c>
      <c r="AF30" s="4">
        <f>AH30-AE30</f>
        <v>2.6</v>
      </c>
      <c r="AH30" s="314">
        <f>AH11*AH128</f>
        <v>6.24</v>
      </c>
      <c r="AL30" s="179"/>
      <c r="AM30" s="4">
        <f>AM11*AM128</f>
        <v>3.0183999999999997</v>
      </c>
      <c r="AN30" s="11">
        <f>AP30-AM30</f>
        <v>1.7423960116185899</v>
      </c>
      <c r="AP30" s="603">
        <f>AP11*AP128</f>
        <v>4.7607960116185897</v>
      </c>
      <c r="AT30" s="179"/>
      <c r="AU30" s="11">
        <f>AU11*AU128</f>
        <v>1.4405999999999999</v>
      </c>
      <c r="AV30" s="11">
        <f>AX30-AU30</f>
        <v>2.0628584974916389</v>
      </c>
      <c r="AX30" s="603">
        <f>AX11*AX128</f>
        <v>3.5034584974916387</v>
      </c>
      <c r="BB30" s="179"/>
      <c r="BC30" s="11">
        <f>BC11*BC128</f>
        <v>1.4117879999999996</v>
      </c>
      <c r="BD30" s="11">
        <f>BF30-BC30</f>
        <v>2.014057455523929</v>
      </c>
      <c r="BF30" s="603">
        <f>BF11*BF128</f>
        <v>3.4258454555239286</v>
      </c>
      <c r="BJ30" s="179"/>
      <c r="BK30" s="11">
        <f>BK11*BK128</f>
        <v>1.38355224</v>
      </c>
      <c r="BL30" s="11">
        <f>BN30-BK30</f>
        <v>1.9720202999806971</v>
      </c>
      <c r="BN30" s="603">
        <f>BN11*BN128</f>
        <v>3.355572539980697</v>
      </c>
      <c r="BR30" s="179"/>
      <c r="BS30" s="11">
        <f>BS11*BS128</f>
        <v>1.3558811952000001</v>
      </c>
      <c r="BT30" s="11">
        <f>BV30-BS30</f>
        <v>1.8544362699850299</v>
      </c>
      <c r="BV30" s="603">
        <f>BV11*BV128</f>
        <v>3.2103174651850299</v>
      </c>
    </row>
    <row r="31" spans="1:75" x14ac:dyDescent="0.2">
      <c r="A31" s="4" t="s">
        <v>791</v>
      </c>
      <c r="B31" s="4">
        <f t="shared" ref="B31:J31" si="100">B12*B129+B132</f>
        <v>0</v>
      </c>
      <c r="C31" s="4">
        <f t="shared" si="100"/>
        <v>0</v>
      </c>
      <c r="D31" s="4">
        <f t="shared" si="100"/>
        <v>-63.835819140966102</v>
      </c>
      <c r="E31" s="4">
        <f t="shared" si="100"/>
        <v>-490.33064733660626</v>
      </c>
      <c r="F31" s="4">
        <f t="shared" si="100"/>
        <v>-995.63691070236155</v>
      </c>
      <c r="G31" s="4">
        <f t="shared" si="100"/>
        <v>-1296.7793890524702</v>
      </c>
      <c r="H31" s="4">
        <f t="shared" si="100"/>
        <v>-555.47110039348445</v>
      </c>
      <c r="I31" s="4">
        <f t="shared" si="100"/>
        <v>-301.81069090883716</v>
      </c>
      <c r="J31" s="180">
        <f t="shared" si="100"/>
        <v>-209.72193496460989</v>
      </c>
      <c r="N31" s="179"/>
      <c r="O31" s="4">
        <f>O12*O129+O132</f>
        <v>0</v>
      </c>
      <c r="P31" s="4">
        <f>R31-O31</f>
        <v>0</v>
      </c>
      <c r="R31" s="314">
        <f>R12*R129+R132</f>
        <v>0</v>
      </c>
      <c r="V31" s="179"/>
      <c r="W31" s="4">
        <f>W12*W129+W132</f>
        <v>-169.51810350315674</v>
      </c>
      <c r="X31" s="4">
        <f>Z31-W31</f>
        <v>256.95610832115409</v>
      </c>
      <c r="Z31" s="314">
        <f>Z12*Z129+Z132</f>
        <v>87.438004817997339</v>
      </c>
      <c r="AD31" s="179"/>
      <c r="AE31" s="4">
        <f>AE12*AE129+AE132</f>
        <v>87.48</v>
      </c>
      <c r="AF31" s="4">
        <f>AH31-AE31</f>
        <v>105.10875</v>
      </c>
      <c r="AH31" s="314">
        <f>AH12*AH129+AH132</f>
        <v>192.58875</v>
      </c>
      <c r="AL31" s="179"/>
      <c r="AM31" s="4">
        <f>AM12*AM129+AM132</f>
        <v>192.816</v>
      </c>
      <c r="AN31" s="11">
        <f>AP31-AM31</f>
        <v>182.20210530761724</v>
      </c>
      <c r="AP31" s="603">
        <f>AP12*AP129+AP132</f>
        <v>375.01810530761725</v>
      </c>
      <c r="AT31" s="179"/>
      <c r="AU31" s="11">
        <f>AU12*AU129+AU132</f>
        <v>174.45870000000002</v>
      </c>
      <c r="AV31" s="11">
        <f>AX31-AU31</f>
        <v>239.11459821684787</v>
      </c>
      <c r="AX31" s="603">
        <f>AX12*AX129+AX132</f>
        <v>413.57329821684789</v>
      </c>
      <c r="BB31" s="179"/>
      <c r="BC31" s="11">
        <f>BC12*BC129+BC132</f>
        <v>201.36823200000006</v>
      </c>
      <c r="BD31" s="11">
        <f>BF31-BC31</f>
        <v>264.2279200077254</v>
      </c>
      <c r="BF31" s="603">
        <f>BF12*BF129+BF132</f>
        <v>465.59615200772544</v>
      </c>
      <c r="BJ31" s="179"/>
      <c r="BK31" s="11">
        <f>BK12*BK129+BK132</f>
        <v>212.21965440000008</v>
      </c>
      <c r="BL31" s="11">
        <f>BN31-BK31</f>
        <v>275.59321756167378</v>
      </c>
      <c r="BN31" s="603">
        <f>BN12*BN129+BN132</f>
        <v>487.81287196167386</v>
      </c>
      <c r="BR31" s="179"/>
      <c r="BS31" s="11">
        <f>BS12*BS129+BS132</f>
        <v>217.45769610240006</v>
      </c>
      <c r="BT31" s="11">
        <f>BV31-BS31</f>
        <v>280.96016283264913</v>
      </c>
      <c r="BV31" s="603">
        <f>BV12*BV129+BV132</f>
        <v>498.4178589350492</v>
      </c>
    </row>
    <row r="32" spans="1:75" x14ac:dyDescent="0.2">
      <c r="A32" s="4" t="s">
        <v>792</v>
      </c>
      <c r="B32" s="4">
        <f t="shared" ref="B32:J32" si="101">B130*B9</f>
        <v>3.6485756984870252</v>
      </c>
      <c r="C32" s="4">
        <f t="shared" si="101"/>
        <v>2.9482705217596776</v>
      </c>
      <c r="D32" s="4">
        <f t="shared" si="101"/>
        <v>-0.11700145434157548</v>
      </c>
      <c r="E32" s="4">
        <f t="shared" si="101"/>
        <v>0.71255441992333091</v>
      </c>
      <c r="F32" s="4">
        <f t="shared" si="101"/>
        <v>5.1147846629647393</v>
      </c>
      <c r="G32" s="4">
        <f t="shared" si="101"/>
        <v>-4.9302131185920146</v>
      </c>
      <c r="H32" s="4">
        <f t="shared" si="101"/>
        <v>-3.0990521644756814</v>
      </c>
      <c r="I32" s="4">
        <f t="shared" si="101"/>
        <v>-0.95549915234669702</v>
      </c>
      <c r="J32" s="180">
        <f t="shared" si="101"/>
        <v>10.516821299165624</v>
      </c>
      <c r="N32" s="179"/>
      <c r="O32" s="4">
        <f>O130*O9</f>
        <v>12.57483188482246</v>
      </c>
      <c r="P32" s="4">
        <f>R32-O32</f>
        <v>-14.029792871570338</v>
      </c>
      <c r="R32" s="314">
        <f>R130*R9</f>
        <v>-1.4549609867478785</v>
      </c>
      <c r="V32" s="179"/>
      <c r="W32" s="4">
        <f>W130*W9</f>
        <v>6.9809195609750576</v>
      </c>
      <c r="X32" s="4">
        <f>Z32-W32</f>
        <v>-1.5596758953765377</v>
      </c>
      <c r="Z32" s="314">
        <f>Z130*Z9</f>
        <v>5.4212436655985199</v>
      </c>
      <c r="AD32" s="179"/>
      <c r="AE32" s="4">
        <f>AE130*AE9</f>
        <v>12.085690098153725</v>
      </c>
      <c r="AF32" s="4">
        <f>AH32-AE32</f>
        <v>-5.9915949581595358</v>
      </c>
      <c r="AH32" s="314">
        <f>AH130*AH9</f>
        <v>6.0940951399941889</v>
      </c>
      <c r="AL32" s="179"/>
      <c r="AM32" s="4">
        <f>AM130*AM9</f>
        <v>2.4750390295024483</v>
      </c>
      <c r="AN32" s="11">
        <f>AP32-AM32</f>
        <v>7.5249609704975517</v>
      </c>
      <c r="AP32" s="603">
        <f>AP130*AP9</f>
        <v>10</v>
      </c>
      <c r="AT32" s="179"/>
      <c r="AU32" s="11">
        <f>AU130*AU9</f>
        <v>5</v>
      </c>
      <c r="AV32" s="11">
        <f>AX32-AU32</f>
        <v>5</v>
      </c>
      <c r="AX32" s="603">
        <f>AX130*AX9</f>
        <v>10</v>
      </c>
      <c r="BB32" s="179"/>
      <c r="BC32" s="11">
        <f>BC130*BC9</f>
        <v>5</v>
      </c>
      <c r="BD32" s="11">
        <f>BF32-BC32</f>
        <v>5</v>
      </c>
      <c r="BF32" s="603">
        <f>BF130*BF9</f>
        <v>10</v>
      </c>
      <c r="BJ32" s="179"/>
      <c r="BK32" s="11">
        <f>BK130*BK9</f>
        <v>5</v>
      </c>
      <c r="BL32" s="11">
        <f>BN32-BK32</f>
        <v>5</v>
      </c>
      <c r="BN32" s="603">
        <f>BN130*BN9</f>
        <v>10</v>
      </c>
      <c r="BR32" s="179"/>
      <c r="BS32" s="11">
        <f>BS130*BS9</f>
        <v>5</v>
      </c>
      <c r="BT32" s="11">
        <f>BV32-BS32</f>
        <v>5</v>
      </c>
      <c r="BV32" s="603">
        <f>BV130*BV9</f>
        <v>10</v>
      </c>
    </row>
    <row r="33" spans="1:75" x14ac:dyDescent="0.2">
      <c r="A33" s="4" t="s">
        <v>793</v>
      </c>
      <c r="B33" s="4">
        <f t="shared" ref="B33:J33" si="102">B20*B131</f>
        <v>0</v>
      </c>
      <c r="C33" s="4">
        <f t="shared" si="102"/>
        <v>0</v>
      </c>
      <c r="D33" s="4">
        <f t="shared" si="102"/>
        <v>0</v>
      </c>
      <c r="E33" s="4">
        <f t="shared" si="102"/>
        <v>0</v>
      </c>
      <c r="F33" s="4">
        <f t="shared" si="102"/>
        <v>0</v>
      </c>
      <c r="G33" s="4">
        <f t="shared" si="102"/>
        <v>0</v>
      </c>
      <c r="H33" s="4">
        <f t="shared" si="102"/>
        <v>0</v>
      </c>
      <c r="I33" s="4">
        <f t="shared" si="102"/>
        <v>0</v>
      </c>
      <c r="J33" s="180">
        <f t="shared" si="102"/>
        <v>0</v>
      </c>
      <c r="N33" s="179"/>
      <c r="O33" s="4">
        <f>O20*O131</f>
        <v>0</v>
      </c>
      <c r="P33" s="4">
        <f>R33-O33</f>
        <v>0</v>
      </c>
      <c r="R33" s="314">
        <f>R20*R131</f>
        <v>0</v>
      </c>
      <c r="V33" s="179"/>
      <c r="W33" s="4">
        <f>W20*W131</f>
        <v>0</v>
      </c>
      <c r="X33" s="4">
        <f>Z33-W33</f>
        <v>0</v>
      </c>
      <c r="Z33" s="314">
        <f>Z20*Z131</f>
        <v>0</v>
      </c>
      <c r="AD33" s="179"/>
      <c r="AE33" s="4">
        <f>AE20*AE131</f>
        <v>0</v>
      </c>
      <c r="AF33" s="4">
        <f>AH33-AE33</f>
        <v>0</v>
      </c>
      <c r="AH33" s="314">
        <f>AH20*AH131</f>
        <v>0</v>
      </c>
      <c r="AL33" s="179"/>
      <c r="AM33" s="4">
        <f>AM20*AM131</f>
        <v>0</v>
      </c>
      <c r="AN33" s="11">
        <f>AP33-AM33</f>
        <v>0</v>
      </c>
      <c r="AP33" s="603">
        <f>AP20*AP131</f>
        <v>0</v>
      </c>
      <c r="AT33" s="179"/>
      <c r="AU33" s="11">
        <f>AU20*AU131</f>
        <v>0</v>
      </c>
      <c r="AV33" s="11">
        <f>AX33-AU33</f>
        <v>0</v>
      </c>
      <c r="AX33" s="603">
        <f>AX20*AX131</f>
        <v>0</v>
      </c>
      <c r="BB33" s="179"/>
      <c r="BC33" s="11">
        <f>BC20*BC131</f>
        <v>0</v>
      </c>
      <c r="BD33" s="11">
        <f>BF33-BC33</f>
        <v>0</v>
      </c>
      <c r="BF33" s="603">
        <f>BF20*BF131</f>
        <v>0</v>
      </c>
      <c r="BJ33" s="179"/>
      <c r="BK33" s="11">
        <f>BK20*BK131</f>
        <v>0</v>
      </c>
      <c r="BL33" s="11">
        <f>BN33-BK33</f>
        <v>0</v>
      </c>
      <c r="BN33" s="603">
        <f>BN20*BN131</f>
        <v>0</v>
      </c>
      <c r="BR33" s="179"/>
      <c r="BS33" s="11">
        <f>BS20*BS131</f>
        <v>0</v>
      </c>
      <c r="BT33" s="11">
        <f>BV33-BS33</f>
        <v>0</v>
      </c>
      <c r="BV33" s="603">
        <f>BV20*BV131</f>
        <v>0</v>
      </c>
    </row>
    <row r="34" spans="1:75" ht="12" thickBot="1" x14ac:dyDescent="0.25">
      <c r="A34" s="12" t="s">
        <v>800</v>
      </c>
      <c r="B34" s="12">
        <f t="shared" ref="B34:J34" si="103">SUM(B30:B33)</f>
        <v>368.87552651098702</v>
      </c>
      <c r="C34" s="12">
        <f t="shared" si="103"/>
        <v>392.02583614675973</v>
      </c>
      <c r="D34" s="12">
        <f t="shared" si="103"/>
        <v>335.32846625359571</v>
      </c>
      <c r="E34" s="12">
        <f t="shared" si="103"/>
        <v>-143.95218195687568</v>
      </c>
      <c r="F34" s="12">
        <f t="shared" si="103"/>
        <v>-662.40394483317846</v>
      </c>
      <c r="G34" s="12">
        <f t="shared" si="103"/>
        <v>-1162.6957905845995</v>
      </c>
      <c r="H34" s="12">
        <f t="shared" si="103"/>
        <v>-502.6449429665675</v>
      </c>
      <c r="I34" s="12">
        <f t="shared" si="103"/>
        <v>-269.89679801392361</v>
      </c>
      <c r="J34" s="686">
        <f t="shared" si="103"/>
        <v>-186.26553658207939</v>
      </c>
      <c r="K34" s="12"/>
      <c r="L34" s="12"/>
      <c r="M34" s="12"/>
      <c r="N34" s="703"/>
      <c r="O34" s="12">
        <f>SUM(O30:O33)</f>
        <v>15.762412366126357</v>
      </c>
      <c r="P34" s="12">
        <f>SUM(P30:P33)</f>
        <v>-9.1570883245566215</v>
      </c>
      <c r="Q34" s="12"/>
      <c r="R34" s="1360">
        <f>SUM(R30:R33)</f>
        <v>6.6053240415697347</v>
      </c>
      <c r="S34" s="12"/>
      <c r="T34" s="12"/>
      <c r="U34" s="12"/>
      <c r="V34" s="703"/>
      <c r="W34" s="12">
        <f>SUM(W30:W33)</f>
        <v>-158.38881357747144</v>
      </c>
      <c r="X34" s="12">
        <f>SUM(X30:X33)</f>
        <v>259.99249182829425</v>
      </c>
      <c r="Y34" s="12"/>
      <c r="Z34" s="1360">
        <f>SUM(Z30:Z33)</f>
        <v>101.60367825082282</v>
      </c>
      <c r="AA34" s="12"/>
      <c r="AB34" s="12"/>
      <c r="AC34" s="12"/>
      <c r="AD34" s="703"/>
      <c r="AE34" s="12">
        <f>SUM(AE30:AE33)</f>
        <v>103.20569009815372</v>
      </c>
      <c r="AF34" s="12">
        <f>SUM(AF30:AF33)</f>
        <v>101.71715504184046</v>
      </c>
      <c r="AG34" s="12"/>
      <c r="AH34" s="1360">
        <f>SUM(AH30:AH33)</f>
        <v>204.92284513999419</v>
      </c>
      <c r="AI34" s="12"/>
      <c r="AJ34" s="12"/>
      <c r="AK34" s="12"/>
      <c r="AL34" s="703"/>
      <c r="AM34" s="12">
        <f>SUM(AM30:AM33)</f>
        <v>198.30943902950247</v>
      </c>
      <c r="AN34" s="13">
        <f>SUM(AN30:AN33)</f>
        <v>191.46946228973337</v>
      </c>
      <c r="AO34" s="12"/>
      <c r="AP34" s="688">
        <f>SUM(AP30:AP33)</f>
        <v>389.77890131923584</v>
      </c>
      <c r="AQ34" s="12"/>
      <c r="AR34" s="12"/>
      <c r="AS34" s="12"/>
      <c r="AT34" s="703"/>
      <c r="AU34" s="13">
        <f>SUM(AU30:AU33)</f>
        <v>180.89930000000001</v>
      </c>
      <c r="AV34" s="13">
        <f>SUM(AV30:AV33)</f>
        <v>246.17745671433951</v>
      </c>
      <c r="AW34" s="12"/>
      <c r="AX34" s="688">
        <f>SUM(AX30:AX33)</f>
        <v>427.07675671433952</v>
      </c>
      <c r="AY34" s="12"/>
      <c r="AZ34" s="12"/>
      <c r="BA34" s="12"/>
      <c r="BB34" s="703"/>
      <c r="BC34" s="13">
        <f>SUM(BC30:BC33)</f>
        <v>207.78002000000006</v>
      </c>
      <c r="BD34" s="13">
        <f>SUM(BD30:BD33)</f>
        <v>271.24197746324933</v>
      </c>
      <c r="BE34" s="12"/>
      <c r="BF34" s="688">
        <f>SUM(BF30:BF33)</f>
        <v>479.02199746324936</v>
      </c>
      <c r="BG34" s="12"/>
      <c r="BH34" s="12"/>
      <c r="BI34" s="12"/>
      <c r="BJ34" s="703"/>
      <c r="BK34" s="13">
        <f>SUM(BK30:BK33)</f>
        <v>218.60320664000008</v>
      </c>
      <c r="BL34" s="13">
        <f>SUM(BL30:BL33)</f>
        <v>282.56523786165445</v>
      </c>
      <c r="BM34" s="12"/>
      <c r="BN34" s="688">
        <f>SUM(BN30:BN33)</f>
        <v>501.16844450165456</v>
      </c>
      <c r="BO34" s="12"/>
      <c r="BP34" s="12"/>
      <c r="BQ34" s="12"/>
      <c r="BR34" s="703"/>
      <c r="BS34" s="13">
        <f>SUM(BS30:BS33)</f>
        <v>223.81357729760006</v>
      </c>
      <c r="BT34" s="13">
        <f>SUM(BT30:BT33)</f>
        <v>287.81459910263419</v>
      </c>
      <c r="BU34" s="12"/>
      <c r="BV34" s="688">
        <f>SUM(BV30:BV33)</f>
        <v>511.62817640023422</v>
      </c>
    </row>
    <row r="35" spans="1:75" x14ac:dyDescent="0.2">
      <c r="A35" s="197" t="s">
        <v>778</v>
      </c>
      <c r="B35" s="204">
        <f t="shared" ref="B35:J35" si="104">B34/B4</f>
        <v>0.1044039450439051</v>
      </c>
      <c r="C35" s="204">
        <f t="shared" si="104"/>
        <v>0.10728366959681285</v>
      </c>
      <c r="D35" s="204">
        <f t="shared" si="104"/>
        <v>9.0681053197741376E-2</v>
      </c>
      <c r="E35" s="204">
        <f t="shared" si="104"/>
        <v>-3.9658002632151482E-2</v>
      </c>
      <c r="F35" s="204">
        <f t="shared" si="104"/>
        <v>-0.14889212561923612</v>
      </c>
      <c r="G35" s="204">
        <f t="shared" si="104"/>
        <v>-0.24532003992040424</v>
      </c>
      <c r="H35" s="204">
        <f t="shared" si="104"/>
        <v>-0.2060604169098473</v>
      </c>
      <c r="I35" s="204">
        <f t="shared" si="104"/>
        <v>-0.13887318762406062</v>
      </c>
      <c r="J35" s="555">
        <f t="shared" si="104"/>
        <v>-6.2407660030937145E-2</v>
      </c>
      <c r="K35" s="204"/>
      <c r="L35" s="204"/>
      <c r="M35" s="204"/>
      <c r="N35" s="205"/>
      <c r="O35" s="204">
        <f>O34/O4</f>
        <v>7.2355964749875471E-3</v>
      </c>
      <c r="P35" s="204">
        <f>P34/P4</f>
        <v>-4.9325858576534575E-3</v>
      </c>
      <c r="Q35" s="204"/>
      <c r="R35" s="824">
        <f>R34/R4</f>
        <v>1.6370471213736245E-3</v>
      </c>
      <c r="S35" s="204"/>
      <c r="T35" s="204"/>
      <c r="U35" s="204"/>
      <c r="V35" s="205"/>
      <c r="W35" s="204">
        <f>W34/W4</f>
        <v>-7.0940812469417872E-2</v>
      </c>
      <c r="X35" s="204">
        <f>X34/X4</f>
        <v>0.13840677629601492</v>
      </c>
      <c r="Y35" s="204"/>
      <c r="Z35" s="824">
        <f>Z34/Z4</f>
        <v>2.4714137859936994E-2</v>
      </c>
      <c r="AA35" s="204"/>
      <c r="AB35" s="204"/>
      <c r="AC35" s="204"/>
      <c r="AD35" s="205"/>
      <c r="AE35" s="204">
        <f>AE34/AE4</f>
        <v>4.0317596820979469E-2</v>
      </c>
      <c r="AF35" s="204">
        <f>AF34/AF4</f>
        <v>5.0673660413176731E-2</v>
      </c>
      <c r="AG35" s="204"/>
      <c r="AH35" s="824">
        <f>AH34/AH4</f>
        <v>4.4869202261624871E-2</v>
      </c>
      <c r="AI35" s="204"/>
      <c r="AJ35" s="204"/>
      <c r="AK35" s="204"/>
      <c r="AL35" s="205"/>
      <c r="AM35" s="204">
        <f>AM34/AM4</f>
        <v>6.7756474529243244E-2</v>
      </c>
      <c r="AN35" s="213">
        <f>AN34/AN4</f>
        <v>6.4194727909214586E-2</v>
      </c>
      <c r="AO35" s="204"/>
      <c r="AP35" s="823">
        <f>AP34/AP4</f>
        <v>6.595877368844287E-2</v>
      </c>
      <c r="AQ35" s="204"/>
      <c r="AR35" s="204"/>
      <c r="AS35" s="204"/>
      <c r="AT35" s="205"/>
      <c r="AU35" s="213">
        <f>AU34/AU4</f>
        <v>6.6070435810765327E-2</v>
      </c>
      <c r="AV35" s="213">
        <f>AV34/AV4</f>
        <v>6.743638080892965E-2</v>
      </c>
      <c r="AW35" s="204"/>
      <c r="AX35" s="823">
        <f>AX34/AX4</f>
        <v>6.6850964698581372E-2</v>
      </c>
      <c r="AY35" s="204"/>
      <c r="AZ35" s="204"/>
      <c r="BA35" s="204"/>
      <c r="BB35" s="205"/>
      <c r="BC35" s="213">
        <f>BC34/BC4</f>
        <v>6.7006234854442751E-2</v>
      </c>
      <c r="BD35" s="213">
        <f>BD34/BD4</f>
        <v>6.7969865493977724E-2</v>
      </c>
      <c r="BE35" s="204"/>
      <c r="BF35" s="823">
        <f>BF34/BF4</f>
        <v>6.7548499563229822E-2</v>
      </c>
      <c r="BG35" s="204"/>
      <c r="BH35" s="204"/>
      <c r="BI35" s="204"/>
      <c r="BJ35" s="205"/>
      <c r="BK35" s="213">
        <f>BK34/BK4</f>
        <v>6.7265311271920286E-2</v>
      </c>
      <c r="BL35" s="213">
        <f>BL34/BL4</f>
        <v>6.8126402085375307E-2</v>
      </c>
      <c r="BM35" s="204"/>
      <c r="BN35" s="823">
        <f>BN34/BN4</f>
        <v>6.7748109533488934E-2</v>
      </c>
      <c r="BO35" s="204"/>
      <c r="BP35" s="204"/>
      <c r="BQ35" s="204"/>
      <c r="BR35" s="205"/>
      <c r="BS35" s="213">
        <f>BS34/BS4</f>
        <v>6.7330127940952153E-2</v>
      </c>
      <c r="BT35" s="213">
        <f>BT34/BT4</f>
        <v>6.8135576959610505E-2</v>
      </c>
      <c r="BU35" s="204"/>
      <c r="BV35" s="823">
        <f>BV34/BV4</f>
        <v>6.7780871607898863E-2</v>
      </c>
    </row>
    <row r="36" spans="1:75" x14ac:dyDescent="0.2">
      <c r="A36" s="202"/>
      <c r="B36" s="838"/>
      <c r="C36" s="838"/>
      <c r="D36" s="838"/>
      <c r="E36" s="838"/>
      <c r="F36" s="838"/>
      <c r="G36" s="580"/>
      <c r="H36" s="580"/>
      <c r="I36" s="580"/>
      <c r="J36" s="581"/>
      <c r="K36" s="580"/>
      <c r="L36" s="580"/>
      <c r="M36" s="580"/>
      <c r="N36" s="582"/>
      <c r="O36" s="580"/>
      <c r="P36" s="580"/>
      <c r="Q36" s="580"/>
      <c r="R36" s="583"/>
      <c r="S36" s="580"/>
      <c r="T36" s="580"/>
      <c r="U36" s="580"/>
      <c r="V36" s="582"/>
      <c r="W36" s="580"/>
      <c r="X36" s="580"/>
      <c r="Y36" s="580"/>
      <c r="Z36" s="583"/>
      <c r="AA36" s="580"/>
      <c r="AB36" s="580"/>
      <c r="AC36" s="580"/>
      <c r="AD36" s="582"/>
      <c r="AE36" s="580"/>
      <c r="AF36" s="580"/>
      <c r="AG36" s="580"/>
      <c r="AH36" s="583"/>
      <c r="AI36" s="580"/>
      <c r="AJ36" s="580"/>
      <c r="AK36" s="580"/>
      <c r="AL36" s="582"/>
      <c r="AM36" s="580"/>
      <c r="AN36" s="580"/>
      <c r="AO36" s="580"/>
      <c r="AP36" s="583"/>
      <c r="AQ36" s="580"/>
      <c r="AR36" s="580"/>
      <c r="AS36" s="580"/>
      <c r="AT36" s="582"/>
      <c r="AU36" s="580"/>
      <c r="AV36" s="580"/>
      <c r="AW36" s="580"/>
      <c r="AX36" s="583"/>
      <c r="AY36" s="580"/>
      <c r="AZ36" s="580"/>
      <c r="BA36" s="580"/>
      <c r="BB36" s="582"/>
      <c r="BC36" s="580"/>
      <c r="BD36" s="580"/>
      <c r="BE36" s="580"/>
      <c r="BF36" s="583"/>
      <c r="BG36" s="580"/>
      <c r="BH36" s="580"/>
      <c r="BI36" s="580"/>
      <c r="BJ36" s="582"/>
      <c r="BK36" s="580"/>
      <c r="BL36" s="580"/>
      <c r="BM36" s="580"/>
      <c r="BN36" s="583"/>
      <c r="BO36" s="580"/>
      <c r="BP36" s="580"/>
      <c r="BQ36" s="580"/>
      <c r="BR36" s="582"/>
      <c r="BS36" s="580"/>
      <c r="BT36" s="580"/>
      <c r="BU36" s="580"/>
      <c r="BV36" s="583"/>
    </row>
    <row r="37" spans="1:75" x14ac:dyDescent="0.2">
      <c r="J37" s="180"/>
      <c r="N37" s="179"/>
      <c r="R37" s="314"/>
      <c r="V37" s="179"/>
      <c r="Z37" s="314"/>
      <c r="AD37" s="179"/>
      <c r="AH37" s="314"/>
      <c r="AL37" s="179"/>
      <c r="AP37" s="314"/>
      <c r="AT37" s="179"/>
      <c r="AX37" s="314"/>
      <c r="BB37" s="179"/>
      <c r="BF37" s="314"/>
      <c r="BJ37" s="179"/>
      <c r="BN37" s="314"/>
      <c r="BR37" s="179"/>
      <c r="BV37" s="314"/>
    </row>
    <row r="38" spans="1:75" x14ac:dyDescent="0.2">
      <c r="A38" s="454" t="s">
        <v>868</v>
      </c>
      <c r="B38" s="869"/>
      <c r="C38" s="631"/>
      <c r="D38" s="631"/>
      <c r="E38" s="631"/>
      <c r="F38" s="631"/>
      <c r="G38" s="631"/>
      <c r="H38" s="631"/>
      <c r="I38" s="631"/>
      <c r="J38" s="633"/>
      <c r="K38" s="631"/>
      <c r="L38" s="631"/>
      <c r="M38" s="631"/>
      <c r="N38" s="634"/>
      <c r="O38" s="631"/>
      <c r="P38" s="631"/>
      <c r="Q38" s="631"/>
      <c r="R38" s="635"/>
      <c r="S38" s="631"/>
      <c r="T38" s="631"/>
      <c r="U38" s="631"/>
      <c r="V38" s="634"/>
      <c r="W38" s="631"/>
      <c r="X38" s="631"/>
      <c r="Y38" s="631"/>
      <c r="Z38" s="635"/>
      <c r="AA38" s="631"/>
      <c r="AB38" s="631"/>
      <c r="AC38" s="631"/>
      <c r="AD38" s="634"/>
      <c r="AE38" s="631"/>
      <c r="AF38" s="631"/>
      <c r="AG38" s="631"/>
      <c r="AH38" s="635"/>
      <c r="AI38" s="631"/>
      <c r="AJ38" s="631"/>
      <c r="AK38" s="631"/>
      <c r="AL38" s="634"/>
      <c r="AM38" s="631"/>
      <c r="AN38" s="631"/>
      <c r="AO38" s="631"/>
      <c r="AP38" s="635"/>
      <c r="AQ38" s="631"/>
      <c r="AR38" s="631"/>
      <c r="AS38" s="631"/>
      <c r="AT38" s="634"/>
      <c r="AU38" s="631"/>
      <c r="AV38" s="631"/>
      <c r="AW38" s="631"/>
      <c r="AX38" s="635"/>
      <c r="AY38" s="631"/>
      <c r="AZ38" s="631"/>
      <c r="BA38" s="631"/>
      <c r="BB38" s="634"/>
      <c r="BC38" s="631"/>
      <c r="BD38" s="631"/>
      <c r="BE38" s="631"/>
      <c r="BF38" s="635"/>
      <c r="BG38" s="631"/>
      <c r="BH38" s="631"/>
      <c r="BI38" s="631"/>
      <c r="BJ38" s="634"/>
      <c r="BK38" s="631"/>
      <c r="BL38" s="631"/>
      <c r="BM38" s="631"/>
      <c r="BN38" s="635"/>
      <c r="BO38" s="631"/>
      <c r="BP38" s="631"/>
      <c r="BQ38" s="631"/>
      <c r="BR38" s="634"/>
      <c r="BS38" s="631"/>
      <c r="BT38" s="631"/>
      <c r="BU38" s="631"/>
      <c r="BV38" s="635"/>
    </row>
    <row r="39" spans="1:75" ht="11.25" customHeight="1" x14ac:dyDescent="0.2">
      <c r="A39" s="219"/>
      <c r="B39" s="838"/>
      <c r="C39" s="580"/>
      <c r="D39" s="580"/>
      <c r="E39" s="580"/>
      <c r="F39" s="580"/>
      <c r="G39" s="580"/>
      <c r="H39" s="580"/>
      <c r="I39" s="580"/>
      <c r="J39" s="581"/>
      <c r="K39" s="580"/>
      <c r="L39" s="580"/>
      <c r="M39" s="580"/>
      <c r="N39" s="582"/>
      <c r="O39" s="580"/>
      <c r="P39" s="580"/>
      <c r="Q39" s="580"/>
      <c r="R39" s="583"/>
      <c r="S39" s="580"/>
      <c r="T39" s="580"/>
      <c r="U39" s="580"/>
      <c r="V39" s="582"/>
      <c r="W39" s="580"/>
      <c r="X39" s="580"/>
      <c r="Y39" s="580"/>
      <c r="Z39" s="583"/>
      <c r="AA39" s="580"/>
      <c r="AB39" s="580"/>
      <c r="AC39" s="580"/>
      <c r="AD39" s="582"/>
      <c r="AE39" s="580"/>
      <c r="AF39" s="580"/>
      <c r="AG39" s="580"/>
      <c r="AH39" s="583"/>
      <c r="AI39" s="580"/>
      <c r="AJ39" s="580"/>
      <c r="AK39" s="580"/>
      <c r="AL39" s="582"/>
      <c r="AM39" s="580"/>
      <c r="AN39" s="580"/>
      <c r="AO39" s="580"/>
      <c r="AP39" s="583"/>
      <c r="AQ39" s="580"/>
      <c r="AR39" s="580"/>
      <c r="AS39" s="580"/>
      <c r="AT39" s="582"/>
      <c r="AU39" s="580"/>
      <c r="AV39" s="580"/>
      <c r="AW39" s="580"/>
      <c r="AX39" s="583"/>
      <c r="AY39" s="580"/>
      <c r="AZ39" s="580"/>
      <c r="BA39" s="580"/>
      <c r="BB39" s="582"/>
      <c r="BC39" s="580"/>
      <c r="BD39" s="580"/>
      <c r="BE39" s="580"/>
      <c r="BF39" s="583"/>
      <c r="BG39" s="580"/>
      <c r="BH39" s="580"/>
      <c r="BI39" s="580"/>
      <c r="BJ39" s="582"/>
      <c r="BK39" s="580"/>
      <c r="BL39" s="580"/>
      <c r="BM39" s="580"/>
      <c r="BN39" s="583"/>
      <c r="BO39" s="580"/>
      <c r="BP39" s="580"/>
      <c r="BQ39" s="580"/>
      <c r="BR39" s="582"/>
      <c r="BS39" s="580"/>
      <c r="BT39" s="580"/>
      <c r="BU39" s="580"/>
      <c r="BV39" s="583"/>
    </row>
    <row r="40" spans="1:75" ht="11.25" customHeight="1" x14ac:dyDescent="0.2">
      <c r="A40" s="4" t="s">
        <v>869</v>
      </c>
      <c r="B40" s="1386">
        <f>18*2</f>
        <v>36</v>
      </c>
      <c r="C40" s="1386">
        <f>15*2</f>
        <v>30</v>
      </c>
      <c r="D40" s="1386">
        <f>17*2</f>
        <v>34</v>
      </c>
      <c r="E40" s="1386">
        <f>20*2</f>
        <v>40</v>
      </c>
      <c r="F40" s="1386">
        <f>27*2</f>
        <v>54</v>
      </c>
      <c r="G40" s="1386">
        <f>5*2</f>
        <v>10</v>
      </c>
      <c r="H40" s="1386">
        <f>14*2</f>
        <v>28</v>
      </c>
      <c r="I40" s="1386">
        <f>24*2</f>
        <v>48</v>
      </c>
      <c r="J40" s="1387">
        <f>7*2</f>
        <v>14</v>
      </c>
      <c r="K40" s="740">
        <v>0</v>
      </c>
      <c r="L40" s="740">
        <f>O40-K40</f>
        <v>0</v>
      </c>
      <c r="M40" s="740">
        <v>0</v>
      </c>
      <c r="N40" s="760">
        <f>P40-M40</f>
        <v>0</v>
      </c>
      <c r="O40" s="740">
        <v>0</v>
      </c>
      <c r="P40" s="4">
        <f>R40-O40</f>
        <v>0</v>
      </c>
      <c r="Q40" s="740">
        <f>K40+L40+M40</f>
        <v>0</v>
      </c>
      <c r="R40" s="1368">
        <v>0</v>
      </c>
      <c r="S40" s="740">
        <v>0</v>
      </c>
      <c r="T40" s="740">
        <f>W40-S40</f>
        <v>0</v>
      </c>
      <c r="U40" s="740">
        <v>0</v>
      </c>
      <c r="V40" s="760">
        <f>X40-U40</f>
        <v>0</v>
      </c>
      <c r="W40" s="740">
        <v>0</v>
      </c>
      <c r="X40" s="4">
        <f>Z40-W40</f>
        <v>0</v>
      </c>
      <c r="Y40" s="740">
        <f>S40+T40+U40</f>
        <v>0</v>
      </c>
      <c r="Z40" s="1368">
        <v>0</v>
      </c>
      <c r="AA40" s="740">
        <f>AE40/2</f>
        <v>0</v>
      </c>
      <c r="AB40" s="740">
        <f>AE40-AA40</f>
        <v>0</v>
      </c>
      <c r="AC40" s="740">
        <v>0</v>
      </c>
      <c r="AD40" s="760">
        <f>AF40-AC40</f>
        <v>0</v>
      </c>
      <c r="AE40" s="740">
        <v>0</v>
      </c>
      <c r="AF40" s="4">
        <f>AH40-AE40</f>
        <v>0</v>
      </c>
      <c r="AG40" s="740">
        <f>AA40+AB40+AC40</f>
        <v>0</v>
      </c>
      <c r="AH40" s="1368">
        <f>Z40</f>
        <v>0</v>
      </c>
      <c r="AI40" s="740">
        <f>AM40/2</f>
        <v>0</v>
      </c>
      <c r="AJ40" s="740">
        <f>AM40-AI40</f>
        <v>0</v>
      </c>
      <c r="AK40" s="743">
        <f>AN40/2</f>
        <v>0</v>
      </c>
      <c r="AL40" s="742">
        <f>AN40-AK40</f>
        <v>0</v>
      </c>
      <c r="AM40" s="740">
        <v>0</v>
      </c>
      <c r="AN40" s="11">
        <f>AP40-AM40</f>
        <v>0</v>
      </c>
      <c r="AO40" s="743">
        <f>AI40+AJ40+AK40</f>
        <v>0</v>
      </c>
      <c r="AP40" s="871">
        <v>0</v>
      </c>
      <c r="AQ40" s="743">
        <f>AU40/2</f>
        <v>0</v>
      </c>
      <c r="AR40" s="743">
        <f>AU40-AQ40</f>
        <v>0</v>
      </c>
      <c r="AS40" s="743">
        <f>AV40/2</f>
        <v>0</v>
      </c>
      <c r="AT40" s="742">
        <f>AV40-AS40</f>
        <v>0</v>
      </c>
      <c r="AU40" s="743">
        <f>AX40/2</f>
        <v>0</v>
      </c>
      <c r="AV40" s="11">
        <f>AX40-AU40</f>
        <v>0</v>
      </c>
      <c r="AW40" s="743">
        <f>AQ40+AR40+AS40</f>
        <v>0</v>
      </c>
      <c r="AX40" s="744">
        <f>AP40</f>
        <v>0</v>
      </c>
      <c r="AY40" s="743">
        <f>BC40/2</f>
        <v>0</v>
      </c>
      <c r="AZ40" s="743">
        <f>BC40-AY40</f>
        <v>0</v>
      </c>
      <c r="BA40" s="743">
        <f>BD40/2</f>
        <v>0</v>
      </c>
      <c r="BB40" s="742">
        <f>BD40-BA40</f>
        <v>0</v>
      </c>
      <c r="BC40" s="743">
        <f>BF40/2</f>
        <v>0</v>
      </c>
      <c r="BD40" s="11">
        <f>BF40-BC40</f>
        <v>0</v>
      </c>
      <c r="BE40" s="743">
        <f>AY40+AZ40+BA40</f>
        <v>0</v>
      </c>
      <c r="BF40" s="744">
        <f>AX40</f>
        <v>0</v>
      </c>
      <c r="BG40" s="743">
        <f>BK40/2</f>
        <v>0</v>
      </c>
      <c r="BH40" s="743">
        <f>BK40-BG40</f>
        <v>0</v>
      </c>
      <c r="BI40" s="743">
        <f>BL40/2</f>
        <v>0</v>
      </c>
      <c r="BJ40" s="742">
        <f>BL40-BI40</f>
        <v>0</v>
      </c>
      <c r="BK40" s="743">
        <f>BN40/2</f>
        <v>0</v>
      </c>
      <c r="BL40" s="11">
        <f>BN40-BK40</f>
        <v>0</v>
      </c>
      <c r="BM40" s="743">
        <f>BG40+BH40+BI40</f>
        <v>0</v>
      </c>
      <c r="BN40" s="744">
        <f>BF40</f>
        <v>0</v>
      </c>
      <c r="BO40" s="743">
        <f>BS40/2</f>
        <v>0</v>
      </c>
      <c r="BP40" s="743">
        <f>BS40-BO40</f>
        <v>0</v>
      </c>
      <c r="BQ40" s="743">
        <f>BT40/2</f>
        <v>0</v>
      </c>
      <c r="BR40" s="742">
        <f>BT40-BQ40</f>
        <v>0</v>
      </c>
      <c r="BS40" s="743">
        <f>BV40/2</f>
        <v>0</v>
      </c>
      <c r="BT40" s="11">
        <f>BV40-BS40</f>
        <v>0</v>
      </c>
      <c r="BU40" s="743">
        <f>BO40+BP40+BQ40</f>
        <v>0</v>
      </c>
      <c r="BV40" s="744">
        <f>BN40</f>
        <v>0</v>
      </c>
      <c r="BW40" s="862"/>
    </row>
    <row r="41" spans="1:75" ht="11.25" customHeight="1" x14ac:dyDescent="0.2">
      <c r="A41" s="4" t="s">
        <v>870</v>
      </c>
      <c r="B41" s="1386">
        <v>17</v>
      </c>
      <c r="C41" s="1386">
        <v>17</v>
      </c>
      <c r="D41" s="1386">
        <v>17</v>
      </c>
      <c r="E41" s="1386">
        <v>17</v>
      </c>
      <c r="F41" s="1386">
        <v>17</v>
      </c>
      <c r="G41" s="1386">
        <v>17</v>
      </c>
      <c r="H41" s="1386">
        <v>17</v>
      </c>
      <c r="I41" s="1386">
        <v>17</v>
      </c>
      <c r="J41" s="1387">
        <v>17</v>
      </c>
      <c r="K41" s="740">
        <f>O41/2</f>
        <v>4.25</v>
      </c>
      <c r="L41" s="740">
        <f>O41-K41</f>
        <v>4.25</v>
      </c>
      <c r="M41" s="740">
        <v>4.25</v>
      </c>
      <c r="N41" s="760">
        <f>P41-M41</f>
        <v>4.25</v>
      </c>
      <c r="O41" s="740">
        <v>8.5</v>
      </c>
      <c r="P41" s="4">
        <f>R41-O41</f>
        <v>8.5</v>
      </c>
      <c r="Q41" s="740">
        <f>K41+L41+M41</f>
        <v>12.75</v>
      </c>
      <c r="R41" s="1368">
        <v>17</v>
      </c>
      <c r="S41" s="740">
        <v>4</v>
      </c>
      <c r="T41" s="740">
        <f>W41-S41</f>
        <v>5</v>
      </c>
      <c r="U41" s="740">
        <v>4.25</v>
      </c>
      <c r="V41" s="760">
        <f>X41-U41</f>
        <v>3.75</v>
      </c>
      <c r="W41" s="740">
        <v>9</v>
      </c>
      <c r="X41" s="4">
        <f>Z41-W41</f>
        <v>8</v>
      </c>
      <c r="Y41" s="740">
        <f>S41+T41+U41</f>
        <v>13.25</v>
      </c>
      <c r="Z41" s="1368">
        <v>17</v>
      </c>
      <c r="AA41" s="740">
        <f>AE41/2</f>
        <v>4.5</v>
      </c>
      <c r="AB41" s="740">
        <f>AE41-AA41</f>
        <v>4.5</v>
      </c>
      <c r="AC41" s="740">
        <v>4</v>
      </c>
      <c r="AD41" s="760">
        <f>AF41-AC41</f>
        <v>4</v>
      </c>
      <c r="AE41" s="740">
        <v>9</v>
      </c>
      <c r="AF41" s="4">
        <f>AH41-AE41</f>
        <v>8</v>
      </c>
      <c r="AG41" s="740">
        <f>AA41+AB41+AC41</f>
        <v>13</v>
      </c>
      <c r="AH41" s="1368">
        <v>17</v>
      </c>
      <c r="AI41" s="740">
        <f>AM41/2</f>
        <v>4.5</v>
      </c>
      <c r="AJ41" s="740">
        <f>AM41-AI41</f>
        <v>4.5</v>
      </c>
      <c r="AK41" s="743">
        <f>AN41/2</f>
        <v>4</v>
      </c>
      <c r="AL41" s="742">
        <f>AN41-AK41</f>
        <v>4</v>
      </c>
      <c r="AM41" s="740">
        <v>9</v>
      </c>
      <c r="AN41" s="11">
        <f>AP41-AM41</f>
        <v>8</v>
      </c>
      <c r="AO41" s="743">
        <f>AI41+AJ41+AK41</f>
        <v>13</v>
      </c>
      <c r="AP41" s="871">
        <v>17</v>
      </c>
      <c r="AQ41" s="743">
        <f>AU41/2</f>
        <v>4.25</v>
      </c>
      <c r="AR41" s="743">
        <f>AU41-AQ41</f>
        <v>4.25</v>
      </c>
      <c r="AS41" s="743">
        <f>AV41/2</f>
        <v>4.25</v>
      </c>
      <c r="AT41" s="742">
        <f>AV41-AS41</f>
        <v>4.25</v>
      </c>
      <c r="AU41" s="743">
        <f>AX41/2</f>
        <v>8.5</v>
      </c>
      <c r="AV41" s="11">
        <f>AX41-AU41</f>
        <v>8.5</v>
      </c>
      <c r="AW41" s="743">
        <f>AQ41+AR41+AS41</f>
        <v>12.75</v>
      </c>
      <c r="AX41" s="744">
        <f>AP41</f>
        <v>17</v>
      </c>
      <c r="AY41" s="743">
        <f>BC41/2</f>
        <v>4.25</v>
      </c>
      <c r="AZ41" s="743">
        <f>BC41-AY41</f>
        <v>4.25</v>
      </c>
      <c r="BA41" s="743">
        <f>BD41/2</f>
        <v>4.25</v>
      </c>
      <c r="BB41" s="742">
        <f>BD41-BA41</f>
        <v>4.25</v>
      </c>
      <c r="BC41" s="743">
        <f>BF41/2</f>
        <v>8.5</v>
      </c>
      <c r="BD41" s="11">
        <f>BF41-BC41</f>
        <v>8.5</v>
      </c>
      <c r="BE41" s="743">
        <f>AY41+AZ41+BA41</f>
        <v>12.75</v>
      </c>
      <c r="BF41" s="744">
        <f>AX41</f>
        <v>17</v>
      </c>
      <c r="BG41" s="743">
        <f>BK41/2</f>
        <v>4.25</v>
      </c>
      <c r="BH41" s="743">
        <f>BK41-BG41</f>
        <v>4.25</v>
      </c>
      <c r="BI41" s="743">
        <f>BL41/2</f>
        <v>4.25</v>
      </c>
      <c r="BJ41" s="742">
        <f>BL41-BI41</f>
        <v>4.25</v>
      </c>
      <c r="BK41" s="743">
        <f>BN41/2</f>
        <v>8.5</v>
      </c>
      <c r="BL41" s="11">
        <f>BN41-BK41</f>
        <v>8.5</v>
      </c>
      <c r="BM41" s="743">
        <f>BG41+BH41+BI41</f>
        <v>12.75</v>
      </c>
      <c r="BN41" s="744">
        <f>BF41</f>
        <v>17</v>
      </c>
      <c r="BO41" s="743">
        <f>BS41/2</f>
        <v>4.25</v>
      </c>
      <c r="BP41" s="743">
        <f>BS41-BO41</f>
        <v>4.25</v>
      </c>
      <c r="BQ41" s="743">
        <f>BT41/2</f>
        <v>4.25</v>
      </c>
      <c r="BR41" s="742">
        <f>BT41-BQ41</f>
        <v>4.25</v>
      </c>
      <c r="BS41" s="743">
        <f>BV41/2</f>
        <v>8.5</v>
      </c>
      <c r="BT41" s="11">
        <f>BV41-BS41</f>
        <v>8.5</v>
      </c>
      <c r="BU41" s="743">
        <f>BO41+BP41+BQ41</f>
        <v>12.75</v>
      </c>
      <c r="BV41" s="744">
        <f>BN41</f>
        <v>17</v>
      </c>
    </row>
    <row r="42" spans="1:75" ht="11.25" customHeight="1" x14ac:dyDescent="0.2">
      <c r="A42" s="4" t="s">
        <v>871</v>
      </c>
      <c r="B42" s="1386">
        <v>0</v>
      </c>
      <c r="C42" s="1386">
        <v>0</v>
      </c>
      <c r="D42" s="1386">
        <v>0</v>
      </c>
      <c r="E42" s="1386">
        <v>0</v>
      </c>
      <c r="F42" s="1386">
        <v>0</v>
      </c>
      <c r="G42" s="1386">
        <v>0</v>
      </c>
      <c r="H42" s="1386">
        <v>0</v>
      </c>
      <c r="I42" s="1386">
        <v>0</v>
      </c>
      <c r="J42" s="1387">
        <v>0</v>
      </c>
      <c r="K42" s="740">
        <f>O42/2</f>
        <v>0</v>
      </c>
      <c r="L42" s="740">
        <f>O42-K42</f>
        <v>0</v>
      </c>
      <c r="M42" s="740">
        <v>0</v>
      </c>
      <c r="N42" s="760">
        <f>P42-M42</f>
        <v>0</v>
      </c>
      <c r="O42" s="740">
        <v>0</v>
      </c>
      <c r="P42" s="4">
        <f>R42-O42</f>
        <v>0</v>
      </c>
      <c r="Q42" s="740">
        <f>K42+L42+M42</f>
        <v>0</v>
      </c>
      <c r="R42" s="1368">
        <v>0</v>
      </c>
      <c r="S42" s="740">
        <v>0</v>
      </c>
      <c r="T42" s="740">
        <f>W42-S42</f>
        <v>0</v>
      </c>
      <c r="U42" s="740">
        <v>0</v>
      </c>
      <c r="V42" s="760">
        <f>X42-U42</f>
        <v>0</v>
      </c>
      <c r="W42" s="740">
        <v>0</v>
      </c>
      <c r="X42" s="4">
        <f>Z42-W42</f>
        <v>0</v>
      </c>
      <c r="Y42" s="740">
        <f>S42+T42+U42</f>
        <v>0</v>
      </c>
      <c r="Z42" s="1368">
        <v>0</v>
      </c>
      <c r="AA42" s="740">
        <f>AE42/2</f>
        <v>0</v>
      </c>
      <c r="AB42" s="740">
        <f>AE42-AA42</f>
        <v>0</v>
      </c>
      <c r="AC42" s="740">
        <v>0</v>
      </c>
      <c r="AD42" s="760">
        <f>AF42-AC42</f>
        <v>0</v>
      </c>
      <c r="AE42" s="740">
        <v>0</v>
      </c>
      <c r="AF42" s="4">
        <f>AH42-AE42</f>
        <v>0</v>
      </c>
      <c r="AG42" s="740">
        <f>AA42+AB42+AC42</f>
        <v>0</v>
      </c>
      <c r="AH42" s="1368">
        <v>0</v>
      </c>
      <c r="AI42" s="740">
        <f>AM42/2</f>
        <v>0</v>
      </c>
      <c r="AJ42" s="740">
        <f>AM42-AI42</f>
        <v>0</v>
      </c>
      <c r="AK42" s="743">
        <f>AN42/2</f>
        <v>0</v>
      </c>
      <c r="AL42" s="742">
        <f>AN42-AK42</f>
        <v>0</v>
      </c>
      <c r="AM42" s="740">
        <v>0</v>
      </c>
      <c r="AN42" s="11">
        <f>AP42-AM42</f>
        <v>0</v>
      </c>
      <c r="AO42" s="743">
        <f>AI42+AJ42+AK42</f>
        <v>0</v>
      </c>
      <c r="AP42" s="871">
        <v>0</v>
      </c>
      <c r="AQ42" s="743">
        <f>AU42/2</f>
        <v>0</v>
      </c>
      <c r="AR42" s="743">
        <f>AU42-AQ42</f>
        <v>0</v>
      </c>
      <c r="AS42" s="743">
        <f>AV42/2</f>
        <v>0</v>
      </c>
      <c r="AT42" s="742">
        <f>AV42-AS42</f>
        <v>0</v>
      </c>
      <c r="AU42" s="743">
        <f>AX42/2</f>
        <v>0</v>
      </c>
      <c r="AV42" s="11">
        <f>AX42-AU42</f>
        <v>0</v>
      </c>
      <c r="AW42" s="743">
        <f>AQ42+AR42+AS42</f>
        <v>0</v>
      </c>
      <c r="AX42" s="744">
        <f>AP42</f>
        <v>0</v>
      </c>
      <c r="AY42" s="743">
        <f>BC42/2</f>
        <v>0</v>
      </c>
      <c r="AZ42" s="743">
        <f>BC42-AY42</f>
        <v>0</v>
      </c>
      <c r="BA42" s="743">
        <f>BD42/2</f>
        <v>0</v>
      </c>
      <c r="BB42" s="742">
        <f>BD42-BA42</f>
        <v>0</v>
      </c>
      <c r="BC42" s="743">
        <f>BF42/2</f>
        <v>0</v>
      </c>
      <c r="BD42" s="11">
        <f>BF42-BC42</f>
        <v>0</v>
      </c>
      <c r="BE42" s="743">
        <f>AY42+AZ42+BA42</f>
        <v>0</v>
      </c>
      <c r="BF42" s="744">
        <f>AX42</f>
        <v>0</v>
      </c>
      <c r="BG42" s="743">
        <f>BK42/2</f>
        <v>0</v>
      </c>
      <c r="BH42" s="743">
        <f>BK42-BG42</f>
        <v>0</v>
      </c>
      <c r="BI42" s="743">
        <f>BL42/2</f>
        <v>0</v>
      </c>
      <c r="BJ42" s="742">
        <f>BL42-BI42</f>
        <v>0</v>
      </c>
      <c r="BK42" s="743">
        <f>BN42/2</f>
        <v>0</v>
      </c>
      <c r="BL42" s="11">
        <f>BN42-BK42</f>
        <v>0</v>
      </c>
      <c r="BM42" s="743">
        <f>BG42+BH42+BI42</f>
        <v>0</v>
      </c>
      <c r="BN42" s="744">
        <f>BF42</f>
        <v>0</v>
      </c>
      <c r="BO42" s="743">
        <f>BS42/2</f>
        <v>0</v>
      </c>
      <c r="BP42" s="743">
        <f>BS42-BO42</f>
        <v>0</v>
      </c>
      <c r="BQ42" s="743">
        <f>BT42/2</f>
        <v>0</v>
      </c>
      <c r="BR42" s="742">
        <f>BT42-BQ42</f>
        <v>0</v>
      </c>
      <c r="BS42" s="743">
        <f>BV42/2</f>
        <v>0</v>
      </c>
      <c r="BT42" s="11">
        <f>BV42-BS42</f>
        <v>0</v>
      </c>
      <c r="BU42" s="743">
        <f>BO42+BP42+BQ42</f>
        <v>0</v>
      </c>
      <c r="BV42" s="744">
        <f>BN42</f>
        <v>0</v>
      </c>
    </row>
    <row r="43" spans="1:75" ht="11.25" customHeight="1" x14ac:dyDescent="0.2">
      <c r="A43" s="4" t="s">
        <v>872</v>
      </c>
      <c r="B43" s="1386">
        <v>0</v>
      </c>
      <c r="C43" s="1386">
        <v>0</v>
      </c>
      <c r="D43" s="1386">
        <v>0</v>
      </c>
      <c r="E43" s="1386">
        <v>0</v>
      </c>
      <c r="F43" s="1386">
        <f>1*2</f>
        <v>2</v>
      </c>
      <c r="G43" s="1386">
        <f>10*2</f>
        <v>20</v>
      </c>
      <c r="H43" s="1386">
        <f>28*2</f>
        <v>56</v>
      </c>
      <c r="I43" s="1386">
        <f>32*2</f>
        <v>64</v>
      </c>
      <c r="J43" s="1387">
        <f>34*2</f>
        <v>68</v>
      </c>
      <c r="K43" s="740">
        <f>O43/2</f>
        <v>20.75</v>
      </c>
      <c r="L43" s="740">
        <f>O43-K43</f>
        <v>20.75</v>
      </c>
      <c r="M43" s="740">
        <v>20.75</v>
      </c>
      <c r="N43" s="760">
        <f>P43-M43</f>
        <v>20.75</v>
      </c>
      <c r="O43" s="740">
        <v>41.5</v>
      </c>
      <c r="P43" s="4">
        <f>R43-O43</f>
        <v>41.5</v>
      </c>
      <c r="Q43" s="740">
        <f>K43+L43+M43</f>
        <v>62.25</v>
      </c>
      <c r="R43" s="1368">
        <v>83</v>
      </c>
      <c r="S43" s="740">
        <v>21</v>
      </c>
      <c r="T43" s="740">
        <f>W43-S43</f>
        <v>21</v>
      </c>
      <c r="U43" s="740">
        <v>20.75</v>
      </c>
      <c r="V43" s="760">
        <f>X43-U43</f>
        <v>20.25</v>
      </c>
      <c r="W43" s="740">
        <v>42</v>
      </c>
      <c r="X43" s="4">
        <f>Z43-W43</f>
        <v>41</v>
      </c>
      <c r="Y43" s="740">
        <f>S43+T43+U43</f>
        <v>62.75</v>
      </c>
      <c r="Z43" s="1368">
        <v>83</v>
      </c>
      <c r="AA43" s="740">
        <f>AE43/2</f>
        <v>21</v>
      </c>
      <c r="AB43" s="740">
        <f>AE43-AA43</f>
        <v>21</v>
      </c>
      <c r="AC43" s="740">
        <v>21</v>
      </c>
      <c r="AD43" s="760">
        <f>AF43-AC43</f>
        <v>20</v>
      </c>
      <c r="AE43" s="740">
        <v>42</v>
      </c>
      <c r="AF43" s="4">
        <f>AH43-AE43</f>
        <v>41</v>
      </c>
      <c r="AG43" s="740">
        <f>AA43+AB43+AC43</f>
        <v>63</v>
      </c>
      <c r="AH43" s="1368">
        <v>83</v>
      </c>
      <c r="AI43" s="740">
        <f>AM43/2</f>
        <v>21</v>
      </c>
      <c r="AJ43" s="740">
        <f>AM43-AI43</f>
        <v>21</v>
      </c>
      <c r="AK43" s="743">
        <f>AN43/2</f>
        <v>20.5</v>
      </c>
      <c r="AL43" s="742">
        <f>AN43-AK43</f>
        <v>20.5</v>
      </c>
      <c r="AM43" s="740">
        <v>42</v>
      </c>
      <c r="AN43" s="11">
        <f>AP43-AM43</f>
        <v>41</v>
      </c>
      <c r="AO43" s="743">
        <f>AI43+AJ43+AK43</f>
        <v>62.5</v>
      </c>
      <c r="AP43" s="871">
        <v>83</v>
      </c>
      <c r="AQ43" s="743">
        <f>AU43/2</f>
        <v>20.75</v>
      </c>
      <c r="AR43" s="743">
        <f>AU43-AQ43</f>
        <v>20.75</v>
      </c>
      <c r="AS43" s="743">
        <f>AV43/2</f>
        <v>20.75</v>
      </c>
      <c r="AT43" s="742">
        <f>AV43-AS43</f>
        <v>20.75</v>
      </c>
      <c r="AU43" s="743">
        <f>AX43/2</f>
        <v>41.5</v>
      </c>
      <c r="AV43" s="11">
        <f>AX43-AU43</f>
        <v>41.5</v>
      </c>
      <c r="AW43" s="743">
        <f>AQ43+AR43+AS43</f>
        <v>62.25</v>
      </c>
      <c r="AX43" s="744">
        <f>AP43</f>
        <v>83</v>
      </c>
      <c r="AY43" s="743">
        <f>BC43/2</f>
        <v>20.75</v>
      </c>
      <c r="AZ43" s="743">
        <f>BC43-AY43</f>
        <v>20.75</v>
      </c>
      <c r="BA43" s="743">
        <f>BD43/2</f>
        <v>20.75</v>
      </c>
      <c r="BB43" s="742">
        <f>BD43-BA43</f>
        <v>20.75</v>
      </c>
      <c r="BC43" s="743">
        <f>BF43/2</f>
        <v>41.5</v>
      </c>
      <c r="BD43" s="11">
        <f>BF43-BC43</f>
        <v>41.5</v>
      </c>
      <c r="BE43" s="743">
        <f>AY43+AZ43+BA43</f>
        <v>62.25</v>
      </c>
      <c r="BF43" s="744">
        <f>AX43</f>
        <v>83</v>
      </c>
      <c r="BG43" s="743">
        <f>BK43/2</f>
        <v>20.75</v>
      </c>
      <c r="BH43" s="743">
        <f>BK43-BG43</f>
        <v>20.75</v>
      </c>
      <c r="BI43" s="743">
        <f>BL43/2</f>
        <v>20.75</v>
      </c>
      <c r="BJ43" s="742">
        <f>BL43-BI43</f>
        <v>20.75</v>
      </c>
      <c r="BK43" s="743">
        <f>BN43/2</f>
        <v>41.5</v>
      </c>
      <c r="BL43" s="11">
        <f>BN43-BK43</f>
        <v>41.5</v>
      </c>
      <c r="BM43" s="743">
        <f>BG43+BH43+BI43</f>
        <v>62.25</v>
      </c>
      <c r="BN43" s="744">
        <f>BF43</f>
        <v>83</v>
      </c>
      <c r="BO43" s="743">
        <f>BS43/2</f>
        <v>20.75</v>
      </c>
      <c r="BP43" s="743">
        <f>BS43-BO43</f>
        <v>20.75</v>
      </c>
      <c r="BQ43" s="743">
        <f>BT43/2</f>
        <v>20.75</v>
      </c>
      <c r="BR43" s="742">
        <f>BT43-BQ43</f>
        <v>20.75</v>
      </c>
      <c r="BS43" s="743">
        <f>BV43/2</f>
        <v>41.5</v>
      </c>
      <c r="BT43" s="11">
        <f>BV43-BS43</f>
        <v>41.5</v>
      </c>
      <c r="BU43" s="743">
        <f>BO43+BP43+BQ43</f>
        <v>62.25</v>
      </c>
      <c r="BV43" s="744">
        <f>BN43</f>
        <v>83</v>
      </c>
    </row>
    <row r="44" spans="1:75" ht="11.25" customHeight="1" x14ac:dyDescent="0.2">
      <c r="A44" s="4" t="s">
        <v>873</v>
      </c>
      <c r="B44" s="1386">
        <v>32</v>
      </c>
      <c r="C44" s="1386">
        <v>21</v>
      </c>
      <c r="D44" s="1386">
        <v>21</v>
      </c>
      <c r="E44" s="1386">
        <v>25</v>
      </c>
      <c r="F44" s="1386">
        <v>24</v>
      </c>
      <c r="G44" s="1386">
        <v>26</v>
      </c>
      <c r="H44" s="1386">
        <v>0</v>
      </c>
      <c r="I44" s="1386">
        <v>0</v>
      </c>
      <c r="J44" s="1387">
        <v>0</v>
      </c>
      <c r="K44" s="740">
        <f>O44/2</f>
        <v>0</v>
      </c>
      <c r="L44" s="740">
        <f>O44-K44</f>
        <v>0</v>
      </c>
      <c r="M44" s="740">
        <v>0</v>
      </c>
      <c r="N44" s="760">
        <f>P44-M44</f>
        <v>0</v>
      </c>
      <c r="O44" s="740">
        <v>0</v>
      </c>
      <c r="P44" s="4">
        <f>R44-O44</f>
        <v>0</v>
      </c>
      <c r="Q44" s="740">
        <f>K44+L44+M44</f>
        <v>0</v>
      </c>
      <c r="R44" s="1368">
        <v>0</v>
      </c>
      <c r="S44" s="740">
        <v>0</v>
      </c>
      <c r="T44" s="740">
        <f>W44-S44</f>
        <v>0</v>
      </c>
      <c r="U44" s="740">
        <v>0</v>
      </c>
      <c r="V44" s="760">
        <f>X44-U44</f>
        <v>0</v>
      </c>
      <c r="W44" s="740">
        <v>0</v>
      </c>
      <c r="X44" s="4">
        <f>Z44-W44</f>
        <v>0</v>
      </c>
      <c r="Y44" s="740">
        <f>S44+T44+U44</f>
        <v>0</v>
      </c>
      <c r="Z44" s="1368">
        <v>0</v>
      </c>
      <c r="AA44" s="740">
        <f>AE44/2</f>
        <v>0</v>
      </c>
      <c r="AB44" s="740">
        <f>AE44-AA44</f>
        <v>0</v>
      </c>
      <c r="AC44" s="740">
        <v>0</v>
      </c>
      <c r="AD44" s="760">
        <f>AF44-AC44</f>
        <v>0</v>
      </c>
      <c r="AE44" s="740">
        <v>0</v>
      </c>
      <c r="AF44" s="4">
        <f>AH44-AE44</f>
        <v>0</v>
      </c>
      <c r="AG44" s="740">
        <f>AA44+AB44+AC44</f>
        <v>0</v>
      </c>
      <c r="AH44" s="1368">
        <f>Z44</f>
        <v>0</v>
      </c>
      <c r="AI44" s="740">
        <f>AM44/2</f>
        <v>0</v>
      </c>
      <c r="AJ44" s="740">
        <f>AM44-AI44</f>
        <v>0</v>
      </c>
      <c r="AK44" s="743">
        <f>AN44/2</f>
        <v>0</v>
      </c>
      <c r="AL44" s="742">
        <f>AN44-AK44</f>
        <v>0</v>
      </c>
      <c r="AM44" s="740">
        <v>0</v>
      </c>
      <c r="AN44" s="11">
        <f>AP44-AM44</f>
        <v>0</v>
      </c>
      <c r="AO44" s="743">
        <f>AI44+AJ44+AK44</f>
        <v>0</v>
      </c>
      <c r="AP44" s="871">
        <v>0</v>
      </c>
      <c r="AQ44" s="743">
        <f>AU44/2</f>
        <v>0</v>
      </c>
      <c r="AR44" s="743">
        <f>AU44-AQ44</f>
        <v>0</v>
      </c>
      <c r="AS44" s="743">
        <f>AV44/2</f>
        <v>0</v>
      </c>
      <c r="AT44" s="742">
        <f>AV44-AS44</f>
        <v>0</v>
      </c>
      <c r="AU44" s="743">
        <f>AX44/2</f>
        <v>0</v>
      </c>
      <c r="AV44" s="11">
        <f>AX44-AU44</f>
        <v>0</v>
      </c>
      <c r="AW44" s="743">
        <f>AQ44+AR44+AS44</f>
        <v>0</v>
      </c>
      <c r="AX44" s="744">
        <f>AP44</f>
        <v>0</v>
      </c>
      <c r="AY44" s="743">
        <f>BC44/2</f>
        <v>0</v>
      </c>
      <c r="AZ44" s="743">
        <f>BC44-AY44</f>
        <v>0</v>
      </c>
      <c r="BA44" s="743">
        <f>BD44/2</f>
        <v>0</v>
      </c>
      <c r="BB44" s="742">
        <f>BD44-BA44</f>
        <v>0</v>
      </c>
      <c r="BC44" s="743">
        <f>BF44/2</f>
        <v>0</v>
      </c>
      <c r="BD44" s="11">
        <f>BF44-BC44</f>
        <v>0</v>
      </c>
      <c r="BE44" s="743">
        <f>AY44+AZ44+BA44</f>
        <v>0</v>
      </c>
      <c r="BF44" s="744">
        <f>AX44</f>
        <v>0</v>
      </c>
      <c r="BG44" s="743">
        <f>BK44/2</f>
        <v>0</v>
      </c>
      <c r="BH44" s="743">
        <f>BK44-BG44</f>
        <v>0</v>
      </c>
      <c r="BI44" s="743">
        <f>BL44/2</f>
        <v>0</v>
      </c>
      <c r="BJ44" s="742">
        <f>BL44-BI44</f>
        <v>0</v>
      </c>
      <c r="BK44" s="743">
        <f>BN44/2</f>
        <v>0</v>
      </c>
      <c r="BL44" s="11">
        <f>BN44-BK44</f>
        <v>0</v>
      </c>
      <c r="BM44" s="743">
        <f>BG44+BH44+BI44</f>
        <v>0</v>
      </c>
      <c r="BN44" s="744">
        <f>BF44</f>
        <v>0</v>
      </c>
      <c r="BO44" s="743">
        <f>BS44/2</f>
        <v>0</v>
      </c>
      <c r="BP44" s="743">
        <f>BS44-BO44</f>
        <v>0</v>
      </c>
      <c r="BQ44" s="743">
        <f>BT44/2</f>
        <v>0</v>
      </c>
      <c r="BR44" s="742">
        <f>BT44-BQ44</f>
        <v>0</v>
      </c>
      <c r="BS44" s="743">
        <f>BV44/2</f>
        <v>0</v>
      </c>
      <c r="BT44" s="11">
        <f>BV44-BS44</f>
        <v>0</v>
      </c>
      <c r="BU44" s="743">
        <f>BO44+BP44+BQ44</f>
        <v>0</v>
      </c>
      <c r="BV44" s="744">
        <f>BN44</f>
        <v>0</v>
      </c>
    </row>
    <row r="45" spans="1:75" ht="11.25" customHeight="1" x14ac:dyDescent="0.2">
      <c r="A45" s="410" t="s">
        <v>792</v>
      </c>
      <c r="B45" s="410">
        <f t="shared" ref="B45:AF45" si="105">SUM(B40:B44)</f>
        <v>85</v>
      </c>
      <c r="C45" s="410">
        <f t="shared" si="105"/>
        <v>68</v>
      </c>
      <c r="D45" s="410">
        <f t="shared" si="105"/>
        <v>72</v>
      </c>
      <c r="E45" s="410">
        <f>SUM(E40:E44)</f>
        <v>82</v>
      </c>
      <c r="F45" s="410">
        <f t="shared" si="105"/>
        <v>97</v>
      </c>
      <c r="G45" s="410">
        <f t="shared" si="105"/>
        <v>73</v>
      </c>
      <c r="H45" s="410">
        <f>SUM(H40:H44)</f>
        <v>101</v>
      </c>
      <c r="I45" s="410">
        <f t="shared" si="105"/>
        <v>129</v>
      </c>
      <c r="J45" s="803">
        <f>SUM(J40:J44)</f>
        <v>99</v>
      </c>
      <c r="K45" s="410">
        <f t="shared" si="105"/>
        <v>25</v>
      </c>
      <c r="L45" s="410">
        <f t="shared" si="105"/>
        <v>25</v>
      </c>
      <c r="M45" s="410">
        <f t="shared" si="105"/>
        <v>25</v>
      </c>
      <c r="N45" s="1383">
        <f t="shared" si="105"/>
        <v>25</v>
      </c>
      <c r="O45" s="410">
        <f t="shared" si="105"/>
        <v>50</v>
      </c>
      <c r="P45" s="410">
        <f t="shared" si="105"/>
        <v>50</v>
      </c>
      <c r="Q45" s="410">
        <f t="shared" si="105"/>
        <v>75</v>
      </c>
      <c r="R45" s="1381">
        <f t="shared" si="105"/>
        <v>100</v>
      </c>
      <c r="S45" s="410">
        <f t="shared" ref="S45:X45" si="106">SUM(S40:S44)</f>
        <v>25</v>
      </c>
      <c r="T45" s="410">
        <f t="shared" ref="T45" si="107">SUM(T40:T44)</f>
        <v>26</v>
      </c>
      <c r="U45" s="410">
        <f t="shared" si="106"/>
        <v>25</v>
      </c>
      <c r="V45" s="1383">
        <f t="shared" si="106"/>
        <v>24</v>
      </c>
      <c r="W45" s="410">
        <f t="shared" si="106"/>
        <v>51</v>
      </c>
      <c r="X45" s="410">
        <f t="shared" si="106"/>
        <v>49</v>
      </c>
      <c r="Y45" s="410">
        <f t="shared" ref="Y45" si="108">SUM(Y40:Y44)</f>
        <v>76</v>
      </c>
      <c r="Z45" s="1381">
        <f t="shared" si="105"/>
        <v>100</v>
      </c>
      <c r="AA45" s="410">
        <f t="shared" si="105"/>
        <v>25.5</v>
      </c>
      <c r="AB45" s="410">
        <f t="shared" si="105"/>
        <v>25.5</v>
      </c>
      <c r="AC45" s="410">
        <f t="shared" ref="AC45" si="109">SUM(AC40:AC44)</f>
        <v>25</v>
      </c>
      <c r="AD45" s="1383">
        <f t="shared" si="105"/>
        <v>24</v>
      </c>
      <c r="AE45" s="410">
        <f t="shared" si="105"/>
        <v>51</v>
      </c>
      <c r="AF45" s="410">
        <f t="shared" si="105"/>
        <v>49</v>
      </c>
      <c r="AG45" s="410">
        <f t="shared" ref="AG45" si="110">SUM(AG40:AG44)</f>
        <v>76</v>
      </c>
      <c r="AH45" s="1381">
        <f>SUM(AH40:AH44)</f>
        <v>100</v>
      </c>
      <c r="AI45" s="410">
        <f t="shared" ref="AI45:AO45" si="111">SUM(AI40:AI44)</f>
        <v>25.5</v>
      </c>
      <c r="AJ45" s="410">
        <f t="shared" si="111"/>
        <v>25.5</v>
      </c>
      <c r="AK45" s="858">
        <f t="shared" si="111"/>
        <v>24.5</v>
      </c>
      <c r="AL45" s="857">
        <f t="shared" si="111"/>
        <v>24.5</v>
      </c>
      <c r="AM45" s="410">
        <f t="shared" si="111"/>
        <v>51</v>
      </c>
      <c r="AN45" s="858">
        <f t="shared" si="111"/>
        <v>49</v>
      </c>
      <c r="AO45" s="858">
        <f t="shared" si="111"/>
        <v>75.5</v>
      </c>
      <c r="AP45" s="860">
        <f>SUM(AP40:AP44)</f>
        <v>100</v>
      </c>
      <c r="AQ45" s="858">
        <f t="shared" ref="AQ45:AW45" si="112">SUM(AQ40:AQ44)</f>
        <v>25</v>
      </c>
      <c r="AR45" s="858">
        <f t="shared" si="112"/>
        <v>25</v>
      </c>
      <c r="AS45" s="858">
        <f t="shared" si="112"/>
        <v>25</v>
      </c>
      <c r="AT45" s="857">
        <f t="shared" si="112"/>
        <v>25</v>
      </c>
      <c r="AU45" s="858">
        <f t="shared" si="112"/>
        <v>50</v>
      </c>
      <c r="AV45" s="858">
        <f t="shared" si="112"/>
        <v>50</v>
      </c>
      <c r="AW45" s="858">
        <f t="shared" si="112"/>
        <v>75</v>
      </c>
      <c r="AX45" s="860">
        <f>SUM(AX40:AX44)</f>
        <v>100</v>
      </c>
      <c r="AY45" s="858">
        <f t="shared" ref="AY45:BE45" si="113">SUM(AY40:AY44)</f>
        <v>25</v>
      </c>
      <c r="AZ45" s="858">
        <f t="shared" si="113"/>
        <v>25</v>
      </c>
      <c r="BA45" s="858">
        <f t="shared" si="113"/>
        <v>25</v>
      </c>
      <c r="BB45" s="857">
        <f t="shared" si="113"/>
        <v>25</v>
      </c>
      <c r="BC45" s="858">
        <f t="shared" si="113"/>
        <v>50</v>
      </c>
      <c r="BD45" s="858">
        <f t="shared" si="113"/>
        <v>50</v>
      </c>
      <c r="BE45" s="858">
        <f t="shared" si="113"/>
        <v>75</v>
      </c>
      <c r="BF45" s="860">
        <f>SUM(BF40:BF44)</f>
        <v>100</v>
      </c>
      <c r="BG45" s="858">
        <f t="shared" ref="BG45:BM45" si="114">SUM(BG40:BG44)</f>
        <v>25</v>
      </c>
      <c r="BH45" s="858">
        <f t="shared" si="114"/>
        <v>25</v>
      </c>
      <c r="BI45" s="858">
        <f t="shared" si="114"/>
        <v>25</v>
      </c>
      <c r="BJ45" s="857">
        <f t="shared" si="114"/>
        <v>25</v>
      </c>
      <c r="BK45" s="858">
        <f t="shared" si="114"/>
        <v>50</v>
      </c>
      <c r="BL45" s="858">
        <f t="shared" si="114"/>
        <v>50</v>
      </c>
      <c r="BM45" s="858">
        <f t="shared" si="114"/>
        <v>75</v>
      </c>
      <c r="BN45" s="860">
        <f>SUM(BN40:BN44)</f>
        <v>100</v>
      </c>
      <c r="BO45" s="858">
        <f t="shared" ref="BO45:BU45" si="115">SUM(BO40:BO44)</f>
        <v>25</v>
      </c>
      <c r="BP45" s="858">
        <f t="shared" si="115"/>
        <v>25</v>
      </c>
      <c r="BQ45" s="858">
        <f t="shared" si="115"/>
        <v>25</v>
      </c>
      <c r="BR45" s="857">
        <f t="shared" si="115"/>
        <v>25</v>
      </c>
      <c r="BS45" s="858">
        <f t="shared" si="115"/>
        <v>50</v>
      </c>
      <c r="BT45" s="858">
        <f t="shared" si="115"/>
        <v>50</v>
      </c>
      <c r="BU45" s="858">
        <f t="shared" si="115"/>
        <v>75</v>
      </c>
      <c r="BV45" s="860">
        <f>SUM(BV40:BV44)</f>
        <v>100</v>
      </c>
    </row>
    <row r="46" spans="1:75" ht="11.25" customHeight="1" x14ac:dyDescent="0.2">
      <c r="A46" s="197" t="s">
        <v>20</v>
      </c>
      <c r="B46" s="186"/>
      <c r="C46" s="19">
        <f>C45/B45-1</f>
        <v>-0.19999999999999996</v>
      </c>
      <c r="D46" s="19">
        <f t="shared" ref="D46:J46" si="116">D45/C45-1</f>
        <v>5.8823529411764719E-2</v>
      </c>
      <c r="E46" s="19">
        <f t="shared" si="116"/>
        <v>0.13888888888888884</v>
      </c>
      <c r="F46" s="19">
        <f t="shared" si="116"/>
        <v>0.18292682926829262</v>
      </c>
      <c r="G46" s="19">
        <f t="shared" si="116"/>
        <v>-0.24742268041237114</v>
      </c>
      <c r="H46" s="19">
        <f t="shared" si="116"/>
        <v>0.38356164383561642</v>
      </c>
      <c r="I46" s="19">
        <f t="shared" si="116"/>
        <v>0.27722772277227725</v>
      </c>
      <c r="J46" s="494">
        <f t="shared" si="116"/>
        <v>-0.23255813953488369</v>
      </c>
      <c r="K46" s="19"/>
      <c r="L46" s="19"/>
      <c r="M46" s="19"/>
      <c r="N46" s="643"/>
      <c r="O46" s="19"/>
      <c r="P46" s="19"/>
      <c r="Q46" s="19"/>
      <c r="R46" s="824">
        <f>R45/J45-1</f>
        <v>1.0101010101010166E-2</v>
      </c>
      <c r="S46" s="19"/>
      <c r="T46" s="19"/>
      <c r="U46" s="19"/>
      <c r="V46" s="643"/>
      <c r="W46" s="19"/>
      <c r="X46" s="19"/>
      <c r="Y46" s="19"/>
      <c r="Z46" s="824">
        <f>Z45/R45-1</f>
        <v>0</v>
      </c>
      <c r="AA46" s="19"/>
      <c r="AB46" s="19"/>
      <c r="AC46" s="19"/>
      <c r="AD46" s="643"/>
      <c r="AE46" s="19"/>
      <c r="AF46" s="19"/>
      <c r="AG46" s="19"/>
      <c r="AH46" s="824">
        <f>AH45/Z45-1</f>
        <v>0</v>
      </c>
      <c r="AI46" s="19"/>
      <c r="AJ46" s="19"/>
      <c r="AK46" s="19"/>
      <c r="AL46" s="643"/>
      <c r="AM46" s="19"/>
      <c r="AN46" s="19"/>
      <c r="AO46" s="19"/>
      <c r="AP46" s="823">
        <f>AP45/AH45-1</f>
        <v>0</v>
      </c>
      <c r="AQ46" s="19"/>
      <c r="AR46" s="19"/>
      <c r="AS46" s="19"/>
      <c r="AT46" s="643"/>
      <c r="AU46" s="19"/>
      <c r="AV46" s="19"/>
      <c r="AW46" s="19"/>
      <c r="AX46" s="823">
        <f>AX45/AP45-1</f>
        <v>0</v>
      </c>
      <c r="AY46" s="19"/>
      <c r="AZ46" s="19"/>
      <c r="BA46" s="19"/>
      <c r="BB46" s="643"/>
      <c r="BC46" s="19"/>
      <c r="BD46" s="19"/>
      <c r="BE46" s="19"/>
      <c r="BF46" s="823">
        <f>BF45/AX45-1</f>
        <v>0</v>
      </c>
      <c r="BG46" s="19"/>
      <c r="BH46" s="19"/>
      <c r="BI46" s="19"/>
      <c r="BJ46" s="643"/>
      <c r="BK46" s="19"/>
      <c r="BL46" s="19"/>
      <c r="BM46" s="19"/>
      <c r="BN46" s="823">
        <f>BN45/BF45-1</f>
        <v>0</v>
      </c>
      <c r="BO46" s="19"/>
      <c r="BP46" s="19"/>
      <c r="BQ46" s="19"/>
      <c r="BR46" s="643"/>
      <c r="BS46" s="19"/>
      <c r="BT46" s="19"/>
      <c r="BU46" s="19"/>
      <c r="BV46" s="823">
        <f>BV45/BN45-1</f>
        <v>0</v>
      </c>
    </row>
    <row r="47" spans="1:75" x14ac:dyDescent="0.2">
      <c r="A47" s="186"/>
      <c r="B47" s="186"/>
      <c r="C47" s="186"/>
      <c r="D47" s="186"/>
      <c r="E47" s="186"/>
      <c r="F47" s="186"/>
      <c r="G47" s="186"/>
      <c r="H47" s="186"/>
      <c r="I47" s="186"/>
      <c r="J47" s="284"/>
      <c r="K47" s="186"/>
      <c r="L47" s="186"/>
      <c r="M47" s="186"/>
      <c r="N47" s="283"/>
      <c r="O47" s="186"/>
      <c r="P47" s="186"/>
      <c r="Q47" s="186"/>
      <c r="R47" s="341"/>
      <c r="S47" s="186"/>
      <c r="T47" s="186"/>
      <c r="U47" s="186"/>
      <c r="V47" s="283"/>
      <c r="W47" s="186"/>
      <c r="X47" s="186"/>
      <c r="Y47" s="186"/>
      <c r="Z47" s="341"/>
      <c r="AA47" s="186"/>
      <c r="AB47" s="186"/>
      <c r="AC47" s="186"/>
      <c r="AD47" s="283"/>
      <c r="AE47" s="186"/>
      <c r="AF47" s="186"/>
      <c r="AG47" s="186"/>
      <c r="AH47" s="341"/>
      <c r="AI47" s="186"/>
      <c r="AJ47" s="186"/>
      <c r="AK47" s="186"/>
      <c r="AL47" s="283"/>
      <c r="AM47" s="186"/>
      <c r="AN47" s="186"/>
      <c r="AO47" s="186"/>
      <c r="AP47" s="341"/>
      <c r="AQ47" s="186"/>
      <c r="AR47" s="186"/>
      <c r="AS47" s="186"/>
      <c r="AT47" s="283"/>
      <c r="AU47" s="186"/>
      <c r="AV47" s="186"/>
      <c r="AW47" s="186"/>
      <c r="AX47" s="341"/>
      <c r="AY47" s="186"/>
      <c r="AZ47" s="186"/>
      <c r="BA47" s="186"/>
      <c r="BB47" s="283"/>
      <c r="BC47" s="186"/>
      <c r="BD47" s="186"/>
      <c r="BE47" s="186"/>
      <c r="BF47" s="341"/>
      <c r="BG47" s="186"/>
      <c r="BH47" s="186"/>
      <c r="BI47" s="186"/>
      <c r="BJ47" s="283"/>
      <c r="BK47" s="186"/>
      <c r="BL47" s="186"/>
      <c r="BM47" s="186"/>
      <c r="BN47" s="341"/>
      <c r="BO47" s="186"/>
      <c r="BP47" s="186"/>
      <c r="BQ47" s="186"/>
      <c r="BR47" s="283"/>
      <c r="BS47" s="186"/>
      <c r="BT47" s="186"/>
      <c r="BU47" s="186"/>
      <c r="BV47" s="341"/>
    </row>
    <row r="48" spans="1:75" x14ac:dyDescent="0.2">
      <c r="A48" s="186"/>
      <c r="B48" s="186"/>
      <c r="C48" s="186"/>
      <c r="D48" s="186"/>
      <c r="E48" s="186"/>
      <c r="F48" s="186"/>
      <c r="G48" s="186"/>
      <c r="H48" s="186"/>
      <c r="I48" s="186"/>
      <c r="J48" s="284"/>
      <c r="K48" s="186"/>
      <c r="L48" s="186"/>
      <c r="M48" s="186"/>
      <c r="N48" s="283"/>
      <c r="O48" s="186"/>
      <c r="P48" s="186"/>
      <c r="Q48" s="186"/>
      <c r="R48" s="341"/>
      <c r="S48" s="186"/>
      <c r="T48" s="186"/>
      <c r="U48" s="186"/>
      <c r="V48" s="283"/>
      <c r="W48" s="186"/>
      <c r="X48" s="186"/>
      <c r="Y48" s="186"/>
      <c r="Z48" s="341"/>
      <c r="AA48" s="186"/>
      <c r="AB48" s="186"/>
      <c r="AC48" s="186"/>
      <c r="AD48" s="283"/>
      <c r="AE48" s="186"/>
      <c r="AF48" s="186"/>
      <c r="AG48" s="186"/>
      <c r="AH48" s="314"/>
      <c r="AI48" s="186"/>
      <c r="AJ48" s="186"/>
      <c r="AK48" s="186"/>
      <c r="AL48" s="283"/>
      <c r="AM48" s="186"/>
      <c r="AN48" s="186"/>
      <c r="AO48" s="186"/>
      <c r="AP48" s="341"/>
      <c r="AQ48" s="186"/>
      <c r="AR48" s="186"/>
      <c r="AS48" s="186"/>
      <c r="AT48" s="283"/>
      <c r="AU48" s="186"/>
      <c r="AV48" s="186"/>
      <c r="AW48" s="186"/>
      <c r="AX48" s="341"/>
      <c r="AY48" s="186"/>
      <c r="AZ48" s="186"/>
      <c r="BA48" s="186"/>
      <c r="BB48" s="283"/>
      <c r="BC48" s="186"/>
      <c r="BD48" s="186"/>
      <c r="BE48" s="186"/>
      <c r="BF48" s="341"/>
      <c r="BG48" s="186"/>
      <c r="BH48" s="186"/>
      <c r="BI48" s="186"/>
      <c r="BJ48" s="283"/>
      <c r="BK48" s="186"/>
      <c r="BL48" s="186"/>
      <c r="BM48" s="186"/>
      <c r="BN48" s="341"/>
      <c r="BO48" s="186"/>
      <c r="BP48" s="186"/>
      <c r="BQ48" s="186"/>
      <c r="BR48" s="283"/>
      <c r="BS48" s="186"/>
      <c r="BT48" s="186"/>
      <c r="BU48" s="186"/>
      <c r="BV48" s="341"/>
    </row>
    <row r="49" spans="1:74" x14ac:dyDescent="0.2">
      <c r="A49" s="4" t="s">
        <v>790</v>
      </c>
      <c r="B49" s="4">
        <v>1560</v>
      </c>
      <c r="C49" s="4">
        <v>1612</v>
      </c>
      <c r="D49" s="4">
        <v>1693</v>
      </c>
      <c r="E49" s="4">
        <v>1444</v>
      </c>
      <c r="F49" s="4">
        <v>1044</v>
      </c>
      <c r="G49" s="4">
        <v>391</v>
      </c>
      <c r="H49" s="4">
        <v>157</v>
      </c>
      <c r="I49" s="4">
        <v>107</v>
      </c>
      <c r="J49" s="180">
        <v>60</v>
      </c>
      <c r="K49" s="740">
        <v>15</v>
      </c>
      <c r="L49" s="740">
        <f>O49-K49</f>
        <v>9</v>
      </c>
      <c r="M49" s="740">
        <v>14</v>
      </c>
      <c r="N49" s="760">
        <f>P49-M49</f>
        <v>14</v>
      </c>
      <c r="O49" s="740">
        <v>24</v>
      </c>
      <c r="P49" s="4">
        <f>R49-O49</f>
        <v>28</v>
      </c>
      <c r="Q49" s="740">
        <f t="shared" ref="Q49" si="117">Q171</f>
        <v>46</v>
      </c>
      <c r="R49" s="314">
        <v>52</v>
      </c>
      <c r="S49" s="740">
        <v>12</v>
      </c>
      <c r="T49" s="740">
        <f>W49-S49</f>
        <v>16</v>
      </c>
      <c r="U49" s="740">
        <v>13</v>
      </c>
      <c r="V49" s="760">
        <f>X49-U49</f>
        <v>19</v>
      </c>
      <c r="W49" s="740">
        <v>28</v>
      </c>
      <c r="X49" s="4">
        <f>Z49-W49</f>
        <v>32</v>
      </c>
      <c r="Y49" s="740">
        <f>S49+T49+U49</f>
        <v>41</v>
      </c>
      <c r="Z49" s="314">
        <v>60</v>
      </c>
      <c r="AA49" s="740">
        <v>12</v>
      </c>
      <c r="AB49" s="740">
        <f>AE49-AA49</f>
        <v>14</v>
      </c>
      <c r="AC49" s="740">
        <v>15</v>
      </c>
      <c r="AD49" s="760">
        <f>AF49-AC49</f>
        <v>11</v>
      </c>
      <c r="AE49" s="740">
        <v>26</v>
      </c>
      <c r="AF49" s="4">
        <f>AH49-AE49</f>
        <v>26</v>
      </c>
      <c r="AG49" s="740">
        <f>AA49+AB49+AC49</f>
        <v>41</v>
      </c>
      <c r="AH49" s="314">
        <v>52</v>
      </c>
      <c r="AI49" s="740">
        <v>12</v>
      </c>
      <c r="AJ49" s="740">
        <f>AM49-AI49</f>
        <v>10</v>
      </c>
      <c r="AK49" s="743">
        <f t="shared" ref="AK49:BV49" si="118">AK171</f>
        <v>9</v>
      </c>
      <c r="AL49" s="742">
        <f t="shared" si="118"/>
        <v>7</v>
      </c>
      <c r="AM49" s="740">
        <v>22</v>
      </c>
      <c r="AN49" s="11">
        <f t="shared" si="118"/>
        <v>16</v>
      </c>
      <c r="AO49" s="743">
        <f t="shared" si="118"/>
        <v>31</v>
      </c>
      <c r="AP49" s="603">
        <f t="shared" si="118"/>
        <v>38</v>
      </c>
      <c r="AQ49" s="743">
        <f t="shared" si="118"/>
        <v>7</v>
      </c>
      <c r="AR49" s="743">
        <f t="shared" si="118"/>
        <v>7</v>
      </c>
      <c r="AS49" s="743">
        <f t="shared" si="118"/>
        <v>7</v>
      </c>
      <c r="AT49" s="742">
        <f t="shared" si="118"/>
        <v>7</v>
      </c>
      <c r="AU49" s="743">
        <f t="shared" si="118"/>
        <v>15</v>
      </c>
      <c r="AV49" s="11">
        <f t="shared" si="118"/>
        <v>15</v>
      </c>
      <c r="AW49" s="743">
        <f t="shared" si="118"/>
        <v>22</v>
      </c>
      <c r="AX49" s="603">
        <f t="shared" si="118"/>
        <v>30</v>
      </c>
      <c r="AY49" s="743">
        <f t="shared" si="118"/>
        <v>7</v>
      </c>
      <c r="AZ49" s="743">
        <f t="shared" si="118"/>
        <v>7</v>
      </c>
      <c r="BA49" s="743">
        <f t="shared" si="118"/>
        <v>7</v>
      </c>
      <c r="BB49" s="742">
        <f t="shared" si="118"/>
        <v>7</v>
      </c>
      <c r="BC49" s="743">
        <f t="shared" si="118"/>
        <v>15</v>
      </c>
      <c r="BD49" s="11">
        <f t="shared" si="118"/>
        <v>15</v>
      </c>
      <c r="BE49" s="743">
        <f t="shared" si="118"/>
        <v>22</v>
      </c>
      <c r="BF49" s="603">
        <f t="shared" si="118"/>
        <v>30</v>
      </c>
      <c r="BG49" s="743">
        <f t="shared" si="118"/>
        <v>7</v>
      </c>
      <c r="BH49" s="743">
        <f t="shared" si="118"/>
        <v>7</v>
      </c>
      <c r="BI49" s="743">
        <f t="shared" si="118"/>
        <v>7</v>
      </c>
      <c r="BJ49" s="742">
        <f t="shared" si="118"/>
        <v>7</v>
      </c>
      <c r="BK49" s="743">
        <f t="shared" si="118"/>
        <v>15</v>
      </c>
      <c r="BL49" s="11">
        <f t="shared" si="118"/>
        <v>15</v>
      </c>
      <c r="BM49" s="743">
        <f t="shared" si="118"/>
        <v>22</v>
      </c>
      <c r="BN49" s="603">
        <f t="shared" si="118"/>
        <v>30</v>
      </c>
      <c r="BO49" s="743">
        <f t="shared" si="118"/>
        <v>7</v>
      </c>
      <c r="BP49" s="743">
        <f t="shared" si="118"/>
        <v>7</v>
      </c>
      <c r="BQ49" s="743">
        <f t="shared" si="118"/>
        <v>7</v>
      </c>
      <c r="BR49" s="742">
        <f t="shared" si="118"/>
        <v>7</v>
      </c>
      <c r="BS49" s="743">
        <f t="shared" si="118"/>
        <v>15</v>
      </c>
      <c r="BT49" s="11">
        <f t="shared" si="118"/>
        <v>15</v>
      </c>
      <c r="BU49" s="743">
        <f t="shared" si="118"/>
        <v>22</v>
      </c>
      <c r="BV49" s="603">
        <f t="shared" si="118"/>
        <v>30</v>
      </c>
    </row>
    <row r="50" spans="1:74" x14ac:dyDescent="0.2">
      <c r="A50" s="4" t="s">
        <v>857</v>
      </c>
      <c r="B50" s="4">
        <v>0</v>
      </c>
      <c r="C50" s="4">
        <v>0</v>
      </c>
      <c r="D50" s="4">
        <v>77</v>
      </c>
      <c r="E50" s="4">
        <v>461</v>
      </c>
      <c r="F50" s="4">
        <v>1119</v>
      </c>
      <c r="G50" s="4">
        <v>1736</v>
      </c>
      <c r="H50" s="4">
        <v>815</v>
      </c>
      <c r="I50" s="4">
        <v>845</v>
      </c>
      <c r="J50" s="180">
        <v>1136</v>
      </c>
      <c r="K50" s="4">
        <v>366</v>
      </c>
      <c r="L50" s="4">
        <f>O50-K50</f>
        <v>419</v>
      </c>
      <c r="M50" s="4">
        <v>389</v>
      </c>
      <c r="N50" s="760">
        <f>P50-M50</f>
        <v>396</v>
      </c>
      <c r="O50" s="4">
        <v>785</v>
      </c>
      <c r="P50" s="4">
        <f>R50-O50</f>
        <v>785</v>
      </c>
      <c r="Q50" s="740" t="e">
        <f t="shared" ref="Q50:BU50" si="119">Q207</f>
        <v>#DIV/0!</v>
      </c>
      <c r="R50" s="1117">
        <v>1570</v>
      </c>
      <c r="S50" s="4">
        <v>367</v>
      </c>
      <c r="T50" s="4">
        <f>W50-S50</f>
        <v>297</v>
      </c>
      <c r="U50" s="4">
        <v>365</v>
      </c>
      <c r="V50" s="760">
        <f>X50-U50</f>
        <v>378</v>
      </c>
      <c r="W50" s="4">
        <v>664</v>
      </c>
      <c r="X50" s="4">
        <f>Z50-W50</f>
        <v>743</v>
      </c>
      <c r="Y50" s="740">
        <f>S50+T50+U50</f>
        <v>1029</v>
      </c>
      <c r="Z50" s="1117">
        <v>1407</v>
      </c>
      <c r="AA50" s="4">
        <v>319</v>
      </c>
      <c r="AB50" s="4">
        <f>AE50-AA50</f>
        <v>410</v>
      </c>
      <c r="AC50" s="4">
        <v>511</v>
      </c>
      <c r="AD50" s="179">
        <f>AF50-AC50</f>
        <v>562</v>
      </c>
      <c r="AE50" s="4">
        <v>729</v>
      </c>
      <c r="AF50" s="4">
        <f>AH50-AE50</f>
        <v>1073</v>
      </c>
      <c r="AG50" s="740">
        <f>AA50+AB50+AC50</f>
        <v>1240</v>
      </c>
      <c r="AH50" s="1117">
        <v>1802</v>
      </c>
      <c r="AI50" s="4">
        <v>520</v>
      </c>
      <c r="AJ50" s="4">
        <f>AM50-AI50</f>
        <v>510</v>
      </c>
      <c r="AK50" s="11">
        <f t="shared" si="119"/>
        <v>524</v>
      </c>
      <c r="AL50" s="181">
        <f t="shared" si="119"/>
        <v>592</v>
      </c>
      <c r="AM50" s="740">
        <v>1030</v>
      </c>
      <c r="AN50" s="11">
        <f t="shared" si="119"/>
        <v>1116</v>
      </c>
      <c r="AO50" s="743">
        <f t="shared" si="119"/>
        <v>1554</v>
      </c>
      <c r="AP50" s="701">
        <f>AP207</f>
        <v>2146</v>
      </c>
      <c r="AQ50" s="11">
        <f t="shared" si="119"/>
        <v>568</v>
      </c>
      <c r="AR50" s="11">
        <f t="shared" si="119"/>
        <v>580</v>
      </c>
      <c r="AS50" s="11">
        <f t="shared" si="119"/>
        <v>580</v>
      </c>
      <c r="AT50" s="181">
        <f t="shared" si="119"/>
        <v>636</v>
      </c>
      <c r="AU50" s="743">
        <f t="shared" si="119"/>
        <v>1147</v>
      </c>
      <c r="AV50" s="11">
        <f t="shared" si="119"/>
        <v>1215</v>
      </c>
      <c r="AW50" s="743">
        <f t="shared" si="119"/>
        <v>1727</v>
      </c>
      <c r="AX50" s="701">
        <f>AX207</f>
        <v>2362</v>
      </c>
      <c r="AY50" s="11">
        <f t="shared" si="119"/>
        <v>632</v>
      </c>
      <c r="AZ50" s="11">
        <f t="shared" si="119"/>
        <v>643</v>
      </c>
      <c r="BA50" s="11">
        <f t="shared" si="119"/>
        <v>643</v>
      </c>
      <c r="BB50" s="181">
        <f t="shared" si="119"/>
        <v>646</v>
      </c>
      <c r="BC50" s="743">
        <f t="shared" si="119"/>
        <v>1273</v>
      </c>
      <c r="BD50" s="11">
        <f t="shared" si="119"/>
        <v>1288</v>
      </c>
      <c r="BE50" s="743">
        <f t="shared" si="119"/>
        <v>1916</v>
      </c>
      <c r="BF50" s="701">
        <f>BF207</f>
        <v>2561</v>
      </c>
      <c r="BG50" s="11">
        <f t="shared" si="119"/>
        <v>646</v>
      </c>
      <c r="BH50" s="11">
        <f t="shared" si="119"/>
        <v>646</v>
      </c>
      <c r="BI50" s="11">
        <f t="shared" si="119"/>
        <v>646</v>
      </c>
      <c r="BJ50" s="181">
        <f t="shared" si="119"/>
        <v>646</v>
      </c>
      <c r="BK50" s="743">
        <f t="shared" si="119"/>
        <v>1290</v>
      </c>
      <c r="BL50" s="11">
        <f t="shared" si="119"/>
        <v>1291</v>
      </c>
      <c r="BM50" s="743">
        <f t="shared" si="119"/>
        <v>1937</v>
      </c>
      <c r="BN50" s="701">
        <f>BN207</f>
        <v>2581</v>
      </c>
      <c r="BO50" s="11">
        <f t="shared" si="119"/>
        <v>636</v>
      </c>
      <c r="BP50" s="11">
        <f t="shared" si="119"/>
        <v>636</v>
      </c>
      <c r="BQ50" s="11">
        <f t="shared" si="119"/>
        <v>636</v>
      </c>
      <c r="BR50" s="181">
        <f t="shared" si="119"/>
        <v>274</v>
      </c>
      <c r="BS50" s="743">
        <f t="shared" si="119"/>
        <v>1271</v>
      </c>
      <c r="BT50" s="11">
        <f t="shared" si="119"/>
        <v>910</v>
      </c>
      <c r="BU50" s="743">
        <f t="shared" si="119"/>
        <v>1909</v>
      </c>
      <c r="BV50" s="701">
        <f>BV207</f>
        <v>2581</v>
      </c>
    </row>
    <row r="51" spans="1:74" x14ac:dyDescent="0.2">
      <c r="A51" s="410" t="s">
        <v>858</v>
      </c>
      <c r="B51" s="410">
        <f>SUM(B49:B50)</f>
        <v>1560</v>
      </c>
      <c r="C51" s="410">
        <f t="shared" ref="C51:BN51" si="120">SUM(C49:C50)</f>
        <v>1612</v>
      </c>
      <c r="D51" s="410">
        <f>SUM(D49:D50)</f>
        <v>1770</v>
      </c>
      <c r="E51" s="410">
        <f>SUM(E49:E50)</f>
        <v>1905</v>
      </c>
      <c r="F51" s="410">
        <f>SUM(F49:F50)</f>
        <v>2163</v>
      </c>
      <c r="G51" s="410">
        <f t="shared" si="120"/>
        <v>2127</v>
      </c>
      <c r="H51" s="410">
        <f t="shared" si="120"/>
        <v>972</v>
      </c>
      <c r="I51" s="410">
        <f t="shared" si="120"/>
        <v>952</v>
      </c>
      <c r="J51" s="803">
        <f t="shared" si="120"/>
        <v>1196</v>
      </c>
      <c r="K51" s="410">
        <f t="shared" si="120"/>
        <v>381</v>
      </c>
      <c r="L51" s="410">
        <f t="shared" si="120"/>
        <v>428</v>
      </c>
      <c r="M51" s="410">
        <f t="shared" si="120"/>
        <v>403</v>
      </c>
      <c r="N51" s="1383">
        <f t="shared" si="120"/>
        <v>410</v>
      </c>
      <c r="O51" s="410">
        <f t="shared" si="120"/>
        <v>809</v>
      </c>
      <c r="P51" s="410">
        <f t="shared" si="120"/>
        <v>813</v>
      </c>
      <c r="Q51" s="410" t="e">
        <f t="shared" si="120"/>
        <v>#DIV/0!</v>
      </c>
      <c r="R51" s="1381">
        <f t="shared" ref="R51:V51" si="121">SUM(R49:R50)</f>
        <v>1622</v>
      </c>
      <c r="S51" s="410">
        <f t="shared" si="121"/>
        <v>379</v>
      </c>
      <c r="T51" s="410">
        <f t="shared" si="121"/>
        <v>313</v>
      </c>
      <c r="U51" s="410">
        <f t="shared" si="121"/>
        <v>378</v>
      </c>
      <c r="V51" s="1383">
        <f t="shared" si="121"/>
        <v>397</v>
      </c>
      <c r="W51" s="410">
        <f t="shared" ref="W51:X51" si="122">SUM(W49:W50)</f>
        <v>692</v>
      </c>
      <c r="X51" s="410">
        <f t="shared" si="122"/>
        <v>775</v>
      </c>
      <c r="Y51" s="410">
        <f t="shared" ref="Y51:AA51" si="123">SUM(Y49:Y50)</f>
        <v>1070</v>
      </c>
      <c r="Z51" s="1381">
        <f t="shared" si="123"/>
        <v>1467</v>
      </c>
      <c r="AA51" s="410">
        <f t="shared" si="123"/>
        <v>331</v>
      </c>
      <c r="AB51" s="410">
        <f t="shared" si="120"/>
        <v>424</v>
      </c>
      <c r="AC51" s="410">
        <f t="shared" si="120"/>
        <v>526</v>
      </c>
      <c r="AD51" s="1383">
        <f t="shared" si="120"/>
        <v>573</v>
      </c>
      <c r="AE51" s="410">
        <f t="shared" si="120"/>
        <v>755</v>
      </c>
      <c r="AF51" s="410">
        <f t="shared" si="120"/>
        <v>1099</v>
      </c>
      <c r="AG51" s="410">
        <f t="shared" si="120"/>
        <v>1281</v>
      </c>
      <c r="AH51" s="1381">
        <f t="shared" si="120"/>
        <v>1854</v>
      </c>
      <c r="AI51" s="410">
        <f t="shared" si="120"/>
        <v>532</v>
      </c>
      <c r="AJ51" s="410">
        <f t="shared" ref="AJ51" si="124">SUM(AJ49:AJ50)</f>
        <v>520</v>
      </c>
      <c r="AK51" s="858">
        <f t="shared" si="120"/>
        <v>533</v>
      </c>
      <c r="AL51" s="857">
        <f t="shared" si="120"/>
        <v>599</v>
      </c>
      <c r="AM51" s="410">
        <f t="shared" si="120"/>
        <v>1052</v>
      </c>
      <c r="AN51" s="858">
        <f t="shared" si="120"/>
        <v>1132</v>
      </c>
      <c r="AO51" s="858">
        <f t="shared" si="120"/>
        <v>1585</v>
      </c>
      <c r="AP51" s="860">
        <f t="shared" si="120"/>
        <v>2184</v>
      </c>
      <c r="AQ51" s="858">
        <f t="shared" si="120"/>
        <v>575</v>
      </c>
      <c r="AR51" s="858">
        <f t="shared" si="120"/>
        <v>587</v>
      </c>
      <c r="AS51" s="858">
        <f t="shared" si="120"/>
        <v>587</v>
      </c>
      <c r="AT51" s="857">
        <f t="shared" si="120"/>
        <v>643</v>
      </c>
      <c r="AU51" s="858">
        <f t="shared" si="120"/>
        <v>1162</v>
      </c>
      <c r="AV51" s="858">
        <f t="shared" si="120"/>
        <v>1230</v>
      </c>
      <c r="AW51" s="858">
        <f t="shared" si="120"/>
        <v>1749</v>
      </c>
      <c r="AX51" s="860">
        <f t="shared" si="120"/>
        <v>2392</v>
      </c>
      <c r="AY51" s="858">
        <f t="shared" si="120"/>
        <v>639</v>
      </c>
      <c r="AZ51" s="858">
        <f t="shared" si="120"/>
        <v>650</v>
      </c>
      <c r="BA51" s="858">
        <f t="shared" si="120"/>
        <v>650</v>
      </c>
      <c r="BB51" s="857">
        <f t="shared" si="120"/>
        <v>653</v>
      </c>
      <c r="BC51" s="858">
        <f t="shared" si="120"/>
        <v>1288</v>
      </c>
      <c r="BD51" s="858">
        <f t="shared" si="120"/>
        <v>1303</v>
      </c>
      <c r="BE51" s="858">
        <f t="shared" si="120"/>
        <v>1938</v>
      </c>
      <c r="BF51" s="860">
        <f t="shared" si="120"/>
        <v>2591</v>
      </c>
      <c r="BG51" s="858">
        <f t="shared" si="120"/>
        <v>653</v>
      </c>
      <c r="BH51" s="858">
        <f t="shared" si="120"/>
        <v>653</v>
      </c>
      <c r="BI51" s="858">
        <f t="shared" si="120"/>
        <v>653</v>
      </c>
      <c r="BJ51" s="857">
        <f t="shared" si="120"/>
        <v>653</v>
      </c>
      <c r="BK51" s="858">
        <f t="shared" si="120"/>
        <v>1305</v>
      </c>
      <c r="BL51" s="858">
        <f t="shared" si="120"/>
        <v>1306</v>
      </c>
      <c r="BM51" s="858">
        <f t="shared" si="120"/>
        <v>1959</v>
      </c>
      <c r="BN51" s="860">
        <f t="shared" si="120"/>
        <v>2611</v>
      </c>
      <c r="BO51" s="858">
        <f t="shared" ref="BO51:BV51" si="125">SUM(BO49:BO50)</f>
        <v>643</v>
      </c>
      <c r="BP51" s="858">
        <f t="shared" si="125"/>
        <v>643</v>
      </c>
      <c r="BQ51" s="858">
        <f t="shared" si="125"/>
        <v>643</v>
      </c>
      <c r="BR51" s="857">
        <f t="shared" si="125"/>
        <v>281</v>
      </c>
      <c r="BS51" s="858">
        <f t="shared" si="125"/>
        <v>1286</v>
      </c>
      <c r="BT51" s="858">
        <f t="shared" si="125"/>
        <v>925</v>
      </c>
      <c r="BU51" s="858">
        <f t="shared" si="125"/>
        <v>1931</v>
      </c>
      <c r="BV51" s="860">
        <f t="shared" si="125"/>
        <v>2611</v>
      </c>
    </row>
    <row r="52" spans="1:74" x14ac:dyDescent="0.2">
      <c r="A52" s="197" t="s">
        <v>20</v>
      </c>
      <c r="B52" s="186"/>
      <c r="C52" s="19">
        <f t="shared" ref="C52:J52" si="126">C51/B51-1</f>
        <v>3.3333333333333437E-2</v>
      </c>
      <c r="D52" s="19">
        <f t="shared" si="126"/>
        <v>9.8014888337468964E-2</v>
      </c>
      <c r="E52" s="19">
        <f t="shared" si="126"/>
        <v>7.6271186440677985E-2</v>
      </c>
      <c r="F52" s="19">
        <f t="shared" si="126"/>
        <v>0.13543307086614176</v>
      </c>
      <c r="G52" s="19">
        <f t="shared" si="126"/>
        <v>-1.6643550624133141E-2</v>
      </c>
      <c r="H52" s="19">
        <f t="shared" si="126"/>
        <v>-0.5430183356840621</v>
      </c>
      <c r="I52" s="19">
        <f t="shared" si="126"/>
        <v>-2.0576131687242816E-2</v>
      </c>
      <c r="J52" s="494">
        <f t="shared" si="126"/>
        <v>0.25630252100840334</v>
      </c>
      <c r="K52" s="19"/>
      <c r="L52" s="19"/>
      <c r="M52" s="19"/>
      <c r="N52" s="643"/>
      <c r="O52" s="19"/>
      <c r="P52" s="19"/>
      <c r="Q52" s="19"/>
      <c r="R52" s="824">
        <f>R51/J51-1</f>
        <v>0.35618729096989976</v>
      </c>
      <c r="S52" s="19"/>
      <c r="T52" s="19"/>
      <c r="U52" s="19"/>
      <c r="V52" s="643"/>
      <c r="W52" s="19"/>
      <c r="X52" s="19"/>
      <c r="Y52" s="19"/>
      <c r="Z52" s="824">
        <f>Z51/R51-1</f>
        <v>-9.5561035758323087E-2</v>
      </c>
      <c r="AA52" s="19"/>
      <c r="AB52" s="19"/>
      <c r="AC52" s="19"/>
      <c r="AD52" s="643"/>
      <c r="AE52" s="19"/>
      <c r="AF52" s="19"/>
      <c r="AG52" s="19"/>
      <c r="AH52" s="824">
        <f>AH51/Z51-1</f>
        <v>0.26380368098159512</v>
      </c>
      <c r="AI52" s="19"/>
      <c r="AJ52" s="19"/>
      <c r="AK52" s="19"/>
      <c r="AL52" s="643"/>
      <c r="AM52" s="19"/>
      <c r="AN52" s="19"/>
      <c r="AO52" s="19"/>
      <c r="AP52" s="823">
        <f>AP51/AH51-1</f>
        <v>0.17799352750809061</v>
      </c>
      <c r="AQ52" s="19"/>
      <c r="AR52" s="19"/>
      <c r="AS52" s="19"/>
      <c r="AT52" s="643"/>
      <c r="AU52" s="19"/>
      <c r="AV52" s="19"/>
      <c r="AW52" s="19"/>
      <c r="AX52" s="823">
        <f>AX51/AP51-1</f>
        <v>9.5238095238095344E-2</v>
      </c>
      <c r="AY52" s="19"/>
      <c r="AZ52" s="19"/>
      <c r="BA52" s="19"/>
      <c r="BB52" s="643"/>
      <c r="BC52" s="19"/>
      <c r="BD52" s="19"/>
      <c r="BE52" s="19"/>
      <c r="BF52" s="823">
        <f>BF51/AX51-1</f>
        <v>8.3193979933110285E-2</v>
      </c>
      <c r="BG52" s="19"/>
      <c r="BH52" s="19"/>
      <c r="BI52" s="19"/>
      <c r="BJ52" s="643"/>
      <c r="BK52" s="19"/>
      <c r="BL52" s="19"/>
      <c r="BM52" s="19"/>
      <c r="BN52" s="823">
        <f>BN51/BF51-1</f>
        <v>7.7190274025473737E-3</v>
      </c>
      <c r="BO52" s="19"/>
      <c r="BP52" s="19"/>
      <c r="BQ52" s="19"/>
      <c r="BR52" s="643"/>
      <c r="BS52" s="19"/>
      <c r="BT52" s="19"/>
      <c r="BU52" s="19"/>
      <c r="BV52" s="823">
        <f>BV51/BN51-1</f>
        <v>0</v>
      </c>
    </row>
    <row r="53" spans="1:74" x14ac:dyDescent="0.2">
      <c r="A53" s="186"/>
      <c r="B53" s="186"/>
      <c r="C53" s="186"/>
      <c r="D53" s="186"/>
      <c r="E53" s="186"/>
      <c r="F53" s="186"/>
      <c r="G53" s="186"/>
      <c r="H53" s="186"/>
      <c r="I53" s="186"/>
      <c r="J53" s="284"/>
      <c r="K53" s="186"/>
      <c r="L53" s="186"/>
      <c r="M53" s="186"/>
      <c r="N53" s="283"/>
      <c r="O53" s="186"/>
      <c r="P53" s="186"/>
      <c r="Q53" s="186"/>
      <c r="R53" s="341"/>
      <c r="S53" s="186"/>
      <c r="T53" s="186"/>
      <c r="U53" s="186"/>
      <c r="V53" s="283"/>
      <c r="W53" s="186"/>
      <c r="X53" s="186"/>
      <c r="Y53" s="186"/>
      <c r="Z53" s="341"/>
      <c r="AA53" s="186"/>
      <c r="AB53" s="186"/>
      <c r="AC53" s="186"/>
      <c r="AD53" s="283"/>
      <c r="AE53" s="186"/>
      <c r="AF53" s="186"/>
      <c r="AG53" s="186"/>
      <c r="AH53" s="341"/>
      <c r="AI53" s="186"/>
      <c r="AJ53" s="186"/>
      <c r="AK53" s="186"/>
      <c r="AL53" s="283"/>
      <c r="AM53" s="186"/>
      <c r="AN53" s="186"/>
      <c r="AO53" s="186"/>
      <c r="AP53" s="341"/>
      <c r="AQ53" s="186"/>
      <c r="AR53" s="186"/>
      <c r="AS53" s="186"/>
      <c r="AT53" s="283"/>
      <c r="AU53" s="186"/>
      <c r="AV53" s="186"/>
      <c r="AW53" s="186"/>
      <c r="AX53" s="341"/>
      <c r="AY53" s="186"/>
      <c r="AZ53" s="186"/>
      <c r="BA53" s="186"/>
      <c r="BB53" s="283"/>
      <c r="BC53" s="186"/>
      <c r="BD53" s="186"/>
      <c r="BE53" s="186"/>
      <c r="BF53" s="341"/>
      <c r="BG53" s="186"/>
      <c r="BH53" s="186"/>
      <c r="BI53" s="186"/>
      <c r="BJ53" s="283"/>
      <c r="BK53" s="186"/>
      <c r="BL53" s="186"/>
      <c r="BM53" s="186"/>
      <c r="BN53" s="341"/>
      <c r="BO53" s="186"/>
      <c r="BP53" s="186"/>
      <c r="BQ53" s="186"/>
      <c r="BR53" s="283"/>
      <c r="BS53" s="186"/>
      <c r="BT53" s="186"/>
      <c r="BU53" s="186"/>
      <c r="BV53" s="341"/>
    </row>
    <row r="54" spans="1:74" x14ac:dyDescent="0.2">
      <c r="A54" s="4" t="s">
        <v>802</v>
      </c>
      <c r="B54" s="4">
        <v>234</v>
      </c>
      <c r="C54" s="4">
        <v>221</v>
      </c>
      <c r="D54" s="4">
        <v>214</v>
      </c>
      <c r="E54" s="4">
        <v>162</v>
      </c>
      <c r="F54" s="4">
        <v>96</v>
      </c>
      <c r="G54" s="4">
        <v>90</v>
      </c>
      <c r="H54" s="4">
        <v>69</v>
      </c>
      <c r="I54" s="1386">
        <f>24*2</f>
        <v>48</v>
      </c>
      <c r="J54" s="1387">
        <f>24*2</f>
        <v>48</v>
      </c>
      <c r="K54" s="740">
        <f>O54/2</f>
        <v>12</v>
      </c>
      <c r="L54" s="740">
        <f>O54-K54</f>
        <v>12</v>
      </c>
      <c r="M54" s="740">
        <f>P54/2</f>
        <v>12</v>
      </c>
      <c r="N54" s="760">
        <f>P54-M54</f>
        <v>12</v>
      </c>
      <c r="O54" s="740">
        <f>R54/2</f>
        <v>24</v>
      </c>
      <c r="P54" s="4">
        <f>R54-O54</f>
        <v>24</v>
      </c>
      <c r="Q54" s="740">
        <f>K54+L54+M54</f>
        <v>36</v>
      </c>
      <c r="R54" s="1368">
        <f>24*2</f>
        <v>48</v>
      </c>
      <c r="S54" s="740">
        <v>12</v>
      </c>
      <c r="T54" s="740">
        <f>W54-S54</f>
        <v>12</v>
      </c>
      <c r="U54" s="740">
        <v>12</v>
      </c>
      <c r="V54" s="760">
        <f>X54-U54</f>
        <v>-5.1999999999999957</v>
      </c>
      <c r="W54" s="740">
        <v>24</v>
      </c>
      <c r="X54" s="4">
        <f>Z54-W54</f>
        <v>6.8000000000000043</v>
      </c>
      <c r="Y54" s="740">
        <f>S54+T54+U54</f>
        <v>36</v>
      </c>
      <c r="Z54" s="1368">
        <f>(14*2)*1.1</f>
        <v>30.800000000000004</v>
      </c>
      <c r="AA54" s="740">
        <f>7*2</f>
        <v>14</v>
      </c>
      <c r="AB54" s="740">
        <f>AE54-AA54</f>
        <v>16</v>
      </c>
      <c r="AC54" s="740">
        <f>9*2</f>
        <v>18</v>
      </c>
      <c r="AD54" s="760">
        <f>AF54-AC54</f>
        <v>8</v>
      </c>
      <c r="AE54" s="740">
        <f>(20*2)*0.75</f>
        <v>30</v>
      </c>
      <c r="AF54" s="4">
        <f>AH54-AE54</f>
        <v>26</v>
      </c>
      <c r="AG54" s="740">
        <f>AA54+AB54+AC54</f>
        <v>48</v>
      </c>
      <c r="AH54" s="1368">
        <f>(35*2)*0.8</f>
        <v>56</v>
      </c>
      <c r="AI54" s="740">
        <f>8*2</f>
        <v>16</v>
      </c>
      <c r="AJ54" s="740">
        <f>AM54-AI54</f>
        <v>14</v>
      </c>
      <c r="AK54" s="743">
        <f>AN54/2</f>
        <v>9</v>
      </c>
      <c r="AL54" s="742">
        <f>AN54-AK54</f>
        <v>9</v>
      </c>
      <c r="AM54" s="740">
        <f>15*2</f>
        <v>30</v>
      </c>
      <c r="AN54" s="11">
        <f>AP54-AM54</f>
        <v>18</v>
      </c>
      <c r="AO54" s="743">
        <f>AI54+AJ54+AK54</f>
        <v>39</v>
      </c>
      <c r="AP54" s="871">
        <f>24*2</f>
        <v>48</v>
      </c>
      <c r="AQ54" s="743">
        <f>AU54/2</f>
        <v>0</v>
      </c>
      <c r="AR54" s="743">
        <f>AU54-AQ54</f>
        <v>0</v>
      </c>
      <c r="AS54" s="743">
        <f>AV54/2</f>
        <v>0</v>
      </c>
      <c r="AT54" s="742">
        <f>AV54-AS54</f>
        <v>0</v>
      </c>
      <c r="AU54" s="743">
        <f>AX54/2</f>
        <v>0</v>
      </c>
      <c r="AV54" s="11">
        <f>AX54-AU54</f>
        <v>0</v>
      </c>
      <c r="AW54" s="743">
        <f>AQ54+AR54+AS54</f>
        <v>0</v>
      </c>
      <c r="AX54" s="871">
        <v>0</v>
      </c>
      <c r="AY54" s="743">
        <f>BC54/2</f>
        <v>0</v>
      </c>
      <c r="AZ54" s="743">
        <f>BC54-AY54</f>
        <v>0</v>
      </c>
      <c r="BA54" s="743">
        <f>BD54/2</f>
        <v>0</v>
      </c>
      <c r="BB54" s="742">
        <f>BD54-BA54</f>
        <v>0</v>
      </c>
      <c r="BC54" s="743">
        <f>BF54/2</f>
        <v>0</v>
      </c>
      <c r="BD54" s="11">
        <f>BF54-BC54</f>
        <v>0</v>
      </c>
      <c r="BE54" s="743">
        <f>AY54+AZ54+BA54</f>
        <v>0</v>
      </c>
      <c r="BF54" s="871">
        <v>0</v>
      </c>
      <c r="BG54" s="743">
        <f>BK54/2</f>
        <v>0</v>
      </c>
      <c r="BH54" s="743">
        <f>BK54-BG54</f>
        <v>0</v>
      </c>
      <c r="BI54" s="743">
        <f>BL54/2</f>
        <v>0</v>
      </c>
      <c r="BJ54" s="742">
        <f>BL54-BI54</f>
        <v>0</v>
      </c>
      <c r="BK54" s="743">
        <f>BN54/2</f>
        <v>0</v>
      </c>
      <c r="BL54" s="11">
        <f>BN54-BK54</f>
        <v>0</v>
      </c>
      <c r="BM54" s="743">
        <f>BG54+BH54+BI54</f>
        <v>0</v>
      </c>
      <c r="BN54" s="871">
        <v>0</v>
      </c>
      <c r="BO54" s="743">
        <f>BS54/2</f>
        <v>0</v>
      </c>
      <c r="BP54" s="743">
        <f>BS54-BO54</f>
        <v>0</v>
      </c>
      <c r="BQ54" s="743">
        <f>BT54/2</f>
        <v>0</v>
      </c>
      <c r="BR54" s="742">
        <f>BT54-BQ54</f>
        <v>0</v>
      </c>
      <c r="BS54" s="743">
        <f>BV54/2</f>
        <v>0</v>
      </c>
      <c r="BT54" s="11">
        <f>BV54-BS54</f>
        <v>0</v>
      </c>
      <c r="BU54" s="743">
        <f>BO54+BP54+BQ54</f>
        <v>0</v>
      </c>
      <c r="BV54" s="871">
        <v>0</v>
      </c>
    </row>
    <row r="55" spans="1:74" x14ac:dyDescent="0.2">
      <c r="A55" s="4" t="s">
        <v>859</v>
      </c>
      <c r="B55" s="4">
        <v>0</v>
      </c>
      <c r="C55" s="4">
        <v>0</v>
      </c>
      <c r="D55" s="4">
        <v>0</v>
      </c>
      <c r="E55" s="4">
        <v>0</v>
      </c>
      <c r="F55" s="4">
        <v>0</v>
      </c>
      <c r="G55" s="4">
        <v>21</v>
      </c>
      <c r="H55" s="4">
        <v>0</v>
      </c>
      <c r="I55" s="1386">
        <v>0</v>
      </c>
      <c r="J55" s="1387">
        <v>0</v>
      </c>
      <c r="K55" s="740">
        <f>O55/2</f>
        <v>0</v>
      </c>
      <c r="L55" s="740">
        <f>O55-K55</f>
        <v>0</v>
      </c>
      <c r="M55" s="740">
        <f>P55/2</f>
        <v>0</v>
      </c>
      <c r="N55" s="760">
        <f>P55-M55</f>
        <v>0</v>
      </c>
      <c r="O55" s="740">
        <f>R55/2</f>
        <v>0</v>
      </c>
      <c r="P55" s="4">
        <f>R55-O55</f>
        <v>0</v>
      </c>
      <c r="Q55" s="740">
        <f>K55+L55+M55</f>
        <v>0</v>
      </c>
      <c r="R55" s="1368">
        <v>0</v>
      </c>
      <c r="S55" s="740">
        <v>0</v>
      </c>
      <c r="T55" s="740">
        <f>W55-S55</f>
        <v>0</v>
      </c>
      <c r="U55" s="740">
        <v>0</v>
      </c>
      <c r="V55" s="760">
        <f>X55-U55</f>
        <v>0</v>
      </c>
      <c r="W55" s="740">
        <v>0</v>
      </c>
      <c r="X55" s="4">
        <f>Z55-W55</f>
        <v>0</v>
      </c>
      <c r="Y55" s="740">
        <f>S55+T55+U55</f>
        <v>0</v>
      </c>
      <c r="Z55" s="1368">
        <v>0</v>
      </c>
      <c r="AA55" s="740">
        <v>0</v>
      </c>
      <c r="AB55" s="740">
        <f>AE55-AA55</f>
        <v>0</v>
      </c>
      <c r="AC55" s="740">
        <v>0</v>
      </c>
      <c r="AD55" s="760">
        <f>AF55-AC55</f>
        <v>0</v>
      </c>
      <c r="AE55" s="740">
        <v>0</v>
      </c>
      <c r="AF55" s="4">
        <f>AH55-AE55</f>
        <v>0</v>
      </c>
      <c r="AG55" s="740">
        <f>AA55+AB55+AC55</f>
        <v>0</v>
      </c>
      <c r="AH55" s="1368">
        <v>0</v>
      </c>
      <c r="AI55" s="740">
        <v>0</v>
      </c>
      <c r="AJ55" s="740">
        <f>AM55-AI55</f>
        <v>0</v>
      </c>
      <c r="AK55" s="743">
        <f>AN55/2</f>
        <v>0</v>
      </c>
      <c r="AL55" s="742">
        <f>AN55-AK55</f>
        <v>0</v>
      </c>
      <c r="AM55" s="740">
        <v>0</v>
      </c>
      <c r="AN55" s="11">
        <f>AP55-AM55</f>
        <v>0</v>
      </c>
      <c r="AO55" s="743">
        <f>AI55+AJ55+AK55</f>
        <v>0</v>
      </c>
      <c r="AP55" s="871">
        <f>(4*12)-AP54</f>
        <v>0</v>
      </c>
      <c r="AQ55" s="743">
        <f>AU55/2</f>
        <v>12</v>
      </c>
      <c r="AR55" s="743">
        <f>AU55-AQ55</f>
        <v>12</v>
      </c>
      <c r="AS55" s="743">
        <f>AV55/2</f>
        <v>12</v>
      </c>
      <c r="AT55" s="742">
        <f>AV55-AS55</f>
        <v>12</v>
      </c>
      <c r="AU55" s="743">
        <f>AX55/2</f>
        <v>24</v>
      </c>
      <c r="AV55" s="11">
        <f>AX55-AU55</f>
        <v>24</v>
      </c>
      <c r="AW55" s="743">
        <f>AQ55+AR55+AS55</f>
        <v>36</v>
      </c>
      <c r="AX55" s="871">
        <f>(4*12)-AX54</f>
        <v>48</v>
      </c>
      <c r="AY55" s="743">
        <f>BC55/2</f>
        <v>12</v>
      </c>
      <c r="AZ55" s="743">
        <f>BC55-AY55</f>
        <v>12</v>
      </c>
      <c r="BA55" s="743">
        <f>BD55/2</f>
        <v>12</v>
      </c>
      <c r="BB55" s="742">
        <f>BD55-BA55</f>
        <v>12</v>
      </c>
      <c r="BC55" s="743">
        <f>BF55/2</f>
        <v>24</v>
      </c>
      <c r="BD55" s="11">
        <f>BF55-BC55</f>
        <v>24</v>
      </c>
      <c r="BE55" s="743">
        <f>AY55+AZ55+BA55</f>
        <v>36</v>
      </c>
      <c r="BF55" s="871">
        <f>(4*12)-BF54</f>
        <v>48</v>
      </c>
      <c r="BG55" s="743">
        <f>BK55/2</f>
        <v>12</v>
      </c>
      <c r="BH55" s="743">
        <f>BK55-BG55</f>
        <v>12</v>
      </c>
      <c r="BI55" s="743">
        <f>BL55/2</f>
        <v>12</v>
      </c>
      <c r="BJ55" s="742">
        <f>BL55-BI55</f>
        <v>12</v>
      </c>
      <c r="BK55" s="743">
        <f>BN55/2</f>
        <v>24</v>
      </c>
      <c r="BL55" s="11">
        <f>BN55-BK55</f>
        <v>24</v>
      </c>
      <c r="BM55" s="743">
        <f>BG55+BH55+BI55</f>
        <v>36</v>
      </c>
      <c r="BN55" s="871">
        <f>(4*12)-BN54</f>
        <v>48</v>
      </c>
      <c r="BO55" s="743">
        <f>BS55/2</f>
        <v>12</v>
      </c>
      <c r="BP55" s="743">
        <f>BS55-BO55</f>
        <v>12</v>
      </c>
      <c r="BQ55" s="743">
        <f>BT55/2</f>
        <v>12</v>
      </c>
      <c r="BR55" s="742">
        <f>BT55-BQ55</f>
        <v>12</v>
      </c>
      <c r="BS55" s="743">
        <f>BV55/2</f>
        <v>24</v>
      </c>
      <c r="BT55" s="11">
        <f>BV55-BS55</f>
        <v>24</v>
      </c>
      <c r="BU55" s="743">
        <f>BO55+BP55+BQ55</f>
        <v>36</v>
      </c>
      <c r="BV55" s="871">
        <f>(4*12)-BV54</f>
        <v>48</v>
      </c>
    </row>
    <row r="56" spans="1:74" x14ac:dyDescent="0.2">
      <c r="A56" s="4" t="s">
        <v>860</v>
      </c>
      <c r="B56" s="4">
        <v>90</v>
      </c>
      <c r="C56" s="4">
        <v>91</v>
      </c>
      <c r="D56" s="4">
        <v>74</v>
      </c>
      <c r="E56" s="4">
        <v>9</v>
      </c>
      <c r="F56" s="4">
        <v>1</v>
      </c>
      <c r="G56" s="4">
        <v>0</v>
      </c>
      <c r="H56" s="4">
        <v>0</v>
      </c>
      <c r="I56" s="1386">
        <v>0</v>
      </c>
      <c r="J56" s="1387">
        <v>0</v>
      </c>
      <c r="K56" s="740">
        <f>O56/2</f>
        <v>0</v>
      </c>
      <c r="L56" s="740">
        <f>O56-K56</f>
        <v>0</v>
      </c>
      <c r="M56" s="740">
        <f>P56/2</f>
        <v>0</v>
      </c>
      <c r="N56" s="760">
        <f>P56-M56</f>
        <v>0</v>
      </c>
      <c r="O56" s="740">
        <f>R56/2</f>
        <v>0</v>
      </c>
      <c r="P56" s="4">
        <f>R56-O56</f>
        <v>0</v>
      </c>
      <c r="Q56" s="740">
        <f>K56+L56+M56</f>
        <v>0</v>
      </c>
      <c r="R56" s="1368">
        <v>0</v>
      </c>
      <c r="S56" s="740">
        <v>0</v>
      </c>
      <c r="T56" s="740">
        <f>W56-S56</f>
        <v>0</v>
      </c>
      <c r="U56" s="740">
        <v>0</v>
      </c>
      <c r="V56" s="760">
        <f>X56-U56</f>
        <v>0</v>
      </c>
      <c r="W56" s="740">
        <v>0</v>
      </c>
      <c r="X56" s="4">
        <f>Z56-W56</f>
        <v>0</v>
      </c>
      <c r="Y56" s="740">
        <f>S56+T56+U56</f>
        <v>0</v>
      </c>
      <c r="Z56" s="1368">
        <v>0</v>
      </c>
      <c r="AA56" s="740">
        <v>0</v>
      </c>
      <c r="AB56" s="740">
        <f>AE56-AA56</f>
        <v>0</v>
      </c>
      <c r="AC56" s="743">
        <f t="shared" ref="AC56" si="127">AF56/2</f>
        <v>0</v>
      </c>
      <c r="AD56" s="760">
        <f>AF56-AC56</f>
        <v>0</v>
      </c>
      <c r="AE56" s="740">
        <f>AH56/2</f>
        <v>0</v>
      </c>
      <c r="AF56" s="4">
        <f>AH56-AE56</f>
        <v>0</v>
      </c>
      <c r="AG56" s="740">
        <f>AA56+AB56+AC56</f>
        <v>0</v>
      </c>
      <c r="AH56" s="1368">
        <v>0</v>
      </c>
      <c r="AI56" s="740">
        <v>0</v>
      </c>
      <c r="AJ56" s="740">
        <f>AM56-AI56</f>
        <v>0</v>
      </c>
      <c r="AK56" s="743">
        <f>AN56/2</f>
        <v>0</v>
      </c>
      <c r="AL56" s="742">
        <f>AN56-AK56</f>
        <v>0</v>
      </c>
      <c r="AM56" s="740">
        <v>0</v>
      </c>
      <c r="AN56" s="11">
        <f>AP56-AM56</f>
        <v>0</v>
      </c>
      <c r="AO56" s="743">
        <f>AI56+AJ56+AK56</f>
        <v>0</v>
      </c>
      <c r="AP56" s="871">
        <v>0</v>
      </c>
      <c r="AQ56" s="743">
        <f>AU56/2</f>
        <v>0</v>
      </c>
      <c r="AR56" s="743">
        <f>AU56-AQ56</f>
        <v>0</v>
      </c>
      <c r="AS56" s="743">
        <f>AV56/2</f>
        <v>0</v>
      </c>
      <c r="AT56" s="742">
        <f>AV56-AS56</f>
        <v>0</v>
      </c>
      <c r="AU56" s="743">
        <f>AX56/2</f>
        <v>0</v>
      </c>
      <c r="AV56" s="11">
        <f>AX56-AU56</f>
        <v>0</v>
      </c>
      <c r="AW56" s="743">
        <f>AQ56+AR56+AS56</f>
        <v>0</v>
      </c>
      <c r="AX56" s="871">
        <v>0</v>
      </c>
      <c r="AY56" s="743">
        <f>BC56/2</f>
        <v>0</v>
      </c>
      <c r="AZ56" s="743">
        <f>BC56-AY56</f>
        <v>0</v>
      </c>
      <c r="BA56" s="743">
        <f>BD56/2</f>
        <v>0</v>
      </c>
      <c r="BB56" s="742">
        <f>BD56-BA56</f>
        <v>0</v>
      </c>
      <c r="BC56" s="743">
        <f>BF56/2</f>
        <v>0</v>
      </c>
      <c r="BD56" s="11">
        <f>BF56-BC56</f>
        <v>0</v>
      </c>
      <c r="BE56" s="743">
        <f>AY56+AZ56+BA56</f>
        <v>0</v>
      </c>
      <c r="BF56" s="871">
        <v>0</v>
      </c>
      <c r="BG56" s="743">
        <f>BK56/2</f>
        <v>0</v>
      </c>
      <c r="BH56" s="743">
        <f>BK56-BG56</f>
        <v>0</v>
      </c>
      <c r="BI56" s="743">
        <f>BL56/2</f>
        <v>0</v>
      </c>
      <c r="BJ56" s="742">
        <f>BL56-BI56</f>
        <v>0</v>
      </c>
      <c r="BK56" s="743">
        <f>BN56/2</f>
        <v>0</v>
      </c>
      <c r="BL56" s="11">
        <f>BN56-BK56</f>
        <v>0</v>
      </c>
      <c r="BM56" s="743">
        <f>BG56+BH56+BI56</f>
        <v>0</v>
      </c>
      <c r="BN56" s="871">
        <v>0</v>
      </c>
      <c r="BO56" s="743">
        <f>BS56/2</f>
        <v>0</v>
      </c>
      <c r="BP56" s="743">
        <f>BS56-BO56</f>
        <v>0</v>
      </c>
      <c r="BQ56" s="743">
        <f>BT56/2</f>
        <v>0</v>
      </c>
      <c r="BR56" s="742">
        <f>BT56-BQ56</f>
        <v>0</v>
      </c>
      <c r="BS56" s="743">
        <f>BV56/2</f>
        <v>0</v>
      </c>
      <c r="BT56" s="11">
        <f>BV56-BS56</f>
        <v>0</v>
      </c>
      <c r="BU56" s="743">
        <f>BO56+BP56+BQ56</f>
        <v>0</v>
      </c>
      <c r="BV56" s="871">
        <v>0</v>
      </c>
    </row>
    <row r="57" spans="1:74" x14ac:dyDescent="0.2">
      <c r="A57" s="4" t="s">
        <v>861</v>
      </c>
      <c r="B57" s="4">
        <v>261</v>
      </c>
      <c r="C57" s="4">
        <v>268</v>
      </c>
      <c r="D57" s="4">
        <v>281</v>
      </c>
      <c r="E57" s="4">
        <v>231</v>
      </c>
      <c r="F57" s="4">
        <v>250</v>
      </c>
      <c r="G57" s="4">
        <v>300</v>
      </c>
      <c r="H57" s="4">
        <v>203</v>
      </c>
      <c r="I57" s="1386">
        <v>100</v>
      </c>
      <c r="J57" s="1387">
        <v>80</v>
      </c>
      <c r="K57" s="740">
        <v>15</v>
      </c>
      <c r="L57" s="740">
        <f>O57-K57</f>
        <v>17</v>
      </c>
      <c r="M57" s="740">
        <v>20</v>
      </c>
      <c r="N57" s="760">
        <f>P57-M57</f>
        <v>62.400000000000006</v>
      </c>
      <c r="O57" s="740">
        <v>32</v>
      </c>
      <c r="P57" s="4">
        <f>R57-O57</f>
        <v>82.4</v>
      </c>
      <c r="Q57" s="740">
        <f>K57+L57+M57</f>
        <v>52</v>
      </c>
      <c r="R57" s="1368">
        <f>(52*2)*1.1</f>
        <v>114.4</v>
      </c>
      <c r="S57" s="740">
        <v>28</v>
      </c>
      <c r="T57" s="740">
        <f>W57-S57</f>
        <v>9</v>
      </c>
      <c r="U57" s="740">
        <f>51-U58-SUM(U54:U56)</f>
        <v>29</v>
      </c>
      <c r="V57" s="760">
        <f>X57-U57</f>
        <v>63.5</v>
      </c>
      <c r="W57" s="740">
        <f>91-W58-SUM(W54:W56)</f>
        <v>37</v>
      </c>
      <c r="X57" s="4">
        <f>Z57-W57</f>
        <v>92.5</v>
      </c>
      <c r="Y57" s="740">
        <f>S57+T57+U57</f>
        <v>66</v>
      </c>
      <c r="Z57" s="1368">
        <f>(37*2)*1.75</f>
        <v>129.5</v>
      </c>
      <c r="AA57" s="740">
        <f>12*2</f>
        <v>24</v>
      </c>
      <c r="AB57" s="740">
        <f>AE57-AA57</f>
        <v>24</v>
      </c>
      <c r="AC57" s="740">
        <f>(21*2)*0.75</f>
        <v>31.5</v>
      </c>
      <c r="AD57" s="760">
        <f>AF57-AC57</f>
        <v>31.5</v>
      </c>
      <c r="AE57" s="740">
        <f>(32*2)*0.75</f>
        <v>48</v>
      </c>
      <c r="AF57" s="4">
        <f>AH57-AE57</f>
        <v>63</v>
      </c>
      <c r="AG57" s="740">
        <f>AA57+AB57+AC57</f>
        <v>79.5</v>
      </c>
      <c r="AH57" s="1388">
        <f>(74*2)*0.75</f>
        <v>111</v>
      </c>
      <c r="AI57" s="740">
        <f>9*2</f>
        <v>18</v>
      </c>
      <c r="AJ57" s="740">
        <f>AM57-AI57</f>
        <v>44</v>
      </c>
      <c r="AK57" s="743">
        <f>AN57/2</f>
        <v>51.500000000000014</v>
      </c>
      <c r="AL57" s="742">
        <f>AN57-AK57</f>
        <v>51.500000000000014</v>
      </c>
      <c r="AM57" s="740">
        <f>31*2</f>
        <v>62</v>
      </c>
      <c r="AN57" s="11">
        <f>AP57-AM57</f>
        <v>103.00000000000003</v>
      </c>
      <c r="AO57" s="743">
        <f>AI57+AJ57+AK57</f>
        <v>113.50000000000001</v>
      </c>
      <c r="AP57" s="871">
        <f>((100*2)*1.1)*0.75</f>
        <v>165.00000000000003</v>
      </c>
      <c r="AQ57" s="743">
        <f>AU57/2</f>
        <v>49.5</v>
      </c>
      <c r="AR57" s="743">
        <f>AU57-AQ57</f>
        <v>49.5</v>
      </c>
      <c r="AS57" s="743">
        <f>AV57/2</f>
        <v>49.5</v>
      </c>
      <c r="AT57" s="742">
        <f>AV57-AS57</f>
        <v>49.5</v>
      </c>
      <c r="AU57" s="743">
        <f>AX57/2</f>
        <v>99</v>
      </c>
      <c r="AV57" s="11">
        <f>AX57-AU57</f>
        <v>99</v>
      </c>
      <c r="AW57" s="743">
        <f>AQ57+AR57+AS57</f>
        <v>148.5</v>
      </c>
      <c r="AX57" s="871">
        <f>((120*2)*1.1)*0.75</f>
        <v>198</v>
      </c>
      <c r="AY57" s="743">
        <f>BC57/2</f>
        <v>49.5</v>
      </c>
      <c r="AZ57" s="743">
        <f>BC57-AY57</f>
        <v>49.5</v>
      </c>
      <c r="BA57" s="743">
        <f>BD57/2</f>
        <v>49.5</v>
      </c>
      <c r="BB57" s="742">
        <f>BD57-BA57</f>
        <v>49.5</v>
      </c>
      <c r="BC57" s="743">
        <f>BF57/2</f>
        <v>99</v>
      </c>
      <c r="BD57" s="11">
        <f>BF57-BC57</f>
        <v>99</v>
      </c>
      <c r="BE57" s="743">
        <f>AY57+AZ57+BA57</f>
        <v>148.5</v>
      </c>
      <c r="BF57" s="744">
        <f>AX57</f>
        <v>198</v>
      </c>
      <c r="BG57" s="743">
        <f>BK57/2</f>
        <v>49.5</v>
      </c>
      <c r="BH57" s="743">
        <f>BK57-BG57</f>
        <v>49.5</v>
      </c>
      <c r="BI57" s="743">
        <f>BL57/2</f>
        <v>49.5</v>
      </c>
      <c r="BJ57" s="742">
        <f>BL57-BI57</f>
        <v>49.5</v>
      </c>
      <c r="BK57" s="743">
        <f>BN57/2</f>
        <v>99</v>
      </c>
      <c r="BL57" s="11">
        <f>BN57-BK57</f>
        <v>99</v>
      </c>
      <c r="BM57" s="743">
        <f>BG57+BH57+BI57</f>
        <v>148.5</v>
      </c>
      <c r="BN57" s="744">
        <f>BF57</f>
        <v>198</v>
      </c>
      <c r="BO57" s="743">
        <f>BS57/2</f>
        <v>49.5</v>
      </c>
      <c r="BP57" s="743">
        <f>BS57-BO57</f>
        <v>49.5</v>
      </c>
      <c r="BQ57" s="743">
        <f>BT57/2</f>
        <v>49.5</v>
      </c>
      <c r="BR57" s="742">
        <f>BT57-BQ57</f>
        <v>49.5</v>
      </c>
      <c r="BS57" s="743">
        <f>BV57/2</f>
        <v>99</v>
      </c>
      <c r="BT57" s="11">
        <f>BV57-BS57</f>
        <v>99</v>
      </c>
      <c r="BU57" s="743">
        <f>BO57+BP57+BQ57</f>
        <v>148.5</v>
      </c>
      <c r="BV57" s="744">
        <f>BN57</f>
        <v>198</v>
      </c>
    </row>
    <row r="58" spans="1:74" x14ac:dyDescent="0.2">
      <c r="A58" s="4" t="s">
        <v>862</v>
      </c>
      <c r="B58" s="4">
        <v>105</v>
      </c>
      <c r="C58" s="4">
        <v>115</v>
      </c>
      <c r="D58" s="4">
        <v>117</v>
      </c>
      <c r="E58" s="4">
        <v>84</v>
      </c>
      <c r="F58" s="4">
        <v>88</v>
      </c>
      <c r="G58" s="4">
        <v>78</v>
      </c>
      <c r="H58" s="4">
        <f>67+30</f>
        <v>97</v>
      </c>
      <c r="I58" s="1386">
        <f>235-I57-I56-I55-I54</f>
        <v>87</v>
      </c>
      <c r="J58" s="1387">
        <f>181-J57-J56-J55-J54</f>
        <v>53</v>
      </c>
      <c r="K58" s="740">
        <f>37-SUM(K54:K57)</f>
        <v>10</v>
      </c>
      <c r="L58" s="740">
        <f>O58-K58</f>
        <v>17</v>
      </c>
      <c r="M58" s="740">
        <f>58-SUM(M54:M57)</f>
        <v>26</v>
      </c>
      <c r="N58" s="760">
        <f>P58-M58</f>
        <v>-25.400000000000006</v>
      </c>
      <c r="O58" s="740">
        <f>83-SUM(O54:O57)</f>
        <v>27</v>
      </c>
      <c r="P58" s="4">
        <f>R58-O58</f>
        <v>0.59999999999999432</v>
      </c>
      <c r="Q58" s="740">
        <f>K58+L58+M58</f>
        <v>53</v>
      </c>
      <c r="R58" s="1388">
        <f>190-R57-R56-R55-R54</f>
        <v>27.599999999999994</v>
      </c>
      <c r="S58" s="740">
        <v>16</v>
      </c>
      <c r="T58" s="740">
        <f>W58-S58</f>
        <v>14</v>
      </c>
      <c r="U58" s="740">
        <v>10</v>
      </c>
      <c r="V58" s="760">
        <f>X58-U58</f>
        <v>-5.3000000000000043</v>
      </c>
      <c r="W58" s="740">
        <v>30</v>
      </c>
      <c r="X58" s="4">
        <f>Z58-W58</f>
        <v>4.6999999999999957</v>
      </c>
      <c r="Y58" s="740">
        <f>S58+T58+U58</f>
        <v>40</v>
      </c>
      <c r="Z58" s="1388">
        <f>195-Z57-Z56-Z55-Z54</f>
        <v>34.699999999999996</v>
      </c>
      <c r="AA58" s="740">
        <f>48-SUM(AA54:AA57)</f>
        <v>10</v>
      </c>
      <c r="AB58" s="740">
        <f>AE58-AA58</f>
        <v>19</v>
      </c>
      <c r="AC58" s="740">
        <f>55-SUM(AC54:AC57)</f>
        <v>5.5</v>
      </c>
      <c r="AD58" s="760">
        <f>AF58-AC58</f>
        <v>32.5</v>
      </c>
      <c r="AE58" s="740">
        <f>107-SUM(AE54:AE57)</f>
        <v>29</v>
      </c>
      <c r="AF58" s="4">
        <f>AH58-AE58</f>
        <v>38</v>
      </c>
      <c r="AG58" s="740">
        <f>AA58+AB58+AC58</f>
        <v>34.5</v>
      </c>
      <c r="AH58" s="1388">
        <f>234-AH57-AH56-AH55-AH54</f>
        <v>67</v>
      </c>
      <c r="AI58" s="740">
        <f>57-SUM(AI54:AI57)</f>
        <v>23</v>
      </c>
      <c r="AJ58" s="740">
        <f>AM58-AI58</f>
        <v>20</v>
      </c>
      <c r="AK58" s="743">
        <f>AN58/2</f>
        <v>3.5</v>
      </c>
      <c r="AL58" s="742">
        <f>AN58-AK58</f>
        <v>3.5</v>
      </c>
      <c r="AM58" s="740">
        <f>135-SUM(AM54:AM57)</f>
        <v>43</v>
      </c>
      <c r="AN58" s="11">
        <f>AP58-AM58</f>
        <v>7</v>
      </c>
      <c r="AO58" s="743">
        <f>AI58+AJ58+AK58</f>
        <v>46.5</v>
      </c>
      <c r="AP58" s="871">
        <v>50</v>
      </c>
      <c r="AQ58" s="743">
        <f>AU58/2</f>
        <v>12.5</v>
      </c>
      <c r="AR58" s="743">
        <f>AU58-AQ58</f>
        <v>12.5</v>
      </c>
      <c r="AS58" s="743">
        <f>AV58/2</f>
        <v>12.5</v>
      </c>
      <c r="AT58" s="742">
        <f>AV58-AS58</f>
        <v>12.5</v>
      </c>
      <c r="AU58" s="743">
        <f>AX58/2</f>
        <v>25</v>
      </c>
      <c r="AV58" s="11">
        <f>AX58-AU58</f>
        <v>25</v>
      </c>
      <c r="AW58" s="743">
        <f>AQ58+AR58+AS58</f>
        <v>37.5</v>
      </c>
      <c r="AX58" s="744">
        <f>AP58</f>
        <v>50</v>
      </c>
      <c r="AY58" s="743">
        <f>BC58/2</f>
        <v>12.5</v>
      </c>
      <c r="AZ58" s="743">
        <f>BC58-AY58</f>
        <v>12.5</v>
      </c>
      <c r="BA58" s="743">
        <f>BD58/2</f>
        <v>12.5</v>
      </c>
      <c r="BB58" s="742">
        <f>BD58-BA58</f>
        <v>12.5</v>
      </c>
      <c r="BC58" s="743">
        <f>BF58/2</f>
        <v>25</v>
      </c>
      <c r="BD58" s="11">
        <f>BF58-BC58</f>
        <v>25</v>
      </c>
      <c r="BE58" s="743">
        <f>AY58+AZ58+BA58</f>
        <v>37.5</v>
      </c>
      <c r="BF58" s="744">
        <f>AX58</f>
        <v>50</v>
      </c>
      <c r="BG58" s="743">
        <f>BK58/2</f>
        <v>12.5</v>
      </c>
      <c r="BH58" s="743">
        <f>BK58-BG58</f>
        <v>12.5</v>
      </c>
      <c r="BI58" s="743">
        <f>BL58/2</f>
        <v>12.5</v>
      </c>
      <c r="BJ58" s="742">
        <f>BL58-BI58</f>
        <v>12.5</v>
      </c>
      <c r="BK58" s="743">
        <f>BN58/2</f>
        <v>25</v>
      </c>
      <c r="BL58" s="11">
        <f>BN58-BK58</f>
        <v>25</v>
      </c>
      <c r="BM58" s="743">
        <f>BG58+BH58+BI58</f>
        <v>37.5</v>
      </c>
      <c r="BN58" s="744">
        <f>BF58</f>
        <v>50</v>
      </c>
      <c r="BO58" s="743">
        <f>BS58/2</f>
        <v>12.5</v>
      </c>
      <c r="BP58" s="743">
        <f>BS58-BO58</f>
        <v>12.5</v>
      </c>
      <c r="BQ58" s="743">
        <f>BT58/2</f>
        <v>12.5</v>
      </c>
      <c r="BR58" s="742">
        <f>BT58-BQ58</f>
        <v>12.5</v>
      </c>
      <c r="BS58" s="743">
        <f>BV58/2</f>
        <v>25</v>
      </c>
      <c r="BT58" s="11">
        <f>BV58-BS58</f>
        <v>25</v>
      </c>
      <c r="BU58" s="743">
        <f>BO58+BP58+BQ58</f>
        <v>37.5</v>
      </c>
      <c r="BV58" s="744">
        <f>BN58</f>
        <v>50</v>
      </c>
    </row>
    <row r="59" spans="1:74" x14ac:dyDescent="0.2">
      <c r="A59" s="410" t="s">
        <v>793</v>
      </c>
      <c r="B59" s="410">
        <f>SUM(B54:B58)</f>
        <v>690</v>
      </c>
      <c r="C59" s="410">
        <f>SUM(C54:C58)</f>
        <v>695</v>
      </c>
      <c r="D59" s="410">
        <f t="shared" ref="D59:N59" si="128">SUM(D54:D58)</f>
        <v>686</v>
      </c>
      <c r="E59" s="410">
        <f t="shared" si="128"/>
        <v>486</v>
      </c>
      <c r="F59" s="410">
        <f t="shared" si="128"/>
        <v>435</v>
      </c>
      <c r="G59" s="410">
        <f t="shared" si="128"/>
        <v>489</v>
      </c>
      <c r="H59" s="410">
        <f t="shared" si="128"/>
        <v>369</v>
      </c>
      <c r="I59" s="410">
        <f t="shared" si="128"/>
        <v>235</v>
      </c>
      <c r="J59" s="803">
        <f t="shared" si="128"/>
        <v>181</v>
      </c>
      <c r="K59" s="410">
        <v>37</v>
      </c>
      <c r="L59" s="410">
        <f t="shared" si="128"/>
        <v>46</v>
      </c>
      <c r="M59" s="410">
        <v>58</v>
      </c>
      <c r="N59" s="1383">
        <f t="shared" si="128"/>
        <v>49</v>
      </c>
      <c r="O59" s="410">
        <v>83</v>
      </c>
      <c r="P59" s="410">
        <f t="shared" ref="P59:BV59" si="129">SUM(P54:P58)</f>
        <v>107</v>
      </c>
      <c r="Q59" s="410">
        <f t="shared" si="129"/>
        <v>141</v>
      </c>
      <c r="R59" s="1381">
        <f t="shared" si="129"/>
        <v>190</v>
      </c>
      <c r="S59" s="410">
        <f t="shared" si="129"/>
        <v>56</v>
      </c>
      <c r="T59" s="410">
        <f t="shared" si="129"/>
        <v>35</v>
      </c>
      <c r="U59" s="410">
        <f t="shared" si="129"/>
        <v>51</v>
      </c>
      <c r="V59" s="1383">
        <f t="shared" si="129"/>
        <v>53</v>
      </c>
      <c r="W59" s="410">
        <f t="shared" si="129"/>
        <v>91</v>
      </c>
      <c r="X59" s="410">
        <f t="shared" si="129"/>
        <v>104</v>
      </c>
      <c r="Y59" s="410">
        <f t="shared" ref="Y59" si="130">SUM(Y54:Y58)</f>
        <v>142</v>
      </c>
      <c r="Z59" s="1381">
        <f t="shared" si="129"/>
        <v>195</v>
      </c>
      <c r="AA59" s="410">
        <f t="shared" si="129"/>
        <v>48</v>
      </c>
      <c r="AB59" s="410">
        <f t="shared" si="129"/>
        <v>59</v>
      </c>
      <c r="AC59" s="410">
        <f t="shared" ref="AC59" si="131">SUM(AC54:AC58)</f>
        <v>55</v>
      </c>
      <c r="AD59" s="1383">
        <f t="shared" si="129"/>
        <v>72</v>
      </c>
      <c r="AE59" s="410">
        <f t="shared" si="129"/>
        <v>107</v>
      </c>
      <c r="AF59" s="410">
        <f t="shared" si="129"/>
        <v>127</v>
      </c>
      <c r="AG59" s="410">
        <f t="shared" si="129"/>
        <v>162</v>
      </c>
      <c r="AH59" s="1381">
        <f t="shared" si="129"/>
        <v>234</v>
      </c>
      <c r="AI59" s="410">
        <f t="shared" si="129"/>
        <v>57</v>
      </c>
      <c r="AJ59" s="410">
        <f t="shared" si="129"/>
        <v>78</v>
      </c>
      <c r="AK59" s="858">
        <f t="shared" si="129"/>
        <v>64.000000000000014</v>
      </c>
      <c r="AL59" s="857">
        <f t="shared" si="129"/>
        <v>64.000000000000014</v>
      </c>
      <c r="AM59" s="410">
        <f>SUM(AM54:AM58)</f>
        <v>135</v>
      </c>
      <c r="AN59" s="858">
        <f>SUM(AN54:AN58)</f>
        <v>128.00000000000003</v>
      </c>
      <c r="AO59" s="858">
        <f>SUM(AO54:AO58)</f>
        <v>199</v>
      </c>
      <c r="AP59" s="860">
        <f t="shared" si="129"/>
        <v>263</v>
      </c>
      <c r="AQ59" s="858">
        <f t="shared" si="129"/>
        <v>74</v>
      </c>
      <c r="AR59" s="858">
        <f t="shared" si="129"/>
        <v>74</v>
      </c>
      <c r="AS59" s="858">
        <f t="shared" si="129"/>
        <v>74</v>
      </c>
      <c r="AT59" s="857">
        <f t="shared" si="129"/>
        <v>74</v>
      </c>
      <c r="AU59" s="858">
        <f>SUM(AU54:AU58)</f>
        <v>148</v>
      </c>
      <c r="AV59" s="858">
        <f>SUM(AV54:AV58)</f>
        <v>148</v>
      </c>
      <c r="AW59" s="858">
        <f>SUM(AW54:AW58)</f>
        <v>222</v>
      </c>
      <c r="AX59" s="860">
        <f t="shared" si="129"/>
        <v>296</v>
      </c>
      <c r="AY59" s="858">
        <f t="shared" si="129"/>
        <v>74</v>
      </c>
      <c r="AZ59" s="858">
        <f t="shared" si="129"/>
        <v>74</v>
      </c>
      <c r="BA59" s="858">
        <f t="shared" si="129"/>
        <v>74</v>
      </c>
      <c r="BB59" s="857">
        <f t="shared" si="129"/>
        <v>74</v>
      </c>
      <c r="BC59" s="858">
        <f>SUM(BC54:BC58)</f>
        <v>148</v>
      </c>
      <c r="BD59" s="858">
        <f>SUM(BD54:BD58)</f>
        <v>148</v>
      </c>
      <c r="BE59" s="858">
        <f>SUM(BE54:BE58)</f>
        <v>222</v>
      </c>
      <c r="BF59" s="860">
        <f t="shared" si="129"/>
        <v>296</v>
      </c>
      <c r="BG59" s="858">
        <f t="shared" si="129"/>
        <v>74</v>
      </c>
      <c r="BH59" s="858">
        <f t="shared" si="129"/>
        <v>74</v>
      </c>
      <c r="BI59" s="858">
        <f t="shared" si="129"/>
        <v>74</v>
      </c>
      <c r="BJ59" s="857">
        <f t="shared" si="129"/>
        <v>74</v>
      </c>
      <c r="BK59" s="858">
        <f>SUM(BK54:BK58)</f>
        <v>148</v>
      </c>
      <c r="BL59" s="858">
        <f>SUM(BL54:BL58)</f>
        <v>148</v>
      </c>
      <c r="BM59" s="858">
        <f>SUM(BM54:BM58)</f>
        <v>222</v>
      </c>
      <c r="BN59" s="860">
        <f t="shared" si="129"/>
        <v>296</v>
      </c>
      <c r="BO59" s="858">
        <f t="shared" si="129"/>
        <v>74</v>
      </c>
      <c r="BP59" s="858">
        <f t="shared" si="129"/>
        <v>74</v>
      </c>
      <c r="BQ59" s="858">
        <f t="shared" si="129"/>
        <v>74</v>
      </c>
      <c r="BR59" s="857">
        <f t="shared" si="129"/>
        <v>74</v>
      </c>
      <c r="BS59" s="858">
        <f>SUM(BS54:BS58)</f>
        <v>148</v>
      </c>
      <c r="BT59" s="858">
        <f>SUM(BT54:BT58)</f>
        <v>148</v>
      </c>
      <c r="BU59" s="858">
        <f>SUM(BU54:BU58)</f>
        <v>222</v>
      </c>
      <c r="BV59" s="860">
        <f t="shared" si="129"/>
        <v>296</v>
      </c>
    </row>
    <row r="60" spans="1:74" x14ac:dyDescent="0.2">
      <c r="A60" s="197" t="s">
        <v>20</v>
      </c>
      <c r="B60" s="186"/>
      <c r="C60" s="19">
        <f t="shared" ref="C60:J60" si="132">C59/B59-1</f>
        <v>7.2463768115942351E-3</v>
      </c>
      <c r="D60" s="19">
        <f t="shared" si="132"/>
        <v>-1.2949640287769792E-2</v>
      </c>
      <c r="E60" s="19">
        <f t="shared" si="132"/>
        <v>-0.29154518950437314</v>
      </c>
      <c r="F60" s="19">
        <f t="shared" si="132"/>
        <v>-0.10493827160493829</v>
      </c>
      <c r="G60" s="19">
        <f t="shared" si="132"/>
        <v>0.12413793103448278</v>
      </c>
      <c r="H60" s="19">
        <f t="shared" si="132"/>
        <v>-0.245398773006135</v>
      </c>
      <c r="I60" s="19">
        <f t="shared" si="132"/>
        <v>-0.36314363143631434</v>
      </c>
      <c r="J60" s="494">
        <f t="shared" si="132"/>
        <v>-0.22978723404255319</v>
      </c>
      <c r="K60" s="19"/>
      <c r="L60" s="19"/>
      <c r="M60" s="19"/>
      <c r="N60" s="643"/>
      <c r="O60" s="19"/>
      <c r="P60" s="19"/>
      <c r="Q60" s="19"/>
      <c r="R60" s="824">
        <f>R59/J59-1</f>
        <v>4.9723756906077332E-2</v>
      </c>
      <c r="S60" s="19">
        <f t="shared" ref="S60:Y60" si="133">S59/K59-1</f>
        <v>0.5135135135135136</v>
      </c>
      <c r="T60" s="19">
        <f t="shared" si="133"/>
        <v>-0.23913043478260865</v>
      </c>
      <c r="U60" s="19">
        <f t="shared" si="133"/>
        <v>-0.12068965517241381</v>
      </c>
      <c r="V60" s="205">
        <f t="shared" si="133"/>
        <v>8.163265306122458E-2</v>
      </c>
      <c r="W60" s="204">
        <f t="shared" si="133"/>
        <v>9.6385542168674787E-2</v>
      </c>
      <c r="X60" s="204">
        <f t="shared" si="133"/>
        <v>-2.8037383177570097E-2</v>
      </c>
      <c r="Y60" s="204">
        <f t="shared" si="133"/>
        <v>7.0921985815601829E-3</v>
      </c>
      <c r="Z60" s="824">
        <f>Z59/R59-1</f>
        <v>2.6315789473684292E-2</v>
      </c>
      <c r="AA60" s="19">
        <f t="shared" ref="AA60:BV60" si="134">AA59/S59-1</f>
        <v>-0.1428571428571429</v>
      </c>
      <c r="AB60" s="19">
        <f t="shared" si="134"/>
        <v>0.68571428571428572</v>
      </c>
      <c r="AC60" s="19">
        <f t="shared" si="134"/>
        <v>7.8431372549019551E-2</v>
      </c>
      <c r="AD60" s="643">
        <f t="shared" si="134"/>
        <v>0.35849056603773577</v>
      </c>
      <c r="AE60" s="204">
        <f t="shared" si="134"/>
        <v>0.17582417582417587</v>
      </c>
      <c r="AF60" s="19">
        <f t="shared" si="134"/>
        <v>0.22115384615384626</v>
      </c>
      <c r="AG60" s="204">
        <f t="shared" si="134"/>
        <v>0.14084507042253525</v>
      </c>
      <c r="AH60" s="824">
        <f t="shared" si="134"/>
        <v>0.19999999999999996</v>
      </c>
      <c r="AI60" s="19">
        <f t="shared" si="134"/>
        <v>0.1875</v>
      </c>
      <c r="AJ60" s="19">
        <f t="shared" si="134"/>
        <v>0.32203389830508478</v>
      </c>
      <c r="AK60" s="495">
        <f t="shared" si="134"/>
        <v>0.1636363636363638</v>
      </c>
      <c r="AL60" s="647">
        <f t="shared" si="134"/>
        <v>-0.11111111111111094</v>
      </c>
      <c r="AM60" s="19">
        <f t="shared" si="134"/>
        <v>0.26168224299065423</v>
      </c>
      <c r="AN60" s="495">
        <f t="shared" si="134"/>
        <v>7.8740157480317041E-3</v>
      </c>
      <c r="AO60" s="495">
        <f t="shared" si="134"/>
        <v>0.22839506172839497</v>
      </c>
      <c r="AP60" s="823">
        <f t="shared" si="134"/>
        <v>0.12393162393162394</v>
      </c>
      <c r="AQ60" s="495">
        <f t="shared" si="134"/>
        <v>0.29824561403508776</v>
      </c>
      <c r="AR60" s="495">
        <f t="shared" si="134"/>
        <v>-5.1282051282051322E-2</v>
      </c>
      <c r="AS60" s="495">
        <f t="shared" si="134"/>
        <v>0.15624999999999978</v>
      </c>
      <c r="AT60" s="647">
        <f t="shared" si="134"/>
        <v>0.15624999999999978</v>
      </c>
      <c r="AU60" s="495">
        <f t="shared" si="134"/>
        <v>9.6296296296296324E-2</v>
      </c>
      <c r="AV60" s="495">
        <f t="shared" si="134"/>
        <v>0.15624999999999978</v>
      </c>
      <c r="AW60" s="495">
        <f t="shared" si="134"/>
        <v>0.11557788944723613</v>
      </c>
      <c r="AX60" s="823">
        <f t="shared" si="134"/>
        <v>0.12547528517110274</v>
      </c>
      <c r="AY60" s="495">
        <f t="shared" si="134"/>
        <v>0</v>
      </c>
      <c r="AZ60" s="495">
        <f t="shared" si="134"/>
        <v>0</v>
      </c>
      <c r="BA60" s="495">
        <f t="shared" si="134"/>
        <v>0</v>
      </c>
      <c r="BB60" s="647">
        <f t="shared" si="134"/>
        <v>0</v>
      </c>
      <c r="BC60" s="495">
        <f t="shared" si="134"/>
        <v>0</v>
      </c>
      <c r="BD60" s="495">
        <f t="shared" si="134"/>
        <v>0</v>
      </c>
      <c r="BE60" s="495">
        <f t="shared" si="134"/>
        <v>0</v>
      </c>
      <c r="BF60" s="823">
        <f t="shared" si="134"/>
        <v>0</v>
      </c>
      <c r="BG60" s="495">
        <f t="shared" si="134"/>
        <v>0</v>
      </c>
      <c r="BH60" s="495">
        <f t="shared" si="134"/>
        <v>0</v>
      </c>
      <c r="BI60" s="495">
        <f t="shared" si="134"/>
        <v>0</v>
      </c>
      <c r="BJ60" s="647">
        <f t="shared" si="134"/>
        <v>0</v>
      </c>
      <c r="BK60" s="495">
        <f t="shared" si="134"/>
        <v>0</v>
      </c>
      <c r="BL60" s="495">
        <f t="shared" si="134"/>
        <v>0</v>
      </c>
      <c r="BM60" s="495">
        <f t="shared" si="134"/>
        <v>0</v>
      </c>
      <c r="BN60" s="823">
        <f t="shared" si="134"/>
        <v>0</v>
      </c>
      <c r="BO60" s="495">
        <f t="shared" si="134"/>
        <v>0</v>
      </c>
      <c r="BP60" s="495">
        <f t="shared" si="134"/>
        <v>0</v>
      </c>
      <c r="BQ60" s="495">
        <f t="shared" si="134"/>
        <v>0</v>
      </c>
      <c r="BR60" s="647">
        <f t="shared" si="134"/>
        <v>0</v>
      </c>
      <c r="BS60" s="495">
        <f t="shared" si="134"/>
        <v>0</v>
      </c>
      <c r="BT60" s="495">
        <f t="shared" si="134"/>
        <v>0</v>
      </c>
      <c r="BU60" s="495">
        <f t="shared" si="134"/>
        <v>0</v>
      </c>
      <c r="BV60" s="823">
        <f t="shared" si="134"/>
        <v>0</v>
      </c>
    </row>
    <row r="61" spans="1:74" x14ac:dyDescent="0.2">
      <c r="A61" s="197"/>
      <c r="B61" s="186"/>
      <c r="C61" s="19"/>
      <c r="D61" s="19"/>
      <c r="E61" s="19"/>
      <c r="F61" s="19"/>
      <c r="G61" s="19"/>
      <c r="H61" s="19"/>
      <c r="I61" s="19"/>
      <c r="J61" s="494"/>
      <c r="K61" s="19"/>
      <c r="L61" s="19"/>
      <c r="M61" s="19"/>
      <c r="N61" s="643"/>
      <c r="O61" s="19"/>
      <c r="P61" s="19"/>
      <c r="Q61" s="19"/>
      <c r="R61" s="824"/>
      <c r="S61" s="19"/>
      <c r="T61" s="19"/>
      <c r="U61" s="19"/>
      <c r="V61" s="643"/>
      <c r="W61" s="19"/>
      <c r="X61" s="19"/>
      <c r="Y61" s="19"/>
      <c r="Z61" s="824"/>
      <c r="AA61" s="19"/>
      <c r="AB61" s="19"/>
      <c r="AC61" s="19"/>
      <c r="AD61" s="643"/>
      <c r="AE61" s="19"/>
      <c r="AF61" s="19"/>
      <c r="AG61" s="19"/>
      <c r="AH61" s="824"/>
      <c r="AI61" s="19"/>
      <c r="AJ61" s="19"/>
      <c r="AK61" s="19"/>
      <c r="AL61" s="643"/>
      <c r="AM61" s="19"/>
      <c r="AN61" s="19"/>
      <c r="AO61" s="19"/>
      <c r="AP61" s="824"/>
      <c r="AQ61" s="19"/>
      <c r="AR61" s="19"/>
      <c r="AS61" s="19"/>
      <c r="AT61" s="643"/>
      <c r="AU61" s="19"/>
      <c r="AV61" s="19"/>
      <c r="AW61" s="19"/>
      <c r="AX61" s="824"/>
      <c r="AY61" s="19"/>
      <c r="AZ61" s="19"/>
      <c r="BA61" s="19"/>
      <c r="BB61" s="643"/>
      <c r="BC61" s="19"/>
      <c r="BD61" s="19"/>
      <c r="BE61" s="19"/>
      <c r="BF61" s="824"/>
      <c r="BG61" s="19"/>
      <c r="BH61" s="19"/>
      <c r="BI61" s="19"/>
      <c r="BJ61" s="643"/>
      <c r="BK61" s="19"/>
      <c r="BL61" s="19"/>
      <c r="BM61" s="19"/>
      <c r="BN61" s="824"/>
      <c r="BO61" s="19"/>
      <c r="BP61" s="19"/>
      <c r="BQ61" s="19"/>
      <c r="BR61" s="643"/>
      <c r="BS61" s="19"/>
      <c r="BT61" s="19"/>
      <c r="BU61" s="19"/>
      <c r="BV61" s="824"/>
    </row>
    <row r="62" spans="1:74" x14ac:dyDescent="0.2">
      <c r="A62" s="419" t="s">
        <v>829</v>
      </c>
      <c r="B62" s="419">
        <f>B45+B51+B59</f>
        <v>2335</v>
      </c>
      <c r="C62" s="419">
        <f t="shared" ref="C62:BN62" si="135">C45+C51+C59</f>
        <v>2375</v>
      </c>
      <c r="D62" s="419">
        <f t="shared" si="135"/>
        <v>2528</v>
      </c>
      <c r="E62" s="419">
        <f>E45+E51+E59</f>
        <v>2473</v>
      </c>
      <c r="F62" s="419">
        <f>F45+F51+F59</f>
        <v>2695</v>
      </c>
      <c r="G62" s="419">
        <f>G45+G51+G59</f>
        <v>2689</v>
      </c>
      <c r="H62" s="419">
        <f>H45+H51+H59</f>
        <v>1442</v>
      </c>
      <c r="I62" s="419">
        <f t="shared" si="135"/>
        <v>1316</v>
      </c>
      <c r="J62" s="729">
        <f t="shared" si="135"/>
        <v>1476</v>
      </c>
      <c r="K62" s="419">
        <f t="shared" si="135"/>
        <v>443</v>
      </c>
      <c r="L62" s="419">
        <f t="shared" si="135"/>
        <v>499</v>
      </c>
      <c r="M62" s="419">
        <f t="shared" si="135"/>
        <v>486</v>
      </c>
      <c r="N62" s="779">
        <f t="shared" si="135"/>
        <v>484</v>
      </c>
      <c r="O62" s="419">
        <f t="shared" si="135"/>
        <v>942</v>
      </c>
      <c r="P62" s="419">
        <f>P45+P51+P59</f>
        <v>970</v>
      </c>
      <c r="Q62" s="419" t="e">
        <f>Q45+Q51+Q59</f>
        <v>#DIV/0!</v>
      </c>
      <c r="R62" s="1367">
        <f t="shared" si="135"/>
        <v>1912</v>
      </c>
      <c r="S62" s="419">
        <f t="shared" si="135"/>
        <v>460</v>
      </c>
      <c r="T62" s="419">
        <f t="shared" ref="T62:U62" si="136">T45+T51+T59</f>
        <v>374</v>
      </c>
      <c r="U62" s="419">
        <f t="shared" si="136"/>
        <v>454</v>
      </c>
      <c r="V62" s="779">
        <f t="shared" si="135"/>
        <v>474</v>
      </c>
      <c r="W62" s="419">
        <f t="shared" si="135"/>
        <v>834</v>
      </c>
      <c r="X62" s="419">
        <f t="shared" si="135"/>
        <v>928</v>
      </c>
      <c r="Y62" s="419">
        <f>Y45+Y51+Y59</f>
        <v>1288</v>
      </c>
      <c r="Z62" s="1367">
        <f t="shared" si="135"/>
        <v>1762</v>
      </c>
      <c r="AA62" s="419">
        <f t="shared" si="135"/>
        <v>404.5</v>
      </c>
      <c r="AB62" s="419">
        <f t="shared" si="135"/>
        <v>508.5</v>
      </c>
      <c r="AC62" s="419">
        <f t="shared" si="135"/>
        <v>606</v>
      </c>
      <c r="AD62" s="779">
        <f t="shared" si="135"/>
        <v>669</v>
      </c>
      <c r="AE62" s="419">
        <f t="shared" si="135"/>
        <v>913</v>
      </c>
      <c r="AF62" s="419">
        <f t="shared" si="135"/>
        <v>1275</v>
      </c>
      <c r="AG62" s="419">
        <f>AG45+AG51+AG59</f>
        <v>1519</v>
      </c>
      <c r="AH62" s="1367">
        <f t="shared" ref="AH62" si="137">AH45+AH51+AH59</f>
        <v>2188</v>
      </c>
      <c r="AI62" s="419">
        <f t="shared" si="135"/>
        <v>614.5</v>
      </c>
      <c r="AJ62" s="419">
        <f t="shared" si="135"/>
        <v>623.5</v>
      </c>
      <c r="AK62" s="731">
        <f t="shared" si="135"/>
        <v>621.5</v>
      </c>
      <c r="AL62" s="730">
        <f t="shared" si="135"/>
        <v>687.5</v>
      </c>
      <c r="AM62" s="419">
        <f t="shared" si="135"/>
        <v>1238</v>
      </c>
      <c r="AN62" s="731">
        <f t="shared" si="135"/>
        <v>1309</v>
      </c>
      <c r="AO62" s="731">
        <f t="shared" si="135"/>
        <v>1859.5</v>
      </c>
      <c r="AP62" s="732">
        <f t="shared" si="135"/>
        <v>2547</v>
      </c>
      <c r="AQ62" s="731">
        <f t="shared" si="135"/>
        <v>674</v>
      </c>
      <c r="AR62" s="731">
        <f t="shared" si="135"/>
        <v>686</v>
      </c>
      <c r="AS62" s="731">
        <f t="shared" si="135"/>
        <v>686</v>
      </c>
      <c r="AT62" s="730">
        <f t="shared" si="135"/>
        <v>742</v>
      </c>
      <c r="AU62" s="731">
        <f t="shared" si="135"/>
        <v>1360</v>
      </c>
      <c r="AV62" s="731">
        <f t="shared" si="135"/>
        <v>1428</v>
      </c>
      <c r="AW62" s="731">
        <f t="shared" si="135"/>
        <v>2046</v>
      </c>
      <c r="AX62" s="732">
        <f t="shared" si="135"/>
        <v>2788</v>
      </c>
      <c r="AY62" s="731">
        <f t="shared" si="135"/>
        <v>738</v>
      </c>
      <c r="AZ62" s="731">
        <f t="shared" si="135"/>
        <v>749</v>
      </c>
      <c r="BA62" s="731">
        <f t="shared" si="135"/>
        <v>749</v>
      </c>
      <c r="BB62" s="730">
        <f t="shared" si="135"/>
        <v>752</v>
      </c>
      <c r="BC62" s="731">
        <f t="shared" si="135"/>
        <v>1486</v>
      </c>
      <c r="BD62" s="731">
        <f t="shared" si="135"/>
        <v>1501</v>
      </c>
      <c r="BE62" s="731">
        <f t="shared" si="135"/>
        <v>2235</v>
      </c>
      <c r="BF62" s="732">
        <f t="shared" si="135"/>
        <v>2987</v>
      </c>
      <c r="BG62" s="731">
        <f t="shared" si="135"/>
        <v>752</v>
      </c>
      <c r="BH62" s="731">
        <f t="shared" si="135"/>
        <v>752</v>
      </c>
      <c r="BI62" s="731">
        <f t="shared" si="135"/>
        <v>752</v>
      </c>
      <c r="BJ62" s="730">
        <f t="shared" si="135"/>
        <v>752</v>
      </c>
      <c r="BK62" s="731">
        <f t="shared" si="135"/>
        <v>1503</v>
      </c>
      <c r="BL62" s="731">
        <f t="shared" si="135"/>
        <v>1504</v>
      </c>
      <c r="BM62" s="731">
        <f t="shared" si="135"/>
        <v>2256</v>
      </c>
      <c r="BN62" s="732">
        <f t="shared" si="135"/>
        <v>3007</v>
      </c>
      <c r="BO62" s="731">
        <f t="shared" ref="BO62:BV62" si="138">BO45+BO51+BO59</f>
        <v>742</v>
      </c>
      <c r="BP62" s="731">
        <f t="shared" si="138"/>
        <v>742</v>
      </c>
      <c r="BQ62" s="731">
        <f t="shared" si="138"/>
        <v>742</v>
      </c>
      <c r="BR62" s="730">
        <f t="shared" si="138"/>
        <v>380</v>
      </c>
      <c r="BS62" s="731">
        <f t="shared" si="138"/>
        <v>1484</v>
      </c>
      <c r="BT62" s="731">
        <f t="shared" si="138"/>
        <v>1123</v>
      </c>
      <c r="BU62" s="731">
        <f t="shared" si="138"/>
        <v>2228</v>
      </c>
      <c r="BV62" s="732">
        <f t="shared" si="138"/>
        <v>3007</v>
      </c>
    </row>
    <row r="63" spans="1:74" x14ac:dyDescent="0.2">
      <c r="A63" s="197" t="s">
        <v>20</v>
      </c>
      <c r="B63" s="186"/>
      <c r="C63" s="19">
        <f t="shared" ref="C63:J63" si="139">C62/B62-1</f>
        <v>1.7130620985010614E-2</v>
      </c>
      <c r="D63" s="19">
        <f t="shared" si="139"/>
        <v>6.4421052631578934E-2</v>
      </c>
      <c r="E63" s="19">
        <f t="shared" si="139"/>
        <v>-2.1756329113924E-2</v>
      </c>
      <c r="F63" s="19">
        <f t="shared" si="139"/>
        <v>8.9769510715729917E-2</v>
      </c>
      <c r="G63" s="19">
        <f t="shared" si="139"/>
        <v>-2.2263450834879572E-3</v>
      </c>
      <c r="H63" s="19">
        <f t="shared" si="139"/>
        <v>-0.46374116772034213</v>
      </c>
      <c r="I63" s="19">
        <f t="shared" si="139"/>
        <v>-8.737864077669899E-2</v>
      </c>
      <c r="J63" s="494">
        <f t="shared" si="139"/>
        <v>0.12158054711246202</v>
      </c>
      <c r="K63" s="19"/>
      <c r="L63" s="19"/>
      <c r="M63" s="19"/>
      <c r="N63" s="643"/>
      <c r="O63" s="19"/>
      <c r="P63" s="19"/>
      <c r="Q63" s="19"/>
      <c r="R63" s="824">
        <f t="shared" ref="R63:BV63" si="140">R62/J62-1</f>
        <v>0.29539295392953924</v>
      </c>
      <c r="S63" s="204">
        <f t="shared" si="140"/>
        <v>3.8374717832957206E-2</v>
      </c>
      <c r="T63" s="204">
        <f t="shared" si="140"/>
        <v>-0.25050100200400804</v>
      </c>
      <c r="U63" s="204">
        <f t="shared" si="140"/>
        <v>-6.5843621399176988E-2</v>
      </c>
      <c r="V63" s="205">
        <f t="shared" si="140"/>
        <v>-2.0661157024793431E-2</v>
      </c>
      <c r="W63" s="204">
        <f t="shared" si="140"/>
        <v>-0.11464968152866239</v>
      </c>
      <c r="X63" s="204">
        <f t="shared" si="140"/>
        <v>-4.3298969072164906E-2</v>
      </c>
      <c r="Y63" s="204" t="e">
        <f t="shared" si="140"/>
        <v>#DIV/0!</v>
      </c>
      <c r="Z63" s="824">
        <f t="shared" si="140"/>
        <v>-7.8451882845188337E-2</v>
      </c>
      <c r="AA63" s="204">
        <f t="shared" si="140"/>
        <v>-0.1206521739130435</v>
      </c>
      <c r="AB63" s="204">
        <f t="shared" si="140"/>
        <v>0.35962566844919786</v>
      </c>
      <c r="AC63" s="204">
        <f t="shared" si="140"/>
        <v>0.33480176211453738</v>
      </c>
      <c r="AD63" s="205">
        <f t="shared" si="140"/>
        <v>0.41139240506329111</v>
      </c>
      <c r="AE63" s="204">
        <f t="shared" si="140"/>
        <v>9.4724220623501276E-2</v>
      </c>
      <c r="AF63" s="204">
        <f t="shared" si="140"/>
        <v>0.37392241379310343</v>
      </c>
      <c r="AG63" s="204">
        <f t="shared" si="140"/>
        <v>0.17934782608695654</v>
      </c>
      <c r="AH63" s="824">
        <f t="shared" si="140"/>
        <v>0.24177071509648118</v>
      </c>
      <c r="AI63" s="204">
        <f t="shared" si="140"/>
        <v>0.51915945611866499</v>
      </c>
      <c r="AJ63" s="204">
        <f t="shared" si="140"/>
        <v>0.22615535889872174</v>
      </c>
      <c r="AK63" s="213">
        <f t="shared" si="140"/>
        <v>2.5577557755775526E-2</v>
      </c>
      <c r="AL63" s="209">
        <f t="shared" si="140"/>
        <v>2.7653213751868355E-2</v>
      </c>
      <c r="AM63" s="204">
        <f t="shared" si="140"/>
        <v>0.35596933187294644</v>
      </c>
      <c r="AN63" s="213">
        <f t="shared" si="140"/>
        <v>2.6666666666666616E-2</v>
      </c>
      <c r="AO63" s="213">
        <f t="shared" si="140"/>
        <v>0.22416063199473335</v>
      </c>
      <c r="AP63" s="823">
        <f t="shared" si="140"/>
        <v>0.16407678244972579</v>
      </c>
      <c r="AQ63" s="213">
        <f t="shared" si="140"/>
        <v>9.6826688364523905E-2</v>
      </c>
      <c r="AR63" s="213">
        <f t="shared" si="140"/>
        <v>0.10024057738572578</v>
      </c>
      <c r="AS63" s="213">
        <f t="shared" si="140"/>
        <v>0.10378117457763469</v>
      </c>
      <c r="AT63" s="209">
        <f t="shared" si="140"/>
        <v>7.9272727272727384E-2</v>
      </c>
      <c r="AU63" s="213">
        <f t="shared" si="140"/>
        <v>9.8546042003230916E-2</v>
      </c>
      <c r="AV63" s="213">
        <f t="shared" si="140"/>
        <v>9.0909090909090828E-2</v>
      </c>
      <c r="AW63" s="213">
        <f t="shared" si="140"/>
        <v>0.1002957784350631</v>
      </c>
      <c r="AX63" s="823">
        <f t="shared" si="140"/>
        <v>9.4621122889674059E-2</v>
      </c>
      <c r="AY63" s="213">
        <f t="shared" si="140"/>
        <v>9.4955489614243271E-2</v>
      </c>
      <c r="AZ63" s="213">
        <f t="shared" si="140"/>
        <v>9.1836734693877542E-2</v>
      </c>
      <c r="BA63" s="213">
        <f t="shared" si="140"/>
        <v>9.1836734693877542E-2</v>
      </c>
      <c r="BB63" s="209">
        <f t="shared" si="140"/>
        <v>1.3477088948786964E-2</v>
      </c>
      <c r="BC63" s="213">
        <f t="shared" si="140"/>
        <v>9.2647058823529305E-2</v>
      </c>
      <c r="BD63" s="213">
        <f t="shared" si="140"/>
        <v>5.1120448179271749E-2</v>
      </c>
      <c r="BE63" s="213">
        <f t="shared" si="140"/>
        <v>9.2375366568914874E-2</v>
      </c>
      <c r="BF63" s="823">
        <f t="shared" si="140"/>
        <v>7.1377331420372947E-2</v>
      </c>
      <c r="BG63" s="213">
        <f t="shared" si="140"/>
        <v>1.8970189701897011E-2</v>
      </c>
      <c r="BH63" s="213">
        <f t="shared" si="140"/>
        <v>4.0053404539386328E-3</v>
      </c>
      <c r="BI63" s="213">
        <f t="shared" si="140"/>
        <v>4.0053404539386328E-3</v>
      </c>
      <c r="BJ63" s="209">
        <f t="shared" si="140"/>
        <v>0</v>
      </c>
      <c r="BK63" s="213">
        <f t="shared" si="140"/>
        <v>1.1440107671601529E-2</v>
      </c>
      <c r="BL63" s="213">
        <f t="shared" si="140"/>
        <v>1.9986675549632515E-3</v>
      </c>
      <c r="BM63" s="213">
        <f t="shared" si="140"/>
        <v>9.3959731543624692E-3</v>
      </c>
      <c r="BN63" s="823">
        <f t="shared" si="140"/>
        <v>6.6956812855707426E-3</v>
      </c>
      <c r="BO63" s="213">
        <f t="shared" si="140"/>
        <v>-1.3297872340425565E-2</v>
      </c>
      <c r="BP63" s="213">
        <f t="shared" si="140"/>
        <v>-1.3297872340425565E-2</v>
      </c>
      <c r="BQ63" s="213">
        <f t="shared" si="140"/>
        <v>-1.3297872340425565E-2</v>
      </c>
      <c r="BR63" s="209">
        <f t="shared" si="140"/>
        <v>-0.49468085106382975</v>
      </c>
      <c r="BS63" s="213">
        <f t="shared" si="140"/>
        <v>-1.264138389886893E-2</v>
      </c>
      <c r="BT63" s="213">
        <f t="shared" si="140"/>
        <v>-0.25332446808510634</v>
      </c>
      <c r="BU63" s="213">
        <f t="shared" si="140"/>
        <v>-1.2411347517730542E-2</v>
      </c>
      <c r="BV63" s="823">
        <f t="shared" si="140"/>
        <v>0</v>
      </c>
    </row>
    <row r="64" spans="1:74" x14ac:dyDescent="0.2">
      <c r="A64" s="199"/>
      <c r="B64" s="186"/>
      <c r="C64" s="104"/>
      <c r="D64" s="104"/>
      <c r="E64" s="104"/>
      <c r="F64" s="104"/>
      <c r="G64" s="104"/>
      <c r="H64" s="104"/>
      <c r="I64" s="104"/>
      <c r="J64" s="105"/>
      <c r="K64" s="104"/>
      <c r="L64" s="104"/>
      <c r="M64" s="104"/>
      <c r="N64" s="872"/>
      <c r="O64" s="104"/>
      <c r="P64" s="104"/>
      <c r="Q64" s="104"/>
      <c r="R64" s="873"/>
      <c r="S64" s="104"/>
      <c r="T64" s="104"/>
      <c r="U64" s="104"/>
      <c r="V64" s="872"/>
      <c r="W64" s="104"/>
      <c r="X64" s="104"/>
      <c r="Y64" s="104"/>
      <c r="Z64" s="873"/>
      <c r="AA64" s="104"/>
      <c r="AB64" s="104"/>
      <c r="AC64" s="104"/>
      <c r="AD64" s="872"/>
      <c r="AE64" s="104"/>
      <c r="AF64" s="104"/>
      <c r="AG64" s="104"/>
      <c r="AH64" s="873"/>
      <c r="AI64" s="104"/>
      <c r="AJ64" s="104"/>
      <c r="AK64" s="104"/>
      <c r="AL64" s="872"/>
      <c r="AM64" s="104"/>
      <c r="AN64" s="104"/>
      <c r="AO64" s="104"/>
      <c r="AP64" s="873"/>
      <c r="AQ64" s="104"/>
      <c r="AR64" s="104"/>
      <c r="AS64" s="104"/>
      <c r="AT64" s="872"/>
      <c r="AU64" s="104"/>
      <c r="AV64" s="104"/>
      <c r="AW64" s="104"/>
      <c r="AX64" s="873"/>
      <c r="AY64" s="104"/>
      <c r="AZ64" s="104"/>
      <c r="BA64" s="104"/>
      <c r="BB64" s="872"/>
      <c r="BC64" s="104"/>
      <c r="BD64" s="104"/>
      <c r="BE64" s="104"/>
      <c r="BF64" s="873"/>
      <c r="BG64" s="104"/>
      <c r="BH64" s="104"/>
      <c r="BI64" s="104"/>
      <c r="BJ64" s="872"/>
      <c r="BK64" s="104"/>
      <c r="BL64" s="104"/>
      <c r="BM64" s="104"/>
      <c r="BN64" s="873"/>
      <c r="BO64" s="104"/>
      <c r="BP64" s="104"/>
      <c r="BQ64" s="104"/>
      <c r="BR64" s="872"/>
      <c r="BS64" s="104"/>
      <c r="BT64" s="104"/>
      <c r="BU64" s="104"/>
      <c r="BV64" s="873"/>
    </row>
    <row r="65" spans="1:76" x14ac:dyDescent="0.2">
      <c r="A65" s="338" t="s">
        <v>874</v>
      </c>
      <c r="B65" s="186"/>
      <c r="C65" s="104"/>
      <c r="D65" s="104"/>
      <c r="E65" s="104"/>
      <c r="F65" s="104"/>
      <c r="G65" s="104"/>
      <c r="H65" s="104"/>
      <c r="I65" s="104"/>
      <c r="J65" s="105"/>
      <c r="K65" s="104"/>
      <c r="L65" s="104"/>
      <c r="M65" s="104"/>
      <c r="N65" s="872"/>
      <c r="O65" s="104"/>
      <c r="P65" s="104"/>
      <c r="Q65" s="104"/>
      <c r="R65" s="873"/>
      <c r="S65" s="104"/>
      <c r="T65" s="104"/>
      <c r="U65" s="104"/>
      <c r="V65" s="872"/>
      <c r="W65" s="104"/>
      <c r="X65" s="104"/>
      <c r="Y65" s="104"/>
      <c r="Z65" s="873"/>
      <c r="AA65" s="104"/>
      <c r="AB65" s="104"/>
      <c r="AC65" s="104"/>
      <c r="AD65" s="872"/>
      <c r="AE65" s="104"/>
      <c r="AF65" s="104"/>
      <c r="AG65" s="104"/>
      <c r="AH65" s="873"/>
      <c r="AI65" s="104"/>
      <c r="AJ65" s="104"/>
      <c r="AK65" s="104"/>
      <c r="AL65" s="872"/>
      <c r="AM65" s="104"/>
      <c r="AN65" s="104"/>
      <c r="AO65" s="104"/>
      <c r="AP65" s="873"/>
      <c r="AQ65" s="104"/>
      <c r="AR65" s="104"/>
      <c r="AS65" s="104"/>
      <c r="AT65" s="872"/>
      <c r="AU65" s="104"/>
      <c r="AV65" s="104"/>
      <c r="AW65" s="104"/>
      <c r="AX65" s="873"/>
      <c r="AY65" s="104"/>
      <c r="AZ65" s="104"/>
      <c r="BA65" s="104"/>
      <c r="BB65" s="872"/>
      <c r="BC65" s="104"/>
      <c r="BD65" s="104"/>
      <c r="BE65" s="104"/>
      <c r="BF65" s="873"/>
      <c r="BG65" s="104"/>
      <c r="BH65" s="104"/>
      <c r="BI65" s="104"/>
      <c r="BJ65" s="872"/>
      <c r="BK65" s="104"/>
      <c r="BL65" s="104"/>
      <c r="BM65" s="104"/>
      <c r="BN65" s="873"/>
      <c r="BO65" s="104"/>
      <c r="BP65" s="104"/>
      <c r="BQ65" s="104"/>
      <c r="BR65" s="872"/>
      <c r="BS65" s="104"/>
      <c r="BT65" s="104"/>
      <c r="BU65" s="104"/>
      <c r="BV65" s="873"/>
    </row>
    <row r="66" spans="1:76" s="281" customFormat="1" x14ac:dyDescent="0.2">
      <c r="A66" s="279" t="str">
        <f>A45</f>
        <v>Low-thrust engines (Regional &amp; Bizjet)</v>
      </c>
      <c r="B66" s="281">
        <v>0.08</v>
      </c>
      <c r="C66" s="104">
        <v>0.08</v>
      </c>
      <c r="D66" s="104">
        <v>0.08</v>
      </c>
      <c r="E66" s="104">
        <v>0.08</v>
      </c>
      <c r="F66" s="104">
        <v>0.08</v>
      </c>
      <c r="G66" s="104">
        <v>0.08</v>
      </c>
      <c r="H66" s="104">
        <v>0.08</v>
      </c>
      <c r="I66" s="104">
        <v>0.08</v>
      </c>
      <c r="J66" s="105">
        <v>0.08</v>
      </c>
      <c r="K66" s="104"/>
      <c r="L66" s="104"/>
      <c r="M66" s="104"/>
      <c r="N66" s="872"/>
      <c r="O66" s="104"/>
      <c r="P66" s="104"/>
      <c r="Q66" s="104"/>
      <c r="R66" s="873">
        <v>0.08</v>
      </c>
      <c r="S66" s="104">
        <v>0.08</v>
      </c>
      <c r="T66" s="104">
        <f>T71/T45</f>
        <v>0.08</v>
      </c>
      <c r="U66" s="104">
        <v>0.08</v>
      </c>
      <c r="V66" s="872">
        <f>V71/V45</f>
        <v>0.08</v>
      </c>
      <c r="W66" s="104">
        <v>0.08</v>
      </c>
      <c r="X66" s="104">
        <f>X71/X45</f>
        <v>0.08</v>
      </c>
      <c r="Y66" s="104"/>
      <c r="Z66" s="873">
        <v>0.08</v>
      </c>
      <c r="AA66" s="104">
        <v>0.08</v>
      </c>
      <c r="AB66" s="104">
        <f>AB71/AB45</f>
        <v>0.08</v>
      </c>
      <c r="AC66" s="104">
        <v>0.08</v>
      </c>
      <c r="AD66" s="872">
        <f>AD71/AD45</f>
        <v>0.08</v>
      </c>
      <c r="AE66" s="104">
        <v>0.08</v>
      </c>
      <c r="AF66" s="104">
        <f>AF71/AF45</f>
        <v>0.08</v>
      </c>
      <c r="AG66" s="104"/>
      <c r="AH66" s="873">
        <v>0.08</v>
      </c>
      <c r="AI66" s="104">
        <v>0.08</v>
      </c>
      <c r="AJ66" s="104">
        <f>AJ71/AJ45</f>
        <v>0.08</v>
      </c>
      <c r="AK66" s="461">
        <v>0.08</v>
      </c>
      <c r="AL66" s="868">
        <f>AL71/AL45</f>
        <v>0.08</v>
      </c>
      <c r="AM66" s="104">
        <v>0.08</v>
      </c>
      <c r="AN66" s="461">
        <f>AN71/AN45</f>
        <v>0.08</v>
      </c>
      <c r="AO66" s="104"/>
      <c r="AP66" s="1587">
        <v>0.08</v>
      </c>
      <c r="AQ66" s="104"/>
      <c r="AR66" s="104"/>
      <c r="AS66" s="104"/>
      <c r="AT66" s="872"/>
      <c r="AU66" s="104"/>
      <c r="AV66" s="104"/>
      <c r="AW66" s="104"/>
      <c r="AX66" s="874">
        <f>AP66</f>
        <v>0.08</v>
      </c>
      <c r="AY66" s="104"/>
      <c r="AZ66" s="104"/>
      <c r="BA66" s="104"/>
      <c r="BB66" s="872"/>
      <c r="BC66" s="104"/>
      <c r="BD66" s="104"/>
      <c r="BE66" s="104"/>
      <c r="BF66" s="874">
        <f>AX66</f>
        <v>0.08</v>
      </c>
      <c r="BG66" s="104"/>
      <c r="BH66" s="104"/>
      <c r="BI66" s="104"/>
      <c r="BJ66" s="872"/>
      <c r="BK66" s="104"/>
      <c r="BL66" s="104"/>
      <c r="BM66" s="104"/>
      <c r="BN66" s="874">
        <f>BF66</f>
        <v>0.08</v>
      </c>
      <c r="BO66" s="104"/>
      <c r="BP66" s="104"/>
      <c r="BQ66" s="104"/>
      <c r="BR66" s="872"/>
      <c r="BS66" s="104"/>
      <c r="BT66" s="104"/>
      <c r="BU66" s="104"/>
      <c r="BV66" s="874">
        <f>BN66</f>
        <v>0.08</v>
      </c>
    </row>
    <row r="67" spans="1:76" s="281" customFormat="1" x14ac:dyDescent="0.2">
      <c r="A67" s="279" t="str">
        <f>A51</f>
        <v>Mid-thrust engines (Narrowbody)</v>
      </c>
      <c r="B67" s="281">
        <f t="shared" ref="B67:J67" si="141">((B156*B158)+(B166*B168)+(B182*B184)+(B192*B194)+(B202*B204))/B51</f>
        <v>7.6570921474358969E-2</v>
      </c>
      <c r="C67" s="104">
        <f t="shared" si="141"/>
        <v>8.4541718362282872E-2</v>
      </c>
      <c r="D67" s="104">
        <f t="shared" si="141"/>
        <v>0.10593276836158193</v>
      </c>
      <c r="E67" s="104">
        <f t="shared" si="141"/>
        <v>9.8881889763779526E-2</v>
      </c>
      <c r="F67" s="104">
        <f t="shared" si="141"/>
        <v>0.12207953266069241</v>
      </c>
      <c r="G67" s="104">
        <f t="shared" si="141"/>
        <v>0.26267493318650709</v>
      </c>
      <c r="H67" s="104">
        <f t="shared" si="141"/>
        <v>0.29834983959210565</v>
      </c>
      <c r="I67" s="104">
        <f t="shared" si="141"/>
        <v>0.10251869130004942</v>
      </c>
      <c r="J67" s="105">
        <f t="shared" si="141"/>
        <v>5.2265870731897021E-2</v>
      </c>
      <c r="K67" s="104"/>
      <c r="L67" s="104"/>
      <c r="M67" s="104"/>
      <c r="N67" s="872"/>
      <c r="O67" s="104"/>
      <c r="P67" s="104"/>
      <c r="Q67" s="104"/>
      <c r="R67" s="873">
        <f>((R156*R158)+(R166*R168)+(R182*R184)+(R192*R194)+(R202*R204))/R51</f>
        <v>0.22276083625218915</v>
      </c>
      <c r="S67" s="104">
        <v>0.25</v>
      </c>
      <c r="T67" s="104">
        <f>T72/T51</f>
        <v>0.13945686900958468</v>
      </c>
      <c r="U67" s="104">
        <v>0.15</v>
      </c>
      <c r="V67" s="872">
        <f>V72/V51</f>
        <v>0.15522670025188909</v>
      </c>
      <c r="W67" s="104">
        <v>0.2</v>
      </c>
      <c r="X67" s="104">
        <f>X72/X51</f>
        <v>0.15267741935483867</v>
      </c>
      <c r="Y67" s="104"/>
      <c r="Z67" s="625">
        <v>0.17499999999999999</v>
      </c>
      <c r="AA67" s="104">
        <v>0.25</v>
      </c>
      <c r="AB67" s="104">
        <f>AB72/AB51</f>
        <v>0.16096698113207547</v>
      </c>
      <c r="AC67" s="104">
        <v>0.08</v>
      </c>
      <c r="AD67" s="872">
        <f>AD72/AD51</f>
        <v>-1.3403141361256532E-2</v>
      </c>
      <c r="AE67" s="104">
        <v>0.2</v>
      </c>
      <c r="AF67" s="104">
        <f>AF72/AF51</f>
        <v>3.1301182893539586E-2</v>
      </c>
      <c r="AG67" s="104"/>
      <c r="AH67" s="873">
        <v>0.1</v>
      </c>
      <c r="AI67" s="104">
        <v>0.25</v>
      </c>
      <c r="AJ67" s="104">
        <f>AJ72/AJ51</f>
        <v>0.14884615384615385</v>
      </c>
      <c r="AK67" s="461">
        <v>0.1</v>
      </c>
      <c r="AL67" s="868">
        <f>AL72/AL51</f>
        <v>6.7317012729549139E-2</v>
      </c>
      <c r="AM67" s="104">
        <v>0.2</v>
      </c>
      <c r="AN67" s="461">
        <f>AN72/AN51</f>
        <v>8.2705733767667794E-2</v>
      </c>
      <c r="AO67" s="104"/>
      <c r="AP67" s="874">
        <f>((AP156*AP158)+(AP166*AP168)+(AP182*AP184)+(AP192*AP194)+(AP202*AP204))/AP51</f>
        <v>0.13920462024954211</v>
      </c>
      <c r="AQ67" s="104"/>
      <c r="AR67" s="104"/>
      <c r="AS67" s="104"/>
      <c r="AT67" s="872"/>
      <c r="AU67" s="104"/>
      <c r="AV67" s="104"/>
      <c r="AW67" s="104"/>
      <c r="AX67" s="874">
        <f>((AX156*AX158)+(AX166*AX168)+(AX182*AX184)+(AX192*AX194)+(AX202*AX204))/AX51</f>
        <v>0.1079859949832776</v>
      </c>
      <c r="AY67" s="104"/>
      <c r="AZ67" s="104"/>
      <c r="BA67" s="104"/>
      <c r="BB67" s="872"/>
      <c r="BC67" s="104"/>
      <c r="BD67" s="104"/>
      <c r="BE67" s="104"/>
      <c r="BF67" s="874">
        <f>((BF156*BF158)+(BF166*BF168)+(BF182*BF184)+(BF192*BF194)+(BF202*BF204))/BF51</f>
        <v>0.10665012302199924</v>
      </c>
      <c r="BG67" s="104"/>
      <c r="BH67" s="104"/>
      <c r="BI67" s="104"/>
      <c r="BJ67" s="872"/>
      <c r="BK67" s="104"/>
      <c r="BL67" s="104"/>
      <c r="BM67" s="104"/>
      <c r="BN67" s="874">
        <f>((BN156*BN158)+(BN166*BN168)+(BN182*BN184)+(BN192*BN194)+(BN202*BN204))/BN51</f>
        <v>0.10633282267330524</v>
      </c>
      <c r="BO67" s="104"/>
      <c r="BP67" s="104"/>
      <c r="BQ67" s="104"/>
      <c r="BR67" s="872"/>
      <c r="BS67" s="104"/>
      <c r="BT67" s="104"/>
      <c r="BU67" s="104"/>
      <c r="BV67" s="874">
        <f>((BV156*BV158)+(BV166*BV168)+(BV182*BV184)+(BV192*BV194)+(BV202*BV204))/BV51</f>
        <v>9.1924549980850243E-2</v>
      </c>
    </row>
    <row r="68" spans="1:76" s="281" customFormat="1" x14ac:dyDescent="0.2">
      <c r="A68" s="279" t="str">
        <f>A59</f>
        <v>High-thrust engines (Widebody)</v>
      </c>
      <c r="B68" s="281">
        <v>0.1</v>
      </c>
      <c r="C68" s="104">
        <v>0.1</v>
      </c>
      <c r="D68" s="104">
        <v>0.1</v>
      </c>
      <c r="E68" s="104">
        <v>0.1</v>
      </c>
      <c r="F68" s="104">
        <v>0.1</v>
      </c>
      <c r="G68" s="104">
        <v>0.1</v>
      </c>
      <c r="H68" s="104">
        <v>0.1</v>
      </c>
      <c r="I68" s="104">
        <v>0.1</v>
      </c>
      <c r="J68" s="105">
        <v>0.1</v>
      </c>
      <c r="K68" s="104"/>
      <c r="L68" s="104"/>
      <c r="M68" s="104"/>
      <c r="N68" s="872"/>
      <c r="O68" s="104"/>
      <c r="P68" s="104"/>
      <c r="Q68" s="104"/>
      <c r="R68" s="873">
        <v>0.1</v>
      </c>
      <c r="S68" s="104">
        <v>0.1</v>
      </c>
      <c r="T68" s="104">
        <f>T73/T59</f>
        <v>9.9999999999999978E-2</v>
      </c>
      <c r="U68" s="104">
        <v>0.1</v>
      </c>
      <c r="V68" s="872">
        <f>V73/V59</f>
        <v>9.9999999999999992E-2</v>
      </c>
      <c r="W68" s="104">
        <v>0.1</v>
      </c>
      <c r="X68" s="104">
        <f>X73/X59</f>
        <v>0.1</v>
      </c>
      <c r="Y68" s="104"/>
      <c r="Z68" s="873">
        <v>0.1</v>
      </c>
      <c r="AA68" s="104">
        <v>0.1</v>
      </c>
      <c r="AB68" s="104">
        <f>AB73/AB59</f>
        <v>0.1</v>
      </c>
      <c r="AC68" s="104">
        <v>0.1</v>
      </c>
      <c r="AD68" s="872">
        <f>AD73/AD59</f>
        <v>0.10000000000000002</v>
      </c>
      <c r="AE68" s="104">
        <v>0.1</v>
      </c>
      <c r="AF68" s="104">
        <f>AF73/AF59</f>
        <v>0.1</v>
      </c>
      <c r="AG68" s="104"/>
      <c r="AH68" s="873">
        <v>0.1</v>
      </c>
      <c r="AI68" s="104">
        <v>0.1</v>
      </c>
      <c r="AJ68" s="104">
        <f>AJ73/AJ59</f>
        <v>9.9999999999999992E-2</v>
      </c>
      <c r="AK68" s="461">
        <v>0.1</v>
      </c>
      <c r="AL68" s="868">
        <f>AL73/AL59</f>
        <v>9.999999999999995E-2</v>
      </c>
      <c r="AM68" s="104">
        <v>0.1</v>
      </c>
      <c r="AN68" s="461">
        <f>AN73/AN59</f>
        <v>9.9999999999999978E-2</v>
      </c>
      <c r="AO68" s="104"/>
      <c r="AP68" s="1587">
        <v>0.1</v>
      </c>
      <c r="AQ68" s="104"/>
      <c r="AR68" s="104"/>
      <c r="AS68" s="104"/>
      <c r="AT68" s="872"/>
      <c r="AU68" s="104"/>
      <c r="AV68" s="104"/>
      <c r="AW68" s="104"/>
      <c r="AX68" s="874">
        <f>AP68</f>
        <v>0.1</v>
      </c>
      <c r="AY68" s="104"/>
      <c r="AZ68" s="104"/>
      <c r="BA68" s="104"/>
      <c r="BB68" s="872"/>
      <c r="BC68" s="104"/>
      <c r="BD68" s="104"/>
      <c r="BE68" s="104"/>
      <c r="BF68" s="874">
        <f>AX68</f>
        <v>0.1</v>
      </c>
      <c r="BG68" s="104"/>
      <c r="BH68" s="104"/>
      <c r="BI68" s="104"/>
      <c r="BJ68" s="872"/>
      <c r="BK68" s="104"/>
      <c r="BL68" s="104"/>
      <c r="BM68" s="104"/>
      <c r="BN68" s="874">
        <f>BF68</f>
        <v>0.1</v>
      </c>
      <c r="BO68" s="104"/>
      <c r="BP68" s="104"/>
      <c r="BQ68" s="104"/>
      <c r="BR68" s="872"/>
      <c r="BS68" s="104"/>
      <c r="BT68" s="104"/>
      <c r="BU68" s="104"/>
      <c r="BV68" s="874">
        <f>BN68</f>
        <v>0.1</v>
      </c>
    </row>
    <row r="69" spans="1:76" x14ac:dyDescent="0.2">
      <c r="A69" s="199"/>
      <c r="B69" s="186"/>
      <c r="C69" s="104"/>
      <c r="D69" s="104"/>
      <c r="E69" s="104"/>
      <c r="F69" s="104"/>
      <c r="G69" s="104"/>
      <c r="H69" s="104"/>
      <c r="I69" s="104"/>
      <c r="J69" s="105"/>
      <c r="K69" s="104"/>
      <c r="L69" s="104"/>
      <c r="M69" s="104"/>
      <c r="N69" s="872"/>
      <c r="O69" s="104"/>
      <c r="P69" s="104"/>
      <c r="Q69" s="104"/>
      <c r="R69" s="873"/>
      <c r="S69" s="104"/>
      <c r="T69" s="104"/>
      <c r="U69" s="104"/>
      <c r="V69" s="872"/>
      <c r="W69" s="104"/>
      <c r="X69" s="104"/>
      <c r="Y69" s="104"/>
      <c r="Z69" s="873"/>
      <c r="AA69" s="461"/>
      <c r="AB69" s="104"/>
      <c r="AC69" s="104"/>
      <c r="AD69" s="868"/>
      <c r="AE69" s="104"/>
      <c r="AF69" s="461"/>
      <c r="AG69" s="104"/>
      <c r="AH69" s="873"/>
      <c r="AI69" s="104"/>
      <c r="AJ69" s="104"/>
      <c r="AK69" s="461"/>
      <c r="AL69" s="868"/>
      <c r="AM69" s="104"/>
      <c r="AN69" s="461"/>
      <c r="AO69" s="104"/>
      <c r="AP69" s="873"/>
      <c r="AQ69" s="104"/>
      <c r="AR69" s="104"/>
      <c r="AS69" s="104"/>
      <c r="AT69" s="872"/>
      <c r="AU69" s="104"/>
      <c r="AV69" s="104"/>
      <c r="AW69" s="104"/>
      <c r="AX69" s="873"/>
      <c r="AY69" s="104"/>
      <c r="AZ69" s="104"/>
      <c r="BA69" s="104"/>
      <c r="BB69" s="872"/>
      <c r="BC69" s="104"/>
      <c r="BD69" s="104"/>
      <c r="BE69" s="104"/>
      <c r="BF69" s="873"/>
      <c r="BG69" s="104"/>
      <c r="BH69" s="104"/>
      <c r="BI69" s="104"/>
      <c r="BJ69" s="872"/>
      <c r="BK69" s="104"/>
      <c r="BL69" s="104"/>
      <c r="BM69" s="104"/>
      <c r="BN69" s="873"/>
      <c r="BO69" s="104"/>
      <c r="BP69" s="104"/>
      <c r="BQ69" s="104"/>
      <c r="BR69" s="872"/>
      <c r="BS69" s="104"/>
      <c r="BT69" s="104"/>
      <c r="BU69" s="104"/>
      <c r="BV69" s="873"/>
    </row>
    <row r="70" spans="1:76" x14ac:dyDescent="0.2">
      <c r="A70" s="338" t="s">
        <v>875</v>
      </c>
      <c r="B70" s="186"/>
      <c r="C70" s="104"/>
      <c r="D70" s="104"/>
      <c r="E70" s="104"/>
      <c r="F70" s="104"/>
      <c r="G70" s="104"/>
      <c r="H70" s="104"/>
      <c r="I70" s="104"/>
      <c r="J70" s="105"/>
      <c r="K70" s="104"/>
      <c r="L70" s="104"/>
      <c r="M70" s="104"/>
      <c r="N70" s="872"/>
      <c r="O70" s="104"/>
      <c r="P70" s="104"/>
      <c r="Q70" s="104"/>
      <c r="R70" s="873"/>
      <c r="S70" s="104"/>
      <c r="T70" s="104"/>
      <c r="U70" s="104"/>
      <c r="V70" s="872"/>
      <c r="W70" s="104"/>
      <c r="X70" s="104"/>
      <c r="Y70" s="104"/>
      <c r="Z70" s="873"/>
      <c r="AA70" s="461"/>
      <c r="AB70" s="104"/>
      <c r="AC70" s="104"/>
      <c r="AD70" s="872"/>
      <c r="AE70" s="104"/>
      <c r="AF70" s="104"/>
      <c r="AG70" s="104"/>
      <c r="AH70" s="873"/>
      <c r="AI70" s="104"/>
      <c r="AJ70" s="104"/>
      <c r="AK70" s="461"/>
      <c r="AL70" s="868"/>
      <c r="AM70" s="104"/>
      <c r="AN70" s="461"/>
      <c r="AO70" s="104"/>
      <c r="AP70" s="873"/>
      <c r="AQ70" s="104"/>
      <c r="AR70" s="104"/>
      <c r="AS70" s="104"/>
      <c r="AT70" s="872"/>
      <c r="AU70" s="104"/>
      <c r="AV70" s="104"/>
      <c r="AW70" s="104"/>
      <c r="AX70" s="873"/>
      <c r="AY70" s="104"/>
      <c r="AZ70" s="104"/>
      <c r="BA70" s="104"/>
      <c r="BB70" s="872"/>
      <c r="BC70" s="104"/>
      <c r="BD70" s="104"/>
      <c r="BE70" s="104"/>
      <c r="BF70" s="873"/>
      <c r="BG70" s="104"/>
      <c r="BH70" s="104"/>
      <c r="BI70" s="104"/>
      <c r="BJ70" s="872"/>
      <c r="BK70" s="104"/>
      <c r="BL70" s="104"/>
      <c r="BM70" s="104"/>
      <c r="BN70" s="873"/>
      <c r="BO70" s="104"/>
      <c r="BP70" s="104"/>
      <c r="BQ70" s="104"/>
      <c r="BR70" s="872"/>
      <c r="BS70" s="104"/>
      <c r="BT70" s="104"/>
      <c r="BU70" s="104"/>
      <c r="BV70" s="873"/>
    </row>
    <row r="71" spans="1:76" x14ac:dyDescent="0.2">
      <c r="A71" s="199" t="str">
        <f>A66</f>
        <v>Low-thrust engines (Regional &amp; Bizjet)</v>
      </c>
      <c r="B71" s="49">
        <f t="shared" ref="B71:J71" si="142">B45*B66</f>
        <v>6.8</v>
      </c>
      <c r="C71" s="49">
        <f t="shared" si="142"/>
        <v>5.44</v>
      </c>
      <c r="D71" s="49">
        <f t="shared" si="142"/>
        <v>5.76</v>
      </c>
      <c r="E71" s="49">
        <f t="shared" si="142"/>
        <v>6.5600000000000005</v>
      </c>
      <c r="F71" s="49">
        <f t="shared" si="142"/>
        <v>7.76</v>
      </c>
      <c r="G71" s="49">
        <f t="shared" si="142"/>
        <v>5.84</v>
      </c>
      <c r="H71" s="49">
        <f t="shared" si="142"/>
        <v>8.08</v>
      </c>
      <c r="I71" s="49">
        <f t="shared" si="142"/>
        <v>10.32</v>
      </c>
      <c r="J71" s="150">
        <f t="shared" si="142"/>
        <v>7.92</v>
      </c>
      <c r="K71" s="104"/>
      <c r="L71" s="104"/>
      <c r="M71" s="104"/>
      <c r="N71" s="872"/>
      <c r="O71" s="104"/>
      <c r="P71" s="104"/>
      <c r="Q71" s="104"/>
      <c r="R71" s="788">
        <f>R45*R66</f>
        <v>8</v>
      </c>
      <c r="S71" s="1518">
        <f>S45*S66</f>
        <v>2</v>
      </c>
      <c r="T71" s="1518">
        <f>W71-S71</f>
        <v>2.08</v>
      </c>
      <c r="U71" s="1518">
        <f>U45*U66</f>
        <v>2</v>
      </c>
      <c r="V71" s="1554">
        <f>X71-U71</f>
        <v>1.92</v>
      </c>
      <c r="W71" s="1518">
        <f>W45*W66</f>
        <v>4.08</v>
      </c>
      <c r="X71" s="1518">
        <f>Z71-W71</f>
        <v>3.92</v>
      </c>
      <c r="Y71" s="1486"/>
      <c r="Z71" s="788">
        <f>Z45*Z66</f>
        <v>8</v>
      </c>
      <c r="AA71" s="1518">
        <f>AA45*AA66</f>
        <v>2.04</v>
      </c>
      <c r="AB71" s="1518">
        <f>AE71-AA71</f>
        <v>2.04</v>
      </c>
      <c r="AC71" s="1518">
        <f>AC45*AC66</f>
        <v>2</v>
      </c>
      <c r="AD71" s="1554">
        <f>AF71-AC71</f>
        <v>1.92</v>
      </c>
      <c r="AE71" s="1518">
        <f>AE45*AE66</f>
        <v>4.08</v>
      </c>
      <c r="AF71" s="1518">
        <f>AH71-AE71</f>
        <v>3.92</v>
      </c>
      <c r="AG71" s="1518"/>
      <c r="AH71" s="788">
        <f>AH45*AH66</f>
        <v>8</v>
      </c>
      <c r="AI71" s="1518">
        <f>AI45*AI66</f>
        <v>2.04</v>
      </c>
      <c r="AJ71" s="1518">
        <f>AM71-AI71</f>
        <v>2.04</v>
      </c>
      <c r="AK71" s="1486">
        <f>AK45*AK66</f>
        <v>1.96</v>
      </c>
      <c r="AL71" s="1722">
        <f>AN71-AK71</f>
        <v>1.96</v>
      </c>
      <c r="AM71" s="1518">
        <f>AM45*AM66</f>
        <v>4.08</v>
      </c>
      <c r="AN71" s="1486">
        <f>AP71-AM71</f>
        <v>3.92</v>
      </c>
      <c r="AO71" s="104"/>
      <c r="AP71" s="875">
        <f>AP45*AP66</f>
        <v>8</v>
      </c>
      <c r="AQ71" s="104"/>
      <c r="AR71" s="104"/>
      <c r="AS71" s="104"/>
      <c r="AT71" s="872"/>
      <c r="AU71" s="104"/>
      <c r="AV71" s="104"/>
      <c r="AW71" s="104"/>
      <c r="AX71" s="875">
        <f>AX45*AX66</f>
        <v>8</v>
      </c>
      <c r="AY71" s="104"/>
      <c r="AZ71" s="104"/>
      <c r="BA71" s="104"/>
      <c r="BB71" s="872"/>
      <c r="BC71" s="104"/>
      <c r="BD71" s="104"/>
      <c r="BE71" s="104"/>
      <c r="BF71" s="875">
        <f>BF45*BF66</f>
        <v>8</v>
      </c>
      <c r="BG71" s="104"/>
      <c r="BH71" s="104"/>
      <c r="BI71" s="104"/>
      <c r="BJ71" s="872"/>
      <c r="BK71" s="104"/>
      <c r="BL71" s="104"/>
      <c r="BM71" s="104"/>
      <c r="BN71" s="875">
        <f>BN45*BN66</f>
        <v>8</v>
      </c>
      <c r="BO71" s="104"/>
      <c r="BP71" s="104"/>
      <c r="BQ71" s="104"/>
      <c r="BR71" s="872"/>
      <c r="BS71" s="104"/>
      <c r="BT71" s="104"/>
      <c r="BU71" s="104"/>
      <c r="BV71" s="875">
        <f>BV45*BV66</f>
        <v>8</v>
      </c>
    </row>
    <row r="72" spans="1:76" x14ac:dyDescent="0.2">
      <c r="A72" s="199" t="str">
        <f t="shared" ref="A72:A73" si="143">A67</f>
        <v>Mid-thrust engines (Narrowbody)</v>
      </c>
      <c r="B72" s="49">
        <f t="shared" ref="B72:J72" si="144">B51*B67</f>
        <v>119.45063749999998</v>
      </c>
      <c r="C72" s="49">
        <f t="shared" si="144"/>
        <v>136.28125</v>
      </c>
      <c r="D72" s="49">
        <f t="shared" si="144"/>
        <v>187.501</v>
      </c>
      <c r="E72" s="49">
        <f t="shared" si="144"/>
        <v>188.37</v>
      </c>
      <c r="F72" s="49">
        <f t="shared" si="144"/>
        <v>264.05802914507768</v>
      </c>
      <c r="G72" s="49">
        <f t="shared" si="144"/>
        <v>558.70958288770055</v>
      </c>
      <c r="H72" s="49">
        <f t="shared" si="144"/>
        <v>289.99604408352667</v>
      </c>
      <c r="I72" s="49">
        <f t="shared" si="144"/>
        <v>97.597794117647055</v>
      </c>
      <c r="J72" s="150">
        <f t="shared" si="144"/>
        <v>62.509981395348838</v>
      </c>
      <c r="K72" s="104"/>
      <c r="L72" s="104"/>
      <c r="M72" s="104"/>
      <c r="N72" s="872"/>
      <c r="O72" s="104"/>
      <c r="P72" s="104"/>
      <c r="Q72" s="104"/>
      <c r="R72" s="788">
        <f>R51*R67</f>
        <v>361.3180764010508</v>
      </c>
      <c r="S72" s="1518">
        <f>S51*S67</f>
        <v>94.75</v>
      </c>
      <c r="T72" s="1518">
        <f t="shared" ref="T72:T74" si="145">W72-S72</f>
        <v>43.650000000000006</v>
      </c>
      <c r="U72" s="1518">
        <f>U51*U67</f>
        <v>56.699999999999996</v>
      </c>
      <c r="V72" s="1554">
        <f t="shared" ref="V72:V74" si="146">X72-U72</f>
        <v>61.624999999999964</v>
      </c>
      <c r="W72" s="1518">
        <f>W51*W67</f>
        <v>138.4</v>
      </c>
      <c r="X72" s="1518">
        <f t="shared" ref="X72:X74" si="147">Z72-W72</f>
        <v>118.32499999999996</v>
      </c>
      <c r="Y72" s="1486"/>
      <c r="Z72" s="788">
        <f>Z51*Z67</f>
        <v>256.72499999999997</v>
      </c>
      <c r="AA72" s="1518">
        <f>AA51*AA67</f>
        <v>82.75</v>
      </c>
      <c r="AB72" s="1518">
        <f t="shared" ref="AB72:AB74" si="148">AE72-AA72</f>
        <v>68.25</v>
      </c>
      <c r="AC72" s="1518">
        <f>AC51*AC67</f>
        <v>42.08</v>
      </c>
      <c r="AD72" s="1554">
        <f t="shared" ref="AD72:AD74" si="149">AF72-AC72</f>
        <v>-7.6799999999999926</v>
      </c>
      <c r="AE72" s="1518">
        <f>AE51*AE67</f>
        <v>151</v>
      </c>
      <c r="AF72" s="1518">
        <f t="shared" ref="AF72:AF73" si="150">AH72-AE72</f>
        <v>34.400000000000006</v>
      </c>
      <c r="AG72" s="1518"/>
      <c r="AH72" s="788">
        <f>AH51*AH67</f>
        <v>185.4</v>
      </c>
      <c r="AI72" s="1518">
        <f>AI51*AI67</f>
        <v>133</v>
      </c>
      <c r="AJ72" s="1518">
        <f t="shared" ref="AJ72:AJ74" si="151">AM72-AI72</f>
        <v>77.400000000000006</v>
      </c>
      <c r="AK72" s="1486">
        <f>AK51*AK67</f>
        <v>53.300000000000004</v>
      </c>
      <c r="AL72" s="1722">
        <f t="shared" ref="AL72:AL74" si="152">AN72-AK72</f>
        <v>40.322890624999935</v>
      </c>
      <c r="AM72" s="1518">
        <f>AM51*AM67</f>
        <v>210.4</v>
      </c>
      <c r="AN72" s="1486">
        <f t="shared" ref="AN72:AN73" si="153">AP72-AM72</f>
        <v>93.62289062499994</v>
      </c>
      <c r="AO72" s="104"/>
      <c r="AP72" s="875">
        <f>AP51*AP67</f>
        <v>304.02289062499995</v>
      </c>
      <c r="AQ72" s="104"/>
      <c r="AR72" s="104"/>
      <c r="AS72" s="104"/>
      <c r="AT72" s="872"/>
      <c r="AU72" s="104"/>
      <c r="AV72" s="104"/>
      <c r="AW72" s="104"/>
      <c r="AX72" s="875">
        <f>AX51*AX67</f>
        <v>258.30250000000001</v>
      </c>
      <c r="AY72" s="104"/>
      <c r="AZ72" s="104"/>
      <c r="BA72" s="104"/>
      <c r="BB72" s="872"/>
      <c r="BC72" s="104"/>
      <c r="BD72" s="104"/>
      <c r="BE72" s="104"/>
      <c r="BF72" s="875">
        <f>BF51*BF67</f>
        <v>276.33046875000002</v>
      </c>
      <c r="BG72" s="104"/>
      <c r="BH72" s="104"/>
      <c r="BI72" s="104"/>
      <c r="BJ72" s="872"/>
      <c r="BK72" s="104"/>
      <c r="BL72" s="104"/>
      <c r="BM72" s="104"/>
      <c r="BN72" s="875">
        <f>BN51*BN67</f>
        <v>277.63499999999999</v>
      </c>
      <c r="BO72" s="104"/>
      <c r="BP72" s="104"/>
      <c r="BQ72" s="104"/>
      <c r="BR72" s="872"/>
      <c r="BS72" s="104"/>
      <c r="BT72" s="104"/>
      <c r="BU72" s="104"/>
      <c r="BV72" s="875">
        <f>BV51*BV67</f>
        <v>240.01499999999999</v>
      </c>
    </row>
    <row r="73" spans="1:76" x14ac:dyDescent="0.2">
      <c r="A73" s="199" t="str">
        <f t="shared" si="143"/>
        <v>High-thrust engines (Widebody)</v>
      </c>
      <c r="B73" s="49">
        <f t="shared" ref="B73:J73" si="154">B59*B68</f>
        <v>69</v>
      </c>
      <c r="C73" s="49">
        <f t="shared" si="154"/>
        <v>69.5</v>
      </c>
      <c r="D73" s="49">
        <f t="shared" si="154"/>
        <v>68.600000000000009</v>
      </c>
      <c r="E73" s="49">
        <f t="shared" si="154"/>
        <v>48.6</v>
      </c>
      <c r="F73" s="49">
        <f t="shared" si="154"/>
        <v>43.5</v>
      </c>
      <c r="G73" s="49">
        <f t="shared" si="154"/>
        <v>48.900000000000006</v>
      </c>
      <c r="H73" s="49">
        <f t="shared" si="154"/>
        <v>36.9</v>
      </c>
      <c r="I73" s="49">
        <f t="shared" si="154"/>
        <v>23.5</v>
      </c>
      <c r="J73" s="150">
        <f t="shared" si="154"/>
        <v>18.100000000000001</v>
      </c>
      <c r="K73" s="104"/>
      <c r="L73" s="104"/>
      <c r="M73" s="104"/>
      <c r="N73" s="872"/>
      <c r="O73" s="104"/>
      <c r="P73" s="104"/>
      <c r="Q73" s="104"/>
      <c r="R73" s="788">
        <f>R59*R68</f>
        <v>19</v>
      </c>
      <c r="S73" s="1518">
        <f>S59*S68</f>
        <v>5.6000000000000005</v>
      </c>
      <c r="T73" s="1518">
        <f t="shared" si="145"/>
        <v>3.4999999999999991</v>
      </c>
      <c r="U73" s="1518">
        <f>U59*U68</f>
        <v>5.1000000000000005</v>
      </c>
      <c r="V73" s="1554">
        <f t="shared" si="146"/>
        <v>5.3</v>
      </c>
      <c r="W73" s="1518">
        <f>W59*W68</f>
        <v>9.1</v>
      </c>
      <c r="X73" s="1518">
        <f t="shared" si="147"/>
        <v>10.4</v>
      </c>
      <c r="Y73" s="1486"/>
      <c r="Z73" s="788">
        <f>Z59*Z68</f>
        <v>19.5</v>
      </c>
      <c r="AA73" s="1518">
        <f>AA59*AA68</f>
        <v>4.8000000000000007</v>
      </c>
      <c r="AB73" s="1518">
        <f t="shared" si="148"/>
        <v>5.9</v>
      </c>
      <c r="AC73" s="1518">
        <f>AC59*AC68</f>
        <v>5.5</v>
      </c>
      <c r="AD73" s="1554">
        <f t="shared" si="149"/>
        <v>7.2000000000000011</v>
      </c>
      <c r="AE73" s="1518">
        <f>AE59*AE68</f>
        <v>10.700000000000001</v>
      </c>
      <c r="AF73" s="1518">
        <f t="shared" si="150"/>
        <v>12.700000000000001</v>
      </c>
      <c r="AG73" s="1518"/>
      <c r="AH73" s="788">
        <f>AH59*AH68</f>
        <v>23.400000000000002</v>
      </c>
      <c r="AI73" s="1518">
        <f>AI59*AI68</f>
        <v>5.7</v>
      </c>
      <c r="AJ73" s="1518">
        <f t="shared" si="151"/>
        <v>7.8</v>
      </c>
      <c r="AK73" s="1486">
        <f>AK59*AK68</f>
        <v>6.4000000000000021</v>
      </c>
      <c r="AL73" s="1722">
        <f t="shared" si="152"/>
        <v>6.3999999999999986</v>
      </c>
      <c r="AM73" s="1518">
        <f>AM59*AM68</f>
        <v>13.5</v>
      </c>
      <c r="AN73" s="1486">
        <f t="shared" si="153"/>
        <v>12.8</v>
      </c>
      <c r="AO73" s="104"/>
      <c r="AP73" s="875">
        <f>AP59*AP68</f>
        <v>26.3</v>
      </c>
      <c r="AQ73" s="104"/>
      <c r="AR73" s="104"/>
      <c r="AS73" s="104"/>
      <c r="AT73" s="872"/>
      <c r="AU73" s="104"/>
      <c r="AV73" s="104"/>
      <c r="AW73" s="104"/>
      <c r="AX73" s="875">
        <f>AX59*AX68</f>
        <v>29.6</v>
      </c>
      <c r="AY73" s="104"/>
      <c r="AZ73" s="104"/>
      <c r="BA73" s="104"/>
      <c r="BB73" s="872"/>
      <c r="BC73" s="104"/>
      <c r="BD73" s="104"/>
      <c r="BE73" s="104"/>
      <c r="BF73" s="875">
        <f>BF59*BF68</f>
        <v>29.6</v>
      </c>
      <c r="BG73" s="104"/>
      <c r="BH73" s="104"/>
      <c r="BI73" s="104"/>
      <c r="BJ73" s="872"/>
      <c r="BK73" s="104"/>
      <c r="BL73" s="104"/>
      <c r="BM73" s="104"/>
      <c r="BN73" s="875">
        <f>BN59*BN68</f>
        <v>29.6</v>
      </c>
      <c r="BO73" s="104"/>
      <c r="BP73" s="104"/>
      <c r="BQ73" s="104"/>
      <c r="BR73" s="872"/>
      <c r="BS73" s="104"/>
      <c r="BT73" s="104"/>
      <c r="BU73" s="104"/>
      <c r="BV73" s="875">
        <f>BV59*BV68</f>
        <v>29.6</v>
      </c>
    </row>
    <row r="74" spans="1:76" s="186" customFormat="1" x14ac:dyDescent="0.2">
      <c r="A74" s="338" t="s">
        <v>876</v>
      </c>
      <c r="B74" s="141">
        <f t="shared" ref="B74:G74" si="155">SUM(B71:B73)</f>
        <v>195.25063749999998</v>
      </c>
      <c r="C74" s="141">
        <f t="shared" si="155"/>
        <v>211.22125</v>
      </c>
      <c r="D74" s="141">
        <f t="shared" si="155"/>
        <v>261.86099999999999</v>
      </c>
      <c r="E74" s="141">
        <f t="shared" si="155"/>
        <v>243.53</v>
      </c>
      <c r="F74" s="141">
        <f t="shared" si="155"/>
        <v>315.31802914507767</v>
      </c>
      <c r="G74" s="141">
        <f t="shared" si="155"/>
        <v>613.44958288770056</v>
      </c>
      <c r="H74" s="141">
        <f>SUM(H71:H73)</f>
        <v>334.97604408352663</v>
      </c>
      <c r="I74" s="141">
        <f>SUM(I71:I73)</f>
        <v>131.41779411764705</v>
      </c>
      <c r="J74" s="144">
        <f>SUM(J71:J73)</f>
        <v>88.529981395348841</v>
      </c>
      <c r="K74" s="462"/>
      <c r="L74" s="462"/>
      <c r="M74" s="462"/>
      <c r="N74" s="627"/>
      <c r="O74" s="462"/>
      <c r="P74" s="462"/>
      <c r="Q74" s="462"/>
      <c r="R74" s="1389">
        <f>SUM(R71:R73)</f>
        <v>388.3180764010508</v>
      </c>
      <c r="S74" s="1519">
        <f>SUM(S71:S73)</f>
        <v>102.35</v>
      </c>
      <c r="T74" s="1519">
        <f t="shared" si="145"/>
        <v>49.230000000000018</v>
      </c>
      <c r="U74" s="1519">
        <f>SUM(U71:U73)</f>
        <v>63.8</v>
      </c>
      <c r="V74" s="1560">
        <f t="shared" si="146"/>
        <v>68.844999999999956</v>
      </c>
      <c r="W74" s="1519">
        <f>SUM(W71:W73)</f>
        <v>151.58000000000001</v>
      </c>
      <c r="X74" s="1519">
        <f t="shared" si="147"/>
        <v>132.64499999999995</v>
      </c>
      <c r="Y74" s="1521"/>
      <c r="Z74" s="1389">
        <f>SUM(Z71:Z73)</f>
        <v>284.22499999999997</v>
      </c>
      <c r="AA74" s="1519">
        <f>SUM(AA71:AA73)</f>
        <v>89.59</v>
      </c>
      <c r="AB74" s="1519">
        <f t="shared" si="148"/>
        <v>76.19</v>
      </c>
      <c r="AC74" s="1519">
        <f>SUM(AC71:AC73)</f>
        <v>49.58</v>
      </c>
      <c r="AD74" s="1560">
        <f t="shared" si="149"/>
        <v>1.4400000000000119</v>
      </c>
      <c r="AE74" s="1519">
        <f>SUM(AE71:AE73)</f>
        <v>165.78</v>
      </c>
      <c r="AF74" s="1519">
        <f>SUM(AF71:AF73)</f>
        <v>51.02000000000001</v>
      </c>
      <c r="AG74" s="1519"/>
      <c r="AH74" s="1389">
        <f>SUM(AH71:AH73)</f>
        <v>216.8</v>
      </c>
      <c r="AI74" s="1519">
        <f>SUM(AI71:AI73)</f>
        <v>140.73999999999998</v>
      </c>
      <c r="AJ74" s="1519">
        <f t="shared" si="151"/>
        <v>87.240000000000038</v>
      </c>
      <c r="AK74" s="1521">
        <f>SUM(AK71:AK73)</f>
        <v>61.660000000000011</v>
      </c>
      <c r="AL74" s="1721">
        <f t="shared" si="152"/>
        <v>48.682890624999928</v>
      </c>
      <c r="AM74" s="1519">
        <f>SUM(AM71:AM73)</f>
        <v>227.98000000000002</v>
      </c>
      <c r="AN74" s="1521">
        <f>SUM(AN71:AN73)</f>
        <v>110.34289062499994</v>
      </c>
      <c r="AO74" s="462"/>
      <c r="AP74" s="876">
        <f>SUM(AP71:AP73)</f>
        <v>338.32289062499996</v>
      </c>
      <c r="AQ74" s="462"/>
      <c r="AR74" s="462"/>
      <c r="AS74" s="462"/>
      <c r="AT74" s="627"/>
      <c r="AU74" s="462"/>
      <c r="AV74" s="462"/>
      <c r="AW74" s="462"/>
      <c r="AX74" s="876">
        <f>SUM(AX71:AX73)</f>
        <v>295.90250000000003</v>
      </c>
      <c r="AY74" s="462"/>
      <c r="AZ74" s="462"/>
      <c r="BA74" s="462"/>
      <c r="BB74" s="627"/>
      <c r="BC74" s="462"/>
      <c r="BD74" s="462"/>
      <c r="BE74" s="462"/>
      <c r="BF74" s="876">
        <f>SUM(BF71:BF73)</f>
        <v>313.93046875000005</v>
      </c>
      <c r="BG74" s="462"/>
      <c r="BH74" s="462"/>
      <c r="BI74" s="462"/>
      <c r="BJ74" s="627"/>
      <c r="BK74" s="462"/>
      <c r="BL74" s="462"/>
      <c r="BM74" s="462"/>
      <c r="BN74" s="876">
        <f>SUM(BN71:BN73)</f>
        <v>315.23500000000001</v>
      </c>
      <c r="BO74" s="462"/>
      <c r="BP74" s="462"/>
      <c r="BQ74" s="462"/>
      <c r="BR74" s="627"/>
      <c r="BS74" s="462"/>
      <c r="BT74" s="462"/>
      <c r="BU74" s="462"/>
      <c r="BV74" s="876">
        <f>SUM(BV71:BV73)</f>
        <v>277.61500000000001</v>
      </c>
    </row>
    <row r="75" spans="1:76" s="281" customFormat="1" ht="10.35" customHeight="1" x14ac:dyDescent="0.25">
      <c r="A75" s="1520" t="s">
        <v>877</v>
      </c>
      <c r="B75" s="474">
        <f t="shared" ref="B75:J75" si="156">B74/B62</f>
        <v>8.3619116702355459E-2</v>
      </c>
      <c r="C75" s="104">
        <f t="shared" si="156"/>
        <v>8.8935263157894739E-2</v>
      </c>
      <c r="D75" s="104">
        <f t="shared" si="156"/>
        <v>0.10358425632911392</v>
      </c>
      <c r="E75" s="104">
        <f t="shared" si="156"/>
        <v>9.8475535786494137E-2</v>
      </c>
      <c r="F75" s="104">
        <f t="shared" si="156"/>
        <v>0.11700112398704181</v>
      </c>
      <c r="G75" s="104">
        <f t="shared" si="156"/>
        <v>0.22813297987642267</v>
      </c>
      <c r="H75" s="104">
        <f t="shared" si="156"/>
        <v>0.23229961448233469</v>
      </c>
      <c r="I75" s="104">
        <f t="shared" si="156"/>
        <v>9.986154568210262E-2</v>
      </c>
      <c r="J75" s="105">
        <f t="shared" si="156"/>
        <v>5.9979662191970762E-2</v>
      </c>
      <c r="K75" s="104"/>
      <c r="L75" s="104"/>
      <c r="M75" s="104"/>
      <c r="N75" s="872"/>
      <c r="O75" s="104"/>
      <c r="P75" s="104"/>
      <c r="Q75" s="104"/>
      <c r="R75" s="873">
        <f t="shared" ref="R75:BV75" si="157">R74/R62</f>
        <v>0.2030952282432274</v>
      </c>
      <c r="S75" s="104">
        <f t="shared" ref="S75:T75" si="158">S74/S62</f>
        <v>0.22249999999999998</v>
      </c>
      <c r="T75" s="104">
        <f t="shared" si="158"/>
        <v>0.1316310160427808</v>
      </c>
      <c r="U75" s="104">
        <f t="shared" ref="U75" si="159">U74/U62</f>
        <v>0.14052863436123347</v>
      </c>
      <c r="V75" s="872">
        <f t="shared" ref="V75:X75" si="160">V74/V62</f>
        <v>0.14524261603375518</v>
      </c>
      <c r="W75" s="104">
        <f t="shared" si="160"/>
        <v>0.18175059952038372</v>
      </c>
      <c r="X75" s="104">
        <f t="shared" si="160"/>
        <v>0.14293642241379306</v>
      </c>
      <c r="Y75" s="461"/>
      <c r="Z75" s="873">
        <f t="shared" si="157"/>
        <v>0.16130817253121452</v>
      </c>
      <c r="AA75" s="104">
        <f t="shared" si="157"/>
        <v>0.22148331273176763</v>
      </c>
      <c r="AB75" s="104">
        <f t="shared" si="157"/>
        <v>0.14983284169124877</v>
      </c>
      <c r="AC75" s="104">
        <f t="shared" si="157"/>
        <v>8.1815181518151814E-2</v>
      </c>
      <c r="AD75" s="872">
        <f t="shared" si="157"/>
        <v>2.1524663677130224E-3</v>
      </c>
      <c r="AE75" s="104">
        <f t="shared" si="157"/>
        <v>0.18157721796276013</v>
      </c>
      <c r="AF75" s="104">
        <f t="shared" ref="AF75" si="161">AF74/AF62</f>
        <v>4.0015686274509812E-2</v>
      </c>
      <c r="AG75" s="104"/>
      <c r="AH75" s="873">
        <f t="shared" ref="AH75:AN75" si="162">AH74/AH62</f>
        <v>9.9085923217550276E-2</v>
      </c>
      <c r="AI75" s="104">
        <f t="shared" si="162"/>
        <v>0.22903173311635472</v>
      </c>
      <c r="AJ75" s="104">
        <f t="shared" si="162"/>
        <v>0.13991980753809147</v>
      </c>
      <c r="AK75" s="461">
        <f t="shared" si="162"/>
        <v>9.9211584875301712E-2</v>
      </c>
      <c r="AL75" s="868">
        <f t="shared" si="162"/>
        <v>7.0811477272727172E-2</v>
      </c>
      <c r="AM75" s="104">
        <f t="shared" si="162"/>
        <v>0.18415185783521812</v>
      </c>
      <c r="AN75" s="461">
        <f t="shared" si="162"/>
        <v>8.4295561974789865E-2</v>
      </c>
      <c r="AO75" s="461"/>
      <c r="AP75" s="874">
        <f t="shared" si="157"/>
        <v>0.13283191622497054</v>
      </c>
      <c r="AQ75" s="461"/>
      <c r="AR75" s="461"/>
      <c r="AS75" s="461"/>
      <c r="AT75" s="868"/>
      <c r="AU75" s="461"/>
      <c r="AV75" s="461"/>
      <c r="AW75" s="461"/>
      <c r="AX75" s="874">
        <f t="shared" si="157"/>
        <v>0.10613432568149211</v>
      </c>
      <c r="AY75" s="461"/>
      <c r="AZ75" s="461"/>
      <c r="BA75" s="461"/>
      <c r="BB75" s="868"/>
      <c r="BC75" s="461"/>
      <c r="BD75" s="461"/>
      <c r="BE75" s="461"/>
      <c r="BF75" s="874">
        <f t="shared" si="157"/>
        <v>0.10509891822899231</v>
      </c>
      <c r="BG75" s="461"/>
      <c r="BH75" s="461"/>
      <c r="BI75" s="461"/>
      <c r="BJ75" s="868"/>
      <c r="BK75" s="461"/>
      <c r="BL75" s="461"/>
      <c r="BM75" s="461"/>
      <c r="BN75" s="874">
        <f t="shared" si="157"/>
        <v>0.10483372131692717</v>
      </c>
      <c r="BO75" s="461"/>
      <c r="BP75" s="461"/>
      <c r="BQ75" s="461"/>
      <c r="BR75" s="868"/>
      <c r="BS75" s="461"/>
      <c r="BT75" s="461"/>
      <c r="BU75" s="461"/>
      <c r="BV75" s="874">
        <f t="shared" si="157"/>
        <v>9.2322913202527446E-2</v>
      </c>
    </row>
    <row r="76" spans="1:76" x14ac:dyDescent="0.2">
      <c r="A76" s="199"/>
      <c r="B76" s="186"/>
      <c r="C76" s="104"/>
      <c r="D76" s="104"/>
      <c r="E76" s="104"/>
      <c r="F76" s="104"/>
      <c r="G76" s="104"/>
      <c r="H76" s="104"/>
      <c r="I76" s="104"/>
      <c r="J76" s="105"/>
      <c r="K76" s="104"/>
      <c r="L76" s="104"/>
      <c r="M76" s="104"/>
      <c r="N76" s="872"/>
      <c r="O76" s="104"/>
      <c r="P76" s="104"/>
      <c r="Q76" s="104"/>
      <c r="R76" s="873"/>
      <c r="S76" s="104"/>
      <c r="T76" s="104"/>
      <c r="U76" s="104"/>
      <c r="V76" s="872"/>
      <c r="W76" s="104"/>
      <c r="X76" s="104"/>
      <c r="Y76" s="104"/>
      <c r="Z76" s="873"/>
      <c r="AA76" s="104"/>
      <c r="AB76" s="104"/>
      <c r="AC76" s="104"/>
      <c r="AD76" s="872"/>
      <c r="AE76" s="104"/>
      <c r="AF76" s="104"/>
      <c r="AG76" s="104"/>
      <c r="AH76" s="873"/>
      <c r="AI76" s="104"/>
      <c r="AJ76" s="104"/>
      <c r="AK76" s="104"/>
      <c r="AL76" s="872"/>
      <c r="AM76" s="104"/>
      <c r="AN76" s="461"/>
      <c r="AO76" s="104"/>
      <c r="AP76" s="873"/>
      <c r="AQ76" s="104"/>
      <c r="AR76" s="104"/>
      <c r="AS76" s="104"/>
      <c r="AT76" s="872"/>
      <c r="AU76" s="104"/>
      <c r="AV76" s="104"/>
      <c r="AW76" s="104"/>
      <c r="AX76" s="873"/>
      <c r="AY76" s="104"/>
      <c r="AZ76" s="104"/>
      <c r="BA76" s="104"/>
      <c r="BB76" s="872"/>
      <c r="BC76" s="104"/>
      <c r="BD76" s="104"/>
      <c r="BE76" s="104"/>
      <c r="BF76" s="873"/>
      <c r="BG76" s="104"/>
      <c r="BH76" s="104"/>
      <c r="BI76" s="104"/>
      <c r="BJ76" s="872"/>
      <c r="BK76" s="104"/>
      <c r="BL76" s="104"/>
      <c r="BM76" s="104"/>
      <c r="BN76" s="873"/>
      <c r="BO76" s="104"/>
      <c r="BP76" s="104"/>
      <c r="BQ76" s="104"/>
      <c r="BR76" s="872"/>
      <c r="BS76" s="104"/>
      <c r="BT76" s="104"/>
      <c r="BU76" s="104"/>
      <c r="BV76" s="873"/>
    </row>
    <row r="77" spans="1:76" x14ac:dyDescent="0.2">
      <c r="A77" s="454" t="s">
        <v>878</v>
      </c>
      <c r="B77" s="869"/>
      <c r="C77" s="631"/>
      <c r="D77" s="631"/>
      <c r="E77" s="631"/>
      <c r="F77" s="631"/>
      <c r="G77" s="631"/>
      <c r="H77" s="631"/>
      <c r="I77" s="631"/>
      <c r="J77" s="633"/>
      <c r="K77" s="631"/>
      <c r="L77" s="631"/>
      <c r="M77" s="631"/>
      <c r="N77" s="634"/>
      <c r="O77" s="631"/>
      <c r="P77" s="631"/>
      <c r="Q77" s="631"/>
      <c r="R77" s="635"/>
      <c r="S77" s="631"/>
      <c r="T77" s="631"/>
      <c r="U77" s="631"/>
      <c r="V77" s="634"/>
      <c r="W77" s="631"/>
      <c r="X77" s="631"/>
      <c r="Y77" s="631"/>
      <c r="Z77" s="635"/>
      <c r="AA77" s="631"/>
      <c r="AB77" s="631"/>
      <c r="AC77" s="631"/>
      <c r="AD77" s="634"/>
      <c r="AE77" s="631"/>
      <c r="AF77" s="631"/>
      <c r="AG77" s="631"/>
      <c r="AH77" s="635"/>
      <c r="AI77" s="631"/>
      <c r="AJ77" s="631"/>
      <c r="AK77" s="631"/>
      <c r="AL77" s="634"/>
      <c r="AM77" s="631"/>
      <c r="AN77" s="631"/>
      <c r="AO77" s="631"/>
      <c r="AP77" s="635"/>
      <c r="AQ77" s="631"/>
      <c r="AR77" s="631"/>
      <c r="AS77" s="631"/>
      <c r="AT77" s="634"/>
      <c r="AU77" s="631"/>
      <c r="AV77" s="631"/>
      <c r="AW77" s="631"/>
      <c r="AX77" s="635"/>
      <c r="AY77" s="631"/>
      <c r="AZ77" s="631"/>
      <c r="BA77" s="631"/>
      <c r="BB77" s="634"/>
      <c r="BC77" s="631"/>
      <c r="BD77" s="631"/>
      <c r="BE77" s="631"/>
      <c r="BF77" s="635"/>
      <c r="BG77" s="631"/>
      <c r="BH77" s="631"/>
      <c r="BI77" s="631"/>
      <c r="BJ77" s="634"/>
      <c r="BK77" s="631"/>
      <c r="BL77" s="631"/>
      <c r="BM77" s="631"/>
      <c r="BN77" s="635"/>
      <c r="BO77" s="631"/>
      <c r="BP77" s="631"/>
      <c r="BQ77" s="631"/>
      <c r="BR77" s="634"/>
      <c r="BS77" s="631"/>
      <c r="BT77" s="631"/>
      <c r="BU77" s="631"/>
      <c r="BV77" s="635"/>
    </row>
    <row r="78" spans="1:76" x14ac:dyDescent="0.2">
      <c r="A78" s="186"/>
      <c r="B78" s="186"/>
      <c r="C78" s="186"/>
      <c r="D78" s="186"/>
      <c r="E78" s="186"/>
      <c r="F78" s="186"/>
      <c r="G78" s="186"/>
      <c r="H78" s="186"/>
      <c r="I78" s="186"/>
      <c r="J78" s="284"/>
      <c r="K78" s="186"/>
      <c r="L78" s="186"/>
      <c r="M78" s="186"/>
      <c r="N78" s="283"/>
      <c r="O78" s="186"/>
      <c r="P78" s="186"/>
      <c r="Q78" s="186"/>
      <c r="R78" s="341"/>
      <c r="S78" s="186"/>
      <c r="T78" s="186"/>
      <c r="U78" s="186"/>
      <c r="V78" s="283"/>
      <c r="W78" s="186"/>
      <c r="X78" s="186"/>
      <c r="Y78" s="186"/>
      <c r="Z78" s="341"/>
      <c r="AA78" s="186"/>
      <c r="AB78" s="186"/>
      <c r="AC78" s="186"/>
      <c r="AD78" s="283"/>
      <c r="AE78" s="186"/>
      <c r="AF78" s="186"/>
      <c r="AG78" s="186"/>
      <c r="AH78" s="341"/>
      <c r="AI78" s="186"/>
      <c r="AJ78" s="186"/>
      <c r="AK78" s="186"/>
      <c r="AL78" s="283"/>
      <c r="AM78" s="186"/>
      <c r="AN78" s="186"/>
      <c r="AO78" s="186"/>
      <c r="AP78" s="341"/>
      <c r="AQ78" s="186"/>
      <c r="AR78" s="186"/>
      <c r="AS78" s="186"/>
      <c r="AT78" s="283"/>
      <c r="AU78" s="186"/>
      <c r="AV78" s="186"/>
      <c r="AW78" s="186"/>
      <c r="AX78" s="341"/>
      <c r="AY78" s="186"/>
      <c r="AZ78" s="186"/>
      <c r="BA78" s="186"/>
      <c r="BB78" s="283"/>
      <c r="BC78" s="186"/>
      <c r="BD78" s="186"/>
      <c r="BE78" s="186"/>
      <c r="BF78" s="341"/>
      <c r="BG78" s="186"/>
      <c r="BH78" s="186"/>
      <c r="BI78" s="186"/>
      <c r="BJ78" s="283"/>
      <c r="BK78" s="186"/>
      <c r="BL78" s="186"/>
      <c r="BM78" s="186"/>
      <c r="BN78" s="341"/>
      <c r="BO78" s="186"/>
      <c r="BP78" s="186"/>
      <c r="BQ78" s="186"/>
      <c r="BR78" s="283"/>
      <c r="BS78" s="186"/>
      <c r="BT78" s="186"/>
      <c r="BU78" s="186"/>
      <c r="BV78" s="341"/>
    </row>
    <row r="79" spans="1:76" x14ac:dyDescent="0.2">
      <c r="A79" s="186" t="s">
        <v>879</v>
      </c>
      <c r="B79" s="186"/>
      <c r="C79" s="186"/>
      <c r="D79" s="186"/>
      <c r="E79" s="186"/>
      <c r="F79" s="186"/>
      <c r="G79" s="186"/>
      <c r="H79" s="186"/>
      <c r="I79" s="186"/>
      <c r="J79" s="284"/>
      <c r="K79" s="186"/>
      <c r="L79" s="186"/>
      <c r="M79" s="186"/>
      <c r="N79" s="283"/>
      <c r="O79" s="186"/>
      <c r="P79" s="186"/>
      <c r="Q79" s="186"/>
      <c r="R79" s="341"/>
      <c r="S79" s="186"/>
      <c r="T79" s="186"/>
      <c r="U79" s="186"/>
      <c r="V79" s="283"/>
      <c r="W79" s="186"/>
      <c r="X79" s="186"/>
      <c r="Y79" s="186"/>
      <c r="Z79" s="341"/>
      <c r="AA79" s="186"/>
      <c r="AB79" s="186"/>
      <c r="AC79" s="186"/>
      <c r="AD79" s="283"/>
      <c r="AE79" s="186"/>
      <c r="AF79" s="186"/>
      <c r="AG79" s="186"/>
      <c r="AH79" s="341"/>
      <c r="AI79" s="186"/>
      <c r="AJ79" s="186"/>
      <c r="AK79" s="186"/>
      <c r="AL79" s="283"/>
      <c r="AM79" s="186"/>
      <c r="AN79" s="186"/>
      <c r="AO79" s="186"/>
      <c r="AP79" s="341"/>
      <c r="AQ79" s="186"/>
      <c r="AR79" s="186"/>
      <c r="AS79" s="186"/>
      <c r="AT79" s="283"/>
      <c r="AU79" s="186"/>
      <c r="AV79" s="186"/>
      <c r="AW79" s="186"/>
      <c r="AX79" s="341"/>
      <c r="AY79" s="186"/>
      <c r="AZ79" s="186"/>
      <c r="BA79" s="186"/>
      <c r="BB79" s="283"/>
      <c r="BC79" s="186"/>
      <c r="BD79" s="186"/>
      <c r="BE79" s="186"/>
      <c r="BF79" s="341"/>
      <c r="BG79" s="186"/>
      <c r="BH79" s="186"/>
      <c r="BI79" s="186"/>
      <c r="BJ79" s="283"/>
      <c r="BK79" s="186"/>
      <c r="BL79" s="186"/>
      <c r="BM79" s="186"/>
      <c r="BN79" s="341"/>
      <c r="BO79" s="186"/>
      <c r="BP79" s="186"/>
      <c r="BQ79" s="186"/>
      <c r="BR79" s="283"/>
      <c r="BS79" s="186"/>
      <c r="BT79" s="186"/>
      <c r="BU79" s="186"/>
      <c r="BV79" s="341"/>
    </row>
    <row r="80" spans="1:76" x14ac:dyDescent="0.2">
      <c r="A80" s="4" t="s">
        <v>790</v>
      </c>
      <c r="B80" s="9">
        <v>7</v>
      </c>
      <c r="C80" s="8">
        <f t="shared" ref="C80:J86" si="163">B80*(1+C89)</f>
        <v>7.1400000000000006</v>
      </c>
      <c r="D80" s="8">
        <f t="shared" si="163"/>
        <v>7.2828000000000008</v>
      </c>
      <c r="E80" s="8">
        <f t="shared" si="163"/>
        <v>7.4284560000000006</v>
      </c>
      <c r="F80" s="8">
        <f t="shared" si="163"/>
        <v>7.5770251200000009</v>
      </c>
      <c r="G80" s="8">
        <f t="shared" si="163"/>
        <v>7.4254846176000004</v>
      </c>
      <c r="H80" s="8">
        <f t="shared" si="163"/>
        <v>7.276974925248</v>
      </c>
      <c r="I80" s="8">
        <f t="shared" si="163"/>
        <v>7.1314354267430398</v>
      </c>
      <c r="J80" s="306">
        <f t="shared" si="163"/>
        <v>6.917492363940748</v>
      </c>
      <c r="K80" s="1391">
        <f>R80</f>
        <v>6.6407926693831181</v>
      </c>
      <c r="L80" s="1391">
        <f>R80</f>
        <v>6.6407926693831181</v>
      </c>
      <c r="M80" s="1391">
        <f>R80</f>
        <v>6.6407926693831181</v>
      </c>
      <c r="N80" s="1392">
        <f>R80</f>
        <v>6.6407926693831181</v>
      </c>
      <c r="O80" s="8">
        <f>R80</f>
        <v>6.6407926693831181</v>
      </c>
      <c r="P80" s="8">
        <f>R80</f>
        <v>6.6407926693831181</v>
      </c>
      <c r="Q80" s="8">
        <f>R80</f>
        <v>6.6407926693831181</v>
      </c>
      <c r="R80" s="1232">
        <f t="shared" ref="R80:R86" si="164">J80*(1+R89)</f>
        <v>6.6407926693831181</v>
      </c>
      <c r="S80" s="878">
        <f>Z80</f>
        <v>6.4415688893016245</v>
      </c>
      <c r="T80" s="878">
        <f>Z80</f>
        <v>6.4415688893016245</v>
      </c>
      <c r="U80" s="878">
        <f>Z80</f>
        <v>6.4415688893016245</v>
      </c>
      <c r="V80" s="1576">
        <f>Z80</f>
        <v>6.4415688893016245</v>
      </c>
      <c r="W80" s="8">
        <f>Z80</f>
        <v>6.4415688893016245</v>
      </c>
      <c r="X80" s="8">
        <f>Z80</f>
        <v>6.4415688893016245</v>
      </c>
      <c r="Y80" s="8">
        <f>Z80</f>
        <v>6.4415688893016245</v>
      </c>
      <c r="Z80" s="1232">
        <f t="shared" ref="Z80:Z86" si="165">R80*(1+Z89)</f>
        <v>6.4415688893016245</v>
      </c>
      <c r="AA80" s="878">
        <f>AH80</f>
        <v>10</v>
      </c>
      <c r="AB80" s="878">
        <f>AH80</f>
        <v>10</v>
      </c>
      <c r="AC80" s="878">
        <f>AH80</f>
        <v>10</v>
      </c>
      <c r="AD80" s="1576">
        <f>AH80</f>
        <v>10</v>
      </c>
      <c r="AE80" s="8">
        <f>AH80</f>
        <v>10</v>
      </c>
      <c r="AF80" s="8">
        <f>AH80</f>
        <v>10</v>
      </c>
      <c r="AG80" s="8">
        <f>AH80</f>
        <v>10</v>
      </c>
      <c r="AH80" s="1232">
        <v>10</v>
      </c>
      <c r="AI80" s="878">
        <f>AP80</f>
        <v>9.8000000000000007</v>
      </c>
      <c r="AJ80" s="878">
        <f>AP80</f>
        <v>9.8000000000000007</v>
      </c>
      <c r="AK80" s="880">
        <f>AP80</f>
        <v>9.8000000000000007</v>
      </c>
      <c r="AL80" s="879">
        <f>AP80</f>
        <v>9.8000000000000007</v>
      </c>
      <c r="AM80" s="8">
        <f>AP80</f>
        <v>9.8000000000000007</v>
      </c>
      <c r="AN80" s="10">
        <f>AP80</f>
        <v>9.8000000000000007</v>
      </c>
      <c r="AO80" s="10">
        <f>AP80</f>
        <v>9.8000000000000007</v>
      </c>
      <c r="AP80" s="307">
        <f t="shared" ref="AP80:AP86" si="166">AH80*(1+AP89)</f>
        <v>9.8000000000000007</v>
      </c>
      <c r="AQ80" s="880">
        <f>AX80</f>
        <v>9.604000000000001</v>
      </c>
      <c r="AR80" s="880">
        <f>AX80</f>
        <v>9.604000000000001</v>
      </c>
      <c r="AS80" s="880">
        <f>AX80</f>
        <v>9.604000000000001</v>
      </c>
      <c r="AT80" s="879">
        <f>AX80</f>
        <v>9.604000000000001</v>
      </c>
      <c r="AU80" s="10">
        <f>AX80</f>
        <v>9.604000000000001</v>
      </c>
      <c r="AV80" s="10">
        <f>AX80</f>
        <v>9.604000000000001</v>
      </c>
      <c r="AW80" s="10">
        <f>AX80</f>
        <v>9.604000000000001</v>
      </c>
      <c r="AX80" s="307">
        <f t="shared" ref="AX80:AX86" si="167">AP80*(1+AX89)</f>
        <v>9.604000000000001</v>
      </c>
      <c r="AY80" s="880">
        <f>BF80</f>
        <v>9.4119200000000003</v>
      </c>
      <c r="AZ80" s="880">
        <f>BF80</f>
        <v>9.4119200000000003</v>
      </c>
      <c r="BA80" s="880">
        <f>BF80</f>
        <v>9.4119200000000003</v>
      </c>
      <c r="BB80" s="879">
        <f>BF80</f>
        <v>9.4119200000000003</v>
      </c>
      <c r="BC80" s="10">
        <f>BF80</f>
        <v>9.4119200000000003</v>
      </c>
      <c r="BD80" s="10">
        <f>BF80</f>
        <v>9.4119200000000003</v>
      </c>
      <c r="BE80" s="10">
        <f>BF80</f>
        <v>9.4119200000000003</v>
      </c>
      <c r="BF80" s="307">
        <f t="shared" ref="BF80:BF86" si="168">AX80*(1+BF89)</f>
        <v>9.4119200000000003</v>
      </c>
      <c r="BG80" s="880">
        <f>BN80</f>
        <v>9.2236816000000008</v>
      </c>
      <c r="BH80" s="880">
        <f>BN80</f>
        <v>9.2236816000000008</v>
      </c>
      <c r="BI80" s="880">
        <f>BN80</f>
        <v>9.2236816000000008</v>
      </c>
      <c r="BJ80" s="879">
        <f>BN80</f>
        <v>9.2236816000000008</v>
      </c>
      <c r="BK80" s="10">
        <f>BN80</f>
        <v>9.2236816000000008</v>
      </c>
      <c r="BL80" s="10">
        <f>BN80</f>
        <v>9.2236816000000008</v>
      </c>
      <c r="BM80" s="10">
        <f>BN80</f>
        <v>9.2236816000000008</v>
      </c>
      <c r="BN80" s="307">
        <f t="shared" ref="BN80:BN86" si="169">BF80*(1+BN89)</f>
        <v>9.2236816000000008</v>
      </c>
      <c r="BO80" s="880">
        <f>BV80</f>
        <v>9.0392079680000013</v>
      </c>
      <c r="BP80" s="880">
        <f>BV80</f>
        <v>9.0392079680000013</v>
      </c>
      <c r="BQ80" s="880">
        <f>BV80</f>
        <v>9.0392079680000013</v>
      </c>
      <c r="BR80" s="879">
        <f>BV80</f>
        <v>9.0392079680000013</v>
      </c>
      <c r="BS80" s="10">
        <f>BV80</f>
        <v>9.0392079680000013</v>
      </c>
      <c r="BT80" s="10">
        <f>BV80</f>
        <v>9.0392079680000013</v>
      </c>
      <c r="BU80" s="10">
        <f>BV80</f>
        <v>9.0392079680000013</v>
      </c>
      <c r="BV80" s="307">
        <f t="shared" ref="BV80:BV86" si="170">BN80*(1+BV89)</f>
        <v>9.0392079680000013</v>
      </c>
      <c r="BX80" s="8"/>
    </row>
    <row r="81" spans="1:76" x14ac:dyDescent="0.2">
      <c r="A81" s="4" t="s">
        <v>857</v>
      </c>
      <c r="B81" s="9">
        <v>10.5</v>
      </c>
      <c r="C81" s="8">
        <f t="shared" si="163"/>
        <v>10.71</v>
      </c>
      <c r="D81" s="8">
        <f t="shared" si="163"/>
        <v>10.924200000000001</v>
      </c>
      <c r="E81" s="8">
        <f t="shared" si="163"/>
        <v>11.142684000000001</v>
      </c>
      <c r="F81" s="8">
        <f t="shared" si="163"/>
        <v>11.365537680000001</v>
      </c>
      <c r="G81" s="8">
        <f t="shared" si="163"/>
        <v>11.5928484336</v>
      </c>
      <c r="H81" s="8">
        <f t="shared" si="163"/>
        <v>11.824705402272</v>
      </c>
      <c r="I81" s="8">
        <f t="shared" si="163"/>
        <v>12.06119951031744</v>
      </c>
      <c r="J81" s="306">
        <f t="shared" si="163"/>
        <v>12.423035495626964</v>
      </c>
      <c r="K81" s="1391">
        <f t="shared" ref="K81:K95" si="171">R81</f>
        <v>12.919956915452042</v>
      </c>
      <c r="L81" s="1391">
        <f t="shared" ref="L81:L95" si="172">R81</f>
        <v>12.919956915452042</v>
      </c>
      <c r="M81" s="1391">
        <f t="shared" ref="M81:M95" si="173">R81</f>
        <v>12.919956915452042</v>
      </c>
      <c r="N81" s="1392">
        <f t="shared" ref="N81:N95" si="174">R81</f>
        <v>12.919956915452042</v>
      </c>
      <c r="O81" s="8">
        <f t="shared" ref="O81:O86" si="175">R81</f>
        <v>12.919956915452042</v>
      </c>
      <c r="P81" s="8">
        <f t="shared" ref="P81:P86" si="176">R81</f>
        <v>12.919956915452042</v>
      </c>
      <c r="Q81" s="8">
        <f t="shared" ref="Q81:Q86" si="177">R81</f>
        <v>12.919956915452042</v>
      </c>
      <c r="R81" s="1232">
        <f t="shared" si="164"/>
        <v>12.919956915452042</v>
      </c>
      <c r="S81" s="878">
        <f t="shared" ref="S81:S86" si="178">Z81</f>
        <v>13.436755192070125</v>
      </c>
      <c r="T81" s="878">
        <f t="shared" ref="T81:T86" si="179">Z81</f>
        <v>13.436755192070125</v>
      </c>
      <c r="U81" s="878">
        <f t="shared" ref="U81:U86" si="180">Z81</f>
        <v>13.436755192070125</v>
      </c>
      <c r="V81" s="1576">
        <f t="shared" ref="V81:V86" si="181">Z81</f>
        <v>13.436755192070125</v>
      </c>
      <c r="W81" s="8">
        <f t="shared" ref="W81:W86" si="182">Z81</f>
        <v>13.436755192070125</v>
      </c>
      <c r="X81" s="8">
        <f t="shared" ref="X81:X86" si="183">Z81</f>
        <v>13.436755192070125</v>
      </c>
      <c r="Y81" s="8">
        <f t="shared" ref="Y81:Y86" si="184">Z81</f>
        <v>13.436755192070125</v>
      </c>
      <c r="Z81" s="1232">
        <f t="shared" si="165"/>
        <v>13.436755192070125</v>
      </c>
      <c r="AA81" s="878">
        <f t="shared" ref="AA81:AA86" si="185">AH81</f>
        <v>15</v>
      </c>
      <c r="AB81" s="878">
        <f t="shared" ref="AB81:AB86" si="186">AH81</f>
        <v>15</v>
      </c>
      <c r="AC81" s="878">
        <f t="shared" ref="AC81:AC86" si="187">AH81</f>
        <v>15</v>
      </c>
      <c r="AD81" s="1576">
        <f t="shared" ref="AD81:AD86" si="188">AH81</f>
        <v>15</v>
      </c>
      <c r="AE81" s="8">
        <f t="shared" ref="AE81:AE86" si="189">AH81</f>
        <v>15</v>
      </c>
      <c r="AF81" s="8">
        <f t="shared" ref="AF81:AF86" si="190">AH81</f>
        <v>15</v>
      </c>
      <c r="AG81" s="8">
        <f t="shared" ref="AG81:AG86" si="191">AH81</f>
        <v>15</v>
      </c>
      <c r="AH81" s="1232">
        <v>15</v>
      </c>
      <c r="AI81" s="878">
        <f t="shared" ref="AI81:AI86" si="192">AP81</f>
        <v>15.600000000000001</v>
      </c>
      <c r="AJ81" s="878">
        <f t="shared" ref="AJ81:AJ86" si="193">AP81</f>
        <v>15.600000000000001</v>
      </c>
      <c r="AK81" s="880">
        <f t="shared" ref="AK81:AK86" si="194">AP81</f>
        <v>15.600000000000001</v>
      </c>
      <c r="AL81" s="879">
        <f t="shared" ref="AL81:AL86" si="195">AP81</f>
        <v>15.600000000000001</v>
      </c>
      <c r="AM81" s="8">
        <f t="shared" ref="AM81:AM86" si="196">AP81</f>
        <v>15.600000000000001</v>
      </c>
      <c r="AN81" s="10">
        <f t="shared" ref="AN81:AN86" si="197">AP81</f>
        <v>15.600000000000001</v>
      </c>
      <c r="AO81" s="10">
        <f t="shared" ref="AO81:AO86" si="198">AP81</f>
        <v>15.600000000000001</v>
      </c>
      <c r="AP81" s="307">
        <f t="shared" si="166"/>
        <v>15.600000000000001</v>
      </c>
      <c r="AQ81" s="880">
        <f t="shared" ref="AQ81:AQ86" si="199">AX81</f>
        <v>16.224000000000004</v>
      </c>
      <c r="AR81" s="880">
        <f t="shared" ref="AR81:AR86" si="200">AX81</f>
        <v>16.224000000000004</v>
      </c>
      <c r="AS81" s="880">
        <f t="shared" ref="AS81:AS86" si="201">AX81</f>
        <v>16.224000000000004</v>
      </c>
      <c r="AT81" s="879">
        <f t="shared" ref="AT81:AT86" si="202">AX81</f>
        <v>16.224000000000004</v>
      </c>
      <c r="AU81" s="10">
        <f t="shared" ref="AU81:AU86" si="203">AX81</f>
        <v>16.224000000000004</v>
      </c>
      <c r="AV81" s="10">
        <f t="shared" ref="AV81:AV86" si="204">AX81</f>
        <v>16.224000000000004</v>
      </c>
      <c r="AW81" s="10">
        <f t="shared" ref="AW81:AW86" si="205">AX81</f>
        <v>16.224000000000004</v>
      </c>
      <c r="AX81" s="307">
        <f t="shared" si="167"/>
        <v>16.224000000000004</v>
      </c>
      <c r="AY81" s="880">
        <f t="shared" ref="AY81:AY86" si="206">BF81</f>
        <v>16.872960000000006</v>
      </c>
      <c r="AZ81" s="880">
        <f t="shared" ref="AZ81:AZ86" si="207">BF81</f>
        <v>16.872960000000006</v>
      </c>
      <c r="BA81" s="880">
        <f t="shared" ref="BA81:BA86" si="208">BF81</f>
        <v>16.872960000000006</v>
      </c>
      <c r="BB81" s="879">
        <f t="shared" ref="BB81:BB86" si="209">BF81</f>
        <v>16.872960000000006</v>
      </c>
      <c r="BC81" s="10">
        <f t="shared" ref="BC81:BC86" si="210">BF81</f>
        <v>16.872960000000006</v>
      </c>
      <c r="BD81" s="10">
        <f t="shared" ref="BD81:BD86" si="211">BF81</f>
        <v>16.872960000000006</v>
      </c>
      <c r="BE81" s="10">
        <f t="shared" ref="BE81:BE86" si="212">BF81</f>
        <v>16.872960000000006</v>
      </c>
      <c r="BF81" s="307">
        <f t="shared" si="168"/>
        <v>16.872960000000006</v>
      </c>
      <c r="BG81" s="880">
        <f t="shared" ref="BG81:BG86" si="213">BN81</f>
        <v>17.547878400000005</v>
      </c>
      <c r="BH81" s="880">
        <f t="shared" ref="BH81:BH86" si="214">BN81</f>
        <v>17.547878400000005</v>
      </c>
      <c r="BI81" s="880">
        <f t="shared" ref="BI81:BI86" si="215">BN81</f>
        <v>17.547878400000005</v>
      </c>
      <c r="BJ81" s="879">
        <f t="shared" ref="BJ81:BJ86" si="216">BN81</f>
        <v>17.547878400000005</v>
      </c>
      <c r="BK81" s="10">
        <f t="shared" ref="BK81:BK86" si="217">BN81</f>
        <v>17.547878400000005</v>
      </c>
      <c r="BL81" s="10">
        <f t="shared" ref="BL81:BL86" si="218">BN81</f>
        <v>17.547878400000005</v>
      </c>
      <c r="BM81" s="10">
        <f t="shared" ref="BM81:BM86" si="219">BN81</f>
        <v>17.547878400000005</v>
      </c>
      <c r="BN81" s="307">
        <f t="shared" si="169"/>
        <v>17.547878400000005</v>
      </c>
      <c r="BO81" s="880">
        <f t="shared" ref="BO81:BO86" si="220">BV81</f>
        <v>18.249793536000006</v>
      </c>
      <c r="BP81" s="880">
        <f t="shared" ref="BP81:BP86" si="221">BV81</f>
        <v>18.249793536000006</v>
      </c>
      <c r="BQ81" s="880">
        <f t="shared" ref="BQ81:BQ86" si="222">BV81</f>
        <v>18.249793536000006</v>
      </c>
      <c r="BR81" s="879">
        <f t="shared" ref="BR81:BR86" si="223">BV81</f>
        <v>18.249793536000006</v>
      </c>
      <c r="BS81" s="10">
        <f t="shared" ref="BS81:BS86" si="224">BV81</f>
        <v>18.249793536000006</v>
      </c>
      <c r="BT81" s="10">
        <f t="shared" ref="BT81:BT86" si="225">BV81</f>
        <v>18.249793536000006</v>
      </c>
      <c r="BU81" s="10">
        <f t="shared" ref="BU81:BU86" si="226">BV81</f>
        <v>18.249793536000006</v>
      </c>
      <c r="BV81" s="307">
        <f t="shared" si="170"/>
        <v>18.249793536000006</v>
      </c>
      <c r="BX81" s="8"/>
    </row>
    <row r="82" spans="1:76" x14ac:dyDescent="0.2">
      <c r="A82" s="4" t="s">
        <v>802</v>
      </c>
      <c r="B82" s="9">
        <v>20</v>
      </c>
      <c r="C82" s="8">
        <f t="shared" si="163"/>
        <v>20.2</v>
      </c>
      <c r="D82" s="8">
        <f t="shared" si="163"/>
        <v>20.402000000000001</v>
      </c>
      <c r="E82" s="8">
        <f t="shared" si="163"/>
        <v>20.606020000000001</v>
      </c>
      <c r="F82" s="8">
        <f t="shared" si="163"/>
        <v>20.8120802</v>
      </c>
      <c r="G82" s="8">
        <f t="shared" si="163"/>
        <v>21.020201002</v>
      </c>
      <c r="H82" s="8">
        <f t="shared" si="163"/>
        <v>21.230403012020002</v>
      </c>
      <c r="I82" s="8">
        <f t="shared" si="163"/>
        <v>21.442707042140203</v>
      </c>
      <c r="J82" s="306">
        <f t="shared" si="163"/>
        <v>21.871561182983008</v>
      </c>
      <c r="K82" s="1391">
        <f t="shared" si="171"/>
        <v>22.527708018472499</v>
      </c>
      <c r="L82" s="1391">
        <f t="shared" si="172"/>
        <v>22.527708018472499</v>
      </c>
      <c r="M82" s="1391">
        <f t="shared" si="173"/>
        <v>22.527708018472499</v>
      </c>
      <c r="N82" s="1392">
        <f t="shared" si="174"/>
        <v>22.527708018472499</v>
      </c>
      <c r="O82" s="8">
        <f t="shared" si="175"/>
        <v>22.527708018472499</v>
      </c>
      <c r="P82" s="8">
        <f t="shared" si="176"/>
        <v>22.527708018472499</v>
      </c>
      <c r="Q82" s="8">
        <f t="shared" si="177"/>
        <v>22.527708018472499</v>
      </c>
      <c r="R82" s="1232">
        <f t="shared" si="164"/>
        <v>22.527708018472499</v>
      </c>
      <c r="S82" s="878">
        <f t="shared" si="178"/>
        <v>22.978262178841948</v>
      </c>
      <c r="T82" s="878">
        <f t="shared" si="179"/>
        <v>22.978262178841948</v>
      </c>
      <c r="U82" s="878">
        <f t="shared" si="180"/>
        <v>22.978262178841948</v>
      </c>
      <c r="V82" s="1576">
        <f t="shared" si="181"/>
        <v>22.978262178841948</v>
      </c>
      <c r="W82" s="8">
        <f t="shared" si="182"/>
        <v>22.978262178841948</v>
      </c>
      <c r="X82" s="8">
        <f t="shared" si="183"/>
        <v>22.978262178841948</v>
      </c>
      <c r="Y82" s="8">
        <f t="shared" si="184"/>
        <v>22.978262178841948</v>
      </c>
      <c r="Z82" s="1232">
        <f t="shared" si="165"/>
        <v>22.978262178841948</v>
      </c>
      <c r="AA82" s="878">
        <f t="shared" si="185"/>
        <v>30</v>
      </c>
      <c r="AB82" s="878">
        <f t="shared" si="186"/>
        <v>30</v>
      </c>
      <c r="AC82" s="878">
        <f t="shared" si="187"/>
        <v>30</v>
      </c>
      <c r="AD82" s="1576">
        <f t="shared" si="188"/>
        <v>30</v>
      </c>
      <c r="AE82" s="8">
        <f t="shared" si="189"/>
        <v>30</v>
      </c>
      <c r="AF82" s="8">
        <f t="shared" si="190"/>
        <v>30</v>
      </c>
      <c r="AG82" s="8">
        <f t="shared" si="191"/>
        <v>30</v>
      </c>
      <c r="AH82" s="1232">
        <v>30</v>
      </c>
      <c r="AI82" s="878">
        <f t="shared" si="192"/>
        <v>30.900000000000002</v>
      </c>
      <c r="AJ82" s="878">
        <f t="shared" si="193"/>
        <v>30.900000000000002</v>
      </c>
      <c r="AK82" s="880">
        <f t="shared" si="194"/>
        <v>30.900000000000002</v>
      </c>
      <c r="AL82" s="879">
        <f t="shared" si="195"/>
        <v>30.900000000000002</v>
      </c>
      <c r="AM82" s="8">
        <f t="shared" si="196"/>
        <v>30.900000000000002</v>
      </c>
      <c r="AN82" s="10">
        <f t="shared" si="197"/>
        <v>30.900000000000002</v>
      </c>
      <c r="AO82" s="10">
        <f t="shared" si="198"/>
        <v>30.900000000000002</v>
      </c>
      <c r="AP82" s="307">
        <f t="shared" si="166"/>
        <v>30.900000000000002</v>
      </c>
      <c r="AQ82" s="880">
        <f t="shared" si="199"/>
        <v>31.827000000000002</v>
      </c>
      <c r="AR82" s="880">
        <f t="shared" si="200"/>
        <v>31.827000000000002</v>
      </c>
      <c r="AS82" s="880">
        <f t="shared" si="201"/>
        <v>31.827000000000002</v>
      </c>
      <c r="AT82" s="879">
        <f t="shared" si="202"/>
        <v>31.827000000000002</v>
      </c>
      <c r="AU82" s="10">
        <f t="shared" si="203"/>
        <v>31.827000000000002</v>
      </c>
      <c r="AV82" s="10">
        <f t="shared" si="204"/>
        <v>31.827000000000002</v>
      </c>
      <c r="AW82" s="10">
        <f t="shared" si="205"/>
        <v>31.827000000000002</v>
      </c>
      <c r="AX82" s="307">
        <f t="shared" si="167"/>
        <v>31.827000000000002</v>
      </c>
      <c r="AY82" s="880">
        <f t="shared" si="206"/>
        <v>32.78181</v>
      </c>
      <c r="AZ82" s="880">
        <f t="shared" si="207"/>
        <v>32.78181</v>
      </c>
      <c r="BA82" s="880">
        <f t="shared" si="208"/>
        <v>32.78181</v>
      </c>
      <c r="BB82" s="879">
        <f t="shared" si="209"/>
        <v>32.78181</v>
      </c>
      <c r="BC82" s="10">
        <f t="shared" si="210"/>
        <v>32.78181</v>
      </c>
      <c r="BD82" s="10">
        <f t="shared" si="211"/>
        <v>32.78181</v>
      </c>
      <c r="BE82" s="10">
        <f t="shared" si="212"/>
        <v>32.78181</v>
      </c>
      <c r="BF82" s="307">
        <f t="shared" si="168"/>
        <v>32.78181</v>
      </c>
      <c r="BG82" s="880">
        <f t="shared" si="213"/>
        <v>33.765264299999998</v>
      </c>
      <c r="BH82" s="880">
        <f t="shared" si="214"/>
        <v>33.765264299999998</v>
      </c>
      <c r="BI82" s="880">
        <f t="shared" si="215"/>
        <v>33.765264299999998</v>
      </c>
      <c r="BJ82" s="879">
        <f t="shared" si="216"/>
        <v>33.765264299999998</v>
      </c>
      <c r="BK82" s="10">
        <f t="shared" si="217"/>
        <v>33.765264299999998</v>
      </c>
      <c r="BL82" s="10">
        <f t="shared" si="218"/>
        <v>33.765264299999998</v>
      </c>
      <c r="BM82" s="10">
        <f t="shared" si="219"/>
        <v>33.765264299999998</v>
      </c>
      <c r="BN82" s="307">
        <f t="shared" si="169"/>
        <v>33.765264299999998</v>
      </c>
      <c r="BO82" s="880">
        <f t="shared" si="220"/>
        <v>34.778222229000001</v>
      </c>
      <c r="BP82" s="880">
        <f t="shared" si="221"/>
        <v>34.778222229000001</v>
      </c>
      <c r="BQ82" s="880">
        <f t="shared" si="222"/>
        <v>34.778222229000001</v>
      </c>
      <c r="BR82" s="879">
        <f t="shared" si="223"/>
        <v>34.778222229000001</v>
      </c>
      <c r="BS82" s="10">
        <f t="shared" si="224"/>
        <v>34.778222229000001</v>
      </c>
      <c r="BT82" s="10">
        <f t="shared" si="225"/>
        <v>34.778222229000001</v>
      </c>
      <c r="BU82" s="10">
        <f t="shared" si="226"/>
        <v>34.778222229000001</v>
      </c>
      <c r="BV82" s="307">
        <f t="shared" si="170"/>
        <v>34.778222229000001</v>
      </c>
    </row>
    <row r="83" spans="1:76" x14ac:dyDescent="0.2">
      <c r="A83" s="4" t="s">
        <v>859</v>
      </c>
      <c r="B83" s="9">
        <v>37</v>
      </c>
      <c r="C83" s="8">
        <f t="shared" si="163"/>
        <v>37.369999999999997</v>
      </c>
      <c r="D83" s="8">
        <f t="shared" si="163"/>
        <v>37.743699999999997</v>
      </c>
      <c r="E83" s="8">
        <f t="shared" si="163"/>
        <v>38.121136999999997</v>
      </c>
      <c r="F83" s="8">
        <f t="shared" si="163"/>
        <v>38.50234837</v>
      </c>
      <c r="G83" s="8">
        <f t="shared" si="163"/>
        <v>38.887371853700003</v>
      </c>
      <c r="H83" s="8">
        <f t="shared" si="163"/>
        <v>39.276245572237002</v>
      </c>
      <c r="I83" s="8">
        <f t="shared" si="163"/>
        <v>39.669008027959372</v>
      </c>
      <c r="J83" s="306">
        <f t="shared" si="163"/>
        <v>40.46238818851856</v>
      </c>
      <c r="K83" s="1391">
        <f t="shared" si="171"/>
        <v>41.676259834174118</v>
      </c>
      <c r="L83" s="1391">
        <f t="shared" si="172"/>
        <v>41.676259834174118</v>
      </c>
      <c r="M83" s="1391">
        <f t="shared" si="173"/>
        <v>41.676259834174118</v>
      </c>
      <c r="N83" s="1392">
        <f t="shared" si="174"/>
        <v>41.676259834174118</v>
      </c>
      <c r="O83" s="8">
        <f t="shared" si="175"/>
        <v>41.676259834174118</v>
      </c>
      <c r="P83" s="8">
        <f t="shared" si="176"/>
        <v>41.676259834174118</v>
      </c>
      <c r="Q83" s="8">
        <f t="shared" si="177"/>
        <v>41.676259834174118</v>
      </c>
      <c r="R83" s="1232">
        <f t="shared" si="164"/>
        <v>41.676259834174118</v>
      </c>
      <c r="S83" s="878">
        <f t="shared" si="178"/>
        <v>42.5097850308576</v>
      </c>
      <c r="T83" s="878">
        <f t="shared" si="179"/>
        <v>42.5097850308576</v>
      </c>
      <c r="U83" s="878">
        <f t="shared" si="180"/>
        <v>42.5097850308576</v>
      </c>
      <c r="V83" s="1576">
        <f t="shared" si="181"/>
        <v>42.5097850308576</v>
      </c>
      <c r="W83" s="8">
        <f t="shared" si="182"/>
        <v>42.5097850308576</v>
      </c>
      <c r="X83" s="8">
        <f t="shared" si="183"/>
        <v>42.5097850308576</v>
      </c>
      <c r="Y83" s="8">
        <f t="shared" si="184"/>
        <v>42.5097850308576</v>
      </c>
      <c r="Z83" s="1232">
        <f t="shared" si="165"/>
        <v>42.5097850308576</v>
      </c>
      <c r="AA83" s="878">
        <f t="shared" si="185"/>
        <v>40</v>
      </c>
      <c r="AB83" s="878">
        <f t="shared" si="186"/>
        <v>40</v>
      </c>
      <c r="AC83" s="878">
        <f t="shared" si="187"/>
        <v>40</v>
      </c>
      <c r="AD83" s="1576">
        <f t="shared" si="188"/>
        <v>40</v>
      </c>
      <c r="AE83" s="8">
        <f t="shared" si="189"/>
        <v>40</v>
      </c>
      <c r="AF83" s="8">
        <f t="shared" si="190"/>
        <v>40</v>
      </c>
      <c r="AG83" s="8">
        <f t="shared" si="191"/>
        <v>40</v>
      </c>
      <c r="AH83" s="1232">
        <v>40</v>
      </c>
      <c r="AI83" s="878">
        <f t="shared" si="192"/>
        <v>41.2</v>
      </c>
      <c r="AJ83" s="878">
        <f t="shared" si="193"/>
        <v>41.2</v>
      </c>
      <c r="AK83" s="880">
        <f t="shared" si="194"/>
        <v>41.2</v>
      </c>
      <c r="AL83" s="879">
        <f t="shared" si="195"/>
        <v>41.2</v>
      </c>
      <c r="AM83" s="8">
        <f t="shared" si="196"/>
        <v>41.2</v>
      </c>
      <c r="AN83" s="10">
        <f t="shared" si="197"/>
        <v>41.2</v>
      </c>
      <c r="AO83" s="10">
        <f t="shared" si="198"/>
        <v>41.2</v>
      </c>
      <c r="AP83" s="307">
        <f t="shared" si="166"/>
        <v>41.2</v>
      </c>
      <c r="AQ83" s="880">
        <f t="shared" si="199"/>
        <v>42.436000000000007</v>
      </c>
      <c r="AR83" s="880">
        <f t="shared" si="200"/>
        <v>42.436000000000007</v>
      </c>
      <c r="AS83" s="880">
        <f t="shared" si="201"/>
        <v>42.436000000000007</v>
      </c>
      <c r="AT83" s="879">
        <f t="shared" si="202"/>
        <v>42.436000000000007</v>
      </c>
      <c r="AU83" s="10">
        <f t="shared" si="203"/>
        <v>42.436000000000007</v>
      </c>
      <c r="AV83" s="10">
        <f t="shared" si="204"/>
        <v>42.436000000000007</v>
      </c>
      <c r="AW83" s="10">
        <f t="shared" si="205"/>
        <v>42.436000000000007</v>
      </c>
      <c r="AX83" s="307">
        <f t="shared" si="167"/>
        <v>42.436000000000007</v>
      </c>
      <c r="AY83" s="880">
        <f t="shared" si="206"/>
        <v>43.709080000000007</v>
      </c>
      <c r="AZ83" s="880">
        <f t="shared" si="207"/>
        <v>43.709080000000007</v>
      </c>
      <c r="BA83" s="880">
        <f t="shared" si="208"/>
        <v>43.709080000000007</v>
      </c>
      <c r="BB83" s="879">
        <f t="shared" si="209"/>
        <v>43.709080000000007</v>
      </c>
      <c r="BC83" s="10">
        <f t="shared" si="210"/>
        <v>43.709080000000007</v>
      </c>
      <c r="BD83" s="10">
        <f t="shared" si="211"/>
        <v>43.709080000000007</v>
      </c>
      <c r="BE83" s="10">
        <f t="shared" si="212"/>
        <v>43.709080000000007</v>
      </c>
      <c r="BF83" s="307">
        <f t="shared" si="168"/>
        <v>43.709080000000007</v>
      </c>
      <c r="BG83" s="880">
        <f t="shared" si="213"/>
        <v>45.020352400000007</v>
      </c>
      <c r="BH83" s="880">
        <f t="shared" si="214"/>
        <v>45.020352400000007</v>
      </c>
      <c r="BI83" s="880">
        <f t="shared" si="215"/>
        <v>45.020352400000007</v>
      </c>
      <c r="BJ83" s="879">
        <f t="shared" si="216"/>
        <v>45.020352400000007</v>
      </c>
      <c r="BK83" s="10">
        <f t="shared" si="217"/>
        <v>45.020352400000007</v>
      </c>
      <c r="BL83" s="10">
        <f t="shared" si="218"/>
        <v>45.020352400000007</v>
      </c>
      <c r="BM83" s="10">
        <f t="shared" si="219"/>
        <v>45.020352400000007</v>
      </c>
      <c r="BN83" s="307">
        <f t="shared" si="169"/>
        <v>45.020352400000007</v>
      </c>
      <c r="BO83" s="880">
        <f t="shared" si="220"/>
        <v>46.370962972000008</v>
      </c>
      <c r="BP83" s="880">
        <f t="shared" si="221"/>
        <v>46.370962972000008</v>
      </c>
      <c r="BQ83" s="880">
        <f t="shared" si="222"/>
        <v>46.370962972000008</v>
      </c>
      <c r="BR83" s="879">
        <f t="shared" si="223"/>
        <v>46.370962972000008</v>
      </c>
      <c r="BS83" s="10">
        <f t="shared" si="224"/>
        <v>46.370962972000008</v>
      </c>
      <c r="BT83" s="10">
        <f t="shared" si="225"/>
        <v>46.370962972000008</v>
      </c>
      <c r="BU83" s="10">
        <f t="shared" si="226"/>
        <v>46.370962972000008</v>
      </c>
      <c r="BV83" s="307">
        <f t="shared" si="170"/>
        <v>46.370962972000008</v>
      </c>
    </row>
    <row r="84" spans="1:76" x14ac:dyDescent="0.2">
      <c r="A84" s="4" t="s">
        <v>860</v>
      </c>
      <c r="B84" s="9">
        <v>18</v>
      </c>
      <c r="C84" s="8">
        <f t="shared" si="163"/>
        <v>18.18</v>
      </c>
      <c r="D84" s="8">
        <f t="shared" si="163"/>
        <v>18.361799999999999</v>
      </c>
      <c r="E84" s="8">
        <f t="shared" si="163"/>
        <v>18.545417999999998</v>
      </c>
      <c r="F84" s="8">
        <f t="shared" si="163"/>
        <v>18.730872179999999</v>
      </c>
      <c r="G84" s="8">
        <f t="shared" si="163"/>
        <v>18.9181809018</v>
      </c>
      <c r="H84" s="8">
        <f t="shared" si="163"/>
        <v>19.107362710817998</v>
      </c>
      <c r="I84" s="8">
        <f t="shared" si="163"/>
        <v>19.29843633792618</v>
      </c>
      <c r="J84" s="306">
        <f t="shared" si="163"/>
        <v>19.684405064684704</v>
      </c>
      <c r="K84" s="1391">
        <f t="shared" si="171"/>
        <v>20.274937216625247</v>
      </c>
      <c r="L84" s="1391">
        <f t="shared" si="172"/>
        <v>20.274937216625247</v>
      </c>
      <c r="M84" s="1391">
        <f t="shared" si="173"/>
        <v>20.274937216625247</v>
      </c>
      <c r="N84" s="1392">
        <f t="shared" si="174"/>
        <v>20.274937216625247</v>
      </c>
      <c r="O84" s="8">
        <f t="shared" si="175"/>
        <v>20.274937216625247</v>
      </c>
      <c r="P84" s="8">
        <f t="shared" si="176"/>
        <v>20.274937216625247</v>
      </c>
      <c r="Q84" s="8">
        <f t="shared" si="177"/>
        <v>20.274937216625247</v>
      </c>
      <c r="R84" s="1232">
        <f t="shared" si="164"/>
        <v>20.274937216625247</v>
      </c>
      <c r="S84" s="878">
        <f t="shared" si="178"/>
        <v>20.680435960957752</v>
      </c>
      <c r="T84" s="878">
        <f t="shared" si="179"/>
        <v>20.680435960957752</v>
      </c>
      <c r="U84" s="878">
        <f t="shared" si="180"/>
        <v>20.680435960957752</v>
      </c>
      <c r="V84" s="1576">
        <f t="shared" si="181"/>
        <v>20.680435960957752</v>
      </c>
      <c r="W84" s="8">
        <f t="shared" si="182"/>
        <v>20.680435960957752</v>
      </c>
      <c r="X84" s="8">
        <f t="shared" si="183"/>
        <v>20.680435960957752</v>
      </c>
      <c r="Y84" s="8">
        <f t="shared" si="184"/>
        <v>20.680435960957752</v>
      </c>
      <c r="Z84" s="1232">
        <f t="shared" si="165"/>
        <v>20.680435960957752</v>
      </c>
      <c r="AA84" s="878">
        <f t="shared" si="185"/>
        <v>16</v>
      </c>
      <c r="AB84" s="878">
        <f t="shared" si="186"/>
        <v>16</v>
      </c>
      <c r="AC84" s="878">
        <f t="shared" si="187"/>
        <v>16</v>
      </c>
      <c r="AD84" s="1576">
        <f t="shared" si="188"/>
        <v>16</v>
      </c>
      <c r="AE84" s="8">
        <f t="shared" si="189"/>
        <v>16</v>
      </c>
      <c r="AF84" s="8">
        <f t="shared" si="190"/>
        <v>16</v>
      </c>
      <c r="AG84" s="8">
        <f t="shared" si="191"/>
        <v>16</v>
      </c>
      <c r="AH84" s="1232">
        <v>16</v>
      </c>
      <c r="AI84" s="878">
        <f t="shared" si="192"/>
        <v>16.48</v>
      </c>
      <c r="AJ84" s="878">
        <f t="shared" si="193"/>
        <v>16.48</v>
      </c>
      <c r="AK84" s="880">
        <f t="shared" si="194"/>
        <v>16.48</v>
      </c>
      <c r="AL84" s="879">
        <f t="shared" si="195"/>
        <v>16.48</v>
      </c>
      <c r="AM84" s="8">
        <f t="shared" si="196"/>
        <v>16.48</v>
      </c>
      <c r="AN84" s="10">
        <f t="shared" si="197"/>
        <v>16.48</v>
      </c>
      <c r="AO84" s="10">
        <f t="shared" si="198"/>
        <v>16.48</v>
      </c>
      <c r="AP84" s="307">
        <f t="shared" si="166"/>
        <v>16.48</v>
      </c>
      <c r="AQ84" s="880">
        <f t="shared" si="199"/>
        <v>16.974399999999999</v>
      </c>
      <c r="AR84" s="880">
        <f t="shared" si="200"/>
        <v>16.974399999999999</v>
      </c>
      <c r="AS84" s="880">
        <f t="shared" si="201"/>
        <v>16.974399999999999</v>
      </c>
      <c r="AT84" s="879">
        <f t="shared" si="202"/>
        <v>16.974399999999999</v>
      </c>
      <c r="AU84" s="10">
        <f t="shared" si="203"/>
        <v>16.974399999999999</v>
      </c>
      <c r="AV84" s="10">
        <f t="shared" si="204"/>
        <v>16.974399999999999</v>
      </c>
      <c r="AW84" s="10">
        <f t="shared" si="205"/>
        <v>16.974399999999999</v>
      </c>
      <c r="AX84" s="307">
        <f t="shared" si="167"/>
        <v>16.974399999999999</v>
      </c>
      <c r="AY84" s="880">
        <f t="shared" si="206"/>
        <v>17.483632</v>
      </c>
      <c r="AZ84" s="880">
        <f t="shared" si="207"/>
        <v>17.483632</v>
      </c>
      <c r="BA84" s="880">
        <f t="shared" si="208"/>
        <v>17.483632</v>
      </c>
      <c r="BB84" s="879">
        <f t="shared" si="209"/>
        <v>17.483632</v>
      </c>
      <c r="BC84" s="10">
        <f t="shared" si="210"/>
        <v>17.483632</v>
      </c>
      <c r="BD84" s="10">
        <f t="shared" si="211"/>
        <v>17.483632</v>
      </c>
      <c r="BE84" s="10">
        <f t="shared" si="212"/>
        <v>17.483632</v>
      </c>
      <c r="BF84" s="307">
        <f t="shared" si="168"/>
        <v>17.483632</v>
      </c>
      <c r="BG84" s="880">
        <f t="shared" si="213"/>
        <v>18.008140960000002</v>
      </c>
      <c r="BH84" s="880">
        <f t="shared" si="214"/>
        <v>18.008140960000002</v>
      </c>
      <c r="BI84" s="880">
        <f t="shared" si="215"/>
        <v>18.008140960000002</v>
      </c>
      <c r="BJ84" s="879">
        <f t="shared" si="216"/>
        <v>18.008140960000002</v>
      </c>
      <c r="BK84" s="10">
        <f t="shared" si="217"/>
        <v>18.008140960000002</v>
      </c>
      <c r="BL84" s="10">
        <f t="shared" si="218"/>
        <v>18.008140960000002</v>
      </c>
      <c r="BM84" s="10">
        <f t="shared" si="219"/>
        <v>18.008140960000002</v>
      </c>
      <c r="BN84" s="307">
        <f t="shared" si="169"/>
        <v>18.008140960000002</v>
      </c>
      <c r="BO84" s="880">
        <f t="shared" si="220"/>
        <v>18.548385188800001</v>
      </c>
      <c r="BP84" s="880">
        <f t="shared" si="221"/>
        <v>18.548385188800001</v>
      </c>
      <c r="BQ84" s="880">
        <f t="shared" si="222"/>
        <v>18.548385188800001</v>
      </c>
      <c r="BR84" s="879">
        <f t="shared" si="223"/>
        <v>18.548385188800001</v>
      </c>
      <c r="BS84" s="10">
        <f t="shared" si="224"/>
        <v>18.548385188800001</v>
      </c>
      <c r="BT84" s="10">
        <f t="shared" si="225"/>
        <v>18.548385188800001</v>
      </c>
      <c r="BU84" s="10">
        <f t="shared" si="226"/>
        <v>18.548385188800001</v>
      </c>
      <c r="BV84" s="307">
        <f t="shared" si="170"/>
        <v>18.548385188800001</v>
      </c>
    </row>
    <row r="85" spans="1:76" x14ac:dyDescent="0.2">
      <c r="A85" s="4" t="s">
        <v>861</v>
      </c>
      <c r="B85" s="9">
        <v>18.5</v>
      </c>
      <c r="C85" s="8">
        <f t="shared" si="163"/>
        <v>18.684999999999999</v>
      </c>
      <c r="D85" s="8">
        <f t="shared" si="163"/>
        <v>18.871849999999998</v>
      </c>
      <c r="E85" s="8">
        <f t="shared" si="163"/>
        <v>19.060568499999999</v>
      </c>
      <c r="F85" s="8">
        <f t="shared" si="163"/>
        <v>19.251174185</v>
      </c>
      <c r="G85" s="8">
        <f t="shared" si="163"/>
        <v>19.443685926850002</v>
      </c>
      <c r="H85" s="8">
        <f t="shared" si="163"/>
        <v>19.638122786118501</v>
      </c>
      <c r="I85" s="8">
        <f t="shared" si="163"/>
        <v>19.834504013979686</v>
      </c>
      <c r="J85" s="306">
        <f t="shared" si="163"/>
        <v>20.23119409425928</v>
      </c>
      <c r="K85" s="1391">
        <f t="shared" si="171"/>
        <v>20.838129917087059</v>
      </c>
      <c r="L85" s="1391">
        <f t="shared" si="172"/>
        <v>20.838129917087059</v>
      </c>
      <c r="M85" s="1391">
        <f t="shared" si="173"/>
        <v>20.838129917087059</v>
      </c>
      <c r="N85" s="1392">
        <f t="shared" si="174"/>
        <v>20.838129917087059</v>
      </c>
      <c r="O85" s="8">
        <f t="shared" si="175"/>
        <v>20.838129917087059</v>
      </c>
      <c r="P85" s="8">
        <f t="shared" si="176"/>
        <v>20.838129917087059</v>
      </c>
      <c r="Q85" s="8">
        <f t="shared" si="177"/>
        <v>20.838129917087059</v>
      </c>
      <c r="R85" s="1232">
        <f t="shared" si="164"/>
        <v>20.838129917087059</v>
      </c>
      <c r="S85" s="878">
        <f t="shared" si="178"/>
        <v>21.2548925154288</v>
      </c>
      <c r="T85" s="878">
        <f t="shared" si="179"/>
        <v>21.2548925154288</v>
      </c>
      <c r="U85" s="878">
        <f t="shared" si="180"/>
        <v>21.2548925154288</v>
      </c>
      <c r="V85" s="1576">
        <f t="shared" si="181"/>
        <v>21.2548925154288</v>
      </c>
      <c r="W85" s="8">
        <f t="shared" si="182"/>
        <v>21.2548925154288</v>
      </c>
      <c r="X85" s="8">
        <f t="shared" si="183"/>
        <v>21.2548925154288</v>
      </c>
      <c r="Y85" s="8">
        <f t="shared" si="184"/>
        <v>21.2548925154288</v>
      </c>
      <c r="Z85" s="1232">
        <f t="shared" si="165"/>
        <v>21.2548925154288</v>
      </c>
      <c r="AA85" s="878">
        <f t="shared" si="185"/>
        <v>25</v>
      </c>
      <c r="AB85" s="878">
        <f t="shared" si="186"/>
        <v>25</v>
      </c>
      <c r="AC85" s="878">
        <f t="shared" si="187"/>
        <v>25</v>
      </c>
      <c r="AD85" s="1576">
        <f t="shared" si="188"/>
        <v>25</v>
      </c>
      <c r="AE85" s="8">
        <f t="shared" si="189"/>
        <v>25</v>
      </c>
      <c r="AF85" s="8">
        <f t="shared" si="190"/>
        <v>25</v>
      </c>
      <c r="AG85" s="8">
        <f t="shared" si="191"/>
        <v>25</v>
      </c>
      <c r="AH85" s="1232">
        <v>25</v>
      </c>
      <c r="AI85" s="878">
        <f t="shared" si="192"/>
        <v>25.75</v>
      </c>
      <c r="AJ85" s="878">
        <f t="shared" si="193"/>
        <v>25.75</v>
      </c>
      <c r="AK85" s="880">
        <f t="shared" si="194"/>
        <v>25.75</v>
      </c>
      <c r="AL85" s="879">
        <f t="shared" si="195"/>
        <v>25.75</v>
      </c>
      <c r="AM85" s="8">
        <f t="shared" si="196"/>
        <v>25.75</v>
      </c>
      <c r="AN85" s="10">
        <f t="shared" si="197"/>
        <v>25.75</v>
      </c>
      <c r="AO85" s="10">
        <f t="shared" si="198"/>
        <v>25.75</v>
      </c>
      <c r="AP85" s="307">
        <f t="shared" si="166"/>
        <v>25.75</v>
      </c>
      <c r="AQ85" s="880">
        <f t="shared" si="199"/>
        <v>26.522500000000001</v>
      </c>
      <c r="AR85" s="880">
        <f t="shared" si="200"/>
        <v>26.522500000000001</v>
      </c>
      <c r="AS85" s="880">
        <f t="shared" si="201"/>
        <v>26.522500000000001</v>
      </c>
      <c r="AT85" s="879">
        <f t="shared" si="202"/>
        <v>26.522500000000001</v>
      </c>
      <c r="AU85" s="10">
        <f t="shared" si="203"/>
        <v>26.522500000000001</v>
      </c>
      <c r="AV85" s="10">
        <f t="shared" si="204"/>
        <v>26.522500000000001</v>
      </c>
      <c r="AW85" s="10">
        <f t="shared" si="205"/>
        <v>26.522500000000001</v>
      </c>
      <c r="AX85" s="307">
        <f t="shared" si="167"/>
        <v>26.522500000000001</v>
      </c>
      <c r="AY85" s="880">
        <f t="shared" si="206"/>
        <v>27.318175</v>
      </c>
      <c r="AZ85" s="880">
        <f t="shared" si="207"/>
        <v>27.318175</v>
      </c>
      <c r="BA85" s="880">
        <f t="shared" si="208"/>
        <v>27.318175</v>
      </c>
      <c r="BB85" s="879">
        <f t="shared" si="209"/>
        <v>27.318175</v>
      </c>
      <c r="BC85" s="10">
        <f t="shared" si="210"/>
        <v>27.318175</v>
      </c>
      <c r="BD85" s="10">
        <f t="shared" si="211"/>
        <v>27.318175</v>
      </c>
      <c r="BE85" s="10">
        <f t="shared" si="212"/>
        <v>27.318175</v>
      </c>
      <c r="BF85" s="307">
        <f t="shared" si="168"/>
        <v>27.318175</v>
      </c>
      <c r="BG85" s="880">
        <f t="shared" si="213"/>
        <v>28.137720250000001</v>
      </c>
      <c r="BH85" s="880">
        <f t="shared" si="214"/>
        <v>28.137720250000001</v>
      </c>
      <c r="BI85" s="880">
        <f t="shared" si="215"/>
        <v>28.137720250000001</v>
      </c>
      <c r="BJ85" s="879">
        <f t="shared" si="216"/>
        <v>28.137720250000001</v>
      </c>
      <c r="BK85" s="10">
        <f t="shared" si="217"/>
        <v>28.137720250000001</v>
      </c>
      <c r="BL85" s="10">
        <f t="shared" si="218"/>
        <v>28.137720250000001</v>
      </c>
      <c r="BM85" s="10">
        <f t="shared" si="219"/>
        <v>28.137720250000001</v>
      </c>
      <c r="BN85" s="307">
        <f t="shared" si="169"/>
        <v>28.137720250000001</v>
      </c>
      <c r="BO85" s="880">
        <f t="shared" si="220"/>
        <v>28.981851857500001</v>
      </c>
      <c r="BP85" s="880">
        <f t="shared" si="221"/>
        <v>28.981851857500001</v>
      </c>
      <c r="BQ85" s="880">
        <f t="shared" si="222"/>
        <v>28.981851857500001</v>
      </c>
      <c r="BR85" s="879">
        <f t="shared" si="223"/>
        <v>28.981851857500001</v>
      </c>
      <c r="BS85" s="10">
        <f t="shared" si="224"/>
        <v>28.981851857500001</v>
      </c>
      <c r="BT85" s="10">
        <f t="shared" si="225"/>
        <v>28.981851857500001</v>
      </c>
      <c r="BU85" s="10">
        <f t="shared" si="226"/>
        <v>28.981851857500001</v>
      </c>
      <c r="BV85" s="307">
        <f t="shared" si="170"/>
        <v>28.981851857500001</v>
      </c>
    </row>
    <row r="86" spans="1:76" x14ac:dyDescent="0.2">
      <c r="A86" s="4" t="s">
        <v>862</v>
      </c>
      <c r="B86" s="9">
        <v>15</v>
      </c>
      <c r="C86" s="8">
        <f t="shared" si="163"/>
        <v>15.15</v>
      </c>
      <c r="D86" s="8">
        <f t="shared" si="163"/>
        <v>15.301500000000001</v>
      </c>
      <c r="E86" s="8">
        <f t="shared" si="163"/>
        <v>15.454515000000001</v>
      </c>
      <c r="F86" s="8">
        <f t="shared" si="163"/>
        <v>15.609060150000001</v>
      </c>
      <c r="G86" s="8">
        <f t="shared" si="163"/>
        <v>15.765150751500002</v>
      </c>
      <c r="H86" s="8">
        <f t="shared" si="163"/>
        <v>15.922802259015002</v>
      </c>
      <c r="I86" s="8">
        <f t="shared" si="163"/>
        <v>16.082030281605153</v>
      </c>
      <c r="J86" s="306">
        <f t="shared" si="163"/>
        <v>16.403670887237258</v>
      </c>
      <c r="K86" s="1391">
        <f t="shared" si="171"/>
        <v>16.895781013854375</v>
      </c>
      <c r="L86" s="1391">
        <f t="shared" si="172"/>
        <v>16.895781013854375</v>
      </c>
      <c r="M86" s="1391">
        <f t="shared" si="173"/>
        <v>16.895781013854375</v>
      </c>
      <c r="N86" s="1392">
        <f t="shared" si="174"/>
        <v>16.895781013854375</v>
      </c>
      <c r="O86" s="8">
        <f t="shared" si="175"/>
        <v>16.895781013854375</v>
      </c>
      <c r="P86" s="8">
        <f t="shared" si="176"/>
        <v>16.895781013854375</v>
      </c>
      <c r="Q86" s="8">
        <f t="shared" si="177"/>
        <v>16.895781013854375</v>
      </c>
      <c r="R86" s="1232">
        <f t="shared" si="164"/>
        <v>16.895781013854375</v>
      </c>
      <c r="S86" s="878">
        <f t="shared" si="178"/>
        <v>17.233696634131462</v>
      </c>
      <c r="T86" s="878">
        <f t="shared" si="179"/>
        <v>17.233696634131462</v>
      </c>
      <c r="U86" s="878">
        <f t="shared" si="180"/>
        <v>17.233696634131462</v>
      </c>
      <c r="V86" s="1576">
        <f t="shared" si="181"/>
        <v>17.233696634131462</v>
      </c>
      <c r="W86" s="8">
        <f t="shared" si="182"/>
        <v>17.233696634131462</v>
      </c>
      <c r="X86" s="8">
        <f t="shared" si="183"/>
        <v>17.233696634131462</v>
      </c>
      <c r="Y86" s="8">
        <f t="shared" si="184"/>
        <v>17.233696634131462</v>
      </c>
      <c r="Z86" s="1232">
        <f t="shared" si="165"/>
        <v>17.233696634131462</v>
      </c>
      <c r="AA86" s="878">
        <f t="shared" si="185"/>
        <v>15</v>
      </c>
      <c r="AB86" s="878">
        <f t="shared" si="186"/>
        <v>15</v>
      </c>
      <c r="AC86" s="878">
        <f t="shared" si="187"/>
        <v>15</v>
      </c>
      <c r="AD86" s="1576">
        <f t="shared" si="188"/>
        <v>15</v>
      </c>
      <c r="AE86" s="8">
        <f t="shared" si="189"/>
        <v>15</v>
      </c>
      <c r="AF86" s="8">
        <f t="shared" si="190"/>
        <v>15</v>
      </c>
      <c r="AG86" s="8">
        <f t="shared" si="191"/>
        <v>15</v>
      </c>
      <c r="AH86" s="1232">
        <v>15</v>
      </c>
      <c r="AI86" s="878">
        <f t="shared" si="192"/>
        <v>15.450000000000001</v>
      </c>
      <c r="AJ86" s="878">
        <f t="shared" si="193"/>
        <v>15.450000000000001</v>
      </c>
      <c r="AK86" s="880">
        <f t="shared" si="194"/>
        <v>15.450000000000001</v>
      </c>
      <c r="AL86" s="879">
        <f t="shared" si="195"/>
        <v>15.450000000000001</v>
      </c>
      <c r="AM86" s="8">
        <f t="shared" si="196"/>
        <v>15.450000000000001</v>
      </c>
      <c r="AN86" s="10">
        <f t="shared" si="197"/>
        <v>15.450000000000001</v>
      </c>
      <c r="AO86" s="10">
        <f t="shared" si="198"/>
        <v>15.450000000000001</v>
      </c>
      <c r="AP86" s="307">
        <f t="shared" si="166"/>
        <v>15.450000000000001</v>
      </c>
      <c r="AQ86" s="880">
        <f t="shared" si="199"/>
        <v>15.913500000000001</v>
      </c>
      <c r="AR86" s="880">
        <f t="shared" si="200"/>
        <v>15.913500000000001</v>
      </c>
      <c r="AS86" s="880">
        <f t="shared" si="201"/>
        <v>15.913500000000001</v>
      </c>
      <c r="AT86" s="879">
        <f t="shared" si="202"/>
        <v>15.913500000000001</v>
      </c>
      <c r="AU86" s="10">
        <f t="shared" si="203"/>
        <v>15.913500000000001</v>
      </c>
      <c r="AV86" s="10">
        <f t="shared" si="204"/>
        <v>15.913500000000001</v>
      </c>
      <c r="AW86" s="10">
        <f t="shared" si="205"/>
        <v>15.913500000000001</v>
      </c>
      <c r="AX86" s="307">
        <f t="shared" si="167"/>
        <v>15.913500000000001</v>
      </c>
      <c r="AY86" s="880">
        <f t="shared" si="206"/>
        <v>16.390905</v>
      </c>
      <c r="AZ86" s="880">
        <f t="shared" si="207"/>
        <v>16.390905</v>
      </c>
      <c r="BA86" s="880">
        <f t="shared" si="208"/>
        <v>16.390905</v>
      </c>
      <c r="BB86" s="879">
        <f t="shared" si="209"/>
        <v>16.390905</v>
      </c>
      <c r="BC86" s="10">
        <f t="shared" si="210"/>
        <v>16.390905</v>
      </c>
      <c r="BD86" s="10">
        <f t="shared" si="211"/>
        <v>16.390905</v>
      </c>
      <c r="BE86" s="10">
        <f t="shared" si="212"/>
        <v>16.390905</v>
      </c>
      <c r="BF86" s="307">
        <f t="shared" si="168"/>
        <v>16.390905</v>
      </c>
      <c r="BG86" s="880">
        <f t="shared" si="213"/>
        <v>16.882632149999999</v>
      </c>
      <c r="BH86" s="880">
        <f t="shared" si="214"/>
        <v>16.882632149999999</v>
      </c>
      <c r="BI86" s="880">
        <f t="shared" si="215"/>
        <v>16.882632149999999</v>
      </c>
      <c r="BJ86" s="879">
        <f t="shared" si="216"/>
        <v>16.882632149999999</v>
      </c>
      <c r="BK86" s="10">
        <f t="shared" si="217"/>
        <v>16.882632149999999</v>
      </c>
      <c r="BL86" s="10">
        <f t="shared" si="218"/>
        <v>16.882632149999999</v>
      </c>
      <c r="BM86" s="10">
        <f t="shared" si="219"/>
        <v>16.882632149999999</v>
      </c>
      <c r="BN86" s="307">
        <f t="shared" si="169"/>
        <v>16.882632149999999</v>
      </c>
      <c r="BO86" s="880">
        <f t="shared" si="220"/>
        <v>17.3891111145</v>
      </c>
      <c r="BP86" s="880">
        <f t="shared" si="221"/>
        <v>17.3891111145</v>
      </c>
      <c r="BQ86" s="880">
        <f t="shared" si="222"/>
        <v>17.3891111145</v>
      </c>
      <c r="BR86" s="879">
        <f t="shared" si="223"/>
        <v>17.3891111145</v>
      </c>
      <c r="BS86" s="10">
        <f t="shared" si="224"/>
        <v>17.3891111145</v>
      </c>
      <c r="BT86" s="10">
        <f t="shared" si="225"/>
        <v>17.3891111145</v>
      </c>
      <c r="BU86" s="10">
        <f t="shared" si="226"/>
        <v>17.3891111145</v>
      </c>
      <c r="BV86" s="307">
        <f t="shared" si="170"/>
        <v>17.3891111145</v>
      </c>
    </row>
    <row r="87" spans="1:76" x14ac:dyDescent="0.2">
      <c r="B87" s="8"/>
      <c r="C87" s="8"/>
      <c r="D87" s="8"/>
      <c r="E87" s="8"/>
      <c r="F87" s="8"/>
      <c r="G87" s="8"/>
      <c r="H87" s="8"/>
      <c r="I87" s="8"/>
      <c r="J87" s="306"/>
      <c r="K87" s="878"/>
      <c r="L87" s="880"/>
      <c r="M87" s="880"/>
      <c r="N87" s="879"/>
      <c r="O87" s="8"/>
      <c r="P87" s="8"/>
      <c r="Q87" s="8"/>
      <c r="R87" s="881"/>
      <c r="S87" s="880"/>
      <c r="T87" s="880"/>
      <c r="U87" s="880"/>
      <c r="V87" s="879"/>
      <c r="W87" s="8"/>
      <c r="X87" s="8"/>
      <c r="Y87" s="8"/>
      <c r="Z87" s="881"/>
      <c r="AA87" s="880"/>
      <c r="AB87" s="880"/>
      <c r="AC87" s="878"/>
      <c r="AD87" s="879"/>
      <c r="AE87" s="8"/>
      <c r="AF87" s="8"/>
      <c r="AG87" s="8"/>
      <c r="AH87" s="881"/>
      <c r="AI87" s="878"/>
      <c r="AJ87" s="878"/>
      <c r="AK87" s="880"/>
      <c r="AL87" s="879"/>
      <c r="AM87" s="8"/>
      <c r="AN87" s="8"/>
      <c r="AO87" s="8"/>
      <c r="AP87" s="881"/>
      <c r="AQ87" s="880"/>
      <c r="AR87" s="880"/>
      <c r="AS87" s="880"/>
      <c r="AT87" s="879"/>
      <c r="AU87" s="8"/>
      <c r="AV87" s="8"/>
      <c r="AW87" s="8"/>
      <c r="AX87" s="881"/>
      <c r="AY87" s="880"/>
      <c r="AZ87" s="880"/>
      <c r="BA87" s="880"/>
      <c r="BB87" s="879"/>
      <c r="BC87" s="8"/>
      <c r="BD87" s="8"/>
      <c r="BE87" s="8"/>
      <c r="BF87" s="881"/>
      <c r="BG87" s="880"/>
      <c r="BH87" s="880"/>
      <c r="BI87" s="880"/>
      <c r="BJ87" s="879"/>
      <c r="BK87" s="8"/>
      <c r="BL87" s="8"/>
      <c r="BM87" s="8"/>
      <c r="BN87" s="881"/>
      <c r="BO87" s="880"/>
      <c r="BP87" s="880"/>
      <c r="BQ87" s="880"/>
      <c r="BR87" s="879"/>
      <c r="BS87" s="8"/>
      <c r="BT87" s="8"/>
      <c r="BU87" s="8"/>
      <c r="BV87" s="881"/>
    </row>
    <row r="88" spans="1:76" x14ac:dyDescent="0.2">
      <c r="A88" s="186" t="s">
        <v>880</v>
      </c>
      <c r="B88" s="8"/>
      <c r="C88" s="8"/>
      <c r="D88" s="8"/>
      <c r="E88" s="8"/>
      <c r="F88" s="8"/>
      <c r="G88" s="8"/>
      <c r="H88" s="8"/>
      <c r="I88" s="8"/>
      <c r="J88" s="306"/>
      <c r="K88" s="878"/>
      <c r="L88" s="880"/>
      <c r="M88" s="880"/>
      <c r="N88" s="879"/>
      <c r="O88" s="8"/>
      <c r="P88" s="8"/>
      <c r="Q88" s="8"/>
      <c r="R88" s="881"/>
      <c r="S88" s="880"/>
      <c r="T88" s="880"/>
      <c r="U88" s="880"/>
      <c r="V88" s="879"/>
      <c r="W88" s="8"/>
      <c r="X88" s="8"/>
      <c r="Y88" s="8"/>
      <c r="Z88" s="881"/>
      <c r="AA88" s="880"/>
      <c r="AB88" s="880"/>
      <c r="AC88" s="878"/>
      <c r="AD88" s="879"/>
      <c r="AE88" s="8"/>
      <c r="AF88" s="8"/>
      <c r="AG88" s="8"/>
      <c r="AH88" s="881"/>
      <c r="AI88" s="878"/>
      <c r="AJ88" s="878"/>
      <c r="AK88" s="880"/>
      <c r="AL88" s="879"/>
      <c r="AM88" s="8"/>
      <c r="AN88" s="8"/>
      <c r="AO88" s="8"/>
      <c r="AP88" s="881"/>
      <c r="AQ88" s="880"/>
      <c r="AR88" s="880"/>
      <c r="AS88" s="880"/>
      <c r="AT88" s="879"/>
      <c r="AU88" s="8"/>
      <c r="AV88" s="8"/>
      <c r="AW88" s="8"/>
      <c r="AX88" s="881"/>
      <c r="AY88" s="880"/>
      <c r="AZ88" s="880"/>
      <c r="BA88" s="880"/>
      <c r="BB88" s="879"/>
      <c r="BC88" s="8"/>
      <c r="BD88" s="8"/>
      <c r="BE88" s="8"/>
      <c r="BF88" s="881"/>
      <c r="BG88" s="880"/>
      <c r="BH88" s="880"/>
      <c r="BI88" s="880"/>
      <c r="BJ88" s="879"/>
      <c r="BK88" s="8"/>
      <c r="BL88" s="8"/>
      <c r="BM88" s="8"/>
      <c r="BN88" s="881"/>
      <c r="BO88" s="880"/>
      <c r="BP88" s="880"/>
      <c r="BQ88" s="880"/>
      <c r="BR88" s="879"/>
      <c r="BS88" s="8"/>
      <c r="BT88" s="8"/>
      <c r="BU88" s="8"/>
      <c r="BV88" s="881"/>
    </row>
    <row r="89" spans="1:76" ht="11.25" customHeight="1" x14ac:dyDescent="0.2">
      <c r="A89" s="4" t="s">
        <v>790</v>
      </c>
      <c r="B89" s="31">
        <v>0.02</v>
      </c>
      <c r="C89" s="31">
        <v>0.02</v>
      </c>
      <c r="D89" s="31">
        <v>0.02</v>
      </c>
      <c r="E89" s="31">
        <v>0.02</v>
      </c>
      <c r="F89" s="1390">
        <v>0.02</v>
      </c>
      <c r="G89" s="1390">
        <v>-0.02</v>
      </c>
      <c r="H89" s="1390">
        <v>-0.02</v>
      </c>
      <c r="I89" s="1390">
        <v>-0.02</v>
      </c>
      <c r="J89" s="1384">
        <v>-0.03</v>
      </c>
      <c r="K89" s="19">
        <f t="shared" si="171"/>
        <v>-0.04</v>
      </c>
      <c r="L89" s="19">
        <f t="shared" si="172"/>
        <v>-0.04</v>
      </c>
      <c r="M89" s="19">
        <f t="shared" si="173"/>
        <v>-0.04</v>
      </c>
      <c r="N89" s="643">
        <f t="shared" si="174"/>
        <v>-0.04</v>
      </c>
      <c r="O89" s="104">
        <f t="shared" ref="O89:O95" si="227">R89</f>
        <v>-0.04</v>
      </c>
      <c r="P89" s="104">
        <f>R89</f>
        <v>-0.04</v>
      </c>
      <c r="Q89" s="104">
        <f>R89</f>
        <v>-0.04</v>
      </c>
      <c r="R89" s="625">
        <v>-0.04</v>
      </c>
      <c r="S89" s="19">
        <f t="shared" ref="S89:S95" si="228">Z89</f>
        <v>-0.03</v>
      </c>
      <c r="T89" s="19">
        <f t="shared" ref="T89:T95" si="229">Z89</f>
        <v>-0.03</v>
      </c>
      <c r="U89" s="19">
        <f t="shared" ref="U89:U95" si="230">Z89</f>
        <v>-0.03</v>
      </c>
      <c r="V89" s="643">
        <f t="shared" ref="V89:V95" si="231">Z89</f>
        <v>-0.03</v>
      </c>
      <c r="W89" s="104">
        <f t="shared" ref="W89:W95" si="232">Z89</f>
        <v>-0.03</v>
      </c>
      <c r="X89" s="104">
        <f>Z89</f>
        <v>-0.03</v>
      </c>
      <c r="Y89" s="104">
        <f>Z89</f>
        <v>-0.03</v>
      </c>
      <c r="Z89" s="625">
        <v>-0.03</v>
      </c>
      <c r="AA89" s="19">
        <f t="shared" ref="AA89:AA95" si="233">AH89</f>
        <v>-0.02</v>
      </c>
      <c r="AB89" s="19">
        <f t="shared" ref="AB89:AB95" si="234">AH89</f>
        <v>-0.02</v>
      </c>
      <c r="AC89" s="19">
        <f t="shared" ref="AC89:AC95" si="235">AH89</f>
        <v>-0.02</v>
      </c>
      <c r="AD89" s="643">
        <f t="shared" ref="AD89:AD95" si="236">AH89</f>
        <v>-0.02</v>
      </c>
      <c r="AE89" s="104">
        <f t="shared" ref="AE89:AE95" si="237">AH89</f>
        <v>-0.02</v>
      </c>
      <c r="AF89" s="104">
        <f>AH89</f>
        <v>-0.02</v>
      </c>
      <c r="AG89" s="104">
        <f>AH89</f>
        <v>-0.02</v>
      </c>
      <c r="AH89" s="625">
        <v>-0.02</v>
      </c>
      <c r="AI89" s="19">
        <f t="shared" ref="AI89:AI95" si="238">AP89</f>
        <v>-0.02</v>
      </c>
      <c r="AJ89" s="19">
        <f t="shared" ref="AJ89:AJ95" si="239">AP89</f>
        <v>-0.02</v>
      </c>
      <c r="AK89" s="495">
        <f t="shared" ref="AK89:AK95" si="240">AP89</f>
        <v>-0.02</v>
      </c>
      <c r="AL89" s="647">
        <f t="shared" ref="AL89:AL95" si="241">AP89</f>
        <v>-0.02</v>
      </c>
      <c r="AM89" s="104">
        <f t="shared" ref="AM89:AM95" si="242">AP89</f>
        <v>-0.02</v>
      </c>
      <c r="AN89" s="461">
        <f>AP89</f>
        <v>-0.02</v>
      </c>
      <c r="AO89" s="461">
        <f>AP89</f>
        <v>-0.02</v>
      </c>
      <c r="AP89" s="882">
        <v>-0.02</v>
      </c>
      <c r="AQ89" s="495">
        <f t="shared" ref="AQ89:AQ95" si="243">AX89</f>
        <v>-0.02</v>
      </c>
      <c r="AR89" s="495">
        <f t="shared" ref="AR89:AR95" si="244">AX89</f>
        <v>-0.02</v>
      </c>
      <c r="AS89" s="495">
        <f t="shared" ref="AS89:AS95" si="245">AX89</f>
        <v>-0.02</v>
      </c>
      <c r="AT89" s="647">
        <f t="shared" ref="AT89:AT95" si="246">AX89</f>
        <v>-0.02</v>
      </c>
      <c r="AU89" s="461">
        <f t="shared" ref="AU89:AU95" si="247">AX89</f>
        <v>-0.02</v>
      </c>
      <c r="AV89" s="461">
        <f t="shared" ref="AV89:AV95" si="248">AX89</f>
        <v>-0.02</v>
      </c>
      <c r="AW89" s="461">
        <f t="shared" ref="AW89:AW95" si="249">AX89</f>
        <v>-0.02</v>
      </c>
      <c r="AX89" s="867">
        <f>+AP89</f>
        <v>-0.02</v>
      </c>
      <c r="AY89" s="495">
        <f t="shared" ref="AY89:AY95" si="250">BF89</f>
        <v>-0.02</v>
      </c>
      <c r="AZ89" s="495">
        <f t="shared" ref="AZ89:AZ95" si="251">BF89</f>
        <v>-0.02</v>
      </c>
      <c r="BA89" s="495">
        <f t="shared" ref="BA89:BA95" si="252">BF89</f>
        <v>-0.02</v>
      </c>
      <c r="BB89" s="647">
        <f t="shared" ref="BB89:BB95" si="253">BF89</f>
        <v>-0.02</v>
      </c>
      <c r="BC89" s="461">
        <f t="shared" ref="BC89:BC95" si="254">BF89</f>
        <v>-0.02</v>
      </c>
      <c r="BD89" s="461">
        <f t="shared" ref="BD89:BD95" si="255">BF89</f>
        <v>-0.02</v>
      </c>
      <c r="BE89" s="461">
        <f t="shared" ref="BE89:BE95" si="256">BF89</f>
        <v>-0.02</v>
      </c>
      <c r="BF89" s="867">
        <f>+AX89</f>
        <v>-0.02</v>
      </c>
      <c r="BG89" s="495">
        <f t="shared" ref="BG89:BG95" si="257">BN89</f>
        <v>-0.02</v>
      </c>
      <c r="BH89" s="495">
        <f t="shared" ref="BH89:BH95" si="258">BN89</f>
        <v>-0.02</v>
      </c>
      <c r="BI89" s="495">
        <f t="shared" ref="BI89:BI95" si="259">BN89</f>
        <v>-0.02</v>
      </c>
      <c r="BJ89" s="647">
        <f t="shared" ref="BJ89:BJ95" si="260">BN89</f>
        <v>-0.02</v>
      </c>
      <c r="BK89" s="461">
        <f t="shared" ref="BK89:BK95" si="261">BN89</f>
        <v>-0.02</v>
      </c>
      <c r="BL89" s="461">
        <f t="shared" ref="BL89:BL95" si="262">BN89</f>
        <v>-0.02</v>
      </c>
      <c r="BM89" s="461">
        <f t="shared" ref="BM89:BM95" si="263">BN89</f>
        <v>-0.02</v>
      </c>
      <c r="BN89" s="867">
        <f>+BF89</f>
        <v>-0.02</v>
      </c>
      <c r="BO89" s="495">
        <f t="shared" ref="BO89:BO95" si="264">BV89</f>
        <v>-0.02</v>
      </c>
      <c r="BP89" s="495">
        <f t="shared" ref="BP89:BP95" si="265">BV89</f>
        <v>-0.02</v>
      </c>
      <c r="BQ89" s="495">
        <f t="shared" ref="BQ89:BQ95" si="266">BV89</f>
        <v>-0.02</v>
      </c>
      <c r="BR89" s="647">
        <f t="shared" ref="BR89:BR95" si="267">BV89</f>
        <v>-0.02</v>
      </c>
      <c r="BS89" s="461">
        <f t="shared" ref="BS89:BS95" si="268">BV89</f>
        <v>-0.02</v>
      </c>
      <c r="BT89" s="461">
        <f t="shared" ref="BT89:BT95" si="269">BV89</f>
        <v>-0.02</v>
      </c>
      <c r="BU89" s="461">
        <f t="shared" ref="BU89:BU95" si="270">BV89</f>
        <v>-0.02</v>
      </c>
      <c r="BV89" s="867">
        <f>+BN89</f>
        <v>-0.02</v>
      </c>
      <c r="BW89" s="1529"/>
    </row>
    <row r="90" spans="1:76" ht="11.25" customHeight="1" x14ac:dyDescent="0.2">
      <c r="A90" s="4" t="s">
        <v>857</v>
      </c>
      <c r="B90" s="31">
        <v>0.02</v>
      </c>
      <c r="C90" s="31">
        <f>+B90</f>
        <v>0.02</v>
      </c>
      <c r="D90" s="31">
        <f t="shared" ref="D90:I90" si="271">+C90</f>
        <v>0.02</v>
      </c>
      <c r="E90" s="31">
        <f t="shared" si="271"/>
        <v>0.02</v>
      </c>
      <c r="F90" s="31">
        <f t="shared" si="271"/>
        <v>0.02</v>
      </c>
      <c r="G90" s="31">
        <v>0.02</v>
      </c>
      <c r="H90" s="32">
        <v>0.02</v>
      </c>
      <c r="I90" s="32">
        <f t="shared" si="271"/>
        <v>0.02</v>
      </c>
      <c r="J90" s="1384">
        <v>0.03</v>
      </c>
      <c r="K90" s="19">
        <f t="shared" si="171"/>
        <v>0.04</v>
      </c>
      <c r="L90" s="19">
        <f t="shared" si="172"/>
        <v>0.04</v>
      </c>
      <c r="M90" s="19">
        <f t="shared" si="173"/>
        <v>0.04</v>
      </c>
      <c r="N90" s="643">
        <f t="shared" si="174"/>
        <v>0.04</v>
      </c>
      <c r="O90" s="104">
        <f t="shared" si="227"/>
        <v>0.04</v>
      </c>
      <c r="P90" s="104">
        <f t="shared" ref="P90:P95" si="272">R90</f>
        <v>0.04</v>
      </c>
      <c r="Q90" s="104">
        <f t="shared" ref="Q90:Q95" si="273">R90</f>
        <v>0.04</v>
      </c>
      <c r="R90" s="625">
        <v>0.04</v>
      </c>
      <c r="S90" s="19">
        <f t="shared" si="228"/>
        <v>0.04</v>
      </c>
      <c r="T90" s="19">
        <f t="shared" si="229"/>
        <v>0.04</v>
      </c>
      <c r="U90" s="19">
        <f t="shared" si="230"/>
        <v>0.04</v>
      </c>
      <c r="V90" s="643">
        <f t="shared" si="231"/>
        <v>0.04</v>
      </c>
      <c r="W90" s="104">
        <f t="shared" si="232"/>
        <v>0.04</v>
      </c>
      <c r="X90" s="104">
        <f t="shared" ref="X90:X95" si="274">Z90</f>
        <v>0.04</v>
      </c>
      <c r="Y90" s="104">
        <f t="shared" ref="Y90:Y95" si="275">Z90</f>
        <v>0.04</v>
      </c>
      <c r="Z90" s="625">
        <v>0.04</v>
      </c>
      <c r="AA90" s="19">
        <f t="shared" si="233"/>
        <v>0.04</v>
      </c>
      <c r="AB90" s="19">
        <f t="shared" si="234"/>
        <v>0.04</v>
      </c>
      <c r="AC90" s="19">
        <f t="shared" si="235"/>
        <v>0.04</v>
      </c>
      <c r="AD90" s="643">
        <f t="shared" si="236"/>
        <v>0.04</v>
      </c>
      <c r="AE90" s="104">
        <f t="shared" si="237"/>
        <v>0.04</v>
      </c>
      <c r="AF90" s="104">
        <f t="shared" ref="AF90:AF95" si="276">AH90</f>
        <v>0.04</v>
      </c>
      <c r="AG90" s="104">
        <f t="shared" ref="AG90:AG95" si="277">AH90</f>
        <v>0.04</v>
      </c>
      <c r="AH90" s="625">
        <v>0.04</v>
      </c>
      <c r="AI90" s="19">
        <f t="shared" si="238"/>
        <v>0.04</v>
      </c>
      <c r="AJ90" s="19">
        <f t="shared" si="239"/>
        <v>0.04</v>
      </c>
      <c r="AK90" s="495">
        <f t="shared" si="240"/>
        <v>0.04</v>
      </c>
      <c r="AL90" s="647">
        <f t="shared" si="241"/>
        <v>0.04</v>
      </c>
      <c r="AM90" s="104">
        <f t="shared" si="242"/>
        <v>0.04</v>
      </c>
      <c r="AN90" s="461">
        <f t="shared" ref="AN90:AN95" si="278">AP90</f>
        <v>0.04</v>
      </c>
      <c r="AO90" s="461">
        <f t="shared" ref="AO90:AO95" si="279">AP90</f>
        <v>0.04</v>
      </c>
      <c r="AP90" s="882">
        <v>0.04</v>
      </c>
      <c r="AQ90" s="495">
        <f t="shared" si="243"/>
        <v>0.04</v>
      </c>
      <c r="AR90" s="495">
        <f t="shared" si="244"/>
        <v>0.04</v>
      </c>
      <c r="AS90" s="495">
        <f t="shared" si="245"/>
        <v>0.04</v>
      </c>
      <c r="AT90" s="647">
        <f t="shared" si="246"/>
        <v>0.04</v>
      </c>
      <c r="AU90" s="461">
        <f t="shared" si="247"/>
        <v>0.04</v>
      </c>
      <c r="AV90" s="461">
        <f t="shared" si="248"/>
        <v>0.04</v>
      </c>
      <c r="AW90" s="461">
        <f t="shared" si="249"/>
        <v>0.04</v>
      </c>
      <c r="AX90" s="867">
        <f>+AP90</f>
        <v>0.04</v>
      </c>
      <c r="AY90" s="495">
        <f t="shared" si="250"/>
        <v>0.04</v>
      </c>
      <c r="AZ90" s="495">
        <f t="shared" si="251"/>
        <v>0.04</v>
      </c>
      <c r="BA90" s="495">
        <f t="shared" si="252"/>
        <v>0.04</v>
      </c>
      <c r="BB90" s="647">
        <f t="shared" si="253"/>
        <v>0.04</v>
      </c>
      <c r="BC90" s="461">
        <f t="shared" si="254"/>
        <v>0.04</v>
      </c>
      <c r="BD90" s="461">
        <f t="shared" si="255"/>
        <v>0.04</v>
      </c>
      <c r="BE90" s="461">
        <f t="shared" si="256"/>
        <v>0.04</v>
      </c>
      <c r="BF90" s="867">
        <f>+AX90</f>
        <v>0.04</v>
      </c>
      <c r="BG90" s="495">
        <f t="shared" si="257"/>
        <v>0.04</v>
      </c>
      <c r="BH90" s="495">
        <f t="shared" si="258"/>
        <v>0.04</v>
      </c>
      <c r="BI90" s="495">
        <f t="shared" si="259"/>
        <v>0.04</v>
      </c>
      <c r="BJ90" s="647">
        <f t="shared" si="260"/>
        <v>0.04</v>
      </c>
      <c r="BK90" s="461">
        <f t="shared" si="261"/>
        <v>0.04</v>
      </c>
      <c r="BL90" s="461">
        <f t="shared" si="262"/>
        <v>0.04</v>
      </c>
      <c r="BM90" s="461">
        <f t="shared" si="263"/>
        <v>0.04</v>
      </c>
      <c r="BN90" s="867">
        <f>+BF90</f>
        <v>0.04</v>
      </c>
      <c r="BO90" s="495">
        <f t="shared" si="264"/>
        <v>0.04</v>
      </c>
      <c r="BP90" s="495">
        <f t="shared" si="265"/>
        <v>0.04</v>
      </c>
      <c r="BQ90" s="495">
        <f t="shared" si="266"/>
        <v>0.04</v>
      </c>
      <c r="BR90" s="647">
        <f t="shared" si="267"/>
        <v>0.04</v>
      </c>
      <c r="BS90" s="461">
        <f t="shared" si="268"/>
        <v>0.04</v>
      </c>
      <c r="BT90" s="461">
        <f t="shared" si="269"/>
        <v>0.04</v>
      </c>
      <c r="BU90" s="461">
        <f t="shared" si="270"/>
        <v>0.04</v>
      </c>
      <c r="BV90" s="867">
        <f>+BN90</f>
        <v>0.04</v>
      </c>
    </row>
    <row r="91" spans="1:76" ht="11.25" customHeight="1" x14ac:dyDescent="0.2">
      <c r="A91" s="4" t="s">
        <v>802</v>
      </c>
      <c r="B91" s="31">
        <v>0.01</v>
      </c>
      <c r="C91" s="31">
        <v>0.01</v>
      </c>
      <c r="D91" s="31">
        <v>0.01</v>
      </c>
      <c r="E91" s="31">
        <v>0.01</v>
      </c>
      <c r="F91" s="32">
        <v>0.01</v>
      </c>
      <c r="G91" s="32">
        <v>0.01</v>
      </c>
      <c r="H91" s="32">
        <v>0.01</v>
      </c>
      <c r="I91" s="32">
        <v>0.01</v>
      </c>
      <c r="J91" s="1384">
        <v>0.02</v>
      </c>
      <c r="K91" s="19">
        <f t="shared" si="171"/>
        <v>0.03</v>
      </c>
      <c r="L91" s="19">
        <f t="shared" si="172"/>
        <v>0.03</v>
      </c>
      <c r="M91" s="19">
        <f t="shared" si="173"/>
        <v>0.03</v>
      </c>
      <c r="N91" s="643">
        <f t="shared" si="174"/>
        <v>0.03</v>
      </c>
      <c r="O91" s="104">
        <f t="shared" si="227"/>
        <v>0.03</v>
      </c>
      <c r="P91" s="104">
        <f t="shared" si="272"/>
        <v>0.03</v>
      </c>
      <c r="Q91" s="104">
        <f t="shared" si="273"/>
        <v>0.03</v>
      </c>
      <c r="R91" s="625">
        <v>0.03</v>
      </c>
      <c r="S91" s="19">
        <f t="shared" si="228"/>
        <v>0.02</v>
      </c>
      <c r="T91" s="19">
        <f t="shared" si="229"/>
        <v>0.02</v>
      </c>
      <c r="U91" s="19">
        <f t="shared" si="230"/>
        <v>0.02</v>
      </c>
      <c r="V91" s="643">
        <f t="shared" si="231"/>
        <v>0.02</v>
      </c>
      <c r="W91" s="104">
        <f t="shared" si="232"/>
        <v>0.02</v>
      </c>
      <c r="X91" s="104">
        <f t="shared" si="274"/>
        <v>0.02</v>
      </c>
      <c r="Y91" s="104">
        <f t="shared" si="275"/>
        <v>0.02</v>
      </c>
      <c r="Z91" s="625">
        <v>0.02</v>
      </c>
      <c r="AA91" s="19">
        <f t="shared" si="233"/>
        <v>0.03</v>
      </c>
      <c r="AB91" s="19">
        <f t="shared" si="234"/>
        <v>0.03</v>
      </c>
      <c r="AC91" s="19">
        <f t="shared" si="235"/>
        <v>0.03</v>
      </c>
      <c r="AD91" s="643">
        <f t="shared" si="236"/>
        <v>0.03</v>
      </c>
      <c r="AE91" s="104">
        <f t="shared" si="237"/>
        <v>0.03</v>
      </c>
      <c r="AF91" s="104">
        <f t="shared" si="276"/>
        <v>0.03</v>
      </c>
      <c r="AG91" s="104">
        <f t="shared" si="277"/>
        <v>0.03</v>
      </c>
      <c r="AH91" s="625">
        <v>0.03</v>
      </c>
      <c r="AI91" s="19">
        <f t="shared" si="238"/>
        <v>0.03</v>
      </c>
      <c r="AJ91" s="19">
        <f t="shared" si="239"/>
        <v>0.03</v>
      </c>
      <c r="AK91" s="495">
        <f t="shared" si="240"/>
        <v>0.03</v>
      </c>
      <c r="AL91" s="647">
        <f t="shared" si="241"/>
        <v>0.03</v>
      </c>
      <c r="AM91" s="104">
        <f t="shared" si="242"/>
        <v>0.03</v>
      </c>
      <c r="AN91" s="461">
        <f t="shared" si="278"/>
        <v>0.03</v>
      </c>
      <c r="AO91" s="461">
        <f t="shared" si="279"/>
        <v>0.03</v>
      </c>
      <c r="AP91" s="882">
        <v>0.03</v>
      </c>
      <c r="AQ91" s="495">
        <f t="shared" si="243"/>
        <v>0.03</v>
      </c>
      <c r="AR91" s="495">
        <f t="shared" si="244"/>
        <v>0.03</v>
      </c>
      <c r="AS91" s="495">
        <f t="shared" si="245"/>
        <v>0.03</v>
      </c>
      <c r="AT91" s="647">
        <f t="shared" si="246"/>
        <v>0.03</v>
      </c>
      <c r="AU91" s="461">
        <f t="shared" si="247"/>
        <v>0.03</v>
      </c>
      <c r="AV91" s="461">
        <f t="shared" si="248"/>
        <v>0.03</v>
      </c>
      <c r="AW91" s="461">
        <f t="shared" si="249"/>
        <v>0.03</v>
      </c>
      <c r="AX91" s="867">
        <f>AP91</f>
        <v>0.03</v>
      </c>
      <c r="AY91" s="495">
        <f t="shared" si="250"/>
        <v>0.03</v>
      </c>
      <c r="AZ91" s="495">
        <f t="shared" si="251"/>
        <v>0.03</v>
      </c>
      <c r="BA91" s="495">
        <f t="shared" si="252"/>
        <v>0.03</v>
      </c>
      <c r="BB91" s="647">
        <f t="shared" si="253"/>
        <v>0.03</v>
      </c>
      <c r="BC91" s="461">
        <f t="shared" si="254"/>
        <v>0.03</v>
      </c>
      <c r="BD91" s="461">
        <f t="shared" si="255"/>
        <v>0.03</v>
      </c>
      <c r="BE91" s="461">
        <f t="shared" si="256"/>
        <v>0.03</v>
      </c>
      <c r="BF91" s="867">
        <f>AX91</f>
        <v>0.03</v>
      </c>
      <c r="BG91" s="495">
        <f t="shared" si="257"/>
        <v>0.03</v>
      </c>
      <c r="BH91" s="495">
        <f t="shared" si="258"/>
        <v>0.03</v>
      </c>
      <c r="BI91" s="495">
        <f t="shared" si="259"/>
        <v>0.03</v>
      </c>
      <c r="BJ91" s="647">
        <f t="shared" si="260"/>
        <v>0.03</v>
      </c>
      <c r="BK91" s="461">
        <f t="shared" si="261"/>
        <v>0.03</v>
      </c>
      <c r="BL91" s="461">
        <f t="shared" si="262"/>
        <v>0.03</v>
      </c>
      <c r="BM91" s="461">
        <f t="shared" si="263"/>
        <v>0.03</v>
      </c>
      <c r="BN91" s="867">
        <f>BF91</f>
        <v>0.03</v>
      </c>
      <c r="BO91" s="495">
        <f t="shared" si="264"/>
        <v>0.03</v>
      </c>
      <c r="BP91" s="495">
        <f t="shared" si="265"/>
        <v>0.03</v>
      </c>
      <c r="BQ91" s="495">
        <f t="shared" si="266"/>
        <v>0.03</v>
      </c>
      <c r="BR91" s="647">
        <f t="shared" si="267"/>
        <v>0.03</v>
      </c>
      <c r="BS91" s="461">
        <f t="shared" si="268"/>
        <v>0.03</v>
      </c>
      <c r="BT91" s="461">
        <f t="shared" si="269"/>
        <v>0.03</v>
      </c>
      <c r="BU91" s="461">
        <f t="shared" si="270"/>
        <v>0.03</v>
      </c>
      <c r="BV91" s="867">
        <f>BN91</f>
        <v>0.03</v>
      </c>
    </row>
    <row r="92" spans="1:76" ht="11.25" customHeight="1" x14ac:dyDescent="0.2">
      <c r="A92" s="4" t="s">
        <v>859</v>
      </c>
      <c r="B92" s="31">
        <v>0.01</v>
      </c>
      <c r="C92" s="31">
        <v>0.01</v>
      </c>
      <c r="D92" s="31">
        <v>0.01</v>
      </c>
      <c r="E92" s="31">
        <v>0.01</v>
      </c>
      <c r="F92" s="32">
        <v>0.01</v>
      </c>
      <c r="G92" s="32">
        <v>0.01</v>
      </c>
      <c r="H92" s="32">
        <v>0.01</v>
      </c>
      <c r="I92" s="32">
        <v>0.01</v>
      </c>
      <c r="J92" s="1384">
        <v>0.02</v>
      </c>
      <c r="K92" s="19">
        <f t="shared" si="171"/>
        <v>0.03</v>
      </c>
      <c r="L92" s="19">
        <f t="shared" si="172"/>
        <v>0.03</v>
      </c>
      <c r="M92" s="19">
        <f t="shared" si="173"/>
        <v>0.03</v>
      </c>
      <c r="N92" s="643">
        <f t="shared" si="174"/>
        <v>0.03</v>
      </c>
      <c r="O92" s="104">
        <f t="shared" si="227"/>
        <v>0.03</v>
      </c>
      <c r="P92" s="104">
        <f t="shared" si="272"/>
        <v>0.03</v>
      </c>
      <c r="Q92" s="104">
        <f t="shared" si="273"/>
        <v>0.03</v>
      </c>
      <c r="R92" s="625">
        <v>0.03</v>
      </c>
      <c r="S92" s="19">
        <f t="shared" si="228"/>
        <v>0.02</v>
      </c>
      <c r="T92" s="19">
        <f t="shared" si="229"/>
        <v>0.02</v>
      </c>
      <c r="U92" s="19">
        <f t="shared" si="230"/>
        <v>0.02</v>
      </c>
      <c r="V92" s="643">
        <f t="shared" si="231"/>
        <v>0.02</v>
      </c>
      <c r="W92" s="104">
        <f t="shared" si="232"/>
        <v>0.02</v>
      </c>
      <c r="X92" s="104">
        <f t="shared" si="274"/>
        <v>0.02</v>
      </c>
      <c r="Y92" s="104">
        <f t="shared" si="275"/>
        <v>0.02</v>
      </c>
      <c r="Z92" s="625">
        <v>0.02</v>
      </c>
      <c r="AA92" s="19">
        <f t="shared" si="233"/>
        <v>0.03</v>
      </c>
      <c r="AB92" s="19">
        <f t="shared" si="234"/>
        <v>0.03</v>
      </c>
      <c r="AC92" s="19">
        <f t="shared" si="235"/>
        <v>0.03</v>
      </c>
      <c r="AD92" s="643">
        <f t="shared" si="236"/>
        <v>0.03</v>
      </c>
      <c r="AE92" s="104">
        <f t="shared" si="237"/>
        <v>0.03</v>
      </c>
      <c r="AF92" s="104">
        <f t="shared" si="276"/>
        <v>0.03</v>
      </c>
      <c r="AG92" s="104">
        <f t="shared" si="277"/>
        <v>0.03</v>
      </c>
      <c r="AH92" s="625">
        <v>0.03</v>
      </c>
      <c r="AI92" s="19">
        <f t="shared" si="238"/>
        <v>0.03</v>
      </c>
      <c r="AJ92" s="19">
        <f t="shared" si="239"/>
        <v>0.03</v>
      </c>
      <c r="AK92" s="495">
        <f t="shared" si="240"/>
        <v>0.03</v>
      </c>
      <c r="AL92" s="647">
        <f t="shared" si="241"/>
        <v>0.03</v>
      </c>
      <c r="AM92" s="104">
        <f t="shared" si="242"/>
        <v>0.03</v>
      </c>
      <c r="AN92" s="461">
        <f t="shared" si="278"/>
        <v>0.03</v>
      </c>
      <c r="AO92" s="461">
        <f t="shared" si="279"/>
        <v>0.03</v>
      </c>
      <c r="AP92" s="882">
        <v>0.03</v>
      </c>
      <c r="AQ92" s="495">
        <f t="shared" si="243"/>
        <v>0.03</v>
      </c>
      <c r="AR92" s="495">
        <f t="shared" si="244"/>
        <v>0.03</v>
      </c>
      <c r="AS92" s="495">
        <f t="shared" si="245"/>
        <v>0.03</v>
      </c>
      <c r="AT92" s="647">
        <f t="shared" si="246"/>
        <v>0.03</v>
      </c>
      <c r="AU92" s="461">
        <f t="shared" si="247"/>
        <v>0.03</v>
      </c>
      <c r="AV92" s="461">
        <f t="shared" si="248"/>
        <v>0.03</v>
      </c>
      <c r="AW92" s="461">
        <f t="shared" si="249"/>
        <v>0.03</v>
      </c>
      <c r="AX92" s="867">
        <f t="shared" ref="AX92:AX95" si="280">AP92</f>
        <v>0.03</v>
      </c>
      <c r="AY92" s="495">
        <f t="shared" si="250"/>
        <v>0.03</v>
      </c>
      <c r="AZ92" s="495">
        <f t="shared" si="251"/>
        <v>0.03</v>
      </c>
      <c r="BA92" s="495">
        <f t="shared" si="252"/>
        <v>0.03</v>
      </c>
      <c r="BB92" s="647">
        <f t="shared" si="253"/>
        <v>0.03</v>
      </c>
      <c r="BC92" s="461">
        <f t="shared" si="254"/>
        <v>0.03</v>
      </c>
      <c r="BD92" s="461">
        <f t="shared" si="255"/>
        <v>0.03</v>
      </c>
      <c r="BE92" s="461">
        <f t="shared" si="256"/>
        <v>0.03</v>
      </c>
      <c r="BF92" s="867">
        <f t="shared" ref="BF92:BF95" si="281">AX92</f>
        <v>0.03</v>
      </c>
      <c r="BG92" s="495">
        <f t="shared" si="257"/>
        <v>0.03</v>
      </c>
      <c r="BH92" s="495">
        <f t="shared" si="258"/>
        <v>0.03</v>
      </c>
      <c r="BI92" s="495">
        <f t="shared" si="259"/>
        <v>0.03</v>
      </c>
      <c r="BJ92" s="647">
        <f t="shared" si="260"/>
        <v>0.03</v>
      </c>
      <c r="BK92" s="461">
        <f t="shared" si="261"/>
        <v>0.03</v>
      </c>
      <c r="BL92" s="461">
        <f t="shared" si="262"/>
        <v>0.03</v>
      </c>
      <c r="BM92" s="461">
        <f t="shared" si="263"/>
        <v>0.03</v>
      </c>
      <c r="BN92" s="867">
        <f t="shared" ref="BN92:BN95" si="282">BF92</f>
        <v>0.03</v>
      </c>
      <c r="BO92" s="495">
        <f t="shared" si="264"/>
        <v>0.03</v>
      </c>
      <c r="BP92" s="495">
        <f t="shared" si="265"/>
        <v>0.03</v>
      </c>
      <c r="BQ92" s="495">
        <f t="shared" si="266"/>
        <v>0.03</v>
      </c>
      <c r="BR92" s="647">
        <f t="shared" si="267"/>
        <v>0.03</v>
      </c>
      <c r="BS92" s="461">
        <f t="shared" si="268"/>
        <v>0.03</v>
      </c>
      <c r="BT92" s="461">
        <f t="shared" si="269"/>
        <v>0.03</v>
      </c>
      <c r="BU92" s="461">
        <f t="shared" si="270"/>
        <v>0.03</v>
      </c>
      <c r="BV92" s="867">
        <f t="shared" ref="BV92:BV95" si="283">BN92</f>
        <v>0.03</v>
      </c>
    </row>
    <row r="93" spans="1:76" ht="11.25" customHeight="1" x14ac:dyDescent="0.2">
      <c r="A93" s="4" t="s">
        <v>860</v>
      </c>
      <c r="B93" s="31">
        <v>0.01</v>
      </c>
      <c r="C93" s="31">
        <v>0.01</v>
      </c>
      <c r="D93" s="31">
        <v>0.01</v>
      </c>
      <c r="E93" s="31">
        <v>0.01</v>
      </c>
      <c r="F93" s="32">
        <v>0.01</v>
      </c>
      <c r="G93" s="32">
        <v>0.01</v>
      </c>
      <c r="H93" s="32">
        <v>0.01</v>
      </c>
      <c r="I93" s="32">
        <v>0.01</v>
      </c>
      <c r="J93" s="1384">
        <v>0.02</v>
      </c>
      <c r="K93" s="19">
        <f t="shared" si="171"/>
        <v>0.03</v>
      </c>
      <c r="L93" s="19">
        <f t="shared" si="172"/>
        <v>0.03</v>
      </c>
      <c r="M93" s="19">
        <f t="shared" si="173"/>
        <v>0.03</v>
      </c>
      <c r="N93" s="643">
        <f t="shared" si="174"/>
        <v>0.03</v>
      </c>
      <c r="O93" s="104">
        <f t="shared" si="227"/>
        <v>0.03</v>
      </c>
      <c r="P93" s="104">
        <f t="shared" si="272"/>
        <v>0.03</v>
      </c>
      <c r="Q93" s="104">
        <f t="shared" si="273"/>
        <v>0.03</v>
      </c>
      <c r="R93" s="625">
        <v>0.03</v>
      </c>
      <c r="S93" s="19">
        <f t="shared" si="228"/>
        <v>0.02</v>
      </c>
      <c r="T93" s="19">
        <f t="shared" si="229"/>
        <v>0.02</v>
      </c>
      <c r="U93" s="19">
        <f t="shared" si="230"/>
        <v>0.02</v>
      </c>
      <c r="V93" s="643">
        <f t="shared" si="231"/>
        <v>0.02</v>
      </c>
      <c r="W93" s="104">
        <f t="shared" si="232"/>
        <v>0.02</v>
      </c>
      <c r="X93" s="104">
        <f t="shared" si="274"/>
        <v>0.02</v>
      </c>
      <c r="Y93" s="104">
        <f t="shared" si="275"/>
        <v>0.02</v>
      </c>
      <c r="Z93" s="625">
        <v>0.02</v>
      </c>
      <c r="AA93" s="19">
        <f t="shared" si="233"/>
        <v>0.03</v>
      </c>
      <c r="AB93" s="19">
        <f t="shared" si="234"/>
        <v>0.03</v>
      </c>
      <c r="AC93" s="19">
        <f t="shared" si="235"/>
        <v>0.03</v>
      </c>
      <c r="AD93" s="643">
        <f t="shared" si="236"/>
        <v>0.03</v>
      </c>
      <c r="AE93" s="104">
        <f t="shared" si="237"/>
        <v>0.03</v>
      </c>
      <c r="AF93" s="104">
        <f t="shared" si="276"/>
        <v>0.03</v>
      </c>
      <c r="AG93" s="104">
        <f t="shared" si="277"/>
        <v>0.03</v>
      </c>
      <c r="AH93" s="625">
        <v>0.03</v>
      </c>
      <c r="AI93" s="19">
        <f t="shared" si="238"/>
        <v>0.03</v>
      </c>
      <c r="AJ93" s="19">
        <f t="shared" si="239"/>
        <v>0.03</v>
      </c>
      <c r="AK93" s="495">
        <f t="shared" si="240"/>
        <v>0.03</v>
      </c>
      <c r="AL93" s="647">
        <f t="shared" si="241"/>
        <v>0.03</v>
      </c>
      <c r="AM93" s="104">
        <f t="shared" si="242"/>
        <v>0.03</v>
      </c>
      <c r="AN93" s="461">
        <f t="shared" si="278"/>
        <v>0.03</v>
      </c>
      <c r="AO93" s="461">
        <f t="shared" si="279"/>
        <v>0.03</v>
      </c>
      <c r="AP93" s="882">
        <v>0.03</v>
      </c>
      <c r="AQ93" s="495">
        <f t="shared" si="243"/>
        <v>0.03</v>
      </c>
      <c r="AR93" s="495">
        <f t="shared" si="244"/>
        <v>0.03</v>
      </c>
      <c r="AS93" s="495">
        <f t="shared" si="245"/>
        <v>0.03</v>
      </c>
      <c r="AT93" s="647">
        <f t="shared" si="246"/>
        <v>0.03</v>
      </c>
      <c r="AU93" s="461">
        <f t="shared" si="247"/>
        <v>0.03</v>
      </c>
      <c r="AV93" s="461">
        <f t="shared" si="248"/>
        <v>0.03</v>
      </c>
      <c r="AW93" s="461">
        <f t="shared" si="249"/>
        <v>0.03</v>
      </c>
      <c r="AX93" s="867">
        <f t="shared" si="280"/>
        <v>0.03</v>
      </c>
      <c r="AY93" s="495">
        <f t="shared" si="250"/>
        <v>0.03</v>
      </c>
      <c r="AZ93" s="495">
        <f t="shared" si="251"/>
        <v>0.03</v>
      </c>
      <c r="BA93" s="495">
        <f t="shared" si="252"/>
        <v>0.03</v>
      </c>
      <c r="BB93" s="647">
        <f t="shared" si="253"/>
        <v>0.03</v>
      </c>
      <c r="BC93" s="461">
        <f t="shared" si="254"/>
        <v>0.03</v>
      </c>
      <c r="BD93" s="461">
        <f t="shared" si="255"/>
        <v>0.03</v>
      </c>
      <c r="BE93" s="461">
        <f t="shared" si="256"/>
        <v>0.03</v>
      </c>
      <c r="BF93" s="867">
        <f t="shared" si="281"/>
        <v>0.03</v>
      </c>
      <c r="BG93" s="495">
        <f t="shared" si="257"/>
        <v>0.03</v>
      </c>
      <c r="BH93" s="495">
        <f t="shared" si="258"/>
        <v>0.03</v>
      </c>
      <c r="BI93" s="495">
        <f t="shared" si="259"/>
        <v>0.03</v>
      </c>
      <c r="BJ93" s="647">
        <f t="shared" si="260"/>
        <v>0.03</v>
      </c>
      <c r="BK93" s="461">
        <f t="shared" si="261"/>
        <v>0.03</v>
      </c>
      <c r="BL93" s="461">
        <f t="shared" si="262"/>
        <v>0.03</v>
      </c>
      <c r="BM93" s="461">
        <f t="shared" si="263"/>
        <v>0.03</v>
      </c>
      <c r="BN93" s="867">
        <f t="shared" si="282"/>
        <v>0.03</v>
      </c>
      <c r="BO93" s="495">
        <f t="shared" si="264"/>
        <v>0.03</v>
      </c>
      <c r="BP93" s="495">
        <f t="shared" si="265"/>
        <v>0.03</v>
      </c>
      <c r="BQ93" s="495">
        <f t="shared" si="266"/>
        <v>0.03</v>
      </c>
      <c r="BR93" s="647">
        <f t="shared" si="267"/>
        <v>0.03</v>
      </c>
      <c r="BS93" s="461">
        <f t="shared" si="268"/>
        <v>0.03</v>
      </c>
      <c r="BT93" s="461">
        <f t="shared" si="269"/>
        <v>0.03</v>
      </c>
      <c r="BU93" s="461">
        <f t="shared" si="270"/>
        <v>0.03</v>
      </c>
      <c r="BV93" s="867">
        <f t="shared" si="283"/>
        <v>0.03</v>
      </c>
    </row>
    <row r="94" spans="1:76" ht="11.25" customHeight="1" x14ac:dyDescent="0.2">
      <c r="A94" s="4" t="s">
        <v>861</v>
      </c>
      <c r="B94" s="31">
        <v>0.01</v>
      </c>
      <c r="C94" s="31">
        <v>0.01</v>
      </c>
      <c r="D94" s="31">
        <v>0.01</v>
      </c>
      <c r="E94" s="31">
        <v>0.01</v>
      </c>
      <c r="F94" s="32">
        <v>0.01</v>
      </c>
      <c r="G94" s="32">
        <v>0.01</v>
      </c>
      <c r="H94" s="32">
        <v>0.01</v>
      </c>
      <c r="I94" s="32">
        <v>0.01</v>
      </c>
      <c r="J94" s="1384">
        <v>0.02</v>
      </c>
      <c r="K94" s="19">
        <f t="shared" si="171"/>
        <v>0.03</v>
      </c>
      <c r="L94" s="19">
        <f t="shared" si="172"/>
        <v>0.03</v>
      </c>
      <c r="M94" s="19">
        <f t="shared" si="173"/>
        <v>0.03</v>
      </c>
      <c r="N94" s="643">
        <f t="shared" si="174"/>
        <v>0.03</v>
      </c>
      <c r="O94" s="104">
        <f t="shared" si="227"/>
        <v>0.03</v>
      </c>
      <c r="P94" s="104">
        <f t="shared" si="272"/>
        <v>0.03</v>
      </c>
      <c r="Q94" s="104">
        <f t="shared" si="273"/>
        <v>0.03</v>
      </c>
      <c r="R94" s="625">
        <v>0.03</v>
      </c>
      <c r="S94" s="19">
        <f t="shared" si="228"/>
        <v>0.02</v>
      </c>
      <c r="T94" s="19">
        <f t="shared" si="229"/>
        <v>0.02</v>
      </c>
      <c r="U94" s="19">
        <f t="shared" si="230"/>
        <v>0.02</v>
      </c>
      <c r="V94" s="643">
        <f t="shared" si="231"/>
        <v>0.02</v>
      </c>
      <c r="W94" s="104">
        <f t="shared" si="232"/>
        <v>0.02</v>
      </c>
      <c r="X94" s="104">
        <f t="shared" si="274"/>
        <v>0.02</v>
      </c>
      <c r="Y94" s="104">
        <f t="shared" si="275"/>
        <v>0.02</v>
      </c>
      <c r="Z94" s="625">
        <v>0.02</v>
      </c>
      <c r="AA94" s="19">
        <f t="shared" si="233"/>
        <v>0.03</v>
      </c>
      <c r="AB94" s="19">
        <f t="shared" si="234"/>
        <v>0.03</v>
      </c>
      <c r="AC94" s="19">
        <f t="shared" si="235"/>
        <v>0.03</v>
      </c>
      <c r="AD94" s="643">
        <f t="shared" si="236"/>
        <v>0.03</v>
      </c>
      <c r="AE94" s="104">
        <f t="shared" si="237"/>
        <v>0.03</v>
      </c>
      <c r="AF94" s="104">
        <f t="shared" si="276"/>
        <v>0.03</v>
      </c>
      <c r="AG94" s="104">
        <f t="shared" si="277"/>
        <v>0.03</v>
      </c>
      <c r="AH94" s="625">
        <v>0.03</v>
      </c>
      <c r="AI94" s="19">
        <f t="shared" si="238"/>
        <v>0.03</v>
      </c>
      <c r="AJ94" s="19">
        <f t="shared" si="239"/>
        <v>0.03</v>
      </c>
      <c r="AK94" s="495">
        <f t="shared" si="240"/>
        <v>0.03</v>
      </c>
      <c r="AL94" s="647">
        <f t="shared" si="241"/>
        <v>0.03</v>
      </c>
      <c r="AM94" s="104">
        <f t="shared" si="242"/>
        <v>0.03</v>
      </c>
      <c r="AN94" s="461">
        <f t="shared" si="278"/>
        <v>0.03</v>
      </c>
      <c r="AO94" s="461">
        <f t="shared" si="279"/>
        <v>0.03</v>
      </c>
      <c r="AP94" s="882">
        <v>0.03</v>
      </c>
      <c r="AQ94" s="495">
        <f t="shared" si="243"/>
        <v>0.03</v>
      </c>
      <c r="AR94" s="495">
        <f t="shared" si="244"/>
        <v>0.03</v>
      </c>
      <c r="AS94" s="495">
        <f t="shared" si="245"/>
        <v>0.03</v>
      </c>
      <c r="AT94" s="647">
        <f t="shared" si="246"/>
        <v>0.03</v>
      </c>
      <c r="AU94" s="461">
        <f t="shared" si="247"/>
        <v>0.03</v>
      </c>
      <c r="AV94" s="461">
        <f t="shared" si="248"/>
        <v>0.03</v>
      </c>
      <c r="AW94" s="461">
        <f t="shared" si="249"/>
        <v>0.03</v>
      </c>
      <c r="AX94" s="867">
        <f t="shared" si="280"/>
        <v>0.03</v>
      </c>
      <c r="AY94" s="495">
        <f t="shared" si="250"/>
        <v>0.03</v>
      </c>
      <c r="AZ94" s="495">
        <f t="shared" si="251"/>
        <v>0.03</v>
      </c>
      <c r="BA94" s="495">
        <f t="shared" si="252"/>
        <v>0.03</v>
      </c>
      <c r="BB94" s="647">
        <f t="shared" si="253"/>
        <v>0.03</v>
      </c>
      <c r="BC94" s="461">
        <f t="shared" si="254"/>
        <v>0.03</v>
      </c>
      <c r="BD94" s="461">
        <f t="shared" si="255"/>
        <v>0.03</v>
      </c>
      <c r="BE94" s="461">
        <f t="shared" si="256"/>
        <v>0.03</v>
      </c>
      <c r="BF94" s="867">
        <f t="shared" si="281"/>
        <v>0.03</v>
      </c>
      <c r="BG94" s="495">
        <f t="shared" si="257"/>
        <v>0.03</v>
      </c>
      <c r="BH94" s="495">
        <f t="shared" si="258"/>
        <v>0.03</v>
      </c>
      <c r="BI94" s="495">
        <f t="shared" si="259"/>
        <v>0.03</v>
      </c>
      <c r="BJ94" s="647">
        <f t="shared" si="260"/>
        <v>0.03</v>
      </c>
      <c r="BK94" s="461">
        <f t="shared" si="261"/>
        <v>0.03</v>
      </c>
      <c r="BL94" s="461">
        <f t="shared" si="262"/>
        <v>0.03</v>
      </c>
      <c r="BM94" s="461">
        <f t="shared" si="263"/>
        <v>0.03</v>
      </c>
      <c r="BN94" s="867">
        <f t="shared" si="282"/>
        <v>0.03</v>
      </c>
      <c r="BO94" s="495">
        <f t="shared" si="264"/>
        <v>0.03</v>
      </c>
      <c r="BP94" s="495">
        <f t="shared" si="265"/>
        <v>0.03</v>
      </c>
      <c r="BQ94" s="495">
        <f t="shared" si="266"/>
        <v>0.03</v>
      </c>
      <c r="BR94" s="647">
        <f t="shared" si="267"/>
        <v>0.03</v>
      </c>
      <c r="BS94" s="461">
        <f t="shared" si="268"/>
        <v>0.03</v>
      </c>
      <c r="BT94" s="461">
        <f t="shared" si="269"/>
        <v>0.03</v>
      </c>
      <c r="BU94" s="461">
        <f t="shared" si="270"/>
        <v>0.03</v>
      </c>
      <c r="BV94" s="867">
        <f t="shared" si="283"/>
        <v>0.03</v>
      </c>
    </row>
    <row r="95" spans="1:76" ht="11.25" customHeight="1" x14ac:dyDescent="0.2">
      <c r="A95" s="4" t="s">
        <v>862</v>
      </c>
      <c r="B95" s="31">
        <v>0.01</v>
      </c>
      <c r="C95" s="31">
        <v>0.01</v>
      </c>
      <c r="D95" s="31">
        <v>0.01</v>
      </c>
      <c r="E95" s="31">
        <v>0.01</v>
      </c>
      <c r="F95" s="32">
        <v>0.01</v>
      </c>
      <c r="G95" s="32">
        <v>0.01</v>
      </c>
      <c r="H95" s="32">
        <v>0.01</v>
      </c>
      <c r="I95" s="32">
        <v>0.01</v>
      </c>
      <c r="J95" s="1384">
        <v>0.02</v>
      </c>
      <c r="K95" s="19">
        <f t="shared" si="171"/>
        <v>0.03</v>
      </c>
      <c r="L95" s="19">
        <f t="shared" si="172"/>
        <v>0.03</v>
      </c>
      <c r="M95" s="19">
        <f t="shared" si="173"/>
        <v>0.03</v>
      </c>
      <c r="N95" s="643">
        <f t="shared" si="174"/>
        <v>0.03</v>
      </c>
      <c r="O95" s="104">
        <f t="shared" si="227"/>
        <v>0.03</v>
      </c>
      <c r="P95" s="104">
        <f t="shared" si="272"/>
        <v>0.03</v>
      </c>
      <c r="Q95" s="104">
        <f t="shared" si="273"/>
        <v>0.03</v>
      </c>
      <c r="R95" s="625">
        <v>0.03</v>
      </c>
      <c r="S95" s="19">
        <f t="shared" si="228"/>
        <v>0.02</v>
      </c>
      <c r="T95" s="19">
        <f t="shared" si="229"/>
        <v>0.02</v>
      </c>
      <c r="U95" s="19">
        <f t="shared" si="230"/>
        <v>0.02</v>
      </c>
      <c r="V95" s="643">
        <f t="shared" si="231"/>
        <v>0.02</v>
      </c>
      <c r="W95" s="104">
        <f t="shared" si="232"/>
        <v>0.02</v>
      </c>
      <c r="X95" s="104">
        <f t="shared" si="274"/>
        <v>0.02</v>
      </c>
      <c r="Y95" s="104">
        <f t="shared" si="275"/>
        <v>0.02</v>
      </c>
      <c r="Z95" s="625">
        <v>0.02</v>
      </c>
      <c r="AA95" s="19">
        <f t="shared" si="233"/>
        <v>0.03</v>
      </c>
      <c r="AB95" s="19">
        <f t="shared" si="234"/>
        <v>0.03</v>
      </c>
      <c r="AC95" s="19">
        <f t="shared" si="235"/>
        <v>0.03</v>
      </c>
      <c r="AD95" s="643">
        <f t="shared" si="236"/>
        <v>0.03</v>
      </c>
      <c r="AE95" s="104">
        <f t="shared" si="237"/>
        <v>0.03</v>
      </c>
      <c r="AF95" s="104">
        <f t="shared" si="276"/>
        <v>0.03</v>
      </c>
      <c r="AG95" s="104">
        <f t="shared" si="277"/>
        <v>0.03</v>
      </c>
      <c r="AH95" s="625">
        <v>0.03</v>
      </c>
      <c r="AI95" s="19">
        <f t="shared" si="238"/>
        <v>0.03</v>
      </c>
      <c r="AJ95" s="19">
        <f t="shared" si="239"/>
        <v>0.03</v>
      </c>
      <c r="AK95" s="495">
        <f t="shared" si="240"/>
        <v>0.03</v>
      </c>
      <c r="AL95" s="647">
        <f t="shared" si="241"/>
        <v>0.03</v>
      </c>
      <c r="AM95" s="104">
        <f t="shared" si="242"/>
        <v>0.03</v>
      </c>
      <c r="AN95" s="461">
        <f t="shared" si="278"/>
        <v>0.03</v>
      </c>
      <c r="AO95" s="461">
        <f t="shared" si="279"/>
        <v>0.03</v>
      </c>
      <c r="AP95" s="882">
        <v>0.03</v>
      </c>
      <c r="AQ95" s="495">
        <f t="shared" si="243"/>
        <v>0.03</v>
      </c>
      <c r="AR95" s="495">
        <f t="shared" si="244"/>
        <v>0.03</v>
      </c>
      <c r="AS95" s="495">
        <f t="shared" si="245"/>
        <v>0.03</v>
      </c>
      <c r="AT95" s="647">
        <f t="shared" si="246"/>
        <v>0.03</v>
      </c>
      <c r="AU95" s="461">
        <f t="shared" si="247"/>
        <v>0.03</v>
      </c>
      <c r="AV95" s="461">
        <f t="shared" si="248"/>
        <v>0.03</v>
      </c>
      <c r="AW95" s="461">
        <f t="shared" si="249"/>
        <v>0.03</v>
      </c>
      <c r="AX95" s="867">
        <f t="shared" si="280"/>
        <v>0.03</v>
      </c>
      <c r="AY95" s="495">
        <f t="shared" si="250"/>
        <v>0.03</v>
      </c>
      <c r="AZ95" s="495">
        <f t="shared" si="251"/>
        <v>0.03</v>
      </c>
      <c r="BA95" s="495">
        <f t="shared" si="252"/>
        <v>0.03</v>
      </c>
      <c r="BB95" s="647">
        <f t="shared" si="253"/>
        <v>0.03</v>
      </c>
      <c r="BC95" s="461">
        <f t="shared" si="254"/>
        <v>0.03</v>
      </c>
      <c r="BD95" s="461">
        <f t="shared" si="255"/>
        <v>0.03</v>
      </c>
      <c r="BE95" s="461">
        <f t="shared" si="256"/>
        <v>0.03</v>
      </c>
      <c r="BF95" s="867">
        <f t="shared" si="281"/>
        <v>0.03</v>
      </c>
      <c r="BG95" s="495">
        <f t="shared" si="257"/>
        <v>0.03</v>
      </c>
      <c r="BH95" s="495">
        <f t="shared" si="258"/>
        <v>0.03</v>
      </c>
      <c r="BI95" s="495">
        <f t="shared" si="259"/>
        <v>0.03</v>
      </c>
      <c r="BJ95" s="647">
        <f t="shared" si="260"/>
        <v>0.03</v>
      </c>
      <c r="BK95" s="461">
        <f t="shared" si="261"/>
        <v>0.03</v>
      </c>
      <c r="BL95" s="461">
        <f t="shared" si="262"/>
        <v>0.03</v>
      </c>
      <c r="BM95" s="461">
        <f t="shared" si="263"/>
        <v>0.03</v>
      </c>
      <c r="BN95" s="867">
        <f t="shared" si="282"/>
        <v>0.03</v>
      </c>
      <c r="BO95" s="495">
        <f t="shared" si="264"/>
        <v>0.03</v>
      </c>
      <c r="BP95" s="495">
        <f t="shared" si="265"/>
        <v>0.03</v>
      </c>
      <c r="BQ95" s="495">
        <f t="shared" si="266"/>
        <v>0.03</v>
      </c>
      <c r="BR95" s="647">
        <f t="shared" si="267"/>
        <v>0.03</v>
      </c>
      <c r="BS95" s="461">
        <f t="shared" si="268"/>
        <v>0.03</v>
      </c>
      <c r="BT95" s="461">
        <f t="shared" si="269"/>
        <v>0.03</v>
      </c>
      <c r="BU95" s="461">
        <f t="shared" si="270"/>
        <v>0.03</v>
      </c>
      <c r="BV95" s="867">
        <f t="shared" si="283"/>
        <v>0.03</v>
      </c>
    </row>
    <row r="96" spans="1:76" x14ac:dyDescent="0.2">
      <c r="B96" s="883"/>
      <c r="C96" s="883"/>
      <c r="D96" s="883"/>
      <c r="E96" s="883"/>
      <c r="F96" s="883"/>
      <c r="G96" s="883"/>
      <c r="H96" s="883"/>
      <c r="I96" s="883"/>
      <c r="J96" s="884"/>
      <c r="K96" s="885"/>
      <c r="L96" s="883"/>
      <c r="M96" s="883"/>
      <c r="N96" s="886"/>
      <c r="O96" s="883"/>
      <c r="P96" s="883"/>
      <c r="Q96" s="883"/>
      <c r="R96" s="881"/>
      <c r="S96" s="883"/>
      <c r="T96" s="883"/>
      <c r="U96" s="883"/>
      <c r="V96" s="886"/>
      <c r="W96" s="883"/>
      <c r="X96" s="883"/>
      <c r="Y96" s="883"/>
      <c r="Z96" s="881"/>
      <c r="AA96" s="883"/>
      <c r="AB96" s="883"/>
      <c r="AC96" s="885"/>
      <c r="AD96" s="886"/>
      <c r="AE96" s="883"/>
      <c r="AF96" s="883"/>
      <c r="AG96" s="883"/>
      <c r="AH96" s="881"/>
      <c r="AI96" s="885"/>
      <c r="AJ96" s="885"/>
      <c r="AK96" s="883"/>
      <c r="AL96" s="886"/>
      <c r="AM96" s="885"/>
      <c r="AN96" s="883"/>
      <c r="AO96" s="883"/>
      <c r="AP96" s="881"/>
      <c r="AQ96" s="883"/>
      <c r="AR96" s="883"/>
      <c r="AS96" s="883"/>
      <c r="AT96" s="886"/>
      <c r="AU96" s="883"/>
      <c r="AV96" s="883"/>
      <c r="AW96" s="883"/>
      <c r="AX96" s="881"/>
      <c r="AY96" s="883"/>
      <c r="AZ96" s="883"/>
      <c r="BA96" s="883"/>
      <c r="BB96" s="886"/>
      <c r="BC96" s="883"/>
      <c r="BD96" s="883"/>
      <c r="BE96" s="883"/>
      <c r="BF96" s="881"/>
      <c r="BG96" s="883"/>
      <c r="BH96" s="883"/>
      <c r="BI96" s="883"/>
      <c r="BJ96" s="886"/>
      <c r="BK96" s="883"/>
      <c r="BL96" s="883"/>
      <c r="BM96" s="883"/>
      <c r="BN96" s="881"/>
      <c r="BO96" s="883"/>
      <c r="BP96" s="883"/>
      <c r="BQ96" s="883"/>
      <c r="BR96" s="886"/>
      <c r="BS96" s="883"/>
      <c r="BT96" s="883"/>
      <c r="BU96" s="883"/>
      <c r="BV96" s="881"/>
    </row>
    <row r="97" spans="1:74" x14ac:dyDescent="0.2">
      <c r="A97" s="186" t="s">
        <v>881</v>
      </c>
      <c r="B97" s="883"/>
      <c r="C97" s="883"/>
      <c r="D97" s="883"/>
      <c r="E97" s="883"/>
      <c r="F97" s="883"/>
      <c r="G97" s="883"/>
      <c r="H97" s="883"/>
      <c r="I97" s="883"/>
      <c r="J97" s="884"/>
      <c r="K97" s="885"/>
      <c r="L97" s="883"/>
      <c r="M97" s="883"/>
      <c r="N97" s="886"/>
      <c r="O97" s="883"/>
      <c r="P97" s="883"/>
      <c r="Q97" s="883"/>
      <c r="R97" s="881"/>
      <c r="S97" s="883"/>
      <c r="T97" s="883"/>
      <c r="U97" s="883"/>
      <c r="V97" s="886"/>
      <c r="W97" s="883"/>
      <c r="X97" s="883"/>
      <c r="Y97" s="883"/>
      <c r="Z97" s="881"/>
      <c r="AA97" s="883"/>
      <c r="AB97" s="883"/>
      <c r="AC97" s="885"/>
      <c r="AD97" s="886"/>
      <c r="AE97" s="883"/>
      <c r="AF97" s="883"/>
      <c r="AG97" s="883"/>
      <c r="AH97" s="881"/>
      <c r="AI97" s="885"/>
      <c r="AJ97" s="885"/>
      <c r="AK97" s="883"/>
      <c r="AL97" s="886"/>
      <c r="AM97" s="885"/>
      <c r="AN97" s="883"/>
      <c r="AO97" s="883"/>
      <c r="AP97" s="881"/>
      <c r="AQ97" s="883"/>
      <c r="AR97" s="883"/>
      <c r="AS97" s="883"/>
      <c r="AT97" s="886"/>
      <c r="AU97" s="883"/>
      <c r="AV97" s="883"/>
      <c r="AW97" s="883"/>
      <c r="AX97" s="881"/>
      <c r="AY97" s="883"/>
      <c r="AZ97" s="883"/>
      <c r="BA97" s="883"/>
      <c r="BB97" s="886"/>
      <c r="BC97" s="883"/>
      <c r="BD97" s="883"/>
      <c r="BE97" s="883"/>
      <c r="BF97" s="881"/>
      <c r="BG97" s="883"/>
      <c r="BH97" s="883"/>
      <c r="BI97" s="883"/>
      <c r="BJ97" s="886"/>
      <c r="BK97" s="883"/>
      <c r="BL97" s="883"/>
      <c r="BM97" s="883"/>
      <c r="BN97" s="881"/>
      <c r="BO97" s="883"/>
      <c r="BP97" s="883"/>
      <c r="BQ97" s="883"/>
      <c r="BR97" s="886"/>
      <c r="BS97" s="883"/>
      <c r="BT97" s="883"/>
      <c r="BU97" s="883"/>
      <c r="BV97" s="881"/>
    </row>
    <row r="98" spans="1:74" s="281" customFormat="1" x14ac:dyDescent="0.2">
      <c r="A98" s="281" t="str">
        <f>A89</f>
        <v>CFM56</v>
      </c>
      <c r="B98" s="279">
        <v>0.6</v>
      </c>
      <c r="C98" s="279">
        <v>0.6</v>
      </c>
      <c r="D98" s="279">
        <v>0.6</v>
      </c>
      <c r="E98" s="279">
        <v>0.6</v>
      </c>
      <c r="F98" s="279">
        <v>0.6</v>
      </c>
      <c r="G98" s="279">
        <v>0.6</v>
      </c>
      <c r="H98" s="279">
        <v>0.6</v>
      </c>
      <c r="I98" s="279">
        <v>0.6</v>
      </c>
      <c r="J98" s="887">
        <v>0.6</v>
      </c>
      <c r="K98" s="19">
        <f>R98</f>
        <v>0.6</v>
      </c>
      <c r="L98" s="19">
        <f>R98</f>
        <v>0.6</v>
      </c>
      <c r="M98" s="19">
        <f>R98</f>
        <v>0.6</v>
      </c>
      <c r="N98" s="643">
        <f>R98</f>
        <v>0.6</v>
      </c>
      <c r="O98" s="104">
        <f>R98</f>
        <v>0.6</v>
      </c>
      <c r="P98" s="104">
        <f>R98</f>
        <v>0.6</v>
      </c>
      <c r="Q98" s="104">
        <f>R98</f>
        <v>0.6</v>
      </c>
      <c r="R98" s="1393">
        <v>0.6</v>
      </c>
      <c r="S98" s="19">
        <f t="shared" ref="S98:S105" si="284">Z98</f>
        <v>0.6</v>
      </c>
      <c r="T98" s="19">
        <f t="shared" ref="T98:T105" si="285">Z98</f>
        <v>0.6</v>
      </c>
      <c r="U98" s="19">
        <f t="shared" ref="U98:U105" si="286">Z98</f>
        <v>0.6</v>
      </c>
      <c r="V98" s="643">
        <f t="shared" ref="V98:V105" si="287">Z98</f>
        <v>0.6</v>
      </c>
      <c r="W98" s="104">
        <f t="shared" ref="W98:W105" si="288">Z98</f>
        <v>0.6</v>
      </c>
      <c r="X98" s="104">
        <f>Z98</f>
        <v>0.6</v>
      </c>
      <c r="Y98" s="104">
        <f>Z98</f>
        <v>0.6</v>
      </c>
      <c r="Z98" s="1393">
        <f>R98</f>
        <v>0.6</v>
      </c>
      <c r="AA98" s="19">
        <f t="shared" ref="AA98:AA105" si="289">AH98</f>
        <v>0.8</v>
      </c>
      <c r="AB98" s="19">
        <f t="shared" ref="AB98:AB105" si="290">AH98</f>
        <v>0.8</v>
      </c>
      <c r="AC98" s="19">
        <f t="shared" ref="AC98:AC105" si="291">AH98</f>
        <v>0.8</v>
      </c>
      <c r="AD98" s="643">
        <f t="shared" ref="AD98:AD105" si="292">AH98</f>
        <v>0.8</v>
      </c>
      <c r="AE98" s="104">
        <f t="shared" ref="AE98:AE105" si="293">AH98</f>
        <v>0.8</v>
      </c>
      <c r="AF98" s="104">
        <f>AH98</f>
        <v>0.8</v>
      </c>
      <c r="AG98" s="104">
        <f>AH98</f>
        <v>0.8</v>
      </c>
      <c r="AH98" s="1393">
        <v>0.8</v>
      </c>
      <c r="AI98" s="19">
        <f t="shared" ref="AI98:AI105" si="294">AP98</f>
        <v>0.8</v>
      </c>
      <c r="AJ98" s="19">
        <f t="shared" ref="AJ98:AJ105" si="295">AP98</f>
        <v>0.8</v>
      </c>
      <c r="AK98" s="495">
        <f t="shared" ref="AK98:AK105" si="296">AP98</f>
        <v>0.8</v>
      </c>
      <c r="AL98" s="647">
        <f t="shared" ref="AL98:AL105" si="297">AP98</f>
        <v>0.8</v>
      </c>
      <c r="AM98" s="104">
        <f t="shared" ref="AM98:AM105" si="298">AP98</f>
        <v>0.8</v>
      </c>
      <c r="AN98" s="461">
        <f>AP98</f>
        <v>0.8</v>
      </c>
      <c r="AO98" s="461">
        <f>AP98</f>
        <v>0.8</v>
      </c>
      <c r="AP98" s="888">
        <f>AH98</f>
        <v>0.8</v>
      </c>
      <c r="AQ98" s="495">
        <f t="shared" ref="AQ98:AQ105" si="299">AX98</f>
        <v>0.8</v>
      </c>
      <c r="AR98" s="495">
        <f t="shared" ref="AR98:AR105" si="300">AX98</f>
        <v>0.8</v>
      </c>
      <c r="AS98" s="495">
        <f t="shared" ref="AS98:AS105" si="301">AX98</f>
        <v>0.8</v>
      </c>
      <c r="AT98" s="647">
        <f t="shared" ref="AT98:AT105" si="302">AX98</f>
        <v>0.8</v>
      </c>
      <c r="AU98" s="461">
        <f t="shared" ref="AU98:AU105" si="303">AX98</f>
        <v>0.8</v>
      </c>
      <c r="AV98" s="461">
        <f>AX98</f>
        <v>0.8</v>
      </c>
      <c r="AW98" s="461">
        <f>AX98</f>
        <v>0.8</v>
      </c>
      <c r="AX98" s="888">
        <f>AP98</f>
        <v>0.8</v>
      </c>
      <c r="AY98" s="495">
        <f t="shared" ref="AY98:AY105" si="304">BF98</f>
        <v>0.8</v>
      </c>
      <c r="AZ98" s="495">
        <f t="shared" ref="AZ98:AZ105" si="305">BF98</f>
        <v>0.8</v>
      </c>
      <c r="BA98" s="495">
        <f t="shared" ref="BA98:BA105" si="306">BF98</f>
        <v>0.8</v>
      </c>
      <c r="BB98" s="647">
        <f t="shared" ref="BB98:BB105" si="307">BF98</f>
        <v>0.8</v>
      </c>
      <c r="BC98" s="461">
        <f t="shared" ref="BC98:BC105" si="308">BF98</f>
        <v>0.8</v>
      </c>
      <c r="BD98" s="461">
        <f>BF98</f>
        <v>0.8</v>
      </c>
      <c r="BE98" s="461">
        <f>BF98</f>
        <v>0.8</v>
      </c>
      <c r="BF98" s="888">
        <f>AX98</f>
        <v>0.8</v>
      </c>
      <c r="BG98" s="495">
        <f t="shared" ref="BG98:BG105" si="309">BN98</f>
        <v>0.8</v>
      </c>
      <c r="BH98" s="495">
        <f t="shared" ref="BH98:BH105" si="310">BN98</f>
        <v>0.8</v>
      </c>
      <c r="BI98" s="495">
        <f t="shared" ref="BI98:BI105" si="311">BN98</f>
        <v>0.8</v>
      </c>
      <c r="BJ98" s="647">
        <f t="shared" ref="BJ98:BJ105" si="312">BN98</f>
        <v>0.8</v>
      </c>
      <c r="BK98" s="461">
        <f t="shared" ref="BK98:BK105" si="313">BN98</f>
        <v>0.8</v>
      </c>
      <c r="BL98" s="461">
        <f>BN98</f>
        <v>0.8</v>
      </c>
      <c r="BM98" s="461">
        <f>BN98</f>
        <v>0.8</v>
      </c>
      <c r="BN98" s="888">
        <f>BF98</f>
        <v>0.8</v>
      </c>
      <c r="BO98" s="495">
        <f t="shared" ref="BO98:BO105" si="314">BV98</f>
        <v>0.8</v>
      </c>
      <c r="BP98" s="495">
        <f t="shared" ref="BP98:BP105" si="315">BV98</f>
        <v>0.8</v>
      </c>
      <c r="BQ98" s="495">
        <f t="shared" ref="BQ98:BQ105" si="316">BV98</f>
        <v>0.8</v>
      </c>
      <c r="BR98" s="647">
        <f t="shared" ref="BR98:BR105" si="317">BV98</f>
        <v>0.8</v>
      </c>
      <c r="BS98" s="461">
        <f t="shared" ref="BS98:BS105" si="318">BV98</f>
        <v>0.8</v>
      </c>
      <c r="BT98" s="461">
        <f>BV98</f>
        <v>0.8</v>
      </c>
      <c r="BU98" s="461">
        <f>BV98</f>
        <v>0.8</v>
      </c>
      <c r="BV98" s="888">
        <f>BN98</f>
        <v>0.8</v>
      </c>
    </row>
    <row r="99" spans="1:74" s="281" customFormat="1" x14ac:dyDescent="0.2">
      <c r="A99" s="281" t="str">
        <f t="shared" ref="A99:A104" si="319">A90</f>
        <v xml:space="preserve">LEAP </v>
      </c>
      <c r="B99" s="281">
        <v>0.8</v>
      </c>
      <c r="C99" s="281">
        <v>0.8</v>
      </c>
      <c r="D99" s="281">
        <v>0.8</v>
      </c>
      <c r="E99" s="281">
        <v>0.8</v>
      </c>
      <c r="F99" s="281">
        <v>0.75</v>
      </c>
      <c r="G99" s="281">
        <v>0.75</v>
      </c>
      <c r="H99" s="281">
        <v>0.75</v>
      </c>
      <c r="I99" s="281">
        <v>0.75</v>
      </c>
      <c r="J99" s="1489">
        <v>0.72499999999999998</v>
      </c>
      <c r="K99" s="19">
        <f t="shared" ref="K99:K104" si="320">R99</f>
        <v>0.72499999999999998</v>
      </c>
      <c r="L99" s="19">
        <f t="shared" ref="L99:L104" si="321">R99</f>
        <v>0.72499999999999998</v>
      </c>
      <c r="M99" s="19">
        <f t="shared" ref="M99:M104" si="322">R99</f>
        <v>0.72499999999999998</v>
      </c>
      <c r="N99" s="643">
        <f t="shared" ref="N99:N104" si="323">R99</f>
        <v>0.72499999999999998</v>
      </c>
      <c r="O99" s="104">
        <f t="shared" ref="O99:O104" si="324">R99</f>
        <v>0.72499999999999998</v>
      </c>
      <c r="P99" s="104">
        <f t="shared" ref="P99:P104" si="325">R99</f>
        <v>0.72499999999999998</v>
      </c>
      <c r="Q99" s="104">
        <f t="shared" ref="Q99:Q104" si="326">R99</f>
        <v>0.72499999999999998</v>
      </c>
      <c r="R99" s="1512">
        <v>0.72499999999999998</v>
      </c>
      <c r="S99" s="19">
        <f t="shared" si="284"/>
        <v>0.7</v>
      </c>
      <c r="T99" s="19">
        <f t="shared" si="285"/>
        <v>0.7</v>
      </c>
      <c r="U99" s="19">
        <f t="shared" si="286"/>
        <v>0.7</v>
      </c>
      <c r="V99" s="643">
        <f t="shared" si="287"/>
        <v>0.7</v>
      </c>
      <c r="W99" s="104">
        <f t="shared" si="288"/>
        <v>0.7</v>
      </c>
      <c r="X99" s="104">
        <f t="shared" ref="X99:X105" si="327">Z99</f>
        <v>0.7</v>
      </c>
      <c r="Y99" s="104">
        <f t="shared" ref="Y99:Y105" si="328">Z99</f>
        <v>0.7</v>
      </c>
      <c r="Z99" s="1393">
        <v>0.7</v>
      </c>
      <c r="AA99" s="19">
        <f t="shared" si="289"/>
        <v>0.75</v>
      </c>
      <c r="AB99" s="19">
        <f t="shared" si="290"/>
        <v>0.75</v>
      </c>
      <c r="AC99" s="19">
        <f t="shared" si="291"/>
        <v>0.75</v>
      </c>
      <c r="AD99" s="643">
        <f t="shared" si="292"/>
        <v>0.75</v>
      </c>
      <c r="AE99" s="104">
        <f t="shared" si="293"/>
        <v>0.75</v>
      </c>
      <c r="AF99" s="104">
        <f t="shared" ref="AF99:AF105" si="329">AH99</f>
        <v>0.75</v>
      </c>
      <c r="AG99" s="104">
        <f t="shared" ref="AG99:AG105" si="330">AH99</f>
        <v>0.75</v>
      </c>
      <c r="AH99" s="1393">
        <v>0.75</v>
      </c>
      <c r="AI99" s="19">
        <f t="shared" si="294"/>
        <v>0.75</v>
      </c>
      <c r="AJ99" s="19">
        <f t="shared" si="295"/>
        <v>0.75</v>
      </c>
      <c r="AK99" s="495">
        <f t="shared" si="296"/>
        <v>0.75</v>
      </c>
      <c r="AL99" s="647">
        <f t="shared" si="297"/>
        <v>0.75</v>
      </c>
      <c r="AM99" s="104">
        <f t="shared" si="298"/>
        <v>0.75</v>
      </c>
      <c r="AN99" s="461">
        <f t="shared" ref="AN99:AN105" si="331">AP99</f>
        <v>0.75</v>
      </c>
      <c r="AO99" s="461">
        <f t="shared" ref="AO99:AO105" si="332">AP99</f>
        <v>0.75</v>
      </c>
      <c r="AP99" s="888">
        <f t="shared" ref="AP99:AP105" si="333">AH99</f>
        <v>0.75</v>
      </c>
      <c r="AQ99" s="495">
        <f t="shared" si="299"/>
        <v>0.75</v>
      </c>
      <c r="AR99" s="495">
        <f t="shared" si="300"/>
        <v>0.75</v>
      </c>
      <c r="AS99" s="495">
        <f t="shared" si="301"/>
        <v>0.75</v>
      </c>
      <c r="AT99" s="647">
        <f t="shared" si="302"/>
        <v>0.75</v>
      </c>
      <c r="AU99" s="461">
        <f t="shared" si="303"/>
        <v>0.75</v>
      </c>
      <c r="AV99" s="461">
        <f t="shared" ref="AV99:AV105" si="334">AX99</f>
        <v>0.75</v>
      </c>
      <c r="AW99" s="461">
        <f t="shared" ref="AW99:AW105" si="335">AX99</f>
        <v>0.75</v>
      </c>
      <c r="AX99" s="888">
        <f t="shared" ref="AX99:AX105" si="336">AP99</f>
        <v>0.75</v>
      </c>
      <c r="AY99" s="495">
        <f t="shared" si="304"/>
        <v>0.75</v>
      </c>
      <c r="AZ99" s="495">
        <f t="shared" si="305"/>
        <v>0.75</v>
      </c>
      <c r="BA99" s="495">
        <f t="shared" si="306"/>
        <v>0.75</v>
      </c>
      <c r="BB99" s="647">
        <f t="shared" si="307"/>
        <v>0.75</v>
      </c>
      <c r="BC99" s="461">
        <f t="shared" si="308"/>
        <v>0.75</v>
      </c>
      <c r="BD99" s="461">
        <f t="shared" ref="BD99:BD105" si="337">BF99</f>
        <v>0.75</v>
      </c>
      <c r="BE99" s="461">
        <f t="shared" ref="BE99:BE105" si="338">BF99</f>
        <v>0.75</v>
      </c>
      <c r="BF99" s="888">
        <f t="shared" ref="BF99:BF105" si="339">AX99</f>
        <v>0.75</v>
      </c>
      <c r="BG99" s="495">
        <f t="shared" si="309"/>
        <v>0.75</v>
      </c>
      <c r="BH99" s="495">
        <f t="shared" si="310"/>
        <v>0.75</v>
      </c>
      <c r="BI99" s="495">
        <f t="shared" si="311"/>
        <v>0.75</v>
      </c>
      <c r="BJ99" s="647">
        <f t="shared" si="312"/>
        <v>0.75</v>
      </c>
      <c r="BK99" s="461">
        <f t="shared" si="313"/>
        <v>0.75</v>
      </c>
      <c r="BL99" s="461">
        <f t="shared" ref="BL99:BL105" si="340">BN99</f>
        <v>0.75</v>
      </c>
      <c r="BM99" s="461">
        <f t="shared" ref="BM99:BM105" si="341">BN99</f>
        <v>0.75</v>
      </c>
      <c r="BN99" s="888">
        <f t="shared" ref="BN99:BN105" si="342">BF99</f>
        <v>0.75</v>
      </c>
      <c r="BO99" s="495">
        <f t="shared" si="314"/>
        <v>0.75</v>
      </c>
      <c r="BP99" s="495">
        <f t="shared" si="315"/>
        <v>0.75</v>
      </c>
      <c r="BQ99" s="495">
        <f t="shared" si="316"/>
        <v>0.75</v>
      </c>
      <c r="BR99" s="647">
        <f t="shared" si="317"/>
        <v>0.75</v>
      </c>
      <c r="BS99" s="461">
        <f t="shared" si="318"/>
        <v>0.75</v>
      </c>
      <c r="BT99" s="461">
        <f t="shared" ref="BT99:BT105" si="343">BV99</f>
        <v>0.75</v>
      </c>
      <c r="BU99" s="461">
        <f t="shared" ref="BU99:BU105" si="344">BV99</f>
        <v>0.75</v>
      </c>
      <c r="BV99" s="888">
        <f t="shared" ref="BV99:BV105" si="345">BN99</f>
        <v>0.75</v>
      </c>
    </row>
    <row r="100" spans="1:74" s="281" customFormat="1" x14ac:dyDescent="0.2">
      <c r="A100" s="281" t="str">
        <f t="shared" si="319"/>
        <v>GE90</v>
      </c>
      <c r="B100" s="279">
        <v>0.6</v>
      </c>
      <c r="C100" s="279">
        <v>0.6</v>
      </c>
      <c r="D100" s="279">
        <v>0.57499999999999996</v>
      </c>
      <c r="E100" s="279">
        <v>0.57499999999999996</v>
      </c>
      <c r="F100" s="279">
        <v>0.55000000000000004</v>
      </c>
      <c r="G100" s="279">
        <v>0.55000000000000004</v>
      </c>
      <c r="H100" s="279">
        <v>0.52500000000000002</v>
      </c>
      <c r="I100" s="279">
        <v>0.52500000000000002</v>
      </c>
      <c r="J100" s="887">
        <v>0.5</v>
      </c>
      <c r="K100" s="19">
        <f t="shared" si="320"/>
        <v>0.5</v>
      </c>
      <c r="L100" s="19">
        <f t="shared" si="321"/>
        <v>0.5</v>
      </c>
      <c r="M100" s="19">
        <f t="shared" si="322"/>
        <v>0.5</v>
      </c>
      <c r="N100" s="643">
        <f t="shared" si="323"/>
        <v>0.5</v>
      </c>
      <c r="O100" s="104">
        <f t="shared" si="324"/>
        <v>0.5</v>
      </c>
      <c r="P100" s="104">
        <f t="shared" si="325"/>
        <v>0.5</v>
      </c>
      <c r="Q100" s="104">
        <f t="shared" si="326"/>
        <v>0.5</v>
      </c>
      <c r="R100" s="1393">
        <v>0.5</v>
      </c>
      <c r="S100" s="19">
        <f t="shared" si="284"/>
        <v>0.5</v>
      </c>
      <c r="T100" s="19">
        <f t="shared" si="285"/>
        <v>0.5</v>
      </c>
      <c r="U100" s="19">
        <f t="shared" si="286"/>
        <v>0.5</v>
      </c>
      <c r="V100" s="643">
        <f t="shared" si="287"/>
        <v>0.5</v>
      </c>
      <c r="W100" s="104">
        <f t="shared" si="288"/>
        <v>0.5</v>
      </c>
      <c r="X100" s="104">
        <f t="shared" si="327"/>
        <v>0.5</v>
      </c>
      <c r="Y100" s="104">
        <f t="shared" si="328"/>
        <v>0.5</v>
      </c>
      <c r="Z100" s="1393">
        <f t="shared" ref="Z100:Z104" si="346">R100</f>
        <v>0.5</v>
      </c>
      <c r="AA100" s="19">
        <f t="shared" si="289"/>
        <v>0.6</v>
      </c>
      <c r="AB100" s="19">
        <f t="shared" si="290"/>
        <v>0.6</v>
      </c>
      <c r="AC100" s="19">
        <f t="shared" si="291"/>
        <v>0.6</v>
      </c>
      <c r="AD100" s="643">
        <f t="shared" si="292"/>
        <v>0.6</v>
      </c>
      <c r="AE100" s="104">
        <f t="shared" si="293"/>
        <v>0.6</v>
      </c>
      <c r="AF100" s="104">
        <f t="shared" si="329"/>
        <v>0.6</v>
      </c>
      <c r="AG100" s="104">
        <f t="shared" si="330"/>
        <v>0.6</v>
      </c>
      <c r="AH100" s="1393">
        <v>0.6</v>
      </c>
      <c r="AI100" s="19">
        <f t="shared" si="294"/>
        <v>0.6</v>
      </c>
      <c r="AJ100" s="19">
        <f t="shared" si="295"/>
        <v>0.6</v>
      </c>
      <c r="AK100" s="495">
        <f t="shared" si="296"/>
        <v>0.6</v>
      </c>
      <c r="AL100" s="647">
        <f t="shared" si="297"/>
        <v>0.6</v>
      </c>
      <c r="AM100" s="104">
        <f t="shared" si="298"/>
        <v>0.6</v>
      </c>
      <c r="AN100" s="461">
        <f t="shared" si="331"/>
        <v>0.6</v>
      </c>
      <c r="AO100" s="461">
        <f t="shared" si="332"/>
        <v>0.6</v>
      </c>
      <c r="AP100" s="888">
        <f t="shared" si="333"/>
        <v>0.6</v>
      </c>
      <c r="AQ100" s="495">
        <f t="shared" si="299"/>
        <v>0.6</v>
      </c>
      <c r="AR100" s="495">
        <f t="shared" si="300"/>
        <v>0.6</v>
      </c>
      <c r="AS100" s="495">
        <f t="shared" si="301"/>
        <v>0.6</v>
      </c>
      <c r="AT100" s="647">
        <f t="shared" si="302"/>
        <v>0.6</v>
      </c>
      <c r="AU100" s="461">
        <f t="shared" si="303"/>
        <v>0.6</v>
      </c>
      <c r="AV100" s="461">
        <f t="shared" si="334"/>
        <v>0.6</v>
      </c>
      <c r="AW100" s="461">
        <f t="shared" si="335"/>
        <v>0.6</v>
      </c>
      <c r="AX100" s="888">
        <f t="shared" si="336"/>
        <v>0.6</v>
      </c>
      <c r="AY100" s="495">
        <f t="shared" si="304"/>
        <v>0.6</v>
      </c>
      <c r="AZ100" s="495">
        <f t="shared" si="305"/>
        <v>0.6</v>
      </c>
      <c r="BA100" s="495">
        <f t="shared" si="306"/>
        <v>0.6</v>
      </c>
      <c r="BB100" s="647">
        <f t="shared" si="307"/>
        <v>0.6</v>
      </c>
      <c r="BC100" s="461">
        <f t="shared" si="308"/>
        <v>0.6</v>
      </c>
      <c r="BD100" s="461">
        <f t="shared" si="337"/>
        <v>0.6</v>
      </c>
      <c r="BE100" s="461">
        <f t="shared" si="338"/>
        <v>0.6</v>
      </c>
      <c r="BF100" s="888">
        <f t="shared" si="339"/>
        <v>0.6</v>
      </c>
      <c r="BG100" s="495">
        <f t="shared" si="309"/>
        <v>0.6</v>
      </c>
      <c r="BH100" s="495">
        <f t="shared" si="310"/>
        <v>0.6</v>
      </c>
      <c r="BI100" s="495">
        <f t="shared" si="311"/>
        <v>0.6</v>
      </c>
      <c r="BJ100" s="647">
        <f t="shared" si="312"/>
        <v>0.6</v>
      </c>
      <c r="BK100" s="461">
        <f t="shared" si="313"/>
        <v>0.6</v>
      </c>
      <c r="BL100" s="461">
        <f t="shared" si="340"/>
        <v>0.6</v>
      </c>
      <c r="BM100" s="461">
        <f t="shared" si="341"/>
        <v>0.6</v>
      </c>
      <c r="BN100" s="888">
        <f t="shared" si="342"/>
        <v>0.6</v>
      </c>
      <c r="BO100" s="495">
        <f t="shared" si="314"/>
        <v>0.6</v>
      </c>
      <c r="BP100" s="495">
        <f t="shared" si="315"/>
        <v>0.6</v>
      </c>
      <c r="BQ100" s="495">
        <f t="shared" si="316"/>
        <v>0.6</v>
      </c>
      <c r="BR100" s="647">
        <f t="shared" si="317"/>
        <v>0.6</v>
      </c>
      <c r="BS100" s="461">
        <f t="shared" si="318"/>
        <v>0.6</v>
      </c>
      <c r="BT100" s="461">
        <f t="shared" si="343"/>
        <v>0.6</v>
      </c>
      <c r="BU100" s="461">
        <f t="shared" si="344"/>
        <v>0.6</v>
      </c>
      <c r="BV100" s="888">
        <f t="shared" si="345"/>
        <v>0.6</v>
      </c>
    </row>
    <row r="101" spans="1:74" s="281" customFormat="1" x14ac:dyDescent="0.2">
      <c r="A101" s="281" t="str">
        <f t="shared" si="319"/>
        <v>GE9X</v>
      </c>
      <c r="B101" s="279">
        <v>0.6</v>
      </c>
      <c r="C101" s="279">
        <v>0.6</v>
      </c>
      <c r="D101" s="279">
        <v>0.57499999999999996</v>
      </c>
      <c r="E101" s="279">
        <v>0.57499999999999996</v>
      </c>
      <c r="F101" s="279">
        <v>0.55000000000000004</v>
      </c>
      <c r="G101" s="279">
        <v>0.55000000000000004</v>
      </c>
      <c r="H101" s="279">
        <v>0.52500000000000002</v>
      </c>
      <c r="I101" s="279">
        <v>0.52500000000000002</v>
      </c>
      <c r="J101" s="887">
        <v>0.5</v>
      </c>
      <c r="K101" s="19">
        <f t="shared" si="320"/>
        <v>0.5</v>
      </c>
      <c r="L101" s="19">
        <f t="shared" si="321"/>
        <v>0.5</v>
      </c>
      <c r="M101" s="19">
        <f t="shared" si="322"/>
        <v>0.5</v>
      </c>
      <c r="N101" s="643">
        <f t="shared" si="323"/>
        <v>0.5</v>
      </c>
      <c r="O101" s="104">
        <f t="shared" si="324"/>
        <v>0.5</v>
      </c>
      <c r="P101" s="104">
        <f t="shared" si="325"/>
        <v>0.5</v>
      </c>
      <c r="Q101" s="104">
        <f t="shared" si="326"/>
        <v>0.5</v>
      </c>
      <c r="R101" s="1393">
        <v>0.5</v>
      </c>
      <c r="S101" s="19">
        <f t="shared" si="284"/>
        <v>0.5</v>
      </c>
      <c r="T101" s="19">
        <f t="shared" si="285"/>
        <v>0.5</v>
      </c>
      <c r="U101" s="19">
        <f t="shared" si="286"/>
        <v>0.5</v>
      </c>
      <c r="V101" s="643">
        <f t="shared" si="287"/>
        <v>0.5</v>
      </c>
      <c r="W101" s="104">
        <f t="shared" si="288"/>
        <v>0.5</v>
      </c>
      <c r="X101" s="104">
        <f t="shared" si="327"/>
        <v>0.5</v>
      </c>
      <c r="Y101" s="104">
        <f t="shared" si="328"/>
        <v>0.5</v>
      </c>
      <c r="Z101" s="1393">
        <f t="shared" si="346"/>
        <v>0.5</v>
      </c>
      <c r="AA101" s="19">
        <f t="shared" si="289"/>
        <v>0.6</v>
      </c>
      <c r="AB101" s="19">
        <f t="shared" si="290"/>
        <v>0.6</v>
      </c>
      <c r="AC101" s="19">
        <f t="shared" si="291"/>
        <v>0.6</v>
      </c>
      <c r="AD101" s="643">
        <f t="shared" si="292"/>
        <v>0.6</v>
      </c>
      <c r="AE101" s="104">
        <f t="shared" si="293"/>
        <v>0.6</v>
      </c>
      <c r="AF101" s="104">
        <f t="shared" si="329"/>
        <v>0.6</v>
      </c>
      <c r="AG101" s="104">
        <f t="shared" si="330"/>
        <v>0.6</v>
      </c>
      <c r="AH101" s="1393">
        <v>0.6</v>
      </c>
      <c r="AI101" s="19">
        <f t="shared" si="294"/>
        <v>0.6</v>
      </c>
      <c r="AJ101" s="19">
        <f t="shared" si="295"/>
        <v>0.6</v>
      </c>
      <c r="AK101" s="495">
        <f t="shared" si="296"/>
        <v>0.6</v>
      </c>
      <c r="AL101" s="647">
        <f t="shared" si="297"/>
        <v>0.6</v>
      </c>
      <c r="AM101" s="104">
        <f t="shared" si="298"/>
        <v>0.6</v>
      </c>
      <c r="AN101" s="461">
        <f t="shared" si="331"/>
        <v>0.6</v>
      </c>
      <c r="AO101" s="461">
        <f t="shared" si="332"/>
        <v>0.6</v>
      </c>
      <c r="AP101" s="888">
        <f t="shared" si="333"/>
        <v>0.6</v>
      </c>
      <c r="AQ101" s="495">
        <f t="shared" si="299"/>
        <v>0.6</v>
      </c>
      <c r="AR101" s="495">
        <f t="shared" si="300"/>
        <v>0.6</v>
      </c>
      <c r="AS101" s="495">
        <f t="shared" si="301"/>
        <v>0.6</v>
      </c>
      <c r="AT101" s="647">
        <f t="shared" si="302"/>
        <v>0.6</v>
      </c>
      <c r="AU101" s="461">
        <f t="shared" si="303"/>
        <v>0.6</v>
      </c>
      <c r="AV101" s="461">
        <f t="shared" si="334"/>
        <v>0.6</v>
      </c>
      <c r="AW101" s="461">
        <f t="shared" si="335"/>
        <v>0.6</v>
      </c>
      <c r="AX101" s="888">
        <f t="shared" si="336"/>
        <v>0.6</v>
      </c>
      <c r="AY101" s="495">
        <f t="shared" si="304"/>
        <v>0.6</v>
      </c>
      <c r="AZ101" s="495">
        <f t="shared" si="305"/>
        <v>0.6</v>
      </c>
      <c r="BA101" s="495">
        <f t="shared" si="306"/>
        <v>0.6</v>
      </c>
      <c r="BB101" s="647">
        <f t="shared" si="307"/>
        <v>0.6</v>
      </c>
      <c r="BC101" s="461">
        <f t="shared" si="308"/>
        <v>0.6</v>
      </c>
      <c r="BD101" s="461">
        <f t="shared" si="337"/>
        <v>0.6</v>
      </c>
      <c r="BE101" s="461">
        <f t="shared" si="338"/>
        <v>0.6</v>
      </c>
      <c r="BF101" s="888">
        <f t="shared" si="339"/>
        <v>0.6</v>
      </c>
      <c r="BG101" s="495">
        <f t="shared" si="309"/>
        <v>0.6</v>
      </c>
      <c r="BH101" s="495">
        <f t="shared" si="310"/>
        <v>0.6</v>
      </c>
      <c r="BI101" s="495">
        <f t="shared" si="311"/>
        <v>0.6</v>
      </c>
      <c r="BJ101" s="647">
        <f t="shared" si="312"/>
        <v>0.6</v>
      </c>
      <c r="BK101" s="461">
        <f t="shared" si="313"/>
        <v>0.6</v>
      </c>
      <c r="BL101" s="461">
        <f t="shared" si="340"/>
        <v>0.6</v>
      </c>
      <c r="BM101" s="461">
        <f t="shared" si="341"/>
        <v>0.6</v>
      </c>
      <c r="BN101" s="888">
        <f t="shared" si="342"/>
        <v>0.6</v>
      </c>
      <c r="BO101" s="495">
        <f t="shared" si="314"/>
        <v>0.6</v>
      </c>
      <c r="BP101" s="495">
        <f t="shared" si="315"/>
        <v>0.6</v>
      </c>
      <c r="BQ101" s="495">
        <f t="shared" si="316"/>
        <v>0.6</v>
      </c>
      <c r="BR101" s="647">
        <f t="shared" si="317"/>
        <v>0.6</v>
      </c>
      <c r="BS101" s="461">
        <f t="shared" si="318"/>
        <v>0.6</v>
      </c>
      <c r="BT101" s="461">
        <f t="shared" si="343"/>
        <v>0.6</v>
      </c>
      <c r="BU101" s="461">
        <f t="shared" si="344"/>
        <v>0.6</v>
      </c>
      <c r="BV101" s="888">
        <f t="shared" si="345"/>
        <v>0.6</v>
      </c>
    </row>
    <row r="102" spans="1:74" s="281" customFormat="1" x14ac:dyDescent="0.2">
      <c r="A102" s="281" t="str">
        <f t="shared" si="319"/>
        <v>GP7200</v>
      </c>
      <c r="B102" s="279">
        <v>0.6</v>
      </c>
      <c r="C102" s="279">
        <v>0.6</v>
      </c>
      <c r="D102" s="279">
        <v>0.57499999999999996</v>
      </c>
      <c r="E102" s="279">
        <v>0.57499999999999996</v>
      </c>
      <c r="F102" s="279">
        <v>0.55000000000000004</v>
      </c>
      <c r="G102" s="279">
        <v>0.55000000000000004</v>
      </c>
      <c r="H102" s="279">
        <v>0.52500000000000002</v>
      </c>
      <c r="I102" s="279">
        <v>0.52500000000000002</v>
      </c>
      <c r="J102" s="887">
        <v>0.5</v>
      </c>
      <c r="K102" s="19">
        <f t="shared" si="320"/>
        <v>0.5</v>
      </c>
      <c r="L102" s="19">
        <f t="shared" si="321"/>
        <v>0.5</v>
      </c>
      <c r="M102" s="19">
        <f t="shared" si="322"/>
        <v>0.5</v>
      </c>
      <c r="N102" s="643">
        <f t="shared" si="323"/>
        <v>0.5</v>
      </c>
      <c r="O102" s="104">
        <f t="shared" si="324"/>
        <v>0.5</v>
      </c>
      <c r="P102" s="104">
        <f t="shared" si="325"/>
        <v>0.5</v>
      </c>
      <c r="Q102" s="104">
        <f t="shared" si="326"/>
        <v>0.5</v>
      </c>
      <c r="R102" s="1393">
        <v>0.5</v>
      </c>
      <c r="S102" s="19">
        <f t="shared" si="284"/>
        <v>0.5</v>
      </c>
      <c r="T102" s="19">
        <f t="shared" si="285"/>
        <v>0.5</v>
      </c>
      <c r="U102" s="19">
        <f t="shared" si="286"/>
        <v>0.5</v>
      </c>
      <c r="V102" s="643">
        <f t="shared" si="287"/>
        <v>0.5</v>
      </c>
      <c r="W102" s="104">
        <f t="shared" si="288"/>
        <v>0.5</v>
      </c>
      <c r="X102" s="104">
        <f t="shared" si="327"/>
        <v>0.5</v>
      </c>
      <c r="Y102" s="104">
        <f t="shared" si="328"/>
        <v>0.5</v>
      </c>
      <c r="Z102" s="1393">
        <f t="shared" si="346"/>
        <v>0.5</v>
      </c>
      <c r="AA102" s="19">
        <f t="shared" si="289"/>
        <v>0.6</v>
      </c>
      <c r="AB102" s="19">
        <f t="shared" si="290"/>
        <v>0.6</v>
      </c>
      <c r="AC102" s="19">
        <f t="shared" si="291"/>
        <v>0.6</v>
      </c>
      <c r="AD102" s="643">
        <f t="shared" si="292"/>
        <v>0.6</v>
      </c>
      <c r="AE102" s="104">
        <f t="shared" si="293"/>
        <v>0.6</v>
      </c>
      <c r="AF102" s="104">
        <f t="shared" si="329"/>
        <v>0.6</v>
      </c>
      <c r="AG102" s="104">
        <f t="shared" si="330"/>
        <v>0.6</v>
      </c>
      <c r="AH102" s="1393">
        <v>0.6</v>
      </c>
      <c r="AI102" s="19">
        <f t="shared" si="294"/>
        <v>0.6</v>
      </c>
      <c r="AJ102" s="19">
        <f t="shared" si="295"/>
        <v>0.6</v>
      </c>
      <c r="AK102" s="495">
        <f t="shared" si="296"/>
        <v>0.6</v>
      </c>
      <c r="AL102" s="647">
        <f t="shared" si="297"/>
        <v>0.6</v>
      </c>
      <c r="AM102" s="104">
        <f t="shared" si="298"/>
        <v>0.6</v>
      </c>
      <c r="AN102" s="461">
        <f t="shared" si="331"/>
        <v>0.6</v>
      </c>
      <c r="AO102" s="461">
        <f t="shared" si="332"/>
        <v>0.6</v>
      </c>
      <c r="AP102" s="888">
        <f t="shared" si="333"/>
        <v>0.6</v>
      </c>
      <c r="AQ102" s="495">
        <f t="shared" si="299"/>
        <v>0.6</v>
      </c>
      <c r="AR102" s="495">
        <f t="shared" si="300"/>
        <v>0.6</v>
      </c>
      <c r="AS102" s="495">
        <f t="shared" si="301"/>
        <v>0.6</v>
      </c>
      <c r="AT102" s="647">
        <f t="shared" si="302"/>
        <v>0.6</v>
      </c>
      <c r="AU102" s="461">
        <f t="shared" si="303"/>
        <v>0.6</v>
      </c>
      <c r="AV102" s="461">
        <f t="shared" si="334"/>
        <v>0.6</v>
      </c>
      <c r="AW102" s="461">
        <f t="shared" si="335"/>
        <v>0.6</v>
      </c>
      <c r="AX102" s="888">
        <f t="shared" si="336"/>
        <v>0.6</v>
      </c>
      <c r="AY102" s="495">
        <f t="shared" si="304"/>
        <v>0.6</v>
      </c>
      <c r="AZ102" s="495">
        <f t="shared" si="305"/>
        <v>0.6</v>
      </c>
      <c r="BA102" s="495">
        <f t="shared" si="306"/>
        <v>0.6</v>
      </c>
      <c r="BB102" s="647">
        <f t="shared" si="307"/>
        <v>0.6</v>
      </c>
      <c r="BC102" s="461">
        <f t="shared" si="308"/>
        <v>0.6</v>
      </c>
      <c r="BD102" s="461">
        <f t="shared" si="337"/>
        <v>0.6</v>
      </c>
      <c r="BE102" s="461">
        <f t="shared" si="338"/>
        <v>0.6</v>
      </c>
      <c r="BF102" s="888">
        <f t="shared" si="339"/>
        <v>0.6</v>
      </c>
      <c r="BG102" s="495">
        <f t="shared" si="309"/>
        <v>0.6</v>
      </c>
      <c r="BH102" s="495">
        <f t="shared" si="310"/>
        <v>0.6</v>
      </c>
      <c r="BI102" s="495">
        <f t="shared" si="311"/>
        <v>0.6</v>
      </c>
      <c r="BJ102" s="647">
        <f t="shared" si="312"/>
        <v>0.6</v>
      </c>
      <c r="BK102" s="461">
        <f t="shared" si="313"/>
        <v>0.6</v>
      </c>
      <c r="BL102" s="461">
        <f t="shared" si="340"/>
        <v>0.6</v>
      </c>
      <c r="BM102" s="461">
        <f t="shared" si="341"/>
        <v>0.6</v>
      </c>
      <c r="BN102" s="888">
        <f t="shared" si="342"/>
        <v>0.6</v>
      </c>
      <c r="BO102" s="495">
        <f t="shared" si="314"/>
        <v>0.6</v>
      </c>
      <c r="BP102" s="495">
        <f t="shared" si="315"/>
        <v>0.6</v>
      </c>
      <c r="BQ102" s="495">
        <f t="shared" si="316"/>
        <v>0.6</v>
      </c>
      <c r="BR102" s="647">
        <f t="shared" si="317"/>
        <v>0.6</v>
      </c>
      <c r="BS102" s="461">
        <f t="shared" si="318"/>
        <v>0.6</v>
      </c>
      <c r="BT102" s="461">
        <f t="shared" si="343"/>
        <v>0.6</v>
      </c>
      <c r="BU102" s="461">
        <f t="shared" si="344"/>
        <v>0.6</v>
      </c>
      <c r="BV102" s="888">
        <f t="shared" si="345"/>
        <v>0.6</v>
      </c>
    </row>
    <row r="103" spans="1:74" s="281" customFormat="1" x14ac:dyDescent="0.2">
      <c r="A103" s="281" t="str">
        <f t="shared" si="319"/>
        <v>GEnx</v>
      </c>
      <c r="B103" s="279">
        <v>0.6</v>
      </c>
      <c r="C103" s="279">
        <v>0.6</v>
      </c>
      <c r="D103" s="279">
        <v>0.57499999999999996</v>
      </c>
      <c r="E103" s="279">
        <v>0.57499999999999996</v>
      </c>
      <c r="F103" s="279">
        <v>0.55000000000000004</v>
      </c>
      <c r="G103" s="279">
        <v>0.55000000000000004</v>
      </c>
      <c r="H103" s="279">
        <v>0.52500000000000002</v>
      </c>
      <c r="I103" s="279">
        <v>0.52500000000000002</v>
      </c>
      <c r="J103" s="887">
        <v>0.5</v>
      </c>
      <c r="K103" s="19">
        <f t="shared" si="320"/>
        <v>0.5</v>
      </c>
      <c r="L103" s="19">
        <f t="shared" si="321"/>
        <v>0.5</v>
      </c>
      <c r="M103" s="19">
        <f t="shared" si="322"/>
        <v>0.5</v>
      </c>
      <c r="N103" s="643">
        <f t="shared" si="323"/>
        <v>0.5</v>
      </c>
      <c r="O103" s="104">
        <f t="shared" si="324"/>
        <v>0.5</v>
      </c>
      <c r="P103" s="104">
        <f t="shared" si="325"/>
        <v>0.5</v>
      </c>
      <c r="Q103" s="104">
        <f t="shared" si="326"/>
        <v>0.5</v>
      </c>
      <c r="R103" s="1393">
        <v>0.5</v>
      </c>
      <c r="S103" s="19">
        <f t="shared" si="284"/>
        <v>0.5</v>
      </c>
      <c r="T103" s="19">
        <f t="shared" si="285"/>
        <v>0.5</v>
      </c>
      <c r="U103" s="19">
        <f t="shared" si="286"/>
        <v>0.5</v>
      </c>
      <c r="V103" s="643">
        <f t="shared" si="287"/>
        <v>0.5</v>
      </c>
      <c r="W103" s="104">
        <f t="shared" si="288"/>
        <v>0.5</v>
      </c>
      <c r="X103" s="104">
        <f t="shared" si="327"/>
        <v>0.5</v>
      </c>
      <c r="Y103" s="104">
        <f t="shared" si="328"/>
        <v>0.5</v>
      </c>
      <c r="Z103" s="1393">
        <f t="shared" si="346"/>
        <v>0.5</v>
      </c>
      <c r="AA103" s="19">
        <f t="shared" si="289"/>
        <v>0.6</v>
      </c>
      <c r="AB103" s="19">
        <f t="shared" si="290"/>
        <v>0.6</v>
      </c>
      <c r="AC103" s="19">
        <f t="shared" si="291"/>
        <v>0.6</v>
      </c>
      <c r="AD103" s="643">
        <f t="shared" si="292"/>
        <v>0.6</v>
      </c>
      <c r="AE103" s="104">
        <f t="shared" si="293"/>
        <v>0.6</v>
      </c>
      <c r="AF103" s="104">
        <f t="shared" si="329"/>
        <v>0.6</v>
      </c>
      <c r="AG103" s="104">
        <f t="shared" si="330"/>
        <v>0.6</v>
      </c>
      <c r="AH103" s="1393">
        <v>0.6</v>
      </c>
      <c r="AI103" s="19">
        <f t="shared" si="294"/>
        <v>0.6</v>
      </c>
      <c r="AJ103" s="19">
        <f t="shared" si="295"/>
        <v>0.6</v>
      </c>
      <c r="AK103" s="495">
        <f t="shared" si="296"/>
        <v>0.6</v>
      </c>
      <c r="AL103" s="647">
        <f t="shared" si="297"/>
        <v>0.6</v>
      </c>
      <c r="AM103" s="104">
        <f t="shared" si="298"/>
        <v>0.6</v>
      </c>
      <c r="AN103" s="461">
        <f t="shared" si="331"/>
        <v>0.6</v>
      </c>
      <c r="AO103" s="461">
        <f t="shared" si="332"/>
        <v>0.6</v>
      </c>
      <c r="AP103" s="888">
        <f t="shared" si="333"/>
        <v>0.6</v>
      </c>
      <c r="AQ103" s="495">
        <f t="shared" si="299"/>
        <v>0.6</v>
      </c>
      <c r="AR103" s="495">
        <f t="shared" si="300"/>
        <v>0.6</v>
      </c>
      <c r="AS103" s="495">
        <f t="shared" si="301"/>
        <v>0.6</v>
      </c>
      <c r="AT103" s="647">
        <f t="shared" si="302"/>
        <v>0.6</v>
      </c>
      <c r="AU103" s="461">
        <f t="shared" si="303"/>
        <v>0.6</v>
      </c>
      <c r="AV103" s="461">
        <f t="shared" si="334"/>
        <v>0.6</v>
      </c>
      <c r="AW103" s="461">
        <f t="shared" si="335"/>
        <v>0.6</v>
      </c>
      <c r="AX103" s="888">
        <f t="shared" si="336"/>
        <v>0.6</v>
      </c>
      <c r="AY103" s="495">
        <f t="shared" si="304"/>
        <v>0.6</v>
      </c>
      <c r="AZ103" s="495">
        <f t="shared" si="305"/>
        <v>0.6</v>
      </c>
      <c r="BA103" s="495">
        <f t="shared" si="306"/>
        <v>0.6</v>
      </c>
      <c r="BB103" s="647">
        <f t="shared" si="307"/>
        <v>0.6</v>
      </c>
      <c r="BC103" s="461">
        <f t="shared" si="308"/>
        <v>0.6</v>
      </c>
      <c r="BD103" s="461">
        <f t="shared" si="337"/>
        <v>0.6</v>
      </c>
      <c r="BE103" s="461">
        <f t="shared" si="338"/>
        <v>0.6</v>
      </c>
      <c r="BF103" s="888">
        <f t="shared" si="339"/>
        <v>0.6</v>
      </c>
      <c r="BG103" s="495">
        <f t="shared" si="309"/>
        <v>0.6</v>
      </c>
      <c r="BH103" s="495">
        <f t="shared" si="310"/>
        <v>0.6</v>
      </c>
      <c r="BI103" s="495">
        <f t="shared" si="311"/>
        <v>0.6</v>
      </c>
      <c r="BJ103" s="647">
        <f t="shared" si="312"/>
        <v>0.6</v>
      </c>
      <c r="BK103" s="461">
        <f t="shared" si="313"/>
        <v>0.6</v>
      </c>
      <c r="BL103" s="461">
        <f t="shared" si="340"/>
        <v>0.6</v>
      </c>
      <c r="BM103" s="461">
        <f t="shared" si="341"/>
        <v>0.6</v>
      </c>
      <c r="BN103" s="888">
        <f t="shared" si="342"/>
        <v>0.6</v>
      </c>
      <c r="BO103" s="495">
        <f t="shared" si="314"/>
        <v>0.6</v>
      </c>
      <c r="BP103" s="495">
        <f t="shared" si="315"/>
        <v>0.6</v>
      </c>
      <c r="BQ103" s="495">
        <f t="shared" si="316"/>
        <v>0.6</v>
      </c>
      <c r="BR103" s="647">
        <f t="shared" si="317"/>
        <v>0.6</v>
      </c>
      <c r="BS103" s="461">
        <f t="shared" si="318"/>
        <v>0.6</v>
      </c>
      <c r="BT103" s="461">
        <f t="shared" si="343"/>
        <v>0.6</v>
      </c>
      <c r="BU103" s="461">
        <f t="shared" si="344"/>
        <v>0.6</v>
      </c>
      <c r="BV103" s="888">
        <f t="shared" si="345"/>
        <v>0.6</v>
      </c>
    </row>
    <row r="104" spans="1:74" s="281" customFormat="1" x14ac:dyDescent="0.2">
      <c r="A104" s="281" t="str">
        <f t="shared" si="319"/>
        <v>CF6 - LM6000 family</v>
      </c>
      <c r="B104" s="279">
        <v>0.6</v>
      </c>
      <c r="C104" s="279">
        <v>0.6</v>
      </c>
      <c r="D104" s="279">
        <v>0.57499999999999996</v>
      </c>
      <c r="E104" s="279">
        <v>0.57499999999999996</v>
      </c>
      <c r="F104" s="279">
        <v>0.55000000000000004</v>
      </c>
      <c r="G104" s="279">
        <v>0.55000000000000004</v>
      </c>
      <c r="H104" s="279">
        <v>0.52500000000000002</v>
      </c>
      <c r="I104" s="279">
        <v>0.52500000000000002</v>
      </c>
      <c r="J104" s="887">
        <v>0.5</v>
      </c>
      <c r="K104" s="19">
        <f t="shared" si="320"/>
        <v>0.5</v>
      </c>
      <c r="L104" s="19">
        <f t="shared" si="321"/>
        <v>0.5</v>
      </c>
      <c r="M104" s="19">
        <f t="shared" si="322"/>
        <v>0.5</v>
      </c>
      <c r="N104" s="643">
        <f t="shared" si="323"/>
        <v>0.5</v>
      </c>
      <c r="O104" s="104">
        <f t="shared" si="324"/>
        <v>0.5</v>
      </c>
      <c r="P104" s="104">
        <f t="shared" si="325"/>
        <v>0.5</v>
      </c>
      <c r="Q104" s="104">
        <f t="shared" si="326"/>
        <v>0.5</v>
      </c>
      <c r="R104" s="1393">
        <v>0.5</v>
      </c>
      <c r="S104" s="19">
        <f t="shared" si="284"/>
        <v>0.5</v>
      </c>
      <c r="T104" s="19">
        <f t="shared" si="285"/>
        <v>0.5</v>
      </c>
      <c r="U104" s="19">
        <f t="shared" si="286"/>
        <v>0.5</v>
      </c>
      <c r="V104" s="643">
        <f t="shared" si="287"/>
        <v>0.5</v>
      </c>
      <c r="W104" s="104">
        <f t="shared" si="288"/>
        <v>0.5</v>
      </c>
      <c r="X104" s="104">
        <f t="shared" si="327"/>
        <v>0.5</v>
      </c>
      <c r="Y104" s="104">
        <f t="shared" si="328"/>
        <v>0.5</v>
      </c>
      <c r="Z104" s="1393">
        <f t="shared" si="346"/>
        <v>0.5</v>
      </c>
      <c r="AA104" s="19">
        <f t="shared" si="289"/>
        <v>0.6</v>
      </c>
      <c r="AB104" s="19">
        <f t="shared" si="290"/>
        <v>0.6</v>
      </c>
      <c r="AC104" s="19">
        <f t="shared" si="291"/>
        <v>0.6</v>
      </c>
      <c r="AD104" s="643">
        <f t="shared" si="292"/>
        <v>0.6</v>
      </c>
      <c r="AE104" s="104">
        <f t="shared" si="293"/>
        <v>0.6</v>
      </c>
      <c r="AF104" s="104">
        <f t="shared" si="329"/>
        <v>0.6</v>
      </c>
      <c r="AG104" s="104">
        <f t="shared" si="330"/>
        <v>0.6</v>
      </c>
      <c r="AH104" s="1393">
        <v>0.6</v>
      </c>
      <c r="AI104" s="19">
        <f t="shared" si="294"/>
        <v>0.6</v>
      </c>
      <c r="AJ104" s="19">
        <f t="shared" si="295"/>
        <v>0.6</v>
      </c>
      <c r="AK104" s="495">
        <f t="shared" si="296"/>
        <v>0.6</v>
      </c>
      <c r="AL104" s="647">
        <f t="shared" si="297"/>
        <v>0.6</v>
      </c>
      <c r="AM104" s="104">
        <f t="shared" si="298"/>
        <v>0.6</v>
      </c>
      <c r="AN104" s="461">
        <f t="shared" si="331"/>
        <v>0.6</v>
      </c>
      <c r="AO104" s="461">
        <f t="shared" si="332"/>
        <v>0.6</v>
      </c>
      <c r="AP104" s="888">
        <f t="shared" si="333"/>
        <v>0.6</v>
      </c>
      <c r="AQ104" s="495">
        <f t="shared" si="299"/>
        <v>0.6</v>
      </c>
      <c r="AR104" s="495">
        <f t="shared" si="300"/>
        <v>0.6</v>
      </c>
      <c r="AS104" s="495">
        <f t="shared" si="301"/>
        <v>0.6</v>
      </c>
      <c r="AT104" s="647">
        <f t="shared" si="302"/>
        <v>0.6</v>
      </c>
      <c r="AU104" s="461">
        <f t="shared" si="303"/>
        <v>0.6</v>
      </c>
      <c r="AV104" s="461">
        <f t="shared" si="334"/>
        <v>0.6</v>
      </c>
      <c r="AW104" s="461">
        <f t="shared" si="335"/>
        <v>0.6</v>
      </c>
      <c r="AX104" s="888">
        <f t="shared" si="336"/>
        <v>0.6</v>
      </c>
      <c r="AY104" s="495">
        <f t="shared" si="304"/>
        <v>0.6</v>
      </c>
      <c r="AZ104" s="495">
        <f t="shared" si="305"/>
        <v>0.6</v>
      </c>
      <c r="BA104" s="495">
        <f t="shared" si="306"/>
        <v>0.6</v>
      </c>
      <c r="BB104" s="647">
        <f t="shared" si="307"/>
        <v>0.6</v>
      </c>
      <c r="BC104" s="461">
        <f t="shared" si="308"/>
        <v>0.6</v>
      </c>
      <c r="BD104" s="461">
        <f t="shared" si="337"/>
        <v>0.6</v>
      </c>
      <c r="BE104" s="461">
        <f t="shared" si="338"/>
        <v>0.6</v>
      </c>
      <c r="BF104" s="888">
        <f t="shared" si="339"/>
        <v>0.6</v>
      </c>
      <c r="BG104" s="495">
        <f t="shared" si="309"/>
        <v>0.6</v>
      </c>
      <c r="BH104" s="495">
        <f t="shared" si="310"/>
        <v>0.6</v>
      </c>
      <c r="BI104" s="495">
        <f t="shared" si="311"/>
        <v>0.6</v>
      </c>
      <c r="BJ104" s="647">
        <f t="shared" si="312"/>
        <v>0.6</v>
      </c>
      <c r="BK104" s="461">
        <f t="shared" si="313"/>
        <v>0.6</v>
      </c>
      <c r="BL104" s="461">
        <f t="shared" si="340"/>
        <v>0.6</v>
      </c>
      <c r="BM104" s="461">
        <f t="shared" si="341"/>
        <v>0.6</v>
      </c>
      <c r="BN104" s="888">
        <f t="shared" si="342"/>
        <v>0.6</v>
      </c>
      <c r="BO104" s="495">
        <f t="shared" si="314"/>
        <v>0.6</v>
      </c>
      <c r="BP104" s="495">
        <f t="shared" si="315"/>
        <v>0.6</v>
      </c>
      <c r="BQ104" s="495">
        <f t="shared" si="316"/>
        <v>0.6</v>
      </c>
      <c r="BR104" s="647">
        <f t="shared" si="317"/>
        <v>0.6</v>
      </c>
      <c r="BS104" s="461">
        <f t="shared" si="318"/>
        <v>0.6</v>
      </c>
      <c r="BT104" s="461">
        <f t="shared" si="343"/>
        <v>0.6</v>
      </c>
      <c r="BU104" s="461">
        <f t="shared" si="344"/>
        <v>0.6</v>
      </c>
      <c r="BV104" s="888">
        <f t="shared" si="345"/>
        <v>0.6</v>
      </c>
    </row>
    <row r="105" spans="1:74" ht="10.35" customHeight="1" x14ac:dyDescent="0.2">
      <c r="A105" s="1511" t="s">
        <v>1138</v>
      </c>
      <c r="B105" s="281">
        <v>0.3</v>
      </c>
      <c r="C105" s="281">
        <v>0.3</v>
      </c>
      <c r="D105" s="281">
        <v>0.3</v>
      </c>
      <c r="E105" s="281">
        <v>0.3</v>
      </c>
      <c r="F105" s="281">
        <v>0.3</v>
      </c>
      <c r="G105" s="281">
        <v>0.3</v>
      </c>
      <c r="H105" s="281">
        <v>0.3</v>
      </c>
      <c r="I105" s="281">
        <v>0.3</v>
      </c>
      <c r="J105" s="105">
        <v>0.3</v>
      </c>
      <c r="K105" s="19">
        <f t="shared" ref="K105" si="347">R105</f>
        <v>0.3</v>
      </c>
      <c r="L105" s="19">
        <f t="shared" ref="L105" si="348">R105</f>
        <v>0.3</v>
      </c>
      <c r="M105" s="19">
        <f t="shared" ref="M105" si="349">R105</f>
        <v>0.3</v>
      </c>
      <c r="N105" s="643">
        <f t="shared" ref="N105" si="350">R105</f>
        <v>0.3</v>
      </c>
      <c r="O105" s="104">
        <f t="shared" ref="O105" si="351">R105</f>
        <v>0.3</v>
      </c>
      <c r="P105" s="104">
        <f t="shared" ref="P105" si="352">R105</f>
        <v>0.3</v>
      </c>
      <c r="Q105" s="104">
        <f t="shared" ref="Q105" si="353">R105</f>
        <v>0.3</v>
      </c>
      <c r="R105" s="625">
        <v>0.3</v>
      </c>
      <c r="S105" s="104">
        <f t="shared" si="284"/>
        <v>0.3</v>
      </c>
      <c r="T105" s="104">
        <f t="shared" si="285"/>
        <v>0.3</v>
      </c>
      <c r="U105" s="104">
        <f t="shared" si="286"/>
        <v>0.3</v>
      </c>
      <c r="V105" s="872">
        <f t="shared" si="287"/>
        <v>0.3</v>
      </c>
      <c r="W105" s="104">
        <f t="shared" si="288"/>
        <v>0.3</v>
      </c>
      <c r="X105" s="104">
        <f t="shared" si="327"/>
        <v>0.3</v>
      </c>
      <c r="Y105" s="104">
        <f t="shared" si="328"/>
        <v>0.3</v>
      </c>
      <c r="Z105" s="873">
        <f>R105</f>
        <v>0.3</v>
      </c>
      <c r="AA105" s="104">
        <f t="shared" si="289"/>
        <v>0.4</v>
      </c>
      <c r="AB105" s="104">
        <f t="shared" si="290"/>
        <v>0.4</v>
      </c>
      <c r="AC105" s="104">
        <f t="shared" si="291"/>
        <v>0.4</v>
      </c>
      <c r="AD105" s="872">
        <f t="shared" si="292"/>
        <v>0.4</v>
      </c>
      <c r="AE105" s="104">
        <f t="shared" si="293"/>
        <v>0.4</v>
      </c>
      <c r="AF105" s="104">
        <f t="shared" si="329"/>
        <v>0.4</v>
      </c>
      <c r="AG105" s="104">
        <f t="shared" si="330"/>
        <v>0.4</v>
      </c>
      <c r="AH105" s="873">
        <v>0.4</v>
      </c>
      <c r="AI105" s="104">
        <f t="shared" si="294"/>
        <v>0.4</v>
      </c>
      <c r="AJ105" s="104">
        <f t="shared" si="295"/>
        <v>0.4</v>
      </c>
      <c r="AK105" s="461">
        <f t="shared" si="296"/>
        <v>0.4</v>
      </c>
      <c r="AL105" s="868">
        <f t="shared" si="297"/>
        <v>0.4</v>
      </c>
      <c r="AM105" s="104">
        <f t="shared" si="298"/>
        <v>0.4</v>
      </c>
      <c r="AN105" s="461">
        <f t="shared" si="331"/>
        <v>0.4</v>
      </c>
      <c r="AO105" s="461">
        <f t="shared" si="332"/>
        <v>0.4</v>
      </c>
      <c r="AP105" s="874">
        <f t="shared" si="333"/>
        <v>0.4</v>
      </c>
      <c r="AQ105" s="461">
        <f t="shared" si="299"/>
        <v>0.4</v>
      </c>
      <c r="AR105" s="461">
        <f t="shared" si="300"/>
        <v>0.4</v>
      </c>
      <c r="AS105" s="461">
        <f t="shared" si="301"/>
        <v>0.4</v>
      </c>
      <c r="AT105" s="868">
        <f t="shared" si="302"/>
        <v>0.4</v>
      </c>
      <c r="AU105" s="461">
        <f t="shared" si="303"/>
        <v>0.4</v>
      </c>
      <c r="AV105" s="461">
        <f t="shared" si="334"/>
        <v>0.4</v>
      </c>
      <c r="AW105" s="461">
        <f t="shared" si="335"/>
        <v>0.4</v>
      </c>
      <c r="AX105" s="874">
        <f t="shared" si="336"/>
        <v>0.4</v>
      </c>
      <c r="AY105" s="461">
        <f t="shared" si="304"/>
        <v>0.4</v>
      </c>
      <c r="AZ105" s="461">
        <f t="shared" si="305"/>
        <v>0.4</v>
      </c>
      <c r="BA105" s="461">
        <f t="shared" si="306"/>
        <v>0.4</v>
      </c>
      <c r="BB105" s="868">
        <f t="shared" si="307"/>
        <v>0.4</v>
      </c>
      <c r="BC105" s="461">
        <f t="shared" si="308"/>
        <v>0.4</v>
      </c>
      <c r="BD105" s="461">
        <f t="shared" si="337"/>
        <v>0.4</v>
      </c>
      <c r="BE105" s="461">
        <f t="shared" si="338"/>
        <v>0.4</v>
      </c>
      <c r="BF105" s="874">
        <f t="shared" si="339"/>
        <v>0.4</v>
      </c>
      <c r="BG105" s="461">
        <f t="shared" si="309"/>
        <v>0.4</v>
      </c>
      <c r="BH105" s="461">
        <f t="shared" si="310"/>
        <v>0.4</v>
      </c>
      <c r="BI105" s="461">
        <f t="shared" si="311"/>
        <v>0.4</v>
      </c>
      <c r="BJ105" s="868">
        <f t="shared" si="312"/>
        <v>0.4</v>
      </c>
      <c r="BK105" s="461">
        <f t="shared" si="313"/>
        <v>0.4</v>
      </c>
      <c r="BL105" s="461">
        <f t="shared" si="340"/>
        <v>0.4</v>
      </c>
      <c r="BM105" s="461">
        <f t="shared" si="341"/>
        <v>0.4</v>
      </c>
      <c r="BN105" s="874">
        <f t="shared" si="342"/>
        <v>0.4</v>
      </c>
      <c r="BO105" s="461">
        <f t="shared" si="314"/>
        <v>0.4</v>
      </c>
      <c r="BP105" s="461">
        <f t="shared" si="315"/>
        <v>0.4</v>
      </c>
      <c r="BQ105" s="461">
        <f t="shared" si="316"/>
        <v>0.4</v>
      </c>
      <c r="BR105" s="868">
        <f t="shared" si="317"/>
        <v>0.4</v>
      </c>
      <c r="BS105" s="461">
        <f t="shared" si="318"/>
        <v>0.4</v>
      </c>
      <c r="BT105" s="461">
        <f t="shared" si="343"/>
        <v>0.4</v>
      </c>
      <c r="BU105" s="461">
        <f t="shared" si="344"/>
        <v>0.4</v>
      </c>
      <c r="BV105" s="874">
        <f t="shared" si="345"/>
        <v>0.4</v>
      </c>
    </row>
    <row r="106" spans="1:74" ht="10.35" customHeight="1" x14ac:dyDescent="0.25">
      <c r="A106" s="877"/>
      <c r="B106" s="474"/>
      <c r="C106" s="104"/>
      <c r="D106" s="104"/>
      <c r="E106" s="104"/>
      <c r="F106" s="104"/>
      <c r="G106" s="104"/>
      <c r="H106" s="104"/>
      <c r="I106" s="104"/>
      <c r="J106" s="105"/>
      <c r="K106" s="104"/>
      <c r="L106" s="104"/>
      <c r="M106" s="104"/>
      <c r="N106" s="872"/>
      <c r="O106" s="104"/>
      <c r="P106" s="104"/>
      <c r="Q106" s="104"/>
      <c r="R106" s="873"/>
      <c r="S106" s="461"/>
      <c r="T106" s="461"/>
      <c r="U106" s="461"/>
      <c r="V106" s="868"/>
      <c r="W106" s="461"/>
      <c r="X106" s="461"/>
      <c r="Y106" s="461"/>
      <c r="Z106" s="874"/>
      <c r="AA106" s="461"/>
      <c r="AB106" s="461"/>
      <c r="AC106" s="104"/>
      <c r="AD106" s="872"/>
      <c r="AE106" s="104"/>
      <c r="AF106" s="104"/>
      <c r="AG106" s="104"/>
      <c r="AH106" s="873"/>
      <c r="AI106" s="104"/>
      <c r="AJ106" s="104"/>
      <c r="AK106" s="461"/>
      <c r="AL106" s="868"/>
      <c r="AM106" s="104"/>
      <c r="AN106" s="461"/>
      <c r="AO106" s="461"/>
      <c r="AP106" s="874"/>
      <c r="AQ106" s="461"/>
      <c r="AR106" s="461"/>
      <c r="AS106" s="461"/>
      <c r="AT106" s="868"/>
      <c r="AU106" s="461"/>
      <c r="AV106" s="461"/>
      <c r="AW106" s="461"/>
      <c r="AX106" s="874"/>
      <c r="AY106" s="461"/>
      <c r="AZ106" s="461"/>
      <c r="BA106" s="461"/>
      <c r="BB106" s="868"/>
      <c r="BC106" s="461"/>
      <c r="BD106" s="461"/>
      <c r="BE106" s="461"/>
      <c r="BF106" s="874"/>
      <c r="BG106" s="461"/>
      <c r="BH106" s="461"/>
      <c r="BI106" s="461"/>
      <c r="BJ106" s="868"/>
      <c r="BK106" s="461"/>
      <c r="BL106" s="461"/>
      <c r="BM106" s="461"/>
      <c r="BN106" s="874"/>
      <c r="BO106" s="461"/>
      <c r="BP106" s="461"/>
      <c r="BQ106" s="461"/>
      <c r="BR106" s="868"/>
      <c r="BS106" s="461"/>
      <c r="BT106" s="461"/>
      <c r="BU106" s="461"/>
      <c r="BV106" s="874"/>
    </row>
    <row r="107" spans="1:74" x14ac:dyDescent="0.2">
      <c r="A107" s="186" t="s">
        <v>882</v>
      </c>
      <c r="B107" s="883"/>
      <c r="C107" s="883"/>
      <c r="D107" s="883"/>
      <c r="E107" s="883"/>
      <c r="F107" s="883"/>
      <c r="G107" s="883"/>
      <c r="H107" s="883"/>
      <c r="I107" s="883"/>
      <c r="J107" s="884"/>
      <c r="K107" s="885"/>
      <c r="L107" s="883"/>
      <c r="M107" s="883"/>
      <c r="N107" s="886"/>
      <c r="O107" s="883"/>
      <c r="P107" s="883"/>
      <c r="Q107" s="883"/>
      <c r="R107" s="881"/>
      <c r="S107" s="883"/>
      <c r="T107" s="883"/>
      <c r="U107" s="883"/>
      <c r="V107" s="886"/>
      <c r="W107" s="883"/>
      <c r="X107" s="883"/>
      <c r="Y107" s="883"/>
      <c r="Z107" s="881"/>
      <c r="AA107" s="883"/>
      <c r="AB107" s="883"/>
      <c r="AC107" s="885"/>
      <c r="AD107" s="1394"/>
      <c r="AE107" s="885"/>
      <c r="AF107" s="885"/>
      <c r="AG107" s="885"/>
      <c r="AH107" s="1395"/>
      <c r="AI107" s="885"/>
      <c r="AJ107" s="885"/>
      <c r="AK107" s="883"/>
      <c r="AL107" s="886"/>
      <c r="AM107" s="885"/>
      <c r="AN107" s="883"/>
      <c r="AO107" s="883"/>
      <c r="AP107" s="881"/>
      <c r="AQ107" s="883"/>
      <c r="AR107" s="883"/>
      <c r="AS107" s="883"/>
      <c r="AT107" s="886"/>
      <c r="AU107" s="883"/>
      <c r="AV107" s="883"/>
      <c r="AW107" s="883"/>
      <c r="AX107" s="881"/>
      <c r="AY107" s="883"/>
      <c r="AZ107" s="883"/>
      <c r="BA107" s="883"/>
      <c r="BB107" s="886"/>
      <c r="BC107" s="883"/>
      <c r="BD107" s="883"/>
      <c r="BE107" s="883"/>
      <c r="BF107" s="881"/>
      <c r="BG107" s="883"/>
      <c r="BH107" s="883"/>
      <c r="BI107" s="883"/>
      <c r="BJ107" s="886"/>
      <c r="BK107" s="883"/>
      <c r="BL107" s="883"/>
      <c r="BM107" s="883"/>
      <c r="BN107" s="881"/>
      <c r="BO107" s="883"/>
      <c r="BP107" s="883"/>
      <c r="BQ107" s="883"/>
      <c r="BR107" s="886"/>
      <c r="BS107" s="883"/>
      <c r="BT107" s="883"/>
      <c r="BU107" s="883"/>
      <c r="BV107" s="881"/>
    </row>
    <row r="108" spans="1:74" x14ac:dyDescent="0.2">
      <c r="A108" s="4" t="str">
        <f t="shared" ref="A108:A114" si="354">A98</f>
        <v>CFM56</v>
      </c>
      <c r="B108" s="885">
        <v>2.3242774342840913</v>
      </c>
      <c r="C108" s="885">
        <v>2.3242774342840913</v>
      </c>
      <c r="D108" s="885">
        <v>2.3242774342840913</v>
      </c>
      <c r="E108" s="885">
        <v>2.3242774342840913</v>
      </c>
      <c r="F108" s="885">
        <v>2.3242774342840913</v>
      </c>
      <c r="G108" s="885">
        <v>2.3242774342840913</v>
      </c>
      <c r="H108" s="885">
        <v>2.3242774342840913</v>
      </c>
      <c r="I108" s="885">
        <v>2.3242774342840913</v>
      </c>
      <c r="J108" s="889">
        <v>2.3242774342840913</v>
      </c>
      <c r="K108" s="885">
        <f t="shared" ref="K108:AP108" si="355">K80*(1-K98)</f>
        <v>2.6563170677532475</v>
      </c>
      <c r="L108" s="885">
        <f t="shared" si="355"/>
        <v>2.6563170677532475</v>
      </c>
      <c r="M108" s="885">
        <f t="shared" si="355"/>
        <v>2.6563170677532475</v>
      </c>
      <c r="N108" s="1394">
        <f t="shared" si="355"/>
        <v>2.6563170677532475</v>
      </c>
      <c r="O108" s="885">
        <f t="shared" si="355"/>
        <v>2.6563170677532475</v>
      </c>
      <c r="P108" s="885">
        <f t="shared" si="355"/>
        <v>2.6563170677532475</v>
      </c>
      <c r="Q108" s="885">
        <f t="shared" si="355"/>
        <v>2.6563170677532475</v>
      </c>
      <c r="R108" s="1395">
        <f t="shared" si="355"/>
        <v>2.6563170677532475</v>
      </c>
      <c r="S108" s="885">
        <f t="shared" si="355"/>
        <v>2.5766275557206502</v>
      </c>
      <c r="T108" s="885">
        <f t="shared" si="355"/>
        <v>2.5766275557206502</v>
      </c>
      <c r="U108" s="885">
        <f t="shared" si="355"/>
        <v>2.5766275557206502</v>
      </c>
      <c r="V108" s="1394">
        <f t="shared" si="355"/>
        <v>2.5766275557206502</v>
      </c>
      <c r="W108" s="885">
        <f t="shared" si="355"/>
        <v>2.5766275557206502</v>
      </c>
      <c r="X108" s="885">
        <f t="shared" si="355"/>
        <v>2.5766275557206502</v>
      </c>
      <c r="Y108" s="885">
        <f t="shared" si="355"/>
        <v>2.5766275557206502</v>
      </c>
      <c r="Z108" s="1395">
        <f t="shared" si="355"/>
        <v>2.5766275557206502</v>
      </c>
      <c r="AA108" s="885">
        <f t="shared" si="355"/>
        <v>1.9999999999999996</v>
      </c>
      <c r="AB108" s="885">
        <f t="shared" si="355"/>
        <v>1.9999999999999996</v>
      </c>
      <c r="AC108" s="885">
        <f t="shared" si="355"/>
        <v>1.9999999999999996</v>
      </c>
      <c r="AD108" s="1394">
        <f t="shared" si="355"/>
        <v>1.9999999999999996</v>
      </c>
      <c r="AE108" s="885">
        <f t="shared" si="355"/>
        <v>1.9999999999999996</v>
      </c>
      <c r="AF108" s="885">
        <f t="shared" si="355"/>
        <v>1.9999999999999996</v>
      </c>
      <c r="AG108" s="885">
        <f t="shared" si="355"/>
        <v>1.9999999999999996</v>
      </c>
      <c r="AH108" s="1395">
        <f t="shared" si="355"/>
        <v>1.9999999999999996</v>
      </c>
      <c r="AI108" s="885">
        <f t="shared" si="355"/>
        <v>1.9599999999999997</v>
      </c>
      <c r="AJ108" s="885">
        <f t="shared" si="355"/>
        <v>1.9599999999999997</v>
      </c>
      <c r="AK108" s="890">
        <f t="shared" si="355"/>
        <v>1.9599999999999997</v>
      </c>
      <c r="AL108" s="891">
        <f t="shared" si="355"/>
        <v>1.9599999999999997</v>
      </c>
      <c r="AM108" s="885">
        <f t="shared" si="355"/>
        <v>1.9599999999999997</v>
      </c>
      <c r="AN108" s="890">
        <f t="shared" si="355"/>
        <v>1.9599999999999997</v>
      </c>
      <c r="AO108" s="890">
        <f t="shared" si="355"/>
        <v>1.9599999999999997</v>
      </c>
      <c r="AP108" s="881">
        <f t="shared" si="355"/>
        <v>1.9599999999999997</v>
      </c>
      <c r="AQ108" s="890">
        <f t="shared" ref="AQ108:BV108" si="356">AQ80*(1-AQ98)</f>
        <v>1.9207999999999998</v>
      </c>
      <c r="AR108" s="890">
        <f t="shared" si="356"/>
        <v>1.9207999999999998</v>
      </c>
      <c r="AS108" s="890">
        <f t="shared" si="356"/>
        <v>1.9207999999999998</v>
      </c>
      <c r="AT108" s="891">
        <f t="shared" si="356"/>
        <v>1.9207999999999998</v>
      </c>
      <c r="AU108" s="890">
        <f t="shared" si="356"/>
        <v>1.9207999999999998</v>
      </c>
      <c r="AV108" s="890">
        <f t="shared" si="356"/>
        <v>1.9207999999999998</v>
      </c>
      <c r="AW108" s="890">
        <f t="shared" si="356"/>
        <v>1.9207999999999998</v>
      </c>
      <c r="AX108" s="881">
        <f t="shared" si="356"/>
        <v>1.9207999999999998</v>
      </c>
      <c r="AY108" s="890">
        <f t="shared" si="356"/>
        <v>1.8823839999999996</v>
      </c>
      <c r="AZ108" s="890">
        <f t="shared" si="356"/>
        <v>1.8823839999999996</v>
      </c>
      <c r="BA108" s="890">
        <f t="shared" si="356"/>
        <v>1.8823839999999996</v>
      </c>
      <c r="BB108" s="891">
        <f t="shared" si="356"/>
        <v>1.8823839999999996</v>
      </c>
      <c r="BC108" s="890">
        <f t="shared" si="356"/>
        <v>1.8823839999999996</v>
      </c>
      <c r="BD108" s="890">
        <f t="shared" si="356"/>
        <v>1.8823839999999996</v>
      </c>
      <c r="BE108" s="890">
        <f t="shared" si="356"/>
        <v>1.8823839999999996</v>
      </c>
      <c r="BF108" s="881">
        <f t="shared" si="356"/>
        <v>1.8823839999999996</v>
      </c>
      <c r="BG108" s="890">
        <f t="shared" si="356"/>
        <v>1.8447363199999998</v>
      </c>
      <c r="BH108" s="890">
        <f t="shared" si="356"/>
        <v>1.8447363199999998</v>
      </c>
      <c r="BI108" s="890">
        <f t="shared" si="356"/>
        <v>1.8447363199999998</v>
      </c>
      <c r="BJ108" s="891">
        <f t="shared" si="356"/>
        <v>1.8447363199999998</v>
      </c>
      <c r="BK108" s="890">
        <f t="shared" si="356"/>
        <v>1.8447363199999998</v>
      </c>
      <c r="BL108" s="890">
        <f t="shared" si="356"/>
        <v>1.8447363199999998</v>
      </c>
      <c r="BM108" s="890">
        <f t="shared" si="356"/>
        <v>1.8447363199999998</v>
      </c>
      <c r="BN108" s="881">
        <f t="shared" si="356"/>
        <v>1.8447363199999998</v>
      </c>
      <c r="BO108" s="890">
        <f t="shared" si="356"/>
        <v>1.8078415935999999</v>
      </c>
      <c r="BP108" s="890">
        <f t="shared" si="356"/>
        <v>1.8078415935999999</v>
      </c>
      <c r="BQ108" s="890">
        <f t="shared" si="356"/>
        <v>1.8078415935999999</v>
      </c>
      <c r="BR108" s="891">
        <f t="shared" si="356"/>
        <v>1.8078415935999999</v>
      </c>
      <c r="BS108" s="890">
        <f t="shared" si="356"/>
        <v>1.8078415935999999</v>
      </c>
      <c r="BT108" s="890">
        <f t="shared" si="356"/>
        <v>1.8078415935999999</v>
      </c>
      <c r="BU108" s="890">
        <f t="shared" si="356"/>
        <v>1.8078415935999999</v>
      </c>
      <c r="BV108" s="881">
        <f t="shared" si="356"/>
        <v>1.8078415935999999</v>
      </c>
    </row>
    <row r="109" spans="1:74" x14ac:dyDescent="0.2">
      <c r="A109" s="4" t="str">
        <f t="shared" si="354"/>
        <v xml:space="preserve">LEAP </v>
      </c>
      <c r="B109" s="885">
        <v>5.1679827661808169</v>
      </c>
      <c r="C109" s="885">
        <v>5.1679827661808169</v>
      </c>
      <c r="D109" s="885">
        <v>5.1679827661808169</v>
      </c>
      <c r="E109" s="885">
        <v>5.1679827661808169</v>
      </c>
      <c r="F109" s="885">
        <v>5.1679827661808169</v>
      </c>
      <c r="G109" s="885">
        <v>5.1679827661808169</v>
      </c>
      <c r="H109" s="885">
        <v>5.1679827661808169</v>
      </c>
      <c r="I109" s="885">
        <v>5.1679827661808169</v>
      </c>
      <c r="J109" s="889">
        <v>5.1679827661808169</v>
      </c>
      <c r="K109" s="885">
        <f t="shared" ref="K109:AP109" si="357">K81*(1-K99)</f>
        <v>3.5529881517493118</v>
      </c>
      <c r="L109" s="885">
        <f t="shared" si="357"/>
        <v>3.5529881517493118</v>
      </c>
      <c r="M109" s="885">
        <f t="shared" si="357"/>
        <v>3.5529881517493118</v>
      </c>
      <c r="N109" s="1394">
        <f t="shared" si="357"/>
        <v>3.5529881517493118</v>
      </c>
      <c r="O109" s="885">
        <f t="shared" si="357"/>
        <v>3.5529881517493118</v>
      </c>
      <c r="P109" s="885">
        <f t="shared" si="357"/>
        <v>3.5529881517493118</v>
      </c>
      <c r="Q109" s="885">
        <f t="shared" si="357"/>
        <v>3.5529881517493118</v>
      </c>
      <c r="R109" s="1395">
        <f t="shared" si="357"/>
        <v>3.5529881517493118</v>
      </c>
      <c r="S109" s="885">
        <f t="shared" si="357"/>
        <v>4.031026557621038</v>
      </c>
      <c r="T109" s="885">
        <f t="shared" si="357"/>
        <v>4.031026557621038</v>
      </c>
      <c r="U109" s="885">
        <f t="shared" si="357"/>
        <v>4.031026557621038</v>
      </c>
      <c r="V109" s="1394">
        <f t="shared" si="357"/>
        <v>4.031026557621038</v>
      </c>
      <c r="W109" s="885">
        <f t="shared" si="357"/>
        <v>4.031026557621038</v>
      </c>
      <c r="X109" s="885">
        <f t="shared" si="357"/>
        <v>4.031026557621038</v>
      </c>
      <c r="Y109" s="885">
        <f t="shared" si="357"/>
        <v>4.031026557621038</v>
      </c>
      <c r="Z109" s="1395">
        <f t="shared" si="357"/>
        <v>4.031026557621038</v>
      </c>
      <c r="AA109" s="885">
        <f t="shared" si="357"/>
        <v>3.75</v>
      </c>
      <c r="AB109" s="885">
        <f t="shared" si="357"/>
        <v>3.75</v>
      </c>
      <c r="AC109" s="885">
        <f t="shared" si="357"/>
        <v>3.75</v>
      </c>
      <c r="AD109" s="1394">
        <f t="shared" si="357"/>
        <v>3.75</v>
      </c>
      <c r="AE109" s="885">
        <f t="shared" si="357"/>
        <v>3.75</v>
      </c>
      <c r="AF109" s="885">
        <f t="shared" si="357"/>
        <v>3.75</v>
      </c>
      <c r="AG109" s="885">
        <f t="shared" si="357"/>
        <v>3.75</v>
      </c>
      <c r="AH109" s="1395">
        <f t="shared" si="357"/>
        <v>3.75</v>
      </c>
      <c r="AI109" s="885">
        <f t="shared" si="357"/>
        <v>3.9000000000000004</v>
      </c>
      <c r="AJ109" s="885">
        <f t="shared" si="357"/>
        <v>3.9000000000000004</v>
      </c>
      <c r="AK109" s="890">
        <f t="shared" si="357"/>
        <v>3.9000000000000004</v>
      </c>
      <c r="AL109" s="891">
        <f t="shared" si="357"/>
        <v>3.9000000000000004</v>
      </c>
      <c r="AM109" s="885">
        <f t="shared" si="357"/>
        <v>3.9000000000000004</v>
      </c>
      <c r="AN109" s="890">
        <f t="shared" si="357"/>
        <v>3.9000000000000004</v>
      </c>
      <c r="AO109" s="890">
        <f t="shared" si="357"/>
        <v>3.9000000000000004</v>
      </c>
      <c r="AP109" s="881">
        <f t="shared" si="357"/>
        <v>3.9000000000000004</v>
      </c>
      <c r="AQ109" s="890">
        <f t="shared" ref="AQ109:BV109" si="358">AQ81*(1-AQ99)</f>
        <v>4.0560000000000009</v>
      </c>
      <c r="AR109" s="890">
        <f t="shared" si="358"/>
        <v>4.0560000000000009</v>
      </c>
      <c r="AS109" s="890">
        <f t="shared" si="358"/>
        <v>4.0560000000000009</v>
      </c>
      <c r="AT109" s="891">
        <f t="shared" si="358"/>
        <v>4.0560000000000009</v>
      </c>
      <c r="AU109" s="890">
        <f t="shared" si="358"/>
        <v>4.0560000000000009</v>
      </c>
      <c r="AV109" s="890">
        <f t="shared" si="358"/>
        <v>4.0560000000000009</v>
      </c>
      <c r="AW109" s="890">
        <f t="shared" si="358"/>
        <v>4.0560000000000009</v>
      </c>
      <c r="AX109" s="881">
        <f t="shared" si="358"/>
        <v>4.0560000000000009</v>
      </c>
      <c r="AY109" s="890">
        <f t="shared" si="358"/>
        <v>4.2182400000000015</v>
      </c>
      <c r="AZ109" s="890">
        <f t="shared" si="358"/>
        <v>4.2182400000000015</v>
      </c>
      <c r="BA109" s="890">
        <f t="shared" si="358"/>
        <v>4.2182400000000015</v>
      </c>
      <c r="BB109" s="891">
        <f t="shared" si="358"/>
        <v>4.2182400000000015</v>
      </c>
      <c r="BC109" s="890">
        <f t="shared" si="358"/>
        <v>4.2182400000000015</v>
      </c>
      <c r="BD109" s="890">
        <f t="shared" si="358"/>
        <v>4.2182400000000015</v>
      </c>
      <c r="BE109" s="890">
        <f t="shared" si="358"/>
        <v>4.2182400000000015</v>
      </c>
      <c r="BF109" s="881">
        <f t="shared" si="358"/>
        <v>4.2182400000000015</v>
      </c>
      <c r="BG109" s="890">
        <f t="shared" si="358"/>
        <v>4.3869696000000014</v>
      </c>
      <c r="BH109" s="890">
        <f t="shared" si="358"/>
        <v>4.3869696000000014</v>
      </c>
      <c r="BI109" s="890">
        <f t="shared" si="358"/>
        <v>4.3869696000000014</v>
      </c>
      <c r="BJ109" s="891">
        <f t="shared" si="358"/>
        <v>4.3869696000000014</v>
      </c>
      <c r="BK109" s="890">
        <f t="shared" si="358"/>
        <v>4.3869696000000014</v>
      </c>
      <c r="BL109" s="890">
        <f t="shared" si="358"/>
        <v>4.3869696000000014</v>
      </c>
      <c r="BM109" s="890">
        <f t="shared" si="358"/>
        <v>4.3869696000000014</v>
      </c>
      <c r="BN109" s="881">
        <f t="shared" si="358"/>
        <v>4.3869696000000014</v>
      </c>
      <c r="BO109" s="890">
        <f t="shared" si="358"/>
        <v>4.5624483840000014</v>
      </c>
      <c r="BP109" s="890">
        <f t="shared" si="358"/>
        <v>4.5624483840000014</v>
      </c>
      <c r="BQ109" s="890">
        <f t="shared" si="358"/>
        <v>4.5624483840000014</v>
      </c>
      <c r="BR109" s="891">
        <f t="shared" si="358"/>
        <v>4.5624483840000014</v>
      </c>
      <c r="BS109" s="890">
        <f t="shared" si="358"/>
        <v>4.5624483840000014</v>
      </c>
      <c r="BT109" s="890">
        <f t="shared" si="358"/>
        <v>4.5624483840000014</v>
      </c>
      <c r="BU109" s="890">
        <f t="shared" si="358"/>
        <v>4.5624483840000014</v>
      </c>
      <c r="BV109" s="881">
        <f t="shared" si="358"/>
        <v>4.5624483840000014</v>
      </c>
    </row>
    <row r="110" spans="1:74" x14ac:dyDescent="0.2">
      <c r="A110" s="4" t="str">
        <f t="shared" si="354"/>
        <v>GE90</v>
      </c>
      <c r="B110" s="885">
        <v>6.3359178801953888</v>
      </c>
      <c r="C110" s="885">
        <v>6.3359178801953888</v>
      </c>
      <c r="D110" s="885">
        <v>6.3359178801953888</v>
      </c>
      <c r="E110" s="885">
        <v>6.3359178801953888</v>
      </c>
      <c r="F110" s="885">
        <v>6.3359178801953888</v>
      </c>
      <c r="G110" s="885">
        <v>6.3359178801953888</v>
      </c>
      <c r="H110" s="885">
        <v>6.3359178801953888</v>
      </c>
      <c r="I110" s="885">
        <v>6.3359178801953888</v>
      </c>
      <c r="J110" s="889">
        <v>6.3359178801953888</v>
      </c>
      <c r="K110" s="885">
        <f t="shared" ref="K110:AP110" si="359">K82*(1-K100)</f>
        <v>11.263854009236249</v>
      </c>
      <c r="L110" s="885">
        <f t="shared" si="359"/>
        <v>11.263854009236249</v>
      </c>
      <c r="M110" s="885">
        <f t="shared" si="359"/>
        <v>11.263854009236249</v>
      </c>
      <c r="N110" s="1394">
        <f t="shared" si="359"/>
        <v>11.263854009236249</v>
      </c>
      <c r="O110" s="885">
        <f t="shared" si="359"/>
        <v>11.263854009236249</v>
      </c>
      <c r="P110" s="885">
        <f t="shared" si="359"/>
        <v>11.263854009236249</v>
      </c>
      <c r="Q110" s="885">
        <f t="shared" si="359"/>
        <v>11.263854009236249</v>
      </c>
      <c r="R110" s="1395">
        <f t="shared" si="359"/>
        <v>11.263854009236249</v>
      </c>
      <c r="S110" s="885">
        <f t="shared" si="359"/>
        <v>11.489131089420974</v>
      </c>
      <c r="T110" s="885">
        <f t="shared" si="359"/>
        <v>11.489131089420974</v>
      </c>
      <c r="U110" s="885">
        <f t="shared" si="359"/>
        <v>11.489131089420974</v>
      </c>
      <c r="V110" s="1394">
        <f t="shared" si="359"/>
        <v>11.489131089420974</v>
      </c>
      <c r="W110" s="885">
        <f t="shared" si="359"/>
        <v>11.489131089420974</v>
      </c>
      <c r="X110" s="885">
        <f t="shared" si="359"/>
        <v>11.489131089420974</v>
      </c>
      <c r="Y110" s="885">
        <f t="shared" si="359"/>
        <v>11.489131089420974</v>
      </c>
      <c r="Z110" s="1395">
        <f t="shared" si="359"/>
        <v>11.489131089420974</v>
      </c>
      <c r="AA110" s="885">
        <f t="shared" si="359"/>
        <v>12</v>
      </c>
      <c r="AB110" s="885">
        <f t="shared" si="359"/>
        <v>12</v>
      </c>
      <c r="AC110" s="885">
        <f t="shared" si="359"/>
        <v>12</v>
      </c>
      <c r="AD110" s="1394">
        <f t="shared" si="359"/>
        <v>12</v>
      </c>
      <c r="AE110" s="885">
        <f t="shared" si="359"/>
        <v>12</v>
      </c>
      <c r="AF110" s="885">
        <f t="shared" si="359"/>
        <v>12</v>
      </c>
      <c r="AG110" s="885">
        <f t="shared" si="359"/>
        <v>12</v>
      </c>
      <c r="AH110" s="1395">
        <f t="shared" si="359"/>
        <v>12</v>
      </c>
      <c r="AI110" s="885">
        <f t="shared" si="359"/>
        <v>12.360000000000001</v>
      </c>
      <c r="AJ110" s="885">
        <f t="shared" si="359"/>
        <v>12.360000000000001</v>
      </c>
      <c r="AK110" s="890">
        <f t="shared" si="359"/>
        <v>12.360000000000001</v>
      </c>
      <c r="AL110" s="891">
        <f t="shared" si="359"/>
        <v>12.360000000000001</v>
      </c>
      <c r="AM110" s="885">
        <f t="shared" si="359"/>
        <v>12.360000000000001</v>
      </c>
      <c r="AN110" s="890">
        <f t="shared" si="359"/>
        <v>12.360000000000001</v>
      </c>
      <c r="AO110" s="890">
        <f t="shared" si="359"/>
        <v>12.360000000000001</v>
      </c>
      <c r="AP110" s="881">
        <f t="shared" si="359"/>
        <v>12.360000000000001</v>
      </c>
      <c r="AQ110" s="890">
        <f t="shared" ref="AQ110:BV110" si="360">AQ82*(1-AQ100)</f>
        <v>12.730800000000002</v>
      </c>
      <c r="AR110" s="890">
        <f t="shared" si="360"/>
        <v>12.730800000000002</v>
      </c>
      <c r="AS110" s="890">
        <f t="shared" si="360"/>
        <v>12.730800000000002</v>
      </c>
      <c r="AT110" s="891">
        <f t="shared" si="360"/>
        <v>12.730800000000002</v>
      </c>
      <c r="AU110" s="890">
        <f t="shared" si="360"/>
        <v>12.730800000000002</v>
      </c>
      <c r="AV110" s="890">
        <f t="shared" si="360"/>
        <v>12.730800000000002</v>
      </c>
      <c r="AW110" s="890">
        <f t="shared" si="360"/>
        <v>12.730800000000002</v>
      </c>
      <c r="AX110" s="881">
        <f t="shared" si="360"/>
        <v>12.730800000000002</v>
      </c>
      <c r="AY110" s="890">
        <f t="shared" si="360"/>
        <v>13.112724</v>
      </c>
      <c r="AZ110" s="890">
        <f t="shared" si="360"/>
        <v>13.112724</v>
      </c>
      <c r="BA110" s="890">
        <f t="shared" si="360"/>
        <v>13.112724</v>
      </c>
      <c r="BB110" s="891">
        <f t="shared" si="360"/>
        <v>13.112724</v>
      </c>
      <c r="BC110" s="890">
        <f t="shared" si="360"/>
        <v>13.112724</v>
      </c>
      <c r="BD110" s="890">
        <f t="shared" si="360"/>
        <v>13.112724</v>
      </c>
      <c r="BE110" s="890">
        <f t="shared" si="360"/>
        <v>13.112724</v>
      </c>
      <c r="BF110" s="881">
        <f t="shared" si="360"/>
        <v>13.112724</v>
      </c>
      <c r="BG110" s="890">
        <f t="shared" si="360"/>
        <v>13.506105720000001</v>
      </c>
      <c r="BH110" s="890">
        <f t="shared" si="360"/>
        <v>13.506105720000001</v>
      </c>
      <c r="BI110" s="890">
        <f t="shared" si="360"/>
        <v>13.506105720000001</v>
      </c>
      <c r="BJ110" s="891">
        <f t="shared" si="360"/>
        <v>13.506105720000001</v>
      </c>
      <c r="BK110" s="890">
        <f t="shared" si="360"/>
        <v>13.506105720000001</v>
      </c>
      <c r="BL110" s="890">
        <f t="shared" si="360"/>
        <v>13.506105720000001</v>
      </c>
      <c r="BM110" s="890">
        <f t="shared" si="360"/>
        <v>13.506105720000001</v>
      </c>
      <c r="BN110" s="881">
        <f t="shared" si="360"/>
        <v>13.506105720000001</v>
      </c>
      <c r="BO110" s="890">
        <f t="shared" si="360"/>
        <v>13.911288891600002</v>
      </c>
      <c r="BP110" s="890">
        <f t="shared" si="360"/>
        <v>13.911288891600002</v>
      </c>
      <c r="BQ110" s="890">
        <f t="shared" si="360"/>
        <v>13.911288891600002</v>
      </c>
      <c r="BR110" s="891">
        <f t="shared" si="360"/>
        <v>13.911288891600002</v>
      </c>
      <c r="BS110" s="890">
        <f t="shared" si="360"/>
        <v>13.911288891600002</v>
      </c>
      <c r="BT110" s="890">
        <f t="shared" si="360"/>
        <v>13.911288891600002</v>
      </c>
      <c r="BU110" s="890">
        <f t="shared" si="360"/>
        <v>13.911288891600002</v>
      </c>
      <c r="BV110" s="881">
        <f t="shared" si="360"/>
        <v>13.911288891600002</v>
      </c>
    </row>
    <row r="111" spans="1:74" x14ac:dyDescent="0.2">
      <c r="A111" s="4" t="str">
        <f t="shared" si="354"/>
        <v>GE9X</v>
      </c>
      <c r="B111" s="885">
        <v>12.671835760390778</v>
      </c>
      <c r="C111" s="885">
        <v>12.671835760390778</v>
      </c>
      <c r="D111" s="885">
        <v>12.671835760390778</v>
      </c>
      <c r="E111" s="885">
        <v>12.671835760390778</v>
      </c>
      <c r="F111" s="885">
        <v>12.671835760390778</v>
      </c>
      <c r="G111" s="885">
        <v>12.671835760390778</v>
      </c>
      <c r="H111" s="885">
        <v>12.671835760390778</v>
      </c>
      <c r="I111" s="885">
        <v>12.671835760390778</v>
      </c>
      <c r="J111" s="889">
        <v>12.671835760390778</v>
      </c>
      <c r="K111" s="885">
        <f t="shared" ref="K111:AP111" si="361">K83*(1-K101)</f>
        <v>20.838129917087059</v>
      </c>
      <c r="L111" s="885">
        <f t="shared" si="361"/>
        <v>20.838129917087059</v>
      </c>
      <c r="M111" s="885">
        <f t="shared" si="361"/>
        <v>20.838129917087059</v>
      </c>
      <c r="N111" s="1394">
        <f t="shared" si="361"/>
        <v>20.838129917087059</v>
      </c>
      <c r="O111" s="885">
        <f t="shared" si="361"/>
        <v>20.838129917087059</v>
      </c>
      <c r="P111" s="885">
        <f t="shared" si="361"/>
        <v>20.838129917087059</v>
      </c>
      <c r="Q111" s="885">
        <f t="shared" si="361"/>
        <v>20.838129917087059</v>
      </c>
      <c r="R111" s="1395">
        <f t="shared" si="361"/>
        <v>20.838129917087059</v>
      </c>
      <c r="S111" s="885">
        <f t="shared" si="361"/>
        <v>21.2548925154288</v>
      </c>
      <c r="T111" s="885">
        <f t="shared" si="361"/>
        <v>21.2548925154288</v>
      </c>
      <c r="U111" s="885">
        <f t="shared" si="361"/>
        <v>21.2548925154288</v>
      </c>
      <c r="V111" s="1394">
        <f t="shared" si="361"/>
        <v>21.2548925154288</v>
      </c>
      <c r="W111" s="885">
        <f t="shared" si="361"/>
        <v>21.2548925154288</v>
      </c>
      <c r="X111" s="885">
        <f t="shared" si="361"/>
        <v>21.2548925154288</v>
      </c>
      <c r="Y111" s="885">
        <f t="shared" si="361"/>
        <v>21.2548925154288</v>
      </c>
      <c r="Z111" s="1395">
        <f t="shared" si="361"/>
        <v>21.2548925154288</v>
      </c>
      <c r="AA111" s="885">
        <f t="shared" si="361"/>
        <v>16</v>
      </c>
      <c r="AB111" s="885">
        <f t="shared" si="361"/>
        <v>16</v>
      </c>
      <c r="AC111" s="885">
        <f t="shared" si="361"/>
        <v>16</v>
      </c>
      <c r="AD111" s="1394">
        <f t="shared" si="361"/>
        <v>16</v>
      </c>
      <c r="AE111" s="885">
        <f t="shared" si="361"/>
        <v>16</v>
      </c>
      <c r="AF111" s="885">
        <f t="shared" si="361"/>
        <v>16</v>
      </c>
      <c r="AG111" s="885">
        <f t="shared" si="361"/>
        <v>16</v>
      </c>
      <c r="AH111" s="1395">
        <f t="shared" si="361"/>
        <v>16</v>
      </c>
      <c r="AI111" s="885">
        <f t="shared" si="361"/>
        <v>16.48</v>
      </c>
      <c r="AJ111" s="885">
        <f t="shared" si="361"/>
        <v>16.48</v>
      </c>
      <c r="AK111" s="890">
        <f t="shared" si="361"/>
        <v>16.48</v>
      </c>
      <c r="AL111" s="891">
        <f t="shared" si="361"/>
        <v>16.48</v>
      </c>
      <c r="AM111" s="885">
        <f t="shared" si="361"/>
        <v>16.48</v>
      </c>
      <c r="AN111" s="890">
        <f t="shared" si="361"/>
        <v>16.48</v>
      </c>
      <c r="AO111" s="890">
        <f t="shared" si="361"/>
        <v>16.48</v>
      </c>
      <c r="AP111" s="881">
        <f t="shared" si="361"/>
        <v>16.48</v>
      </c>
      <c r="AQ111" s="890">
        <f t="shared" ref="AQ111:BV111" si="362">AQ83*(1-AQ101)</f>
        <v>16.974400000000003</v>
      </c>
      <c r="AR111" s="890">
        <f t="shared" si="362"/>
        <v>16.974400000000003</v>
      </c>
      <c r="AS111" s="890">
        <f t="shared" si="362"/>
        <v>16.974400000000003</v>
      </c>
      <c r="AT111" s="891">
        <f t="shared" si="362"/>
        <v>16.974400000000003</v>
      </c>
      <c r="AU111" s="890">
        <f t="shared" si="362"/>
        <v>16.974400000000003</v>
      </c>
      <c r="AV111" s="890">
        <f t="shared" si="362"/>
        <v>16.974400000000003</v>
      </c>
      <c r="AW111" s="890">
        <f t="shared" si="362"/>
        <v>16.974400000000003</v>
      </c>
      <c r="AX111" s="881">
        <f t="shared" si="362"/>
        <v>16.974400000000003</v>
      </c>
      <c r="AY111" s="890">
        <f t="shared" si="362"/>
        <v>17.483632000000004</v>
      </c>
      <c r="AZ111" s="890">
        <f t="shared" si="362"/>
        <v>17.483632000000004</v>
      </c>
      <c r="BA111" s="890">
        <f t="shared" si="362"/>
        <v>17.483632000000004</v>
      </c>
      <c r="BB111" s="891">
        <f t="shared" si="362"/>
        <v>17.483632000000004</v>
      </c>
      <c r="BC111" s="890">
        <f t="shared" si="362"/>
        <v>17.483632000000004</v>
      </c>
      <c r="BD111" s="890">
        <f t="shared" si="362"/>
        <v>17.483632000000004</v>
      </c>
      <c r="BE111" s="890">
        <f t="shared" si="362"/>
        <v>17.483632000000004</v>
      </c>
      <c r="BF111" s="881">
        <f t="shared" si="362"/>
        <v>17.483632000000004</v>
      </c>
      <c r="BG111" s="890">
        <f t="shared" si="362"/>
        <v>18.008140960000002</v>
      </c>
      <c r="BH111" s="890">
        <f t="shared" si="362"/>
        <v>18.008140960000002</v>
      </c>
      <c r="BI111" s="890">
        <f t="shared" si="362"/>
        <v>18.008140960000002</v>
      </c>
      <c r="BJ111" s="891">
        <f t="shared" si="362"/>
        <v>18.008140960000002</v>
      </c>
      <c r="BK111" s="890">
        <f t="shared" si="362"/>
        <v>18.008140960000002</v>
      </c>
      <c r="BL111" s="890">
        <f t="shared" si="362"/>
        <v>18.008140960000002</v>
      </c>
      <c r="BM111" s="890">
        <f t="shared" si="362"/>
        <v>18.008140960000002</v>
      </c>
      <c r="BN111" s="881">
        <f t="shared" si="362"/>
        <v>18.008140960000002</v>
      </c>
      <c r="BO111" s="890">
        <f t="shared" si="362"/>
        <v>18.548385188800005</v>
      </c>
      <c r="BP111" s="890">
        <f t="shared" si="362"/>
        <v>18.548385188800005</v>
      </c>
      <c r="BQ111" s="890">
        <f t="shared" si="362"/>
        <v>18.548385188800005</v>
      </c>
      <c r="BR111" s="891">
        <f t="shared" si="362"/>
        <v>18.548385188800005</v>
      </c>
      <c r="BS111" s="890">
        <f t="shared" si="362"/>
        <v>18.548385188800005</v>
      </c>
      <c r="BT111" s="890">
        <f t="shared" si="362"/>
        <v>18.548385188800005</v>
      </c>
      <c r="BU111" s="890">
        <f t="shared" si="362"/>
        <v>18.548385188800005</v>
      </c>
      <c r="BV111" s="881">
        <f t="shared" si="362"/>
        <v>18.548385188800005</v>
      </c>
    </row>
    <row r="112" spans="1:74" x14ac:dyDescent="0.2">
      <c r="A112" s="4" t="str">
        <f t="shared" si="354"/>
        <v>GP7200</v>
      </c>
      <c r="B112" s="885">
        <v>4.0549874433250475</v>
      </c>
      <c r="C112" s="885">
        <v>4.0549874433250475</v>
      </c>
      <c r="D112" s="885">
        <v>4.0549874433250475</v>
      </c>
      <c r="E112" s="885">
        <v>4.0549874433250475</v>
      </c>
      <c r="F112" s="885">
        <v>4.0549874433250475</v>
      </c>
      <c r="G112" s="885">
        <v>4.0549874433250475</v>
      </c>
      <c r="H112" s="885">
        <v>4.0549874433250475</v>
      </c>
      <c r="I112" s="885">
        <v>4.0549874433250475</v>
      </c>
      <c r="J112" s="889">
        <v>4.0549874433250475</v>
      </c>
      <c r="K112" s="885">
        <f t="shared" ref="K112:AP112" si="363">K84*(1-K102)</f>
        <v>10.137468608312624</v>
      </c>
      <c r="L112" s="885">
        <f t="shared" si="363"/>
        <v>10.137468608312624</v>
      </c>
      <c r="M112" s="885">
        <f t="shared" si="363"/>
        <v>10.137468608312624</v>
      </c>
      <c r="N112" s="1394">
        <f t="shared" si="363"/>
        <v>10.137468608312624</v>
      </c>
      <c r="O112" s="885">
        <f t="shared" si="363"/>
        <v>10.137468608312624</v>
      </c>
      <c r="P112" s="885">
        <f t="shared" si="363"/>
        <v>10.137468608312624</v>
      </c>
      <c r="Q112" s="885">
        <f t="shared" si="363"/>
        <v>10.137468608312624</v>
      </c>
      <c r="R112" s="1395">
        <f t="shared" si="363"/>
        <v>10.137468608312624</v>
      </c>
      <c r="S112" s="885">
        <f t="shared" si="363"/>
        <v>10.340217980478876</v>
      </c>
      <c r="T112" s="885">
        <f t="shared" si="363"/>
        <v>10.340217980478876</v>
      </c>
      <c r="U112" s="885">
        <f t="shared" si="363"/>
        <v>10.340217980478876</v>
      </c>
      <c r="V112" s="1394">
        <f t="shared" si="363"/>
        <v>10.340217980478876</v>
      </c>
      <c r="W112" s="885">
        <f t="shared" si="363"/>
        <v>10.340217980478876</v>
      </c>
      <c r="X112" s="885">
        <f t="shared" si="363"/>
        <v>10.340217980478876</v>
      </c>
      <c r="Y112" s="885">
        <f t="shared" si="363"/>
        <v>10.340217980478876</v>
      </c>
      <c r="Z112" s="1395">
        <f t="shared" si="363"/>
        <v>10.340217980478876</v>
      </c>
      <c r="AA112" s="885">
        <f t="shared" si="363"/>
        <v>6.4</v>
      </c>
      <c r="AB112" s="885">
        <f t="shared" si="363"/>
        <v>6.4</v>
      </c>
      <c r="AC112" s="885">
        <f t="shared" si="363"/>
        <v>6.4</v>
      </c>
      <c r="AD112" s="1394">
        <f t="shared" si="363"/>
        <v>6.4</v>
      </c>
      <c r="AE112" s="885">
        <f t="shared" si="363"/>
        <v>6.4</v>
      </c>
      <c r="AF112" s="885">
        <f t="shared" si="363"/>
        <v>6.4</v>
      </c>
      <c r="AG112" s="885">
        <f t="shared" si="363"/>
        <v>6.4</v>
      </c>
      <c r="AH112" s="1395">
        <f t="shared" si="363"/>
        <v>6.4</v>
      </c>
      <c r="AI112" s="885">
        <f t="shared" si="363"/>
        <v>6.5920000000000005</v>
      </c>
      <c r="AJ112" s="885">
        <f t="shared" si="363"/>
        <v>6.5920000000000005</v>
      </c>
      <c r="AK112" s="890">
        <f t="shared" si="363"/>
        <v>6.5920000000000005</v>
      </c>
      <c r="AL112" s="891">
        <f t="shared" si="363"/>
        <v>6.5920000000000005</v>
      </c>
      <c r="AM112" s="885">
        <f t="shared" si="363"/>
        <v>6.5920000000000005</v>
      </c>
      <c r="AN112" s="890">
        <f t="shared" si="363"/>
        <v>6.5920000000000005</v>
      </c>
      <c r="AO112" s="890">
        <f t="shared" si="363"/>
        <v>6.5920000000000005</v>
      </c>
      <c r="AP112" s="881">
        <f t="shared" si="363"/>
        <v>6.5920000000000005</v>
      </c>
      <c r="AQ112" s="890">
        <f t="shared" ref="AQ112:BV112" si="364">AQ84*(1-AQ102)</f>
        <v>6.7897600000000002</v>
      </c>
      <c r="AR112" s="890">
        <f t="shared" si="364"/>
        <v>6.7897600000000002</v>
      </c>
      <c r="AS112" s="890">
        <f t="shared" si="364"/>
        <v>6.7897600000000002</v>
      </c>
      <c r="AT112" s="891">
        <f t="shared" si="364"/>
        <v>6.7897600000000002</v>
      </c>
      <c r="AU112" s="890">
        <f t="shared" si="364"/>
        <v>6.7897600000000002</v>
      </c>
      <c r="AV112" s="890">
        <f t="shared" si="364"/>
        <v>6.7897600000000002</v>
      </c>
      <c r="AW112" s="890">
        <f t="shared" si="364"/>
        <v>6.7897600000000002</v>
      </c>
      <c r="AX112" s="881">
        <f t="shared" si="364"/>
        <v>6.7897600000000002</v>
      </c>
      <c r="AY112" s="890">
        <f t="shared" si="364"/>
        <v>6.9934528</v>
      </c>
      <c r="AZ112" s="890">
        <f t="shared" si="364"/>
        <v>6.9934528</v>
      </c>
      <c r="BA112" s="890">
        <f t="shared" si="364"/>
        <v>6.9934528</v>
      </c>
      <c r="BB112" s="891">
        <f t="shared" si="364"/>
        <v>6.9934528</v>
      </c>
      <c r="BC112" s="890">
        <f t="shared" si="364"/>
        <v>6.9934528</v>
      </c>
      <c r="BD112" s="890">
        <f t="shared" si="364"/>
        <v>6.9934528</v>
      </c>
      <c r="BE112" s="890">
        <f t="shared" si="364"/>
        <v>6.9934528</v>
      </c>
      <c r="BF112" s="881">
        <f t="shared" si="364"/>
        <v>6.9934528</v>
      </c>
      <c r="BG112" s="890">
        <f t="shared" si="364"/>
        <v>7.2032563840000012</v>
      </c>
      <c r="BH112" s="890">
        <f t="shared" si="364"/>
        <v>7.2032563840000012</v>
      </c>
      <c r="BI112" s="890">
        <f t="shared" si="364"/>
        <v>7.2032563840000012</v>
      </c>
      <c r="BJ112" s="891">
        <f t="shared" si="364"/>
        <v>7.2032563840000012</v>
      </c>
      <c r="BK112" s="890">
        <f t="shared" si="364"/>
        <v>7.2032563840000012</v>
      </c>
      <c r="BL112" s="890">
        <f t="shared" si="364"/>
        <v>7.2032563840000012</v>
      </c>
      <c r="BM112" s="890">
        <f t="shared" si="364"/>
        <v>7.2032563840000012</v>
      </c>
      <c r="BN112" s="881">
        <f t="shared" si="364"/>
        <v>7.2032563840000012</v>
      </c>
      <c r="BO112" s="890">
        <f t="shared" si="364"/>
        <v>7.4193540755200011</v>
      </c>
      <c r="BP112" s="890">
        <f t="shared" si="364"/>
        <v>7.4193540755200011</v>
      </c>
      <c r="BQ112" s="890">
        <f t="shared" si="364"/>
        <v>7.4193540755200011</v>
      </c>
      <c r="BR112" s="891">
        <f t="shared" si="364"/>
        <v>7.4193540755200011</v>
      </c>
      <c r="BS112" s="890">
        <f t="shared" si="364"/>
        <v>7.4193540755200011</v>
      </c>
      <c r="BT112" s="890">
        <f t="shared" si="364"/>
        <v>7.4193540755200011</v>
      </c>
      <c r="BU112" s="890">
        <f t="shared" si="364"/>
        <v>7.4193540755200011</v>
      </c>
      <c r="BV112" s="881">
        <f t="shared" si="364"/>
        <v>7.4193540755200011</v>
      </c>
    </row>
    <row r="113" spans="1:74" x14ac:dyDescent="0.2">
      <c r="A113" s="4" t="str">
        <f t="shared" si="354"/>
        <v>GEnx</v>
      </c>
      <c r="B113" s="885">
        <v>9.3771584626891755</v>
      </c>
      <c r="C113" s="885">
        <v>9.3771584626891755</v>
      </c>
      <c r="D113" s="885">
        <v>9.3771584626891755</v>
      </c>
      <c r="E113" s="885">
        <v>9.3771584626891755</v>
      </c>
      <c r="F113" s="885">
        <v>9.3771584626891755</v>
      </c>
      <c r="G113" s="885">
        <v>9.3771584626891755</v>
      </c>
      <c r="H113" s="885">
        <v>9.3771584626891755</v>
      </c>
      <c r="I113" s="885">
        <v>9.3771584626891755</v>
      </c>
      <c r="J113" s="889">
        <v>9.3771584626891755</v>
      </c>
      <c r="K113" s="885">
        <f t="shared" ref="K113:AP113" si="365">K85*(1-K103)</f>
        <v>10.41906495854353</v>
      </c>
      <c r="L113" s="885">
        <f t="shared" si="365"/>
        <v>10.41906495854353</v>
      </c>
      <c r="M113" s="885">
        <f t="shared" si="365"/>
        <v>10.41906495854353</v>
      </c>
      <c r="N113" s="1394">
        <f t="shared" si="365"/>
        <v>10.41906495854353</v>
      </c>
      <c r="O113" s="885">
        <f t="shared" si="365"/>
        <v>10.41906495854353</v>
      </c>
      <c r="P113" s="885">
        <f t="shared" si="365"/>
        <v>10.41906495854353</v>
      </c>
      <c r="Q113" s="885">
        <f t="shared" si="365"/>
        <v>10.41906495854353</v>
      </c>
      <c r="R113" s="1395">
        <f t="shared" si="365"/>
        <v>10.41906495854353</v>
      </c>
      <c r="S113" s="885">
        <f t="shared" si="365"/>
        <v>10.6274462577144</v>
      </c>
      <c r="T113" s="885">
        <f t="shared" si="365"/>
        <v>10.6274462577144</v>
      </c>
      <c r="U113" s="885">
        <f t="shared" si="365"/>
        <v>10.6274462577144</v>
      </c>
      <c r="V113" s="1394">
        <f t="shared" si="365"/>
        <v>10.6274462577144</v>
      </c>
      <c r="W113" s="885">
        <f t="shared" si="365"/>
        <v>10.6274462577144</v>
      </c>
      <c r="X113" s="885">
        <f t="shared" si="365"/>
        <v>10.6274462577144</v>
      </c>
      <c r="Y113" s="885">
        <f t="shared" si="365"/>
        <v>10.6274462577144</v>
      </c>
      <c r="Z113" s="1395">
        <f t="shared" si="365"/>
        <v>10.6274462577144</v>
      </c>
      <c r="AA113" s="885">
        <f t="shared" si="365"/>
        <v>10</v>
      </c>
      <c r="AB113" s="885">
        <f t="shared" si="365"/>
        <v>10</v>
      </c>
      <c r="AC113" s="885">
        <f t="shared" si="365"/>
        <v>10</v>
      </c>
      <c r="AD113" s="1394">
        <f t="shared" si="365"/>
        <v>10</v>
      </c>
      <c r="AE113" s="885">
        <f t="shared" si="365"/>
        <v>10</v>
      </c>
      <c r="AF113" s="885">
        <f t="shared" si="365"/>
        <v>10</v>
      </c>
      <c r="AG113" s="885">
        <f t="shared" si="365"/>
        <v>10</v>
      </c>
      <c r="AH113" s="1395">
        <f t="shared" si="365"/>
        <v>10</v>
      </c>
      <c r="AI113" s="885">
        <f t="shared" si="365"/>
        <v>10.3</v>
      </c>
      <c r="AJ113" s="885">
        <f t="shared" si="365"/>
        <v>10.3</v>
      </c>
      <c r="AK113" s="890">
        <f t="shared" si="365"/>
        <v>10.3</v>
      </c>
      <c r="AL113" s="891">
        <f t="shared" si="365"/>
        <v>10.3</v>
      </c>
      <c r="AM113" s="885">
        <f t="shared" si="365"/>
        <v>10.3</v>
      </c>
      <c r="AN113" s="890">
        <f t="shared" si="365"/>
        <v>10.3</v>
      </c>
      <c r="AO113" s="890">
        <f t="shared" si="365"/>
        <v>10.3</v>
      </c>
      <c r="AP113" s="881">
        <f t="shared" si="365"/>
        <v>10.3</v>
      </c>
      <c r="AQ113" s="890">
        <f t="shared" ref="AQ113:BV113" si="366">AQ85*(1-AQ103)</f>
        <v>10.609000000000002</v>
      </c>
      <c r="AR113" s="890">
        <f t="shared" si="366"/>
        <v>10.609000000000002</v>
      </c>
      <c r="AS113" s="890">
        <f t="shared" si="366"/>
        <v>10.609000000000002</v>
      </c>
      <c r="AT113" s="891">
        <f t="shared" si="366"/>
        <v>10.609000000000002</v>
      </c>
      <c r="AU113" s="890">
        <f t="shared" si="366"/>
        <v>10.609000000000002</v>
      </c>
      <c r="AV113" s="890">
        <f t="shared" si="366"/>
        <v>10.609000000000002</v>
      </c>
      <c r="AW113" s="890">
        <f t="shared" si="366"/>
        <v>10.609000000000002</v>
      </c>
      <c r="AX113" s="881">
        <f t="shared" si="366"/>
        <v>10.609000000000002</v>
      </c>
      <c r="AY113" s="890">
        <f t="shared" si="366"/>
        <v>10.92727</v>
      </c>
      <c r="AZ113" s="890">
        <f t="shared" si="366"/>
        <v>10.92727</v>
      </c>
      <c r="BA113" s="890">
        <f t="shared" si="366"/>
        <v>10.92727</v>
      </c>
      <c r="BB113" s="891">
        <f t="shared" si="366"/>
        <v>10.92727</v>
      </c>
      <c r="BC113" s="890">
        <f t="shared" si="366"/>
        <v>10.92727</v>
      </c>
      <c r="BD113" s="890">
        <f t="shared" si="366"/>
        <v>10.92727</v>
      </c>
      <c r="BE113" s="890">
        <f t="shared" si="366"/>
        <v>10.92727</v>
      </c>
      <c r="BF113" s="881">
        <f t="shared" si="366"/>
        <v>10.92727</v>
      </c>
      <c r="BG113" s="890">
        <f t="shared" si="366"/>
        <v>11.255088100000002</v>
      </c>
      <c r="BH113" s="890">
        <f t="shared" si="366"/>
        <v>11.255088100000002</v>
      </c>
      <c r="BI113" s="890">
        <f t="shared" si="366"/>
        <v>11.255088100000002</v>
      </c>
      <c r="BJ113" s="891">
        <f t="shared" si="366"/>
        <v>11.255088100000002</v>
      </c>
      <c r="BK113" s="890">
        <f t="shared" si="366"/>
        <v>11.255088100000002</v>
      </c>
      <c r="BL113" s="890">
        <f t="shared" si="366"/>
        <v>11.255088100000002</v>
      </c>
      <c r="BM113" s="890">
        <f t="shared" si="366"/>
        <v>11.255088100000002</v>
      </c>
      <c r="BN113" s="881">
        <f t="shared" si="366"/>
        <v>11.255088100000002</v>
      </c>
      <c r="BO113" s="890">
        <f t="shared" si="366"/>
        <v>11.592740743</v>
      </c>
      <c r="BP113" s="890">
        <f t="shared" si="366"/>
        <v>11.592740743</v>
      </c>
      <c r="BQ113" s="890">
        <f t="shared" si="366"/>
        <v>11.592740743</v>
      </c>
      <c r="BR113" s="891">
        <f t="shared" si="366"/>
        <v>11.592740743</v>
      </c>
      <c r="BS113" s="890">
        <f t="shared" si="366"/>
        <v>11.592740743</v>
      </c>
      <c r="BT113" s="890">
        <f t="shared" si="366"/>
        <v>11.592740743</v>
      </c>
      <c r="BU113" s="890">
        <f t="shared" si="366"/>
        <v>11.592740743</v>
      </c>
      <c r="BV113" s="881">
        <f t="shared" si="366"/>
        <v>11.592740743</v>
      </c>
    </row>
    <row r="114" spans="1:74" x14ac:dyDescent="0.2">
      <c r="A114" s="4" t="str">
        <f t="shared" si="354"/>
        <v>CF6 - LM6000 family</v>
      </c>
      <c r="B114" s="885">
        <v>3.0412405824937871</v>
      </c>
      <c r="C114" s="885">
        <v>3.0412405824937871</v>
      </c>
      <c r="D114" s="885">
        <v>3.0412405824937871</v>
      </c>
      <c r="E114" s="885">
        <v>3.0412405824937871</v>
      </c>
      <c r="F114" s="885">
        <v>3.0412405824937871</v>
      </c>
      <c r="G114" s="885">
        <v>3.0412405824937871</v>
      </c>
      <c r="H114" s="885">
        <v>3.0412405824937871</v>
      </c>
      <c r="I114" s="885">
        <v>3.0412405824937871</v>
      </c>
      <c r="J114" s="889">
        <v>3.0412405824937871</v>
      </c>
      <c r="K114" s="885">
        <f t="shared" ref="K114:AP114" si="367">K86*(1-K104)</f>
        <v>8.4478905069271875</v>
      </c>
      <c r="L114" s="885">
        <f t="shared" si="367"/>
        <v>8.4478905069271875</v>
      </c>
      <c r="M114" s="885">
        <f t="shared" si="367"/>
        <v>8.4478905069271875</v>
      </c>
      <c r="N114" s="1394">
        <f t="shared" si="367"/>
        <v>8.4478905069271875</v>
      </c>
      <c r="O114" s="885">
        <f t="shared" si="367"/>
        <v>8.4478905069271875</v>
      </c>
      <c r="P114" s="885">
        <f t="shared" si="367"/>
        <v>8.4478905069271875</v>
      </c>
      <c r="Q114" s="885">
        <f t="shared" si="367"/>
        <v>8.4478905069271875</v>
      </c>
      <c r="R114" s="1395">
        <f t="shared" si="367"/>
        <v>8.4478905069271875</v>
      </c>
      <c r="S114" s="885">
        <f t="shared" si="367"/>
        <v>8.6168483170657311</v>
      </c>
      <c r="T114" s="885">
        <f t="shared" si="367"/>
        <v>8.6168483170657311</v>
      </c>
      <c r="U114" s="885">
        <f t="shared" si="367"/>
        <v>8.6168483170657311</v>
      </c>
      <c r="V114" s="1394">
        <f t="shared" si="367"/>
        <v>8.6168483170657311</v>
      </c>
      <c r="W114" s="885">
        <f t="shared" si="367"/>
        <v>8.6168483170657311</v>
      </c>
      <c r="X114" s="885">
        <f t="shared" si="367"/>
        <v>8.6168483170657311</v>
      </c>
      <c r="Y114" s="885">
        <f t="shared" si="367"/>
        <v>8.6168483170657311</v>
      </c>
      <c r="Z114" s="1395">
        <f t="shared" si="367"/>
        <v>8.6168483170657311</v>
      </c>
      <c r="AA114" s="885">
        <f t="shared" si="367"/>
        <v>6</v>
      </c>
      <c r="AB114" s="885">
        <f t="shared" si="367"/>
        <v>6</v>
      </c>
      <c r="AC114" s="885">
        <f t="shared" si="367"/>
        <v>6</v>
      </c>
      <c r="AD114" s="1394">
        <f t="shared" si="367"/>
        <v>6</v>
      </c>
      <c r="AE114" s="885">
        <f t="shared" si="367"/>
        <v>6</v>
      </c>
      <c r="AF114" s="885">
        <f t="shared" si="367"/>
        <v>6</v>
      </c>
      <c r="AG114" s="885">
        <f t="shared" si="367"/>
        <v>6</v>
      </c>
      <c r="AH114" s="1395">
        <f t="shared" si="367"/>
        <v>6</v>
      </c>
      <c r="AI114" s="885">
        <f t="shared" si="367"/>
        <v>6.1800000000000006</v>
      </c>
      <c r="AJ114" s="885">
        <f t="shared" si="367"/>
        <v>6.1800000000000006</v>
      </c>
      <c r="AK114" s="890">
        <f t="shared" si="367"/>
        <v>6.1800000000000006</v>
      </c>
      <c r="AL114" s="891">
        <f t="shared" si="367"/>
        <v>6.1800000000000006</v>
      </c>
      <c r="AM114" s="885">
        <f t="shared" si="367"/>
        <v>6.1800000000000006</v>
      </c>
      <c r="AN114" s="890">
        <f t="shared" si="367"/>
        <v>6.1800000000000006</v>
      </c>
      <c r="AO114" s="890">
        <f t="shared" si="367"/>
        <v>6.1800000000000006</v>
      </c>
      <c r="AP114" s="881">
        <f t="shared" si="367"/>
        <v>6.1800000000000006</v>
      </c>
      <c r="AQ114" s="890">
        <f t="shared" ref="AQ114:BV114" si="368">AQ86*(1-AQ104)</f>
        <v>6.3654000000000011</v>
      </c>
      <c r="AR114" s="890">
        <f t="shared" si="368"/>
        <v>6.3654000000000011</v>
      </c>
      <c r="AS114" s="890">
        <f t="shared" si="368"/>
        <v>6.3654000000000011</v>
      </c>
      <c r="AT114" s="891">
        <f t="shared" si="368"/>
        <v>6.3654000000000011</v>
      </c>
      <c r="AU114" s="890">
        <f t="shared" si="368"/>
        <v>6.3654000000000011</v>
      </c>
      <c r="AV114" s="890">
        <f t="shared" si="368"/>
        <v>6.3654000000000011</v>
      </c>
      <c r="AW114" s="890">
        <f t="shared" si="368"/>
        <v>6.3654000000000011</v>
      </c>
      <c r="AX114" s="881">
        <f t="shared" si="368"/>
        <v>6.3654000000000011</v>
      </c>
      <c r="AY114" s="890">
        <f t="shared" si="368"/>
        <v>6.556362</v>
      </c>
      <c r="AZ114" s="890">
        <f t="shared" si="368"/>
        <v>6.556362</v>
      </c>
      <c r="BA114" s="890">
        <f t="shared" si="368"/>
        <v>6.556362</v>
      </c>
      <c r="BB114" s="891">
        <f t="shared" si="368"/>
        <v>6.556362</v>
      </c>
      <c r="BC114" s="890">
        <f t="shared" si="368"/>
        <v>6.556362</v>
      </c>
      <c r="BD114" s="890">
        <f t="shared" si="368"/>
        <v>6.556362</v>
      </c>
      <c r="BE114" s="890">
        <f t="shared" si="368"/>
        <v>6.556362</v>
      </c>
      <c r="BF114" s="881">
        <f t="shared" si="368"/>
        <v>6.556362</v>
      </c>
      <c r="BG114" s="890">
        <f t="shared" si="368"/>
        <v>6.7530528600000004</v>
      </c>
      <c r="BH114" s="890">
        <f t="shared" si="368"/>
        <v>6.7530528600000004</v>
      </c>
      <c r="BI114" s="890">
        <f t="shared" si="368"/>
        <v>6.7530528600000004</v>
      </c>
      <c r="BJ114" s="891">
        <f t="shared" si="368"/>
        <v>6.7530528600000004</v>
      </c>
      <c r="BK114" s="890">
        <f t="shared" si="368"/>
        <v>6.7530528600000004</v>
      </c>
      <c r="BL114" s="890">
        <f t="shared" si="368"/>
        <v>6.7530528600000004</v>
      </c>
      <c r="BM114" s="890">
        <f t="shared" si="368"/>
        <v>6.7530528600000004</v>
      </c>
      <c r="BN114" s="881">
        <f t="shared" si="368"/>
        <v>6.7530528600000004</v>
      </c>
      <c r="BO114" s="890">
        <f t="shared" si="368"/>
        <v>6.9556444458000009</v>
      </c>
      <c r="BP114" s="890">
        <f t="shared" si="368"/>
        <v>6.9556444458000009</v>
      </c>
      <c r="BQ114" s="890">
        <f t="shared" si="368"/>
        <v>6.9556444458000009</v>
      </c>
      <c r="BR114" s="891">
        <f t="shared" si="368"/>
        <v>6.9556444458000009</v>
      </c>
      <c r="BS114" s="890">
        <f t="shared" si="368"/>
        <v>6.9556444458000009</v>
      </c>
      <c r="BT114" s="890">
        <f t="shared" si="368"/>
        <v>6.9556444458000009</v>
      </c>
      <c r="BU114" s="890">
        <f t="shared" si="368"/>
        <v>6.9556444458000009</v>
      </c>
      <c r="BV114" s="881">
        <f t="shared" si="368"/>
        <v>6.9556444458000009</v>
      </c>
    </row>
    <row r="115" spans="1:74" x14ac:dyDescent="0.2">
      <c r="B115" s="883"/>
      <c r="C115" s="883"/>
      <c r="D115" s="883"/>
      <c r="E115" s="883"/>
      <c r="F115" s="883"/>
      <c r="G115" s="883"/>
      <c r="H115" s="883"/>
      <c r="I115" s="883"/>
      <c r="J115" s="884"/>
      <c r="K115" s="885"/>
      <c r="L115" s="883"/>
      <c r="M115" s="883"/>
      <c r="N115" s="886"/>
      <c r="O115" s="883"/>
      <c r="P115" s="883"/>
      <c r="Q115" s="883"/>
      <c r="R115" s="881"/>
      <c r="S115" s="883"/>
      <c r="T115" s="883"/>
      <c r="U115" s="883"/>
      <c r="V115" s="886"/>
      <c r="W115" s="883"/>
      <c r="X115" s="883"/>
      <c r="Y115" s="883"/>
      <c r="Z115" s="881"/>
      <c r="AA115" s="883"/>
      <c r="AB115" s="883"/>
      <c r="AC115" s="883"/>
      <c r="AD115" s="886"/>
      <c r="AE115" s="883"/>
      <c r="AF115" s="883"/>
      <c r="AG115" s="883"/>
      <c r="AH115" s="881"/>
      <c r="AI115" s="883"/>
      <c r="AJ115" s="883"/>
      <c r="AK115" s="883"/>
      <c r="AL115" s="886"/>
      <c r="AM115" s="883"/>
      <c r="AN115" s="883"/>
      <c r="AO115" s="883"/>
      <c r="AP115" s="881"/>
      <c r="AQ115" s="883"/>
      <c r="AR115" s="883"/>
      <c r="AS115" s="883"/>
      <c r="AT115" s="886"/>
      <c r="AU115" s="883"/>
      <c r="AV115" s="883"/>
      <c r="AW115" s="883"/>
      <c r="AX115" s="881"/>
      <c r="AY115" s="883"/>
      <c r="AZ115" s="883"/>
      <c r="BA115" s="883"/>
      <c r="BB115" s="886"/>
      <c r="BC115" s="883"/>
      <c r="BD115" s="883"/>
      <c r="BE115" s="883"/>
      <c r="BF115" s="881"/>
      <c r="BG115" s="883"/>
      <c r="BH115" s="883"/>
      <c r="BI115" s="883"/>
      <c r="BJ115" s="886"/>
      <c r="BK115" s="883"/>
      <c r="BL115" s="883"/>
      <c r="BM115" s="883"/>
      <c r="BN115" s="881"/>
      <c r="BO115" s="883"/>
      <c r="BP115" s="883"/>
      <c r="BQ115" s="883"/>
      <c r="BR115" s="886"/>
      <c r="BS115" s="883"/>
      <c r="BT115" s="883"/>
      <c r="BU115" s="883"/>
      <c r="BV115" s="881"/>
    </row>
    <row r="116" spans="1:74" x14ac:dyDescent="0.2">
      <c r="A116" s="186"/>
      <c r="B116" s="186"/>
      <c r="C116" s="186"/>
      <c r="D116" s="186"/>
      <c r="E116" s="186"/>
      <c r="F116" s="186"/>
      <c r="G116" s="186"/>
      <c r="H116" s="186"/>
      <c r="I116" s="186"/>
      <c r="J116" s="284"/>
      <c r="K116" s="186"/>
      <c r="L116" s="186"/>
      <c r="M116" s="186"/>
      <c r="N116" s="283"/>
      <c r="O116" s="186"/>
      <c r="P116" s="186"/>
      <c r="Q116" s="186"/>
      <c r="R116" s="341"/>
      <c r="S116" s="186"/>
      <c r="T116" s="186"/>
      <c r="U116" s="186"/>
      <c r="V116" s="283"/>
      <c r="W116" s="186"/>
      <c r="X116" s="186"/>
      <c r="Y116" s="186"/>
      <c r="Z116" s="341"/>
      <c r="AA116" s="186"/>
      <c r="AB116" s="186"/>
      <c r="AC116" s="186"/>
      <c r="AD116" s="283"/>
      <c r="AE116" s="186"/>
      <c r="AF116" s="186"/>
      <c r="AG116" s="186"/>
      <c r="AH116" s="341"/>
      <c r="AI116" s="186"/>
      <c r="AJ116" s="186"/>
      <c r="AK116" s="186"/>
      <c r="AL116" s="283"/>
      <c r="AM116" s="186"/>
      <c r="AN116" s="186"/>
      <c r="AO116" s="186"/>
      <c r="AP116" s="341"/>
      <c r="AQ116" s="186"/>
      <c r="AR116" s="186"/>
      <c r="AS116" s="186"/>
      <c r="AT116" s="283"/>
      <c r="AU116" s="186"/>
      <c r="AV116" s="186"/>
      <c r="AW116" s="186"/>
      <c r="AX116" s="341"/>
      <c r="AY116" s="186"/>
      <c r="AZ116" s="186"/>
      <c r="BA116" s="186"/>
      <c r="BB116" s="283"/>
      <c r="BC116" s="186"/>
      <c r="BD116" s="186"/>
      <c r="BE116" s="186"/>
      <c r="BF116" s="341"/>
      <c r="BG116" s="186"/>
      <c r="BH116" s="186"/>
      <c r="BI116" s="186"/>
      <c r="BJ116" s="283"/>
      <c r="BK116" s="186"/>
      <c r="BL116" s="186"/>
      <c r="BM116" s="186"/>
      <c r="BN116" s="341"/>
      <c r="BO116" s="186"/>
      <c r="BP116" s="186"/>
      <c r="BQ116" s="186"/>
      <c r="BR116" s="283"/>
      <c r="BS116" s="186"/>
      <c r="BT116" s="186"/>
      <c r="BU116" s="186"/>
      <c r="BV116" s="341"/>
    </row>
    <row r="117" spans="1:74" x14ac:dyDescent="0.2">
      <c r="A117" s="454" t="s">
        <v>883</v>
      </c>
      <c r="B117" s="869"/>
      <c r="C117" s="631"/>
      <c r="D117" s="631"/>
      <c r="E117" s="631"/>
      <c r="F117" s="631"/>
      <c r="G117" s="631"/>
      <c r="H117" s="631"/>
      <c r="I117" s="631"/>
      <c r="J117" s="633"/>
      <c r="K117" s="631"/>
      <c r="L117" s="631"/>
      <c r="M117" s="631"/>
      <c r="N117" s="634"/>
      <c r="O117" s="631"/>
      <c r="P117" s="631"/>
      <c r="Q117" s="631"/>
      <c r="R117" s="635"/>
      <c r="S117" s="631"/>
      <c r="T117" s="631"/>
      <c r="U117" s="631"/>
      <c r="V117" s="634"/>
      <c r="W117" s="631"/>
      <c r="X117" s="631"/>
      <c r="Y117" s="631"/>
      <c r="Z117" s="635"/>
      <c r="AA117" s="631"/>
      <c r="AB117" s="631"/>
      <c r="AC117" s="631"/>
      <c r="AD117" s="634"/>
      <c r="AE117" s="631"/>
      <c r="AF117" s="631"/>
      <c r="AG117" s="631"/>
      <c r="AH117" s="635"/>
      <c r="AI117" s="631"/>
      <c r="AJ117" s="631"/>
      <c r="AK117" s="631"/>
      <c r="AL117" s="634"/>
      <c r="AM117" s="631"/>
      <c r="AN117" s="631"/>
      <c r="AO117" s="631"/>
      <c r="AP117" s="635"/>
      <c r="AQ117" s="631"/>
      <c r="AR117" s="631"/>
      <c r="AS117" s="631"/>
      <c r="AT117" s="634"/>
      <c r="AU117" s="631"/>
      <c r="AV117" s="631"/>
      <c r="AW117" s="631"/>
      <c r="AX117" s="635"/>
      <c r="AY117" s="631"/>
      <c r="AZ117" s="631"/>
      <c r="BA117" s="631"/>
      <c r="BB117" s="634"/>
      <c r="BC117" s="631"/>
      <c r="BD117" s="631"/>
      <c r="BE117" s="631"/>
      <c r="BF117" s="635"/>
      <c r="BG117" s="631"/>
      <c r="BH117" s="631"/>
      <c r="BI117" s="631"/>
      <c r="BJ117" s="634"/>
      <c r="BK117" s="631"/>
      <c r="BL117" s="631"/>
      <c r="BM117" s="631"/>
      <c r="BN117" s="635"/>
      <c r="BO117" s="631"/>
      <c r="BP117" s="631"/>
      <c r="BQ117" s="631"/>
      <c r="BR117" s="634"/>
      <c r="BS117" s="631"/>
      <c r="BT117" s="631"/>
      <c r="BU117" s="631"/>
      <c r="BV117" s="635"/>
    </row>
    <row r="118" spans="1:74" x14ac:dyDescent="0.2">
      <c r="A118" s="219"/>
      <c r="J118" s="180"/>
      <c r="N118" s="179"/>
      <c r="R118" s="314"/>
      <c r="V118" s="179"/>
      <c r="Z118" s="314"/>
      <c r="AD118" s="179"/>
      <c r="AH118" s="314"/>
      <c r="AL118" s="179"/>
      <c r="AP118" s="314"/>
      <c r="AT118" s="179"/>
      <c r="AX118" s="314"/>
      <c r="BB118" s="179"/>
      <c r="BF118" s="314"/>
      <c r="BJ118" s="179"/>
      <c r="BN118" s="314"/>
      <c r="BR118" s="179"/>
      <c r="BV118" s="314"/>
    </row>
    <row r="119" spans="1:74" x14ac:dyDescent="0.2">
      <c r="A119" s="199" t="s">
        <v>790</v>
      </c>
      <c r="B119" s="18">
        <v>0.5</v>
      </c>
      <c r="C119" s="19">
        <v>0.5</v>
      </c>
      <c r="D119" s="19">
        <v>0.5</v>
      </c>
      <c r="E119" s="19">
        <v>0.5</v>
      </c>
      <c r="F119" s="19">
        <v>0.5</v>
      </c>
      <c r="G119" s="19">
        <v>0.5</v>
      </c>
      <c r="H119" s="19">
        <v>0.5</v>
      </c>
      <c r="I119" s="19">
        <v>0.5</v>
      </c>
      <c r="J119" s="494">
        <v>0.5</v>
      </c>
      <c r="K119" s="19">
        <f>R119</f>
        <v>0.5</v>
      </c>
      <c r="L119" s="19">
        <f>R119</f>
        <v>0.5</v>
      </c>
      <c r="M119" s="19">
        <f>R119</f>
        <v>0.5</v>
      </c>
      <c r="N119" s="643">
        <f>R119</f>
        <v>0.5</v>
      </c>
      <c r="O119" s="19">
        <f t="shared" ref="O119:O125" si="369">R119</f>
        <v>0.5</v>
      </c>
      <c r="P119" s="19">
        <f>R119</f>
        <v>0.5</v>
      </c>
      <c r="Q119" s="19">
        <f>R119</f>
        <v>0.5</v>
      </c>
      <c r="R119" s="1380">
        <v>0.5</v>
      </c>
      <c r="S119" s="19">
        <f>Z119</f>
        <v>0.5</v>
      </c>
      <c r="T119" s="19">
        <f>Z119</f>
        <v>0.5</v>
      </c>
      <c r="U119" s="19">
        <f>Z119</f>
        <v>0.5</v>
      </c>
      <c r="V119" s="643">
        <f>Z119</f>
        <v>0.5</v>
      </c>
      <c r="W119" s="19">
        <f t="shared" ref="W119:W125" si="370">Z119</f>
        <v>0.5</v>
      </c>
      <c r="X119" s="19">
        <f>Z119</f>
        <v>0.5</v>
      </c>
      <c r="Y119" s="19">
        <f>Z119</f>
        <v>0.5</v>
      </c>
      <c r="Z119" s="1380">
        <f t="shared" ref="Z119:Z125" si="371">R119</f>
        <v>0.5</v>
      </c>
      <c r="AA119" s="19">
        <f>AH119</f>
        <v>0.5</v>
      </c>
      <c r="AB119" s="19">
        <f>AH119</f>
        <v>0.5</v>
      </c>
      <c r="AC119" s="19">
        <f>AH119</f>
        <v>0.5</v>
      </c>
      <c r="AD119" s="643">
        <f>AH119</f>
        <v>0.5</v>
      </c>
      <c r="AE119" s="19">
        <f t="shared" ref="AE119:AE125" si="372">AH119</f>
        <v>0.5</v>
      </c>
      <c r="AF119" s="19">
        <f>AH119</f>
        <v>0.5</v>
      </c>
      <c r="AG119" s="19">
        <f>AH119</f>
        <v>0.5</v>
      </c>
      <c r="AH119" s="1380">
        <f t="shared" ref="AH119:AH125" si="373">Z119</f>
        <v>0.5</v>
      </c>
      <c r="AI119" s="19">
        <f>AP119</f>
        <v>0.5</v>
      </c>
      <c r="AJ119" s="19">
        <f>AP119</f>
        <v>0.5</v>
      </c>
      <c r="AK119" s="495">
        <f>AP119</f>
        <v>0.5</v>
      </c>
      <c r="AL119" s="647">
        <f>AP119</f>
        <v>0.5</v>
      </c>
      <c r="AM119" s="19">
        <f t="shared" ref="AM119:AM125" si="374">AP119</f>
        <v>0.5</v>
      </c>
      <c r="AN119" s="495">
        <f>AP119</f>
        <v>0.5</v>
      </c>
      <c r="AO119" s="495">
        <f>AP119</f>
        <v>0.5</v>
      </c>
      <c r="AP119" s="722">
        <f t="shared" ref="AP119:AP125" si="375">AH119</f>
        <v>0.5</v>
      </c>
      <c r="AQ119" s="495">
        <f>AX119</f>
        <v>0.5</v>
      </c>
      <c r="AR119" s="495">
        <f>AX119</f>
        <v>0.5</v>
      </c>
      <c r="AS119" s="495">
        <f>AX119</f>
        <v>0.5</v>
      </c>
      <c r="AT119" s="647">
        <f>AX119</f>
        <v>0.5</v>
      </c>
      <c r="AU119" s="495">
        <f t="shared" ref="AU119:AU125" si="376">AX119</f>
        <v>0.5</v>
      </c>
      <c r="AV119" s="495">
        <f>AX119</f>
        <v>0.5</v>
      </c>
      <c r="AW119" s="495">
        <f>AX119</f>
        <v>0.5</v>
      </c>
      <c r="AX119" s="722">
        <f t="shared" ref="AX119:AX125" si="377">AP119</f>
        <v>0.5</v>
      </c>
      <c r="AY119" s="495">
        <f>BF119</f>
        <v>0.5</v>
      </c>
      <c r="AZ119" s="495">
        <f>BF119</f>
        <v>0.5</v>
      </c>
      <c r="BA119" s="495">
        <f>BF119</f>
        <v>0.5</v>
      </c>
      <c r="BB119" s="647">
        <f>BF119</f>
        <v>0.5</v>
      </c>
      <c r="BC119" s="495">
        <f t="shared" ref="BC119:BC125" si="378">BF119</f>
        <v>0.5</v>
      </c>
      <c r="BD119" s="495">
        <f>BF119</f>
        <v>0.5</v>
      </c>
      <c r="BE119" s="495">
        <f>BF119</f>
        <v>0.5</v>
      </c>
      <c r="BF119" s="722">
        <f t="shared" ref="BF119:BF125" si="379">AX119</f>
        <v>0.5</v>
      </c>
      <c r="BG119" s="495">
        <f>BN119</f>
        <v>0.5</v>
      </c>
      <c r="BH119" s="495">
        <f>BN119</f>
        <v>0.5</v>
      </c>
      <c r="BI119" s="495">
        <f>BN119</f>
        <v>0.5</v>
      </c>
      <c r="BJ119" s="647">
        <f>BN119</f>
        <v>0.5</v>
      </c>
      <c r="BK119" s="495">
        <f t="shared" ref="BK119:BK125" si="380">BN119</f>
        <v>0.5</v>
      </c>
      <c r="BL119" s="495">
        <f>BN119</f>
        <v>0.5</v>
      </c>
      <c r="BM119" s="495">
        <f>BN119</f>
        <v>0.5</v>
      </c>
      <c r="BN119" s="722">
        <f t="shared" ref="BN119:BN125" si="381">BF119</f>
        <v>0.5</v>
      </c>
      <c r="BO119" s="495">
        <f>BV119</f>
        <v>0.5</v>
      </c>
      <c r="BP119" s="495">
        <f>BV119</f>
        <v>0.5</v>
      </c>
      <c r="BQ119" s="495">
        <f>BV119</f>
        <v>0.5</v>
      </c>
      <c r="BR119" s="647">
        <f>BV119</f>
        <v>0.5</v>
      </c>
      <c r="BS119" s="495">
        <f t="shared" ref="BS119:BS125" si="382">BV119</f>
        <v>0.5</v>
      </c>
      <c r="BT119" s="495">
        <f>BV119</f>
        <v>0.5</v>
      </c>
      <c r="BU119" s="495">
        <f>BV119</f>
        <v>0.5</v>
      </c>
      <c r="BV119" s="722">
        <f t="shared" ref="BV119:BV125" si="383">BN119</f>
        <v>0.5</v>
      </c>
    </row>
    <row r="120" spans="1:74" x14ac:dyDescent="0.2">
      <c r="A120" s="199" t="s">
        <v>857</v>
      </c>
      <c r="B120" s="18">
        <v>0.5</v>
      </c>
      <c r="C120" s="19">
        <v>0.5</v>
      </c>
      <c r="D120" s="19">
        <v>0.5</v>
      </c>
      <c r="E120" s="19">
        <v>0.5</v>
      </c>
      <c r="F120" s="19">
        <v>0.5</v>
      </c>
      <c r="G120" s="19">
        <v>0.5</v>
      </c>
      <c r="H120" s="19">
        <v>0.5</v>
      </c>
      <c r="I120" s="19">
        <v>0.5</v>
      </c>
      <c r="J120" s="494">
        <v>0.5</v>
      </c>
      <c r="K120" s="19">
        <f t="shared" ref="K120:K125" si="384">R120</f>
        <v>0.5</v>
      </c>
      <c r="L120" s="19">
        <f t="shared" ref="L120:L125" si="385">R120</f>
        <v>0.5</v>
      </c>
      <c r="M120" s="19">
        <f t="shared" ref="M120:M125" si="386">R120</f>
        <v>0.5</v>
      </c>
      <c r="N120" s="643">
        <f t="shared" ref="N120:N125" si="387">R120</f>
        <v>0.5</v>
      </c>
      <c r="O120" s="19">
        <f t="shared" si="369"/>
        <v>0.5</v>
      </c>
      <c r="P120" s="19">
        <f t="shared" ref="P120:P125" si="388">R120</f>
        <v>0.5</v>
      </c>
      <c r="Q120" s="19">
        <f t="shared" ref="Q120:Q125" si="389">R120</f>
        <v>0.5</v>
      </c>
      <c r="R120" s="1380">
        <v>0.5</v>
      </c>
      <c r="S120" s="19">
        <f t="shared" ref="S120:S125" si="390">Z120</f>
        <v>0.5</v>
      </c>
      <c r="T120" s="19">
        <f t="shared" ref="T120:T125" si="391">Z120</f>
        <v>0.5</v>
      </c>
      <c r="U120" s="19">
        <f t="shared" ref="U120:U125" si="392">Z120</f>
        <v>0.5</v>
      </c>
      <c r="V120" s="643">
        <f t="shared" ref="V120:V125" si="393">Z120</f>
        <v>0.5</v>
      </c>
      <c r="W120" s="19">
        <f t="shared" si="370"/>
        <v>0.5</v>
      </c>
      <c r="X120" s="19">
        <f t="shared" ref="X120:X125" si="394">Z120</f>
        <v>0.5</v>
      </c>
      <c r="Y120" s="19">
        <f t="shared" ref="Y120:Y125" si="395">Z120</f>
        <v>0.5</v>
      </c>
      <c r="Z120" s="1380">
        <f t="shared" si="371"/>
        <v>0.5</v>
      </c>
      <c r="AA120" s="19">
        <f t="shared" ref="AA120:AA125" si="396">AH120</f>
        <v>0.5</v>
      </c>
      <c r="AB120" s="19">
        <f t="shared" ref="AB120:AB125" si="397">AH120</f>
        <v>0.5</v>
      </c>
      <c r="AC120" s="19">
        <f t="shared" ref="AC120:AC125" si="398">AH120</f>
        <v>0.5</v>
      </c>
      <c r="AD120" s="643">
        <f t="shared" ref="AD120:AD125" si="399">AH120</f>
        <v>0.5</v>
      </c>
      <c r="AE120" s="19">
        <f t="shared" si="372"/>
        <v>0.5</v>
      </c>
      <c r="AF120" s="19">
        <f t="shared" ref="AF120:AF125" si="400">AH120</f>
        <v>0.5</v>
      </c>
      <c r="AG120" s="19">
        <f t="shared" ref="AG120:AG125" si="401">AH120</f>
        <v>0.5</v>
      </c>
      <c r="AH120" s="1380">
        <f t="shared" si="373"/>
        <v>0.5</v>
      </c>
      <c r="AI120" s="19">
        <f t="shared" ref="AI120:AI125" si="402">AP120</f>
        <v>0.5</v>
      </c>
      <c r="AJ120" s="19">
        <f t="shared" ref="AJ120:AJ125" si="403">AP120</f>
        <v>0.5</v>
      </c>
      <c r="AK120" s="495">
        <f t="shared" ref="AK120:AK125" si="404">AP120</f>
        <v>0.5</v>
      </c>
      <c r="AL120" s="647">
        <f t="shared" ref="AL120:AL125" si="405">AP120</f>
        <v>0.5</v>
      </c>
      <c r="AM120" s="19">
        <f t="shared" si="374"/>
        <v>0.5</v>
      </c>
      <c r="AN120" s="495">
        <f t="shared" ref="AN120:AN125" si="406">AP120</f>
        <v>0.5</v>
      </c>
      <c r="AO120" s="495">
        <f t="shared" ref="AO120:AO125" si="407">AP120</f>
        <v>0.5</v>
      </c>
      <c r="AP120" s="722">
        <f t="shared" si="375"/>
        <v>0.5</v>
      </c>
      <c r="AQ120" s="495">
        <f t="shared" ref="AQ120:AQ125" si="408">AX120</f>
        <v>0.5</v>
      </c>
      <c r="AR120" s="495">
        <f t="shared" ref="AR120:AR125" si="409">AX120</f>
        <v>0.5</v>
      </c>
      <c r="AS120" s="495">
        <f t="shared" ref="AS120:AS125" si="410">AX120</f>
        <v>0.5</v>
      </c>
      <c r="AT120" s="647">
        <f t="shared" ref="AT120:AT125" si="411">AX120</f>
        <v>0.5</v>
      </c>
      <c r="AU120" s="495">
        <f t="shared" si="376"/>
        <v>0.5</v>
      </c>
      <c r="AV120" s="495">
        <f t="shared" ref="AV120:AV125" si="412">AX120</f>
        <v>0.5</v>
      </c>
      <c r="AW120" s="495">
        <f t="shared" ref="AW120:AW125" si="413">AX120</f>
        <v>0.5</v>
      </c>
      <c r="AX120" s="722">
        <f t="shared" si="377"/>
        <v>0.5</v>
      </c>
      <c r="AY120" s="495">
        <f t="shared" ref="AY120:AY125" si="414">BF120</f>
        <v>0.5</v>
      </c>
      <c r="AZ120" s="495">
        <f t="shared" ref="AZ120:AZ125" si="415">BF120</f>
        <v>0.5</v>
      </c>
      <c r="BA120" s="495">
        <f t="shared" ref="BA120:BA125" si="416">BF120</f>
        <v>0.5</v>
      </c>
      <c r="BB120" s="647">
        <f t="shared" ref="BB120:BB125" si="417">BF120</f>
        <v>0.5</v>
      </c>
      <c r="BC120" s="495">
        <f t="shared" si="378"/>
        <v>0.5</v>
      </c>
      <c r="BD120" s="495">
        <f t="shared" ref="BD120:BD125" si="418">BF120</f>
        <v>0.5</v>
      </c>
      <c r="BE120" s="495">
        <f t="shared" ref="BE120:BE125" si="419">BF120</f>
        <v>0.5</v>
      </c>
      <c r="BF120" s="722">
        <f t="shared" si="379"/>
        <v>0.5</v>
      </c>
      <c r="BG120" s="495">
        <f t="shared" ref="BG120:BG125" si="420">BN120</f>
        <v>0.5</v>
      </c>
      <c r="BH120" s="495">
        <f t="shared" ref="BH120:BH125" si="421">BN120</f>
        <v>0.5</v>
      </c>
      <c r="BI120" s="495">
        <f t="shared" ref="BI120:BI125" si="422">BN120</f>
        <v>0.5</v>
      </c>
      <c r="BJ120" s="647">
        <f t="shared" ref="BJ120:BJ125" si="423">BN120</f>
        <v>0.5</v>
      </c>
      <c r="BK120" s="495">
        <f t="shared" si="380"/>
        <v>0.5</v>
      </c>
      <c r="BL120" s="495">
        <f t="shared" ref="BL120:BL125" si="424">BN120</f>
        <v>0.5</v>
      </c>
      <c r="BM120" s="495">
        <f t="shared" ref="BM120:BM125" si="425">BN120</f>
        <v>0.5</v>
      </c>
      <c r="BN120" s="722">
        <f t="shared" si="381"/>
        <v>0.5</v>
      </c>
      <c r="BO120" s="495">
        <f t="shared" ref="BO120:BO125" si="426">BV120</f>
        <v>0.5</v>
      </c>
      <c r="BP120" s="495">
        <f t="shared" ref="BP120:BP125" si="427">BV120</f>
        <v>0.5</v>
      </c>
      <c r="BQ120" s="495">
        <f t="shared" ref="BQ120:BQ125" si="428">BV120</f>
        <v>0.5</v>
      </c>
      <c r="BR120" s="647">
        <f t="shared" ref="BR120:BR125" si="429">BV120</f>
        <v>0.5</v>
      </c>
      <c r="BS120" s="495">
        <f t="shared" si="382"/>
        <v>0.5</v>
      </c>
      <c r="BT120" s="495">
        <f t="shared" ref="BT120:BT125" si="430">BV120</f>
        <v>0.5</v>
      </c>
      <c r="BU120" s="495">
        <f t="shared" ref="BU120:BU125" si="431">BV120</f>
        <v>0.5</v>
      </c>
      <c r="BV120" s="722">
        <f t="shared" si="383"/>
        <v>0.5</v>
      </c>
    </row>
    <row r="121" spans="1:74" x14ac:dyDescent="0.2">
      <c r="A121" s="199" t="s">
        <v>802</v>
      </c>
      <c r="B121" s="18">
        <v>0.23699999999999999</v>
      </c>
      <c r="C121" s="19">
        <v>0.23699999999999999</v>
      </c>
      <c r="D121" s="19">
        <v>0.23699999999999999</v>
      </c>
      <c r="E121" s="19">
        <v>0.23699999999999999</v>
      </c>
      <c r="F121" s="19">
        <v>0.23699999999999999</v>
      </c>
      <c r="G121" s="19">
        <v>0.23699999999999999</v>
      </c>
      <c r="H121" s="19">
        <v>0.23699999999999999</v>
      </c>
      <c r="I121" s="19">
        <v>0.23699999999999999</v>
      </c>
      <c r="J121" s="494">
        <v>0.23699999999999999</v>
      </c>
      <c r="K121" s="19">
        <f t="shared" si="384"/>
        <v>0.23699999999999999</v>
      </c>
      <c r="L121" s="19">
        <f t="shared" si="385"/>
        <v>0.23699999999999999</v>
      </c>
      <c r="M121" s="19">
        <f t="shared" si="386"/>
        <v>0.23699999999999999</v>
      </c>
      <c r="N121" s="643">
        <f t="shared" si="387"/>
        <v>0.23699999999999999</v>
      </c>
      <c r="O121" s="19">
        <f t="shared" si="369"/>
        <v>0.23699999999999999</v>
      </c>
      <c r="P121" s="19">
        <f t="shared" si="388"/>
        <v>0.23699999999999999</v>
      </c>
      <c r="Q121" s="19">
        <f t="shared" si="389"/>
        <v>0.23699999999999999</v>
      </c>
      <c r="R121" s="1380">
        <v>0.23699999999999999</v>
      </c>
      <c r="S121" s="19">
        <f t="shared" si="390"/>
        <v>0.23699999999999999</v>
      </c>
      <c r="T121" s="19">
        <f t="shared" si="391"/>
        <v>0.23699999999999999</v>
      </c>
      <c r="U121" s="19">
        <f t="shared" si="392"/>
        <v>0.23699999999999999</v>
      </c>
      <c r="V121" s="643">
        <f t="shared" si="393"/>
        <v>0.23699999999999999</v>
      </c>
      <c r="W121" s="19">
        <f t="shared" si="370"/>
        <v>0.23699999999999999</v>
      </c>
      <c r="X121" s="19">
        <f t="shared" si="394"/>
        <v>0.23699999999999999</v>
      </c>
      <c r="Y121" s="19">
        <f t="shared" si="395"/>
        <v>0.23699999999999999</v>
      </c>
      <c r="Z121" s="1380">
        <f t="shared" si="371"/>
        <v>0.23699999999999999</v>
      </c>
      <c r="AA121" s="19">
        <f t="shared" si="396"/>
        <v>0.23699999999999999</v>
      </c>
      <c r="AB121" s="19">
        <f t="shared" si="397"/>
        <v>0.23699999999999999</v>
      </c>
      <c r="AC121" s="19">
        <f t="shared" si="398"/>
        <v>0.23699999999999999</v>
      </c>
      <c r="AD121" s="643">
        <f t="shared" si="399"/>
        <v>0.23699999999999999</v>
      </c>
      <c r="AE121" s="19">
        <f t="shared" si="372"/>
        <v>0.23699999999999999</v>
      </c>
      <c r="AF121" s="19">
        <f t="shared" si="400"/>
        <v>0.23699999999999999</v>
      </c>
      <c r="AG121" s="19">
        <f t="shared" si="401"/>
        <v>0.23699999999999999</v>
      </c>
      <c r="AH121" s="1380">
        <f t="shared" si="373"/>
        <v>0.23699999999999999</v>
      </c>
      <c r="AI121" s="19">
        <f t="shared" si="402"/>
        <v>0.23699999999999999</v>
      </c>
      <c r="AJ121" s="19">
        <f t="shared" si="403"/>
        <v>0.23699999999999999</v>
      </c>
      <c r="AK121" s="495">
        <f t="shared" si="404"/>
        <v>0.23699999999999999</v>
      </c>
      <c r="AL121" s="647">
        <f t="shared" si="405"/>
        <v>0.23699999999999999</v>
      </c>
      <c r="AM121" s="19">
        <f t="shared" si="374"/>
        <v>0.23699999999999999</v>
      </c>
      <c r="AN121" s="495">
        <f t="shared" si="406"/>
        <v>0.23699999999999999</v>
      </c>
      <c r="AO121" s="495">
        <f t="shared" si="407"/>
        <v>0.23699999999999999</v>
      </c>
      <c r="AP121" s="722">
        <f t="shared" si="375"/>
        <v>0.23699999999999999</v>
      </c>
      <c r="AQ121" s="495">
        <f t="shared" si="408"/>
        <v>0.23699999999999999</v>
      </c>
      <c r="AR121" s="495">
        <f t="shared" si="409"/>
        <v>0.23699999999999999</v>
      </c>
      <c r="AS121" s="495">
        <f t="shared" si="410"/>
        <v>0.23699999999999999</v>
      </c>
      <c r="AT121" s="647">
        <f t="shared" si="411"/>
        <v>0.23699999999999999</v>
      </c>
      <c r="AU121" s="495">
        <f t="shared" si="376"/>
        <v>0.23699999999999999</v>
      </c>
      <c r="AV121" s="495">
        <f t="shared" si="412"/>
        <v>0.23699999999999999</v>
      </c>
      <c r="AW121" s="495">
        <f t="shared" si="413"/>
        <v>0.23699999999999999</v>
      </c>
      <c r="AX121" s="722">
        <f t="shared" si="377"/>
        <v>0.23699999999999999</v>
      </c>
      <c r="AY121" s="495">
        <f t="shared" si="414"/>
        <v>0.23699999999999999</v>
      </c>
      <c r="AZ121" s="495">
        <f t="shared" si="415"/>
        <v>0.23699999999999999</v>
      </c>
      <c r="BA121" s="495">
        <f t="shared" si="416"/>
        <v>0.23699999999999999</v>
      </c>
      <c r="BB121" s="647">
        <f t="shared" si="417"/>
        <v>0.23699999999999999</v>
      </c>
      <c r="BC121" s="495">
        <f t="shared" si="378"/>
        <v>0.23699999999999999</v>
      </c>
      <c r="BD121" s="495">
        <f t="shared" si="418"/>
        <v>0.23699999999999999</v>
      </c>
      <c r="BE121" s="495">
        <f t="shared" si="419"/>
        <v>0.23699999999999999</v>
      </c>
      <c r="BF121" s="722">
        <f t="shared" si="379"/>
        <v>0.23699999999999999</v>
      </c>
      <c r="BG121" s="495">
        <f t="shared" si="420"/>
        <v>0.23699999999999999</v>
      </c>
      <c r="BH121" s="495">
        <f t="shared" si="421"/>
        <v>0.23699999999999999</v>
      </c>
      <c r="BI121" s="495">
        <f t="shared" si="422"/>
        <v>0.23699999999999999</v>
      </c>
      <c r="BJ121" s="647">
        <f t="shared" si="423"/>
        <v>0.23699999999999999</v>
      </c>
      <c r="BK121" s="495">
        <f t="shared" si="380"/>
        <v>0.23699999999999999</v>
      </c>
      <c r="BL121" s="495">
        <f t="shared" si="424"/>
        <v>0.23699999999999999</v>
      </c>
      <c r="BM121" s="495">
        <f t="shared" si="425"/>
        <v>0.23699999999999999</v>
      </c>
      <c r="BN121" s="722">
        <f t="shared" si="381"/>
        <v>0.23699999999999999</v>
      </c>
      <c r="BO121" s="495">
        <f t="shared" si="426"/>
        <v>0.23699999999999999</v>
      </c>
      <c r="BP121" s="495">
        <f t="shared" si="427"/>
        <v>0.23699999999999999</v>
      </c>
      <c r="BQ121" s="495">
        <f t="shared" si="428"/>
        <v>0.23699999999999999</v>
      </c>
      <c r="BR121" s="647">
        <f t="shared" si="429"/>
        <v>0.23699999999999999</v>
      </c>
      <c r="BS121" s="495">
        <f t="shared" si="382"/>
        <v>0.23699999999999999</v>
      </c>
      <c r="BT121" s="495">
        <f t="shared" si="430"/>
        <v>0.23699999999999999</v>
      </c>
      <c r="BU121" s="495">
        <f t="shared" si="431"/>
        <v>0.23699999999999999</v>
      </c>
      <c r="BV121" s="722">
        <f t="shared" si="383"/>
        <v>0.23699999999999999</v>
      </c>
    </row>
    <row r="122" spans="1:74" x14ac:dyDescent="0.2">
      <c r="A122" s="199" t="s">
        <v>859</v>
      </c>
      <c r="B122" s="18">
        <v>0.11</v>
      </c>
      <c r="C122" s="19">
        <v>0.11</v>
      </c>
      <c r="D122" s="19">
        <v>0.11</v>
      </c>
      <c r="E122" s="19">
        <v>0.11</v>
      </c>
      <c r="F122" s="19">
        <v>0.11</v>
      </c>
      <c r="G122" s="19">
        <v>0.11</v>
      </c>
      <c r="H122" s="19">
        <v>0.11</v>
      </c>
      <c r="I122" s="19">
        <v>0.11</v>
      </c>
      <c r="J122" s="494">
        <v>0.11</v>
      </c>
      <c r="K122" s="19">
        <f t="shared" si="384"/>
        <v>0.11</v>
      </c>
      <c r="L122" s="19">
        <f t="shared" si="385"/>
        <v>0.11</v>
      </c>
      <c r="M122" s="19">
        <f t="shared" si="386"/>
        <v>0.11</v>
      </c>
      <c r="N122" s="643">
        <f t="shared" si="387"/>
        <v>0.11</v>
      </c>
      <c r="O122" s="19">
        <f t="shared" si="369"/>
        <v>0.11</v>
      </c>
      <c r="P122" s="19">
        <f t="shared" si="388"/>
        <v>0.11</v>
      </c>
      <c r="Q122" s="19">
        <f t="shared" si="389"/>
        <v>0.11</v>
      </c>
      <c r="R122" s="1380">
        <v>0.11</v>
      </c>
      <c r="S122" s="19">
        <f t="shared" si="390"/>
        <v>0.11</v>
      </c>
      <c r="T122" s="19">
        <f t="shared" si="391"/>
        <v>0.11</v>
      </c>
      <c r="U122" s="19">
        <f t="shared" si="392"/>
        <v>0.11</v>
      </c>
      <c r="V122" s="643">
        <f t="shared" si="393"/>
        <v>0.11</v>
      </c>
      <c r="W122" s="19">
        <f t="shared" si="370"/>
        <v>0.11</v>
      </c>
      <c r="X122" s="19">
        <f t="shared" si="394"/>
        <v>0.11</v>
      </c>
      <c r="Y122" s="19">
        <f t="shared" si="395"/>
        <v>0.11</v>
      </c>
      <c r="Z122" s="1380">
        <f t="shared" si="371"/>
        <v>0.11</v>
      </c>
      <c r="AA122" s="19">
        <f t="shared" si="396"/>
        <v>0.11</v>
      </c>
      <c r="AB122" s="19">
        <f t="shared" si="397"/>
        <v>0.11</v>
      </c>
      <c r="AC122" s="19">
        <f t="shared" si="398"/>
        <v>0.11</v>
      </c>
      <c r="AD122" s="643">
        <f t="shared" si="399"/>
        <v>0.11</v>
      </c>
      <c r="AE122" s="19">
        <f t="shared" si="372"/>
        <v>0.11</v>
      </c>
      <c r="AF122" s="19">
        <f t="shared" si="400"/>
        <v>0.11</v>
      </c>
      <c r="AG122" s="19">
        <f t="shared" si="401"/>
        <v>0.11</v>
      </c>
      <c r="AH122" s="1380">
        <f t="shared" si="373"/>
        <v>0.11</v>
      </c>
      <c r="AI122" s="19">
        <f t="shared" si="402"/>
        <v>0.11</v>
      </c>
      <c r="AJ122" s="19">
        <f t="shared" si="403"/>
        <v>0.11</v>
      </c>
      <c r="AK122" s="495">
        <f t="shared" si="404"/>
        <v>0.11</v>
      </c>
      <c r="AL122" s="647">
        <f t="shared" si="405"/>
        <v>0.11</v>
      </c>
      <c r="AM122" s="19">
        <f t="shared" si="374"/>
        <v>0.11</v>
      </c>
      <c r="AN122" s="495">
        <f t="shared" si="406"/>
        <v>0.11</v>
      </c>
      <c r="AO122" s="495">
        <f t="shared" si="407"/>
        <v>0.11</v>
      </c>
      <c r="AP122" s="722">
        <f t="shared" si="375"/>
        <v>0.11</v>
      </c>
      <c r="AQ122" s="495">
        <f t="shared" si="408"/>
        <v>0.11</v>
      </c>
      <c r="AR122" s="495">
        <f t="shared" si="409"/>
        <v>0.11</v>
      </c>
      <c r="AS122" s="495">
        <f t="shared" si="410"/>
        <v>0.11</v>
      </c>
      <c r="AT122" s="647">
        <f t="shared" si="411"/>
        <v>0.11</v>
      </c>
      <c r="AU122" s="495">
        <f t="shared" si="376"/>
        <v>0.11</v>
      </c>
      <c r="AV122" s="495">
        <f t="shared" si="412"/>
        <v>0.11</v>
      </c>
      <c r="AW122" s="495">
        <f t="shared" si="413"/>
        <v>0.11</v>
      </c>
      <c r="AX122" s="722">
        <f t="shared" si="377"/>
        <v>0.11</v>
      </c>
      <c r="AY122" s="495">
        <f t="shared" si="414"/>
        <v>0.11</v>
      </c>
      <c r="AZ122" s="495">
        <f t="shared" si="415"/>
        <v>0.11</v>
      </c>
      <c r="BA122" s="495">
        <f t="shared" si="416"/>
        <v>0.11</v>
      </c>
      <c r="BB122" s="647">
        <f t="shared" si="417"/>
        <v>0.11</v>
      </c>
      <c r="BC122" s="495">
        <f t="shared" si="378"/>
        <v>0.11</v>
      </c>
      <c r="BD122" s="495">
        <f t="shared" si="418"/>
        <v>0.11</v>
      </c>
      <c r="BE122" s="495">
        <f t="shared" si="419"/>
        <v>0.11</v>
      </c>
      <c r="BF122" s="722">
        <f t="shared" si="379"/>
        <v>0.11</v>
      </c>
      <c r="BG122" s="495">
        <f t="shared" si="420"/>
        <v>0.11</v>
      </c>
      <c r="BH122" s="495">
        <f t="shared" si="421"/>
        <v>0.11</v>
      </c>
      <c r="BI122" s="495">
        <f t="shared" si="422"/>
        <v>0.11</v>
      </c>
      <c r="BJ122" s="647">
        <f t="shared" si="423"/>
        <v>0.11</v>
      </c>
      <c r="BK122" s="495">
        <f t="shared" si="380"/>
        <v>0.11</v>
      </c>
      <c r="BL122" s="495">
        <f t="shared" si="424"/>
        <v>0.11</v>
      </c>
      <c r="BM122" s="495">
        <f t="shared" si="425"/>
        <v>0.11</v>
      </c>
      <c r="BN122" s="722">
        <f t="shared" si="381"/>
        <v>0.11</v>
      </c>
      <c r="BO122" s="495">
        <f t="shared" si="426"/>
        <v>0.11</v>
      </c>
      <c r="BP122" s="495">
        <f t="shared" si="427"/>
        <v>0.11</v>
      </c>
      <c r="BQ122" s="495">
        <f t="shared" si="428"/>
        <v>0.11</v>
      </c>
      <c r="BR122" s="647">
        <f t="shared" si="429"/>
        <v>0.11</v>
      </c>
      <c r="BS122" s="495">
        <f t="shared" si="382"/>
        <v>0.11</v>
      </c>
      <c r="BT122" s="495">
        <f t="shared" si="430"/>
        <v>0.11</v>
      </c>
      <c r="BU122" s="495">
        <f t="shared" si="431"/>
        <v>0.11</v>
      </c>
      <c r="BV122" s="722">
        <f t="shared" si="383"/>
        <v>0.11</v>
      </c>
    </row>
    <row r="123" spans="1:74" x14ac:dyDescent="0.2">
      <c r="A123" s="199" t="s">
        <v>860</v>
      </c>
      <c r="B123" s="18">
        <v>0.17499999999999999</v>
      </c>
      <c r="C123" s="19">
        <v>0.17499999999999999</v>
      </c>
      <c r="D123" s="19">
        <v>0.17499999999999999</v>
      </c>
      <c r="E123" s="19">
        <v>0.17499999999999999</v>
      </c>
      <c r="F123" s="19">
        <v>0.17499999999999999</v>
      </c>
      <c r="G123" s="19">
        <v>0.17499999999999999</v>
      </c>
      <c r="H123" s="19">
        <v>0.17499999999999999</v>
      </c>
      <c r="I123" s="19">
        <v>0.17499999999999999</v>
      </c>
      <c r="J123" s="494">
        <v>0.17499999999999999</v>
      </c>
      <c r="K123" s="19">
        <f t="shared" si="384"/>
        <v>0.17499999999999999</v>
      </c>
      <c r="L123" s="19">
        <f t="shared" si="385"/>
        <v>0.17499999999999999</v>
      </c>
      <c r="M123" s="19">
        <f t="shared" si="386"/>
        <v>0.17499999999999999</v>
      </c>
      <c r="N123" s="643">
        <f t="shared" si="387"/>
        <v>0.17499999999999999</v>
      </c>
      <c r="O123" s="19">
        <f t="shared" si="369"/>
        <v>0.17499999999999999</v>
      </c>
      <c r="P123" s="19">
        <f t="shared" si="388"/>
        <v>0.17499999999999999</v>
      </c>
      <c r="Q123" s="19">
        <f t="shared" si="389"/>
        <v>0.17499999999999999</v>
      </c>
      <c r="R123" s="1380">
        <v>0.17499999999999999</v>
      </c>
      <c r="S123" s="19">
        <f t="shared" si="390"/>
        <v>0.17499999999999999</v>
      </c>
      <c r="T123" s="19">
        <f t="shared" si="391"/>
        <v>0.17499999999999999</v>
      </c>
      <c r="U123" s="19">
        <f t="shared" si="392"/>
        <v>0.17499999999999999</v>
      </c>
      <c r="V123" s="643">
        <f t="shared" si="393"/>
        <v>0.17499999999999999</v>
      </c>
      <c r="W123" s="19">
        <f t="shared" si="370"/>
        <v>0.17499999999999999</v>
      </c>
      <c r="X123" s="19">
        <f t="shared" si="394"/>
        <v>0.17499999999999999</v>
      </c>
      <c r="Y123" s="19">
        <f t="shared" si="395"/>
        <v>0.17499999999999999</v>
      </c>
      <c r="Z123" s="1380">
        <f t="shared" si="371"/>
        <v>0.17499999999999999</v>
      </c>
      <c r="AA123" s="19">
        <f t="shared" si="396"/>
        <v>0.17499999999999999</v>
      </c>
      <c r="AB123" s="19">
        <f t="shared" si="397"/>
        <v>0.17499999999999999</v>
      </c>
      <c r="AC123" s="19">
        <f t="shared" si="398"/>
        <v>0.17499999999999999</v>
      </c>
      <c r="AD123" s="643">
        <f t="shared" si="399"/>
        <v>0.17499999999999999</v>
      </c>
      <c r="AE123" s="19">
        <f t="shared" si="372"/>
        <v>0.17499999999999999</v>
      </c>
      <c r="AF123" s="19">
        <f t="shared" si="400"/>
        <v>0.17499999999999999</v>
      </c>
      <c r="AG123" s="19">
        <f t="shared" si="401"/>
        <v>0.17499999999999999</v>
      </c>
      <c r="AH123" s="1380">
        <f t="shared" si="373"/>
        <v>0.17499999999999999</v>
      </c>
      <c r="AI123" s="19">
        <f t="shared" si="402"/>
        <v>0.17499999999999999</v>
      </c>
      <c r="AJ123" s="19">
        <f t="shared" si="403"/>
        <v>0.17499999999999999</v>
      </c>
      <c r="AK123" s="495">
        <f t="shared" si="404"/>
        <v>0.17499999999999999</v>
      </c>
      <c r="AL123" s="647">
        <f t="shared" si="405"/>
        <v>0.17499999999999999</v>
      </c>
      <c r="AM123" s="19">
        <f t="shared" si="374"/>
        <v>0.17499999999999999</v>
      </c>
      <c r="AN123" s="495">
        <f t="shared" si="406"/>
        <v>0.17499999999999999</v>
      </c>
      <c r="AO123" s="495">
        <f t="shared" si="407"/>
        <v>0.17499999999999999</v>
      </c>
      <c r="AP123" s="722">
        <f t="shared" si="375"/>
        <v>0.17499999999999999</v>
      </c>
      <c r="AQ123" s="495">
        <f t="shared" si="408"/>
        <v>0.17499999999999999</v>
      </c>
      <c r="AR123" s="495">
        <f t="shared" si="409"/>
        <v>0.17499999999999999</v>
      </c>
      <c r="AS123" s="495">
        <f t="shared" si="410"/>
        <v>0.17499999999999999</v>
      </c>
      <c r="AT123" s="647">
        <f t="shared" si="411"/>
        <v>0.17499999999999999</v>
      </c>
      <c r="AU123" s="495">
        <f t="shared" si="376"/>
        <v>0.17499999999999999</v>
      </c>
      <c r="AV123" s="495">
        <f t="shared" si="412"/>
        <v>0.17499999999999999</v>
      </c>
      <c r="AW123" s="495">
        <f t="shared" si="413"/>
        <v>0.17499999999999999</v>
      </c>
      <c r="AX123" s="722">
        <f t="shared" si="377"/>
        <v>0.17499999999999999</v>
      </c>
      <c r="AY123" s="495">
        <f t="shared" si="414"/>
        <v>0.17499999999999999</v>
      </c>
      <c r="AZ123" s="495">
        <f t="shared" si="415"/>
        <v>0.17499999999999999</v>
      </c>
      <c r="BA123" s="495">
        <f t="shared" si="416"/>
        <v>0.17499999999999999</v>
      </c>
      <c r="BB123" s="647">
        <f t="shared" si="417"/>
        <v>0.17499999999999999</v>
      </c>
      <c r="BC123" s="495">
        <f t="shared" si="378"/>
        <v>0.17499999999999999</v>
      </c>
      <c r="BD123" s="495">
        <f t="shared" si="418"/>
        <v>0.17499999999999999</v>
      </c>
      <c r="BE123" s="495">
        <f t="shared" si="419"/>
        <v>0.17499999999999999</v>
      </c>
      <c r="BF123" s="722">
        <f t="shared" si="379"/>
        <v>0.17499999999999999</v>
      </c>
      <c r="BG123" s="495">
        <f t="shared" si="420"/>
        <v>0.17499999999999999</v>
      </c>
      <c r="BH123" s="495">
        <f t="shared" si="421"/>
        <v>0.17499999999999999</v>
      </c>
      <c r="BI123" s="495">
        <f t="shared" si="422"/>
        <v>0.17499999999999999</v>
      </c>
      <c r="BJ123" s="647">
        <f t="shared" si="423"/>
        <v>0.17499999999999999</v>
      </c>
      <c r="BK123" s="495">
        <f t="shared" si="380"/>
        <v>0.17499999999999999</v>
      </c>
      <c r="BL123" s="495">
        <f t="shared" si="424"/>
        <v>0.17499999999999999</v>
      </c>
      <c r="BM123" s="495">
        <f t="shared" si="425"/>
        <v>0.17499999999999999</v>
      </c>
      <c r="BN123" s="722">
        <f t="shared" si="381"/>
        <v>0.17499999999999999</v>
      </c>
      <c r="BO123" s="495">
        <f t="shared" si="426"/>
        <v>0.17499999999999999</v>
      </c>
      <c r="BP123" s="495">
        <f t="shared" si="427"/>
        <v>0.17499999999999999</v>
      </c>
      <c r="BQ123" s="495">
        <f t="shared" si="428"/>
        <v>0.17499999999999999</v>
      </c>
      <c r="BR123" s="647">
        <f t="shared" si="429"/>
        <v>0.17499999999999999</v>
      </c>
      <c r="BS123" s="495">
        <f t="shared" si="382"/>
        <v>0.17499999999999999</v>
      </c>
      <c r="BT123" s="495">
        <f t="shared" si="430"/>
        <v>0.17499999999999999</v>
      </c>
      <c r="BU123" s="495">
        <f t="shared" si="431"/>
        <v>0.17499999999999999</v>
      </c>
      <c r="BV123" s="722">
        <f t="shared" si="383"/>
        <v>0.17499999999999999</v>
      </c>
    </row>
    <row r="124" spans="1:74" x14ac:dyDescent="0.2">
      <c r="A124" s="199" t="s">
        <v>861</v>
      </c>
      <c r="B124" s="18">
        <v>7.4999999999999997E-2</v>
      </c>
      <c r="C124" s="19">
        <v>7.4999999999999997E-2</v>
      </c>
      <c r="D124" s="19">
        <v>7.4999999999999997E-2</v>
      </c>
      <c r="E124" s="19">
        <v>7.4999999999999997E-2</v>
      </c>
      <c r="F124" s="19">
        <v>7.4999999999999997E-2</v>
      </c>
      <c r="G124" s="19">
        <v>7.4999999999999997E-2</v>
      </c>
      <c r="H124" s="19">
        <v>7.4999999999999997E-2</v>
      </c>
      <c r="I124" s="19">
        <v>7.4999999999999997E-2</v>
      </c>
      <c r="J124" s="494">
        <v>7.4999999999999997E-2</v>
      </c>
      <c r="K124" s="19">
        <f t="shared" si="384"/>
        <v>7.4999999999999997E-2</v>
      </c>
      <c r="L124" s="19">
        <f t="shared" si="385"/>
        <v>7.4999999999999997E-2</v>
      </c>
      <c r="M124" s="19">
        <f t="shared" si="386"/>
        <v>7.4999999999999997E-2</v>
      </c>
      <c r="N124" s="643">
        <f t="shared" si="387"/>
        <v>7.4999999999999997E-2</v>
      </c>
      <c r="O124" s="19">
        <f t="shared" si="369"/>
        <v>7.4999999999999997E-2</v>
      </c>
      <c r="P124" s="19">
        <f t="shared" si="388"/>
        <v>7.4999999999999997E-2</v>
      </c>
      <c r="Q124" s="19">
        <f t="shared" si="389"/>
        <v>7.4999999999999997E-2</v>
      </c>
      <c r="R124" s="1380">
        <v>7.4999999999999997E-2</v>
      </c>
      <c r="S124" s="19">
        <f t="shared" si="390"/>
        <v>7.4999999999999997E-2</v>
      </c>
      <c r="T124" s="19">
        <f t="shared" si="391"/>
        <v>7.4999999999999997E-2</v>
      </c>
      <c r="U124" s="19">
        <f t="shared" si="392"/>
        <v>7.4999999999999997E-2</v>
      </c>
      <c r="V124" s="643">
        <f t="shared" si="393"/>
        <v>7.4999999999999997E-2</v>
      </c>
      <c r="W124" s="19">
        <f t="shared" si="370"/>
        <v>7.4999999999999997E-2</v>
      </c>
      <c r="X124" s="19">
        <f t="shared" si="394"/>
        <v>7.4999999999999997E-2</v>
      </c>
      <c r="Y124" s="19">
        <f t="shared" si="395"/>
        <v>7.4999999999999997E-2</v>
      </c>
      <c r="Z124" s="1380">
        <f t="shared" si="371"/>
        <v>7.4999999999999997E-2</v>
      </c>
      <c r="AA124" s="19">
        <f t="shared" si="396"/>
        <v>7.4999999999999997E-2</v>
      </c>
      <c r="AB124" s="19">
        <f t="shared" si="397"/>
        <v>7.4999999999999997E-2</v>
      </c>
      <c r="AC124" s="19">
        <f t="shared" si="398"/>
        <v>7.4999999999999997E-2</v>
      </c>
      <c r="AD124" s="643">
        <f t="shared" si="399"/>
        <v>7.4999999999999997E-2</v>
      </c>
      <c r="AE124" s="19">
        <f t="shared" si="372"/>
        <v>7.4999999999999997E-2</v>
      </c>
      <c r="AF124" s="19">
        <f t="shared" si="400"/>
        <v>7.4999999999999997E-2</v>
      </c>
      <c r="AG124" s="19">
        <f t="shared" si="401"/>
        <v>7.4999999999999997E-2</v>
      </c>
      <c r="AH124" s="1380">
        <f t="shared" si="373"/>
        <v>7.4999999999999997E-2</v>
      </c>
      <c r="AI124" s="19">
        <f t="shared" si="402"/>
        <v>7.4999999999999997E-2</v>
      </c>
      <c r="AJ124" s="19">
        <f t="shared" si="403"/>
        <v>7.4999999999999997E-2</v>
      </c>
      <c r="AK124" s="495">
        <f t="shared" si="404"/>
        <v>7.4999999999999997E-2</v>
      </c>
      <c r="AL124" s="647">
        <f t="shared" si="405"/>
        <v>7.4999999999999997E-2</v>
      </c>
      <c r="AM124" s="19">
        <f t="shared" si="374"/>
        <v>7.4999999999999997E-2</v>
      </c>
      <c r="AN124" s="495">
        <f t="shared" si="406"/>
        <v>7.4999999999999997E-2</v>
      </c>
      <c r="AO124" s="495">
        <f t="shared" si="407"/>
        <v>7.4999999999999997E-2</v>
      </c>
      <c r="AP124" s="722">
        <f t="shared" si="375"/>
        <v>7.4999999999999997E-2</v>
      </c>
      <c r="AQ124" s="495">
        <f t="shared" si="408"/>
        <v>7.4999999999999997E-2</v>
      </c>
      <c r="AR124" s="495">
        <f t="shared" si="409"/>
        <v>7.4999999999999997E-2</v>
      </c>
      <c r="AS124" s="495">
        <f t="shared" si="410"/>
        <v>7.4999999999999997E-2</v>
      </c>
      <c r="AT124" s="647">
        <f t="shared" si="411"/>
        <v>7.4999999999999997E-2</v>
      </c>
      <c r="AU124" s="495">
        <f t="shared" si="376"/>
        <v>7.4999999999999997E-2</v>
      </c>
      <c r="AV124" s="495">
        <f t="shared" si="412"/>
        <v>7.4999999999999997E-2</v>
      </c>
      <c r="AW124" s="495">
        <f t="shared" si="413"/>
        <v>7.4999999999999997E-2</v>
      </c>
      <c r="AX124" s="722">
        <f t="shared" si="377"/>
        <v>7.4999999999999997E-2</v>
      </c>
      <c r="AY124" s="495">
        <f t="shared" si="414"/>
        <v>7.4999999999999997E-2</v>
      </c>
      <c r="AZ124" s="495">
        <f t="shared" si="415"/>
        <v>7.4999999999999997E-2</v>
      </c>
      <c r="BA124" s="495">
        <f t="shared" si="416"/>
        <v>7.4999999999999997E-2</v>
      </c>
      <c r="BB124" s="647">
        <f t="shared" si="417"/>
        <v>7.4999999999999997E-2</v>
      </c>
      <c r="BC124" s="495">
        <f t="shared" si="378"/>
        <v>7.4999999999999997E-2</v>
      </c>
      <c r="BD124" s="495">
        <f t="shared" si="418"/>
        <v>7.4999999999999997E-2</v>
      </c>
      <c r="BE124" s="495">
        <f t="shared" si="419"/>
        <v>7.4999999999999997E-2</v>
      </c>
      <c r="BF124" s="722">
        <f t="shared" si="379"/>
        <v>7.4999999999999997E-2</v>
      </c>
      <c r="BG124" s="495">
        <f t="shared" si="420"/>
        <v>7.4999999999999997E-2</v>
      </c>
      <c r="BH124" s="495">
        <f t="shared" si="421"/>
        <v>7.4999999999999997E-2</v>
      </c>
      <c r="BI124" s="495">
        <f t="shared" si="422"/>
        <v>7.4999999999999997E-2</v>
      </c>
      <c r="BJ124" s="647">
        <f t="shared" si="423"/>
        <v>7.4999999999999997E-2</v>
      </c>
      <c r="BK124" s="495">
        <f t="shared" si="380"/>
        <v>7.4999999999999997E-2</v>
      </c>
      <c r="BL124" s="495">
        <f t="shared" si="424"/>
        <v>7.4999999999999997E-2</v>
      </c>
      <c r="BM124" s="495">
        <f t="shared" si="425"/>
        <v>7.4999999999999997E-2</v>
      </c>
      <c r="BN124" s="722">
        <f t="shared" si="381"/>
        <v>7.4999999999999997E-2</v>
      </c>
      <c r="BO124" s="495">
        <f t="shared" si="426"/>
        <v>7.4999999999999997E-2</v>
      </c>
      <c r="BP124" s="495">
        <f t="shared" si="427"/>
        <v>7.4999999999999997E-2</v>
      </c>
      <c r="BQ124" s="495">
        <f t="shared" si="428"/>
        <v>7.4999999999999997E-2</v>
      </c>
      <c r="BR124" s="647">
        <f t="shared" si="429"/>
        <v>7.4999999999999997E-2</v>
      </c>
      <c r="BS124" s="495">
        <f t="shared" si="382"/>
        <v>7.4999999999999997E-2</v>
      </c>
      <c r="BT124" s="495">
        <f t="shared" si="430"/>
        <v>7.4999999999999997E-2</v>
      </c>
      <c r="BU124" s="495">
        <f t="shared" si="431"/>
        <v>7.4999999999999997E-2</v>
      </c>
      <c r="BV124" s="722">
        <f t="shared" si="383"/>
        <v>7.4999999999999997E-2</v>
      </c>
    </row>
    <row r="125" spans="1:74" x14ac:dyDescent="0.2">
      <c r="A125" s="199" t="s">
        <v>862</v>
      </c>
      <c r="B125" s="18">
        <v>0.15</v>
      </c>
      <c r="C125" s="19">
        <v>0.15</v>
      </c>
      <c r="D125" s="19">
        <v>0.15</v>
      </c>
      <c r="E125" s="19">
        <v>0.15</v>
      </c>
      <c r="F125" s="19">
        <v>0.15</v>
      </c>
      <c r="G125" s="19">
        <v>0.15</v>
      </c>
      <c r="H125" s="19">
        <v>0.15</v>
      </c>
      <c r="I125" s="19">
        <v>0.15</v>
      </c>
      <c r="J125" s="494">
        <v>0.15</v>
      </c>
      <c r="K125" s="19">
        <f t="shared" si="384"/>
        <v>0.15</v>
      </c>
      <c r="L125" s="19">
        <f t="shared" si="385"/>
        <v>0.15</v>
      </c>
      <c r="M125" s="19">
        <f t="shared" si="386"/>
        <v>0.15</v>
      </c>
      <c r="N125" s="643">
        <f t="shared" si="387"/>
        <v>0.15</v>
      </c>
      <c r="O125" s="19">
        <f t="shared" si="369"/>
        <v>0.15</v>
      </c>
      <c r="P125" s="19">
        <f t="shared" si="388"/>
        <v>0.15</v>
      </c>
      <c r="Q125" s="19">
        <f t="shared" si="389"/>
        <v>0.15</v>
      </c>
      <c r="R125" s="1380">
        <v>0.15</v>
      </c>
      <c r="S125" s="19">
        <f t="shared" si="390"/>
        <v>0.15</v>
      </c>
      <c r="T125" s="19">
        <f t="shared" si="391"/>
        <v>0.15</v>
      </c>
      <c r="U125" s="19">
        <f t="shared" si="392"/>
        <v>0.15</v>
      </c>
      <c r="V125" s="643">
        <f t="shared" si="393"/>
        <v>0.15</v>
      </c>
      <c r="W125" s="19">
        <f t="shared" si="370"/>
        <v>0.15</v>
      </c>
      <c r="X125" s="19">
        <f t="shared" si="394"/>
        <v>0.15</v>
      </c>
      <c r="Y125" s="19">
        <f t="shared" si="395"/>
        <v>0.15</v>
      </c>
      <c r="Z125" s="1380">
        <f t="shared" si="371"/>
        <v>0.15</v>
      </c>
      <c r="AA125" s="19">
        <f t="shared" si="396"/>
        <v>0.15</v>
      </c>
      <c r="AB125" s="19">
        <f t="shared" si="397"/>
        <v>0.15</v>
      </c>
      <c r="AC125" s="19">
        <f t="shared" si="398"/>
        <v>0.15</v>
      </c>
      <c r="AD125" s="643">
        <f t="shared" si="399"/>
        <v>0.15</v>
      </c>
      <c r="AE125" s="19">
        <f t="shared" si="372"/>
        <v>0.15</v>
      </c>
      <c r="AF125" s="19">
        <f t="shared" si="400"/>
        <v>0.15</v>
      </c>
      <c r="AG125" s="19">
        <f t="shared" si="401"/>
        <v>0.15</v>
      </c>
      <c r="AH125" s="1380">
        <f t="shared" si="373"/>
        <v>0.15</v>
      </c>
      <c r="AI125" s="19">
        <f t="shared" si="402"/>
        <v>0.15</v>
      </c>
      <c r="AJ125" s="19">
        <f t="shared" si="403"/>
        <v>0.15</v>
      </c>
      <c r="AK125" s="495">
        <f t="shared" si="404"/>
        <v>0.15</v>
      </c>
      <c r="AL125" s="647">
        <f t="shared" si="405"/>
        <v>0.15</v>
      </c>
      <c r="AM125" s="19">
        <f t="shared" si="374"/>
        <v>0.15</v>
      </c>
      <c r="AN125" s="495">
        <f t="shared" si="406"/>
        <v>0.15</v>
      </c>
      <c r="AO125" s="495">
        <f t="shared" si="407"/>
        <v>0.15</v>
      </c>
      <c r="AP125" s="722">
        <f t="shared" si="375"/>
        <v>0.15</v>
      </c>
      <c r="AQ125" s="495">
        <f t="shared" si="408"/>
        <v>0.15</v>
      </c>
      <c r="AR125" s="495">
        <f t="shared" si="409"/>
        <v>0.15</v>
      </c>
      <c r="AS125" s="495">
        <f t="shared" si="410"/>
        <v>0.15</v>
      </c>
      <c r="AT125" s="647">
        <f t="shared" si="411"/>
        <v>0.15</v>
      </c>
      <c r="AU125" s="495">
        <f t="shared" si="376"/>
        <v>0.15</v>
      </c>
      <c r="AV125" s="495">
        <f t="shared" si="412"/>
        <v>0.15</v>
      </c>
      <c r="AW125" s="495">
        <f t="shared" si="413"/>
        <v>0.15</v>
      </c>
      <c r="AX125" s="722">
        <f t="shared" si="377"/>
        <v>0.15</v>
      </c>
      <c r="AY125" s="495">
        <f t="shared" si="414"/>
        <v>0.15</v>
      </c>
      <c r="AZ125" s="495">
        <f t="shared" si="415"/>
        <v>0.15</v>
      </c>
      <c r="BA125" s="495">
        <f t="shared" si="416"/>
        <v>0.15</v>
      </c>
      <c r="BB125" s="647">
        <f t="shared" si="417"/>
        <v>0.15</v>
      </c>
      <c r="BC125" s="495">
        <f t="shared" si="378"/>
        <v>0.15</v>
      </c>
      <c r="BD125" s="495">
        <f t="shared" si="418"/>
        <v>0.15</v>
      </c>
      <c r="BE125" s="495">
        <f t="shared" si="419"/>
        <v>0.15</v>
      </c>
      <c r="BF125" s="722">
        <f t="shared" si="379"/>
        <v>0.15</v>
      </c>
      <c r="BG125" s="495">
        <f t="shared" si="420"/>
        <v>0.15</v>
      </c>
      <c r="BH125" s="495">
        <f t="shared" si="421"/>
        <v>0.15</v>
      </c>
      <c r="BI125" s="495">
        <f t="shared" si="422"/>
        <v>0.15</v>
      </c>
      <c r="BJ125" s="647">
        <f t="shared" si="423"/>
        <v>0.15</v>
      </c>
      <c r="BK125" s="495">
        <f t="shared" si="380"/>
        <v>0.15</v>
      </c>
      <c r="BL125" s="495">
        <f t="shared" si="424"/>
        <v>0.15</v>
      </c>
      <c r="BM125" s="495">
        <f t="shared" si="425"/>
        <v>0.15</v>
      </c>
      <c r="BN125" s="722">
        <f t="shared" si="381"/>
        <v>0.15</v>
      </c>
      <c r="BO125" s="495">
        <f t="shared" si="426"/>
        <v>0.15</v>
      </c>
      <c r="BP125" s="495">
        <f t="shared" si="427"/>
        <v>0.15</v>
      </c>
      <c r="BQ125" s="495">
        <f t="shared" si="428"/>
        <v>0.15</v>
      </c>
      <c r="BR125" s="647">
        <f t="shared" si="429"/>
        <v>0.15</v>
      </c>
      <c r="BS125" s="495">
        <f t="shared" si="382"/>
        <v>0.15</v>
      </c>
      <c r="BT125" s="495">
        <f t="shared" si="430"/>
        <v>0.15</v>
      </c>
      <c r="BU125" s="495">
        <f t="shared" si="431"/>
        <v>0.15</v>
      </c>
      <c r="BV125" s="722">
        <f t="shared" si="383"/>
        <v>0.15</v>
      </c>
    </row>
    <row r="126" spans="1:74" x14ac:dyDescent="0.2">
      <c r="J126" s="180"/>
      <c r="K126" s="19"/>
      <c r="L126" s="19"/>
      <c r="M126" s="495"/>
      <c r="N126" s="647"/>
      <c r="R126" s="314"/>
      <c r="S126" s="495"/>
      <c r="T126" s="495"/>
      <c r="U126" s="495"/>
      <c r="V126" s="647"/>
      <c r="Z126" s="314"/>
      <c r="AA126" s="495"/>
      <c r="AB126" s="495"/>
      <c r="AC126" s="495"/>
      <c r="AD126" s="647"/>
      <c r="AH126" s="314"/>
      <c r="AI126" s="495"/>
      <c r="AJ126" s="495"/>
      <c r="AK126" s="495"/>
      <c r="AL126" s="647"/>
      <c r="AP126" s="314"/>
      <c r="AQ126" s="495"/>
      <c r="AR126" s="495"/>
      <c r="AS126" s="495"/>
      <c r="AT126" s="647"/>
      <c r="AX126" s="314"/>
      <c r="AY126" s="495"/>
      <c r="AZ126" s="495"/>
      <c r="BA126" s="495"/>
      <c r="BB126" s="647"/>
      <c r="BF126" s="314"/>
      <c r="BG126" s="495"/>
      <c r="BH126" s="495"/>
      <c r="BI126" s="495"/>
      <c r="BJ126" s="647"/>
      <c r="BN126" s="314"/>
      <c r="BO126" s="495"/>
      <c r="BP126" s="495"/>
      <c r="BQ126" s="495"/>
      <c r="BR126" s="647"/>
      <c r="BV126" s="314"/>
    </row>
    <row r="127" spans="1:74" x14ac:dyDescent="0.2">
      <c r="A127" s="186" t="s">
        <v>884</v>
      </c>
      <c r="B127" s="838"/>
      <c r="C127" s="580"/>
      <c r="D127" s="580"/>
      <c r="E127" s="580"/>
      <c r="F127" s="580"/>
      <c r="G127" s="580"/>
      <c r="H127" s="580"/>
      <c r="I127" s="580"/>
      <c r="J127" s="581"/>
      <c r="K127" s="19"/>
      <c r="L127" s="19"/>
      <c r="M127" s="495"/>
      <c r="N127" s="647"/>
      <c r="O127" s="580"/>
      <c r="P127" s="580"/>
      <c r="Q127" s="580"/>
      <c r="R127" s="583"/>
      <c r="S127" s="495"/>
      <c r="T127" s="495"/>
      <c r="U127" s="495"/>
      <c r="V127" s="647"/>
      <c r="W127" s="580"/>
      <c r="X127" s="580"/>
      <c r="Y127" s="580"/>
      <c r="Z127" s="583"/>
      <c r="AA127" s="495"/>
      <c r="AB127" s="495"/>
      <c r="AC127" s="495"/>
      <c r="AD127" s="647"/>
      <c r="AE127" s="580"/>
      <c r="AF127" s="580"/>
      <c r="AG127" s="580"/>
      <c r="AH127" s="583"/>
      <c r="AI127" s="495"/>
      <c r="AJ127" s="495"/>
      <c r="AK127" s="495"/>
      <c r="AL127" s="647"/>
      <c r="AM127" s="580"/>
      <c r="AN127" s="580"/>
      <c r="AO127" s="580"/>
      <c r="AP127" s="583"/>
      <c r="AQ127" s="495"/>
      <c r="AR127" s="495"/>
      <c r="AS127" s="495"/>
      <c r="AT127" s="647"/>
      <c r="AU127" s="580"/>
      <c r="AV127" s="580"/>
      <c r="AW127" s="580"/>
      <c r="AX127" s="583"/>
      <c r="AY127" s="495"/>
      <c r="AZ127" s="495"/>
      <c r="BA127" s="495"/>
      <c r="BB127" s="647"/>
      <c r="BC127" s="580"/>
      <c r="BD127" s="580"/>
      <c r="BE127" s="580"/>
      <c r="BF127" s="583"/>
      <c r="BG127" s="495"/>
      <c r="BH127" s="495"/>
      <c r="BI127" s="495"/>
      <c r="BJ127" s="647"/>
      <c r="BK127" s="580"/>
      <c r="BL127" s="580"/>
      <c r="BM127" s="580"/>
      <c r="BN127" s="583"/>
      <c r="BO127" s="495"/>
      <c r="BP127" s="495"/>
      <c r="BQ127" s="495"/>
      <c r="BR127" s="647"/>
      <c r="BS127" s="580"/>
      <c r="BT127" s="580"/>
      <c r="BU127" s="580"/>
      <c r="BV127" s="583"/>
    </row>
    <row r="128" spans="1:74" x14ac:dyDescent="0.2">
      <c r="A128" s="1396" t="s">
        <v>885</v>
      </c>
      <c r="B128" s="1002">
        <v>0.15</v>
      </c>
      <c r="C128" s="1002">
        <v>0.15</v>
      </c>
      <c r="D128" s="1002">
        <v>0.15</v>
      </c>
      <c r="E128" s="1002">
        <v>0.15</v>
      </c>
      <c r="F128" s="895">
        <v>0.19</v>
      </c>
      <c r="G128" s="895">
        <v>0.2</v>
      </c>
      <c r="H128" s="895">
        <v>0.2</v>
      </c>
      <c r="I128" s="895">
        <v>0.2</v>
      </c>
      <c r="J128" s="896">
        <v>0.15</v>
      </c>
      <c r="K128" s="19"/>
      <c r="L128" s="19"/>
      <c r="M128" s="19"/>
      <c r="N128" s="647"/>
      <c r="O128" s="895">
        <v>0.1</v>
      </c>
      <c r="P128" s="895">
        <f>P30/P11</f>
        <v>0.13102740219226924</v>
      </c>
      <c r="Q128" s="895"/>
      <c r="R128" s="1397">
        <v>0.1</v>
      </c>
      <c r="S128" s="495"/>
      <c r="T128" s="495"/>
      <c r="U128" s="495"/>
      <c r="V128" s="647"/>
      <c r="W128" s="895">
        <v>0.1</v>
      </c>
      <c r="X128" s="895">
        <f>X30/X11</f>
        <v>0.1</v>
      </c>
      <c r="Y128" s="897"/>
      <c r="Z128" s="1397">
        <f>+R128</f>
        <v>0.1</v>
      </c>
      <c r="AA128" s="495"/>
      <c r="AB128" s="495"/>
      <c r="AC128" s="495"/>
      <c r="AD128" s="647"/>
      <c r="AE128" s="895">
        <f>AH128</f>
        <v>0.1</v>
      </c>
      <c r="AF128" s="895">
        <f>AF30/AF11</f>
        <v>0.1</v>
      </c>
      <c r="AG128" s="897"/>
      <c r="AH128" s="1397">
        <f>+Z128</f>
        <v>0.1</v>
      </c>
      <c r="AI128" s="495"/>
      <c r="AJ128" s="495"/>
      <c r="AK128" s="495"/>
      <c r="AL128" s="647"/>
      <c r="AM128" s="895">
        <f>AP128</f>
        <v>0.1</v>
      </c>
      <c r="AN128" s="897">
        <f>AN30/AN11</f>
        <v>0.10000000000000002</v>
      </c>
      <c r="AO128" s="897"/>
      <c r="AP128" s="898">
        <f>+AH128</f>
        <v>0.1</v>
      </c>
      <c r="AQ128" s="495"/>
      <c r="AR128" s="495"/>
      <c r="AS128" s="495"/>
      <c r="AT128" s="647"/>
      <c r="AU128" s="897">
        <f>AX128</f>
        <v>0.1</v>
      </c>
      <c r="AV128" s="897">
        <f>AV30/AV11</f>
        <v>0.10000000000000002</v>
      </c>
      <c r="AW128" s="897"/>
      <c r="AX128" s="898">
        <f>+AP128</f>
        <v>0.1</v>
      </c>
      <c r="AY128" s="495"/>
      <c r="AZ128" s="495"/>
      <c r="BA128" s="495"/>
      <c r="BB128" s="647"/>
      <c r="BC128" s="897">
        <f>BF128</f>
        <v>0.1</v>
      </c>
      <c r="BD128" s="897">
        <f>BD30/BD11</f>
        <v>0.10000000000000002</v>
      </c>
      <c r="BE128" s="897"/>
      <c r="BF128" s="898">
        <f>+AX128</f>
        <v>0.1</v>
      </c>
      <c r="BG128" s="495"/>
      <c r="BH128" s="495"/>
      <c r="BI128" s="495"/>
      <c r="BJ128" s="647"/>
      <c r="BK128" s="897">
        <f>BN128</f>
        <v>0.1</v>
      </c>
      <c r="BL128" s="897">
        <f>BL30/BL11</f>
        <v>0.1</v>
      </c>
      <c r="BM128" s="897"/>
      <c r="BN128" s="898">
        <f>+BF128</f>
        <v>0.1</v>
      </c>
      <c r="BO128" s="495"/>
      <c r="BP128" s="495"/>
      <c r="BQ128" s="495"/>
      <c r="BR128" s="647"/>
      <c r="BS128" s="897">
        <f>BV128</f>
        <v>0.1</v>
      </c>
      <c r="BT128" s="897">
        <f>BT30/BT11</f>
        <v>0.1</v>
      </c>
      <c r="BU128" s="897"/>
      <c r="BV128" s="898">
        <f>+BN128</f>
        <v>0.1</v>
      </c>
    </row>
    <row r="129" spans="1:77" x14ac:dyDescent="0.2">
      <c r="A129" s="1396" t="s">
        <v>886</v>
      </c>
      <c r="B129" s="1002"/>
      <c r="C129" s="1002"/>
      <c r="D129" s="1002">
        <v>-0.6</v>
      </c>
      <c r="E129" s="1002">
        <v>-0.5</v>
      </c>
      <c r="F129" s="895">
        <v>-0.4</v>
      </c>
      <c r="G129" s="895">
        <v>-0.35</v>
      </c>
      <c r="H129" s="895">
        <v>-0.3</v>
      </c>
      <c r="I129" s="895">
        <v>-0.2</v>
      </c>
      <c r="J129" s="896">
        <v>-0.1</v>
      </c>
      <c r="K129" s="19"/>
      <c r="L129" s="19"/>
      <c r="M129" s="19"/>
      <c r="N129" s="647"/>
      <c r="O129" s="895">
        <v>0</v>
      </c>
      <c r="P129" s="895">
        <f>P31/P12</f>
        <v>0</v>
      </c>
      <c r="Q129" s="895"/>
      <c r="R129" s="1397">
        <v>0</v>
      </c>
      <c r="S129" s="495"/>
      <c r="T129" s="495"/>
      <c r="U129" s="495"/>
      <c r="V129" s="647"/>
      <c r="W129" s="895">
        <v>-0.1</v>
      </c>
      <c r="X129" s="895">
        <f>X31/X12</f>
        <v>0.14256812166846838</v>
      </c>
      <c r="Y129" s="897"/>
      <c r="Z129" s="1397">
        <v>2.5000000000000001E-2</v>
      </c>
      <c r="AA129" s="495"/>
      <c r="AB129" s="495"/>
      <c r="AC129" s="495"/>
      <c r="AD129" s="647"/>
      <c r="AE129" s="895">
        <f>AH129</f>
        <v>0.05</v>
      </c>
      <c r="AF129" s="895">
        <f>AF31/AF12</f>
        <v>4.9999999999999996E-2</v>
      </c>
      <c r="AG129" s="895"/>
      <c r="AH129" s="1397">
        <v>0.05</v>
      </c>
      <c r="AI129" s="495"/>
      <c r="AJ129" s="495"/>
      <c r="AK129" s="495"/>
      <c r="AL129" s="647"/>
      <c r="AM129" s="895">
        <f>AP129</f>
        <v>7.4999999999999997E-2</v>
      </c>
      <c r="AN129" s="897">
        <f>AN31/AN12</f>
        <v>7.4999999999999997E-2</v>
      </c>
      <c r="AO129" s="897"/>
      <c r="AP129" s="898">
        <v>7.4999999999999997E-2</v>
      </c>
      <c r="AQ129" s="495"/>
      <c r="AR129" s="495"/>
      <c r="AS129" s="495"/>
      <c r="AT129" s="647"/>
      <c r="AU129" s="897">
        <f>AX129</f>
        <v>7.4999999999999997E-2</v>
      </c>
      <c r="AV129" s="897">
        <f>AV31/AV12</f>
        <v>7.4999999999999997E-2</v>
      </c>
      <c r="AW129" s="897"/>
      <c r="AX129" s="898">
        <v>7.4999999999999997E-2</v>
      </c>
      <c r="AY129" s="495"/>
      <c r="AZ129" s="495"/>
      <c r="BA129" s="495"/>
      <c r="BB129" s="647"/>
      <c r="BC129" s="897">
        <f>BF129</f>
        <v>7.4999999999999997E-2</v>
      </c>
      <c r="BD129" s="897">
        <f>BD31/BD12</f>
        <v>7.4999999999999997E-2</v>
      </c>
      <c r="BE129" s="897"/>
      <c r="BF129" s="898">
        <v>7.4999999999999997E-2</v>
      </c>
      <c r="BG129" s="495"/>
      <c r="BH129" s="495"/>
      <c r="BI129" s="495"/>
      <c r="BJ129" s="647"/>
      <c r="BK129" s="897">
        <f>BN129</f>
        <v>7.4999999999999997E-2</v>
      </c>
      <c r="BL129" s="897">
        <f>BL31/BL12</f>
        <v>7.4999999999999983E-2</v>
      </c>
      <c r="BM129" s="897"/>
      <c r="BN129" s="898">
        <v>7.4999999999999997E-2</v>
      </c>
      <c r="BO129" s="495"/>
      <c r="BP129" s="495"/>
      <c r="BQ129" s="495"/>
      <c r="BR129" s="647"/>
      <c r="BS129" s="897">
        <f>BV129</f>
        <v>7.4999999999999997E-2</v>
      </c>
      <c r="BT129" s="897">
        <f>BT31/BT12</f>
        <v>7.4999999999999997E-2</v>
      </c>
      <c r="BU129" s="897"/>
      <c r="BV129" s="898">
        <v>7.4999999999999997E-2</v>
      </c>
    </row>
    <row r="130" spans="1:77" x14ac:dyDescent="0.2">
      <c r="A130" s="4" t="s">
        <v>792</v>
      </c>
      <c r="B130" s="18">
        <v>0.02</v>
      </c>
      <c r="C130" s="19">
        <v>0.02</v>
      </c>
      <c r="D130" s="19">
        <v>0.02</v>
      </c>
      <c r="E130" s="19">
        <v>0.02</v>
      </c>
      <c r="F130" s="19">
        <v>0.02</v>
      </c>
      <c r="G130" s="19">
        <v>0.02</v>
      </c>
      <c r="H130" s="19">
        <v>0.02</v>
      </c>
      <c r="I130" s="19">
        <v>0.02</v>
      </c>
      <c r="J130" s="494">
        <v>0.02</v>
      </c>
      <c r="K130" s="19"/>
      <c r="L130" s="19"/>
      <c r="M130" s="19"/>
      <c r="N130" s="647"/>
      <c r="O130" s="19">
        <v>0.02</v>
      </c>
      <c r="P130" s="895">
        <f>P32/P9</f>
        <v>1.9999999999999997E-2</v>
      </c>
      <c r="Q130" s="895"/>
      <c r="R130" s="668">
        <v>0.02</v>
      </c>
      <c r="S130" s="495"/>
      <c r="T130" s="495"/>
      <c r="U130" s="495"/>
      <c r="V130" s="647"/>
      <c r="W130" s="19">
        <v>0.02</v>
      </c>
      <c r="X130" s="895">
        <f>X32/X9</f>
        <v>1.9999999999999997E-2</v>
      </c>
      <c r="Y130" s="897"/>
      <c r="Z130" s="668">
        <v>0.02</v>
      </c>
      <c r="AA130" s="495"/>
      <c r="AB130" s="495"/>
      <c r="AC130" s="495"/>
      <c r="AD130" s="647"/>
      <c r="AE130" s="19">
        <f>AH130</f>
        <v>0.02</v>
      </c>
      <c r="AF130" s="895">
        <f>AF32/AF9</f>
        <v>0.02</v>
      </c>
      <c r="AG130" s="895"/>
      <c r="AH130" s="668">
        <v>0.02</v>
      </c>
      <c r="AI130" s="495"/>
      <c r="AJ130" s="495"/>
      <c r="AK130" s="495"/>
      <c r="AL130" s="647"/>
      <c r="AM130" s="19">
        <f>AP130</f>
        <v>0.02</v>
      </c>
      <c r="AN130" s="897">
        <f>AN32/AN9</f>
        <v>1.9999999999999997E-2</v>
      </c>
      <c r="AO130" s="897"/>
      <c r="AP130" s="644">
        <v>0.02</v>
      </c>
      <c r="AQ130" s="495"/>
      <c r="AR130" s="495"/>
      <c r="AS130" s="495"/>
      <c r="AT130" s="647"/>
      <c r="AU130" s="495">
        <f>AX130</f>
        <v>0.02</v>
      </c>
      <c r="AV130" s="897">
        <f>AV32/AV9</f>
        <v>0.02</v>
      </c>
      <c r="AW130" s="897"/>
      <c r="AX130" s="644">
        <v>0.02</v>
      </c>
      <c r="AY130" s="495"/>
      <c r="AZ130" s="495"/>
      <c r="BA130" s="495"/>
      <c r="BB130" s="647"/>
      <c r="BC130" s="495">
        <f>BF130</f>
        <v>0.02</v>
      </c>
      <c r="BD130" s="897">
        <f>BD32/BD9</f>
        <v>0.02</v>
      </c>
      <c r="BE130" s="897"/>
      <c r="BF130" s="644">
        <v>0.02</v>
      </c>
      <c r="BG130" s="495"/>
      <c r="BH130" s="495"/>
      <c r="BI130" s="495"/>
      <c r="BJ130" s="647"/>
      <c r="BK130" s="495">
        <f>BN130</f>
        <v>0.02</v>
      </c>
      <c r="BL130" s="897">
        <f>BL32/BL9</f>
        <v>0.02</v>
      </c>
      <c r="BM130" s="897"/>
      <c r="BN130" s="644">
        <v>0.02</v>
      </c>
      <c r="BO130" s="495"/>
      <c r="BP130" s="495"/>
      <c r="BQ130" s="495"/>
      <c r="BR130" s="647"/>
      <c r="BS130" s="495">
        <f>BV130</f>
        <v>0.02</v>
      </c>
      <c r="BT130" s="897">
        <f>BT32/BT9</f>
        <v>0.02</v>
      </c>
      <c r="BU130" s="897"/>
      <c r="BV130" s="644">
        <v>0.02</v>
      </c>
    </row>
    <row r="131" spans="1:77" x14ac:dyDescent="0.2">
      <c r="A131" s="4" t="s">
        <v>793</v>
      </c>
      <c r="B131" s="18">
        <v>0</v>
      </c>
      <c r="C131" s="19">
        <v>0</v>
      </c>
      <c r="D131" s="19">
        <v>0</v>
      </c>
      <c r="E131" s="19">
        <v>0</v>
      </c>
      <c r="F131" s="19">
        <v>0</v>
      </c>
      <c r="G131" s="19">
        <v>0</v>
      </c>
      <c r="H131" s="19">
        <v>0</v>
      </c>
      <c r="I131" s="19">
        <v>0</v>
      </c>
      <c r="J131" s="494">
        <v>0</v>
      </c>
      <c r="K131" s="19"/>
      <c r="L131" s="19"/>
      <c r="M131" s="19"/>
      <c r="N131" s="647"/>
      <c r="O131" s="19">
        <v>0</v>
      </c>
      <c r="P131" s="895">
        <f>P33/P20</f>
        <v>0</v>
      </c>
      <c r="Q131" s="895"/>
      <c r="R131" s="668">
        <v>0</v>
      </c>
      <c r="S131" s="495"/>
      <c r="T131" s="495"/>
      <c r="U131" s="495"/>
      <c r="V131" s="647"/>
      <c r="W131" s="19">
        <v>0</v>
      </c>
      <c r="X131" s="895">
        <f>X33/X20</f>
        <v>0</v>
      </c>
      <c r="Y131" s="897"/>
      <c r="Z131" s="668">
        <v>0</v>
      </c>
      <c r="AA131" s="495"/>
      <c r="AB131" s="495"/>
      <c r="AC131" s="495"/>
      <c r="AD131" s="647"/>
      <c r="AE131" s="19">
        <f>AH131</f>
        <v>0</v>
      </c>
      <c r="AF131" s="895">
        <f>AF33/AF20</f>
        <v>0</v>
      </c>
      <c r="AG131" s="895"/>
      <c r="AH131" s="668">
        <v>0</v>
      </c>
      <c r="AI131" s="495"/>
      <c r="AJ131" s="495"/>
      <c r="AK131" s="495"/>
      <c r="AL131" s="647"/>
      <c r="AM131" s="19">
        <f>AP131</f>
        <v>0</v>
      </c>
      <c r="AN131" s="897">
        <f>AN33/AN20</f>
        <v>0</v>
      </c>
      <c r="AO131" s="897"/>
      <c r="AP131" s="644">
        <v>0</v>
      </c>
      <c r="AQ131" s="495"/>
      <c r="AR131" s="495"/>
      <c r="AS131" s="495"/>
      <c r="AT131" s="647"/>
      <c r="AU131" s="495">
        <f>AX131</f>
        <v>0</v>
      </c>
      <c r="AV131" s="897">
        <f>AV33/AV20</f>
        <v>0</v>
      </c>
      <c r="AW131" s="897"/>
      <c r="AX131" s="644">
        <v>0</v>
      </c>
      <c r="AY131" s="495"/>
      <c r="AZ131" s="495"/>
      <c r="BA131" s="495"/>
      <c r="BB131" s="647"/>
      <c r="BC131" s="495">
        <f>BF131</f>
        <v>0</v>
      </c>
      <c r="BD131" s="897">
        <f>BD33/BD20</f>
        <v>0</v>
      </c>
      <c r="BE131" s="897"/>
      <c r="BF131" s="644">
        <v>0</v>
      </c>
      <c r="BG131" s="495"/>
      <c r="BH131" s="495"/>
      <c r="BI131" s="495"/>
      <c r="BJ131" s="647"/>
      <c r="BK131" s="495">
        <f>BN131</f>
        <v>0</v>
      </c>
      <c r="BL131" s="897">
        <f>BL33/BL20</f>
        <v>0</v>
      </c>
      <c r="BM131" s="897"/>
      <c r="BN131" s="644">
        <v>0</v>
      </c>
      <c r="BO131" s="495"/>
      <c r="BP131" s="495"/>
      <c r="BQ131" s="495"/>
      <c r="BR131" s="647"/>
      <c r="BS131" s="495">
        <f>BV131</f>
        <v>0</v>
      </c>
      <c r="BT131" s="897">
        <f>BT33/BT20</f>
        <v>0</v>
      </c>
      <c r="BU131" s="897"/>
      <c r="BV131" s="644">
        <v>0</v>
      </c>
    </row>
    <row r="132" spans="1:77" x14ac:dyDescent="0.2">
      <c r="A132" s="1396" t="s">
        <v>887</v>
      </c>
      <c r="B132" s="899">
        <v>0</v>
      </c>
      <c r="C132" s="899">
        <v>0</v>
      </c>
      <c r="D132" s="899">
        <v>0</v>
      </c>
      <c r="E132" s="899">
        <v>-170</v>
      </c>
      <c r="F132" s="900">
        <v>-220</v>
      </c>
      <c r="G132" s="900">
        <v>0</v>
      </c>
      <c r="H132" s="900">
        <v>0</v>
      </c>
      <c r="I132" s="900">
        <v>0</v>
      </c>
      <c r="J132" s="912">
        <v>0</v>
      </c>
      <c r="K132" s="901"/>
      <c r="L132" s="901"/>
      <c r="M132" s="901"/>
      <c r="N132" s="903"/>
      <c r="O132" s="901">
        <v>0</v>
      </c>
      <c r="P132" s="901">
        <f>R132-O132</f>
        <v>0</v>
      </c>
      <c r="Q132" s="901"/>
      <c r="R132" s="1398">
        <v>0</v>
      </c>
      <c r="S132" s="904"/>
      <c r="T132" s="904"/>
      <c r="U132" s="904"/>
      <c r="V132" s="903"/>
      <c r="W132" s="901">
        <v>0</v>
      </c>
      <c r="X132" s="901">
        <f>Z132-W132</f>
        <v>0</v>
      </c>
      <c r="Y132" s="904"/>
      <c r="Z132" s="1398">
        <v>0</v>
      </c>
      <c r="AA132" s="904"/>
      <c r="AB132" s="904"/>
      <c r="AC132" s="904"/>
      <c r="AD132" s="903"/>
      <c r="AE132" s="901">
        <f>AH132/2</f>
        <v>0</v>
      </c>
      <c r="AF132" s="901">
        <f>AH132-AE132</f>
        <v>0</v>
      </c>
      <c r="AG132" s="901"/>
      <c r="AH132" s="1398">
        <v>0</v>
      </c>
      <c r="AI132" s="904"/>
      <c r="AJ132" s="904"/>
      <c r="AK132" s="904"/>
      <c r="AL132" s="903"/>
      <c r="AM132" s="901">
        <f>AP132/2</f>
        <v>0</v>
      </c>
      <c r="AN132" s="904">
        <f>AP132-AM132</f>
        <v>0</v>
      </c>
      <c r="AO132" s="904"/>
      <c r="AP132" s="905">
        <v>0</v>
      </c>
      <c r="AQ132" s="904"/>
      <c r="AR132" s="904"/>
      <c r="AS132" s="904"/>
      <c r="AT132" s="903"/>
      <c r="AU132" s="904">
        <f>AX132/2</f>
        <v>0</v>
      </c>
      <c r="AV132" s="904">
        <f>AX132-AU132</f>
        <v>0</v>
      </c>
      <c r="AW132" s="904"/>
      <c r="AX132" s="905">
        <v>0</v>
      </c>
      <c r="AY132" s="904"/>
      <c r="AZ132" s="904"/>
      <c r="BA132" s="904"/>
      <c r="BB132" s="903"/>
      <c r="BC132" s="904">
        <f>BF132/2</f>
        <v>0</v>
      </c>
      <c r="BD132" s="904">
        <f>BF132-BC132</f>
        <v>0</v>
      </c>
      <c r="BE132" s="904"/>
      <c r="BF132" s="905">
        <v>0</v>
      </c>
      <c r="BG132" s="904"/>
      <c r="BH132" s="904"/>
      <c r="BI132" s="904"/>
      <c r="BJ132" s="903"/>
      <c r="BK132" s="904">
        <f>BN132/2</f>
        <v>0</v>
      </c>
      <c r="BL132" s="904">
        <f>BN132-BK132</f>
        <v>0</v>
      </c>
      <c r="BM132" s="904"/>
      <c r="BN132" s="905">
        <v>0</v>
      </c>
      <c r="BO132" s="904"/>
      <c r="BP132" s="904"/>
      <c r="BQ132" s="904"/>
      <c r="BR132" s="903"/>
      <c r="BS132" s="904">
        <f>BV132/2</f>
        <v>0</v>
      </c>
      <c r="BT132" s="904">
        <f>BV132-BS132</f>
        <v>0</v>
      </c>
      <c r="BU132" s="904"/>
      <c r="BV132" s="905">
        <v>0</v>
      </c>
    </row>
    <row r="133" spans="1:77" x14ac:dyDescent="0.2">
      <c r="J133" s="180"/>
      <c r="N133" s="179"/>
      <c r="R133" s="314"/>
      <c r="V133" s="179"/>
      <c r="Z133" s="314"/>
      <c r="AD133" s="179"/>
      <c r="AH133" s="314"/>
      <c r="AL133" s="179"/>
      <c r="AP133" s="314"/>
      <c r="AT133" s="179"/>
      <c r="AX133" s="314"/>
      <c r="BB133" s="179"/>
      <c r="BF133" s="314"/>
      <c r="BJ133" s="179"/>
      <c r="BN133" s="314"/>
      <c r="BR133" s="179"/>
      <c r="BV133" s="314"/>
    </row>
    <row r="134" spans="1:77" x14ac:dyDescent="0.2">
      <c r="A134" s="906" t="s">
        <v>326</v>
      </c>
      <c r="B134" s="907"/>
      <c r="C134" s="907"/>
      <c r="D134" s="907"/>
      <c r="E134" s="907"/>
      <c r="F134" s="907"/>
      <c r="G134" s="907"/>
      <c r="H134" s="907"/>
      <c r="I134" s="907"/>
      <c r="J134" s="908"/>
      <c r="K134" s="907"/>
      <c r="L134" s="907"/>
      <c r="M134" s="907"/>
      <c r="N134" s="909"/>
      <c r="O134" s="907"/>
      <c r="P134" s="907"/>
      <c r="Q134" s="907"/>
      <c r="R134" s="910"/>
      <c r="S134" s="907"/>
      <c r="T134" s="907"/>
      <c r="U134" s="907"/>
      <c r="V134" s="909"/>
      <c r="W134" s="907"/>
      <c r="X134" s="907"/>
      <c r="Y134" s="907"/>
      <c r="Z134" s="910"/>
      <c r="AA134" s="907"/>
      <c r="AB134" s="907"/>
      <c r="AC134" s="907"/>
      <c r="AD134" s="909"/>
      <c r="AE134" s="907"/>
      <c r="AF134" s="907"/>
      <c r="AG134" s="907"/>
      <c r="AH134" s="910"/>
      <c r="AI134" s="907"/>
      <c r="AJ134" s="907"/>
      <c r="AK134" s="907"/>
      <c r="AL134" s="909"/>
      <c r="AM134" s="907"/>
      <c r="AN134" s="907"/>
      <c r="AO134" s="907"/>
      <c r="AP134" s="910"/>
      <c r="AQ134" s="907"/>
      <c r="AR134" s="907"/>
      <c r="AS134" s="907"/>
      <c r="AT134" s="909"/>
      <c r="AU134" s="907"/>
      <c r="AV134" s="907"/>
      <c r="AW134" s="907"/>
      <c r="AX134" s="910"/>
      <c r="AY134" s="907"/>
      <c r="AZ134" s="907"/>
      <c r="BA134" s="907"/>
      <c r="BB134" s="909"/>
      <c r="BC134" s="907"/>
      <c r="BD134" s="907"/>
      <c r="BE134" s="907"/>
      <c r="BF134" s="910"/>
      <c r="BG134" s="907"/>
      <c r="BH134" s="907"/>
      <c r="BI134" s="907"/>
      <c r="BJ134" s="909"/>
      <c r="BK134" s="907"/>
      <c r="BL134" s="907"/>
      <c r="BM134" s="907"/>
      <c r="BN134" s="910"/>
      <c r="BO134" s="907"/>
      <c r="BP134" s="907"/>
      <c r="BQ134" s="907"/>
      <c r="BR134" s="909"/>
      <c r="BS134" s="907"/>
      <c r="BT134" s="907"/>
      <c r="BU134" s="907"/>
      <c r="BV134" s="910"/>
    </row>
    <row r="135" spans="1:77" x14ac:dyDescent="0.2">
      <c r="A135" s="911" t="s">
        <v>888</v>
      </c>
      <c r="J135" s="180"/>
      <c r="N135" s="179"/>
      <c r="R135" s="314"/>
      <c r="V135" s="179"/>
      <c r="Z135" s="314"/>
      <c r="AD135" s="179"/>
      <c r="AH135" s="314"/>
      <c r="AL135" s="179"/>
      <c r="AP135" s="314"/>
      <c r="AT135" s="179"/>
      <c r="AX135" s="314"/>
      <c r="BB135" s="179"/>
      <c r="BF135" s="314"/>
      <c r="BJ135" s="179"/>
      <c r="BN135" s="314"/>
      <c r="BR135" s="179"/>
      <c r="BV135" s="314"/>
    </row>
    <row r="136" spans="1:77" x14ac:dyDescent="0.2">
      <c r="A136" s="911"/>
      <c r="J136" s="180"/>
      <c r="N136" s="179"/>
      <c r="R136" s="314"/>
      <c r="V136" s="179"/>
      <c r="Z136" s="314"/>
      <c r="AD136" s="179"/>
      <c r="AH136" s="314"/>
      <c r="AL136" s="179"/>
      <c r="AP136" s="314"/>
      <c r="AT136" s="179"/>
      <c r="AX136" s="314"/>
      <c r="BB136" s="179"/>
      <c r="BF136" s="314"/>
      <c r="BJ136" s="179"/>
      <c r="BN136" s="314"/>
      <c r="BR136" s="179"/>
      <c r="BV136" s="314"/>
    </row>
    <row r="137" spans="1:77" x14ac:dyDescent="0.2">
      <c r="A137" s="899" t="s">
        <v>889</v>
      </c>
      <c r="B137" s="899">
        <v>490</v>
      </c>
      <c r="C137" s="899">
        <v>491</v>
      </c>
      <c r="D137" s="899">
        <v>477</v>
      </c>
      <c r="E137" s="899">
        <v>377</v>
      </c>
      <c r="F137" s="900">
        <v>240</v>
      </c>
      <c r="G137" s="900">
        <v>91</v>
      </c>
      <c r="H137" s="900">
        <v>15</v>
      </c>
      <c r="I137" s="900">
        <v>24</v>
      </c>
      <c r="J137" s="912">
        <v>0</v>
      </c>
      <c r="K137" s="913">
        <v>0</v>
      </c>
      <c r="L137" s="900">
        <v>0</v>
      </c>
      <c r="M137" s="900">
        <v>0</v>
      </c>
      <c r="N137" s="954">
        <v>0</v>
      </c>
      <c r="O137" s="900">
        <v>0</v>
      </c>
      <c r="P137" s="900">
        <v>0</v>
      </c>
      <c r="Q137" s="900">
        <f>O137+M137</f>
        <v>0</v>
      </c>
      <c r="R137" s="955">
        <v>0</v>
      </c>
      <c r="S137" s="900">
        <v>0</v>
      </c>
      <c r="T137" s="900">
        <v>0</v>
      </c>
      <c r="U137" s="900">
        <v>0</v>
      </c>
      <c r="V137" s="914">
        <v>0</v>
      </c>
      <c r="W137" s="900">
        <v>0</v>
      </c>
      <c r="X137" s="913">
        <v>0</v>
      </c>
      <c r="Y137" s="900">
        <f>W137+U137</f>
        <v>0</v>
      </c>
      <c r="Z137" s="915">
        <v>0</v>
      </c>
      <c r="AA137" s="900">
        <v>0</v>
      </c>
      <c r="AB137" s="900">
        <v>0</v>
      </c>
      <c r="AC137" s="900">
        <v>0</v>
      </c>
      <c r="AD137" s="954">
        <v>0</v>
      </c>
      <c r="AE137" s="900">
        <v>0</v>
      </c>
      <c r="AF137" s="900">
        <v>0</v>
      </c>
      <c r="AG137" s="900">
        <f>AE137+AC137</f>
        <v>0</v>
      </c>
      <c r="AH137" s="955">
        <v>0</v>
      </c>
      <c r="AI137" s="900">
        <v>0</v>
      </c>
      <c r="AJ137" s="900">
        <v>0</v>
      </c>
      <c r="AK137" s="913">
        <v>0</v>
      </c>
      <c r="AL137" s="914">
        <v>0</v>
      </c>
      <c r="AM137" s="900">
        <v>0</v>
      </c>
      <c r="AN137" s="913">
        <v>0</v>
      </c>
      <c r="AO137" s="913">
        <f>AM137+AK137</f>
        <v>0</v>
      </c>
      <c r="AP137" s="915">
        <v>0</v>
      </c>
      <c r="AQ137" s="913">
        <v>0</v>
      </c>
      <c r="AR137" s="913">
        <v>0</v>
      </c>
      <c r="AS137" s="913">
        <v>0</v>
      </c>
      <c r="AT137" s="914">
        <v>0</v>
      </c>
      <c r="AU137" s="913">
        <v>0</v>
      </c>
      <c r="AV137" s="913">
        <v>0</v>
      </c>
      <c r="AW137" s="913">
        <f>AU137+AS137</f>
        <v>0</v>
      </c>
      <c r="AX137" s="915">
        <v>0</v>
      </c>
      <c r="AY137" s="913">
        <v>0</v>
      </c>
      <c r="AZ137" s="913">
        <v>0</v>
      </c>
      <c r="BA137" s="913">
        <v>0</v>
      </c>
      <c r="BB137" s="914">
        <v>0</v>
      </c>
      <c r="BC137" s="913">
        <v>0</v>
      </c>
      <c r="BD137" s="913">
        <v>0</v>
      </c>
      <c r="BE137" s="913">
        <f>BC137+BA137</f>
        <v>0</v>
      </c>
      <c r="BF137" s="915">
        <v>0</v>
      </c>
      <c r="BG137" s="913">
        <v>0</v>
      </c>
      <c r="BH137" s="913">
        <v>0</v>
      </c>
      <c r="BI137" s="913">
        <v>0</v>
      </c>
      <c r="BJ137" s="914">
        <v>0</v>
      </c>
      <c r="BK137" s="913">
        <v>0</v>
      </c>
      <c r="BL137" s="913">
        <v>0</v>
      </c>
      <c r="BM137" s="913">
        <f>BK137+BI137</f>
        <v>0</v>
      </c>
      <c r="BN137" s="915">
        <v>0</v>
      </c>
      <c r="BO137" s="913">
        <v>0</v>
      </c>
      <c r="BP137" s="913">
        <v>0</v>
      </c>
      <c r="BQ137" s="913">
        <v>0</v>
      </c>
      <c r="BR137" s="914">
        <v>0</v>
      </c>
      <c r="BS137" s="913">
        <v>0</v>
      </c>
      <c r="BT137" s="913">
        <v>0</v>
      </c>
      <c r="BU137" s="913">
        <f>BS137+BQ137</f>
        <v>0</v>
      </c>
      <c r="BV137" s="915">
        <v>0</v>
      </c>
      <c r="BW137" s="571"/>
    </row>
    <row r="138" spans="1:77" x14ac:dyDescent="0.2">
      <c r="A138" s="899" t="s">
        <v>890</v>
      </c>
      <c r="B138" s="899">
        <v>0</v>
      </c>
      <c r="C138" s="899">
        <v>0</v>
      </c>
      <c r="D138" s="899">
        <v>68</v>
      </c>
      <c r="E138" s="899">
        <v>181</v>
      </c>
      <c r="F138" s="900">
        <v>386</v>
      </c>
      <c r="G138" s="916">
        <v>561</v>
      </c>
      <c r="H138" s="916">
        <v>431</v>
      </c>
      <c r="I138" s="916">
        <v>459</v>
      </c>
      <c r="J138" s="917">
        <v>516</v>
      </c>
      <c r="K138" s="916">
        <v>0</v>
      </c>
      <c r="L138" s="916">
        <v>0</v>
      </c>
      <c r="M138" s="916">
        <v>0</v>
      </c>
      <c r="N138" s="1399">
        <v>0</v>
      </c>
      <c r="O138" s="916">
        <v>0</v>
      </c>
      <c r="P138" s="916">
        <v>0</v>
      </c>
      <c r="Q138" s="916">
        <f>O138+M138</f>
        <v>0</v>
      </c>
      <c r="R138" s="1400">
        <v>571</v>
      </c>
      <c r="S138" s="916">
        <v>116</v>
      </c>
      <c r="T138" s="916">
        <v>145</v>
      </c>
      <c r="U138" s="916">
        <v>135</v>
      </c>
      <c r="V138" s="1399">
        <v>206</v>
      </c>
      <c r="W138" s="916">
        <v>261</v>
      </c>
      <c r="X138" s="916">
        <v>341</v>
      </c>
      <c r="Y138" s="916">
        <f>W138+U138</f>
        <v>396</v>
      </c>
      <c r="Z138" s="1400">
        <v>602</v>
      </c>
      <c r="AA138" s="916">
        <v>106</v>
      </c>
      <c r="AB138" s="916">
        <v>126</v>
      </c>
      <c r="AC138" s="916">
        <v>160</v>
      </c>
      <c r="AD138" s="1399">
        <v>215</v>
      </c>
      <c r="AE138" s="916">
        <v>232</v>
      </c>
      <c r="AF138" s="916">
        <v>375</v>
      </c>
      <c r="AG138" s="916">
        <f>AE138+AC138</f>
        <v>392</v>
      </c>
      <c r="AH138" s="1400">
        <v>607</v>
      </c>
      <c r="AI138" s="916">
        <v>81</v>
      </c>
      <c r="AJ138" s="916">
        <v>190</v>
      </c>
      <c r="AK138" s="919">
        <v>160</v>
      </c>
      <c r="AL138" s="918">
        <v>222</v>
      </c>
      <c r="AM138" s="916">
        <v>271</v>
      </c>
      <c r="AN138" s="919">
        <v>382</v>
      </c>
      <c r="AO138" s="919">
        <f>AM138+AK138</f>
        <v>431</v>
      </c>
      <c r="AP138" s="920">
        <v>653</v>
      </c>
      <c r="AQ138" s="919">
        <v>172.5</v>
      </c>
      <c r="AR138" s="919">
        <v>186.875</v>
      </c>
      <c r="AS138" s="919">
        <v>186.875</v>
      </c>
      <c r="AT138" s="918">
        <v>186.875</v>
      </c>
      <c r="AU138" s="919">
        <v>359.375</v>
      </c>
      <c r="AV138" s="919">
        <v>373.75</v>
      </c>
      <c r="AW138" s="919">
        <f>AU138+AS138</f>
        <v>546.25</v>
      </c>
      <c r="AX138" s="920">
        <v>733.125</v>
      </c>
      <c r="AY138" s="919">
        <v>186.875</v>
      </c>
      <c r="AZ138" s="919">
        <v>201.25</v>
      </c>
      <c r="BA138" s="919">
        <v>201.25</v>
      </c>
      <c r="BB138" s="918">
        <v>201.25</v>
      </c>
      <c r="BC138" s="919">
        <v>388.125</v>
      </c>
      <c r="BD138" s="919">
        <v>402.5</v>
      </c>
      <c r="BE138" s="919">
        <f>BC138+BA138</f>
        <v>589.375</v>
      </c>
      <c r="BF138" s="920">
        <v>790.625</v>
      </c>
      <c r="BG138" s="919">
        <v>201.25</v>
      </c>
      <c r="BH138" s="919">
        <v>201.25</v>
      </c>
      <c r="BI138" s="919">
        <v>201.25</v>
      </c>
      <c r="BJ138" s="918">
        <v>201.25</v>
      </c>
      <c r="BK138" s="919">
        <v>402.5</v>
      </c>
      <c r="BL138" s="919">
        <v>402.5</v>
      </c>
      <c r="BM138" s="919">
        <f>BK138+BI138</f>
        <v>603.75</v>
      </c>
      <c r="BN138" s="920">
        <v>805</v>
      </c>
      <c r="BO138" s="919">
        <v>201.25</v>
      </c>
      <c r="BP138" s="919">
        <v>201.25</v>
      </c>
      <c r="BQ138" s="919">
        <v>201.25</v>
      </c>
      <c r="BR138" s="918">
        <v>201.25</v>
      </c>
      <c r="BS138" s="919">
        <v>402.5</v>
      </c>
      <c r="BT138" s="919">
        <v>402.5</v>
      </c>
      <c r="BU138" s="919">
        <f>BS138+BQ138</f>
        <v>603.75</v>
      </c>
      <c r="BV138" s="920">
        <v>805</v>
      </c>
      <c r="BW138" s="571"/>
    </row>
    <row r="139" spans="1:77" ht="15" x14ac:dyDescent="0.25">
      <c r="A139" s="921" t="s">
        <v>891</v>
      </c>
      <c r="B139" s="921">
        <f>B138+B137</f>
        <v>490</v>
      </c>
      <c r="C139" s="921">
        <f t="shared" ref="C139:BN139" si="432">C138+C137</f>
        <v>491</v>
      </c>
      <c r="D139" s="921">
        <f t="shared" si="432"/>
        <v>545</v>
      </c>
      <c r="E139" s="921">
        <f t="shared" si="432"/>
        <v>558</v>
      </c>
      <c r="F139" s="921">
        <f t="shared" si="432"/>
        <v>626</v>
      </c>
      <c r="G139" s="921">
        <f>G138+G137</f>
        <v>652</v>
      </c>
      <c r="H139" s="921">
        <f>H138+H137</f>
        <v>446</v>
      </c>
      <c r="I139" s="921">
        <f t="shared" si="432"/>
        <v>483</v>
      </c>
      <c r="J139" s="922">
        <f t="shared" si="432"/>
        <v>516</v>
      </c>
      <c r="K139" s="921">
        <f t="shared" si="432"/>
        <v>0</v>
      </c>
      <c r="L139" s="921">
        <f t="shared" ref="L139:P139" si="433">L138+L137</f>
        <v>0</v>
      </c>
      <c r="M139" s="921">
        <f t="shared" si="433"/>
        <v>0</v>
      </c>
      <c r="N139" s="1401">
        <f t="shared" si="433"/>
        <v>0</v>
      </c>
      <c r="O139" s="921">
        <f t="shared" si="433"/>
        <v>0</v>
      </c>
      <c r="P139" s="921">
        <f t="shared" si="433"/>
        <v>0</v>
      </c>
      <c r="Q139" s="921">
        <f t="shared" si="432"/>
        <v>0</v>
      </c>
      <c r="R139" s="1402">
        <f t="shared" si="432"/>
        <v>571</v>
      </c>
      <c r="S139" s="921">
        <f t="shared" si="432"/>
        <v>116</v>
      </c>
      <c r="T139" s="921">
        <f t="shared" si="432"/>
        <v>145</v>
      </c>
      <c r="U139" s="921">
        <f t="shared" si="432"/>
        <v>135</v>
      </c>
      <c r="V139" s="1401">
        <f t="shared" si="432"/>
        <v>206</v>
      </c>
      <c r="W139" s="921">
        <f t="shared" si="432"/>
        <v>261</v>
      </c>
      <c r="X139" s="921">
        <f t="shared" si="432"/>
        <v>341</v>
      </c>
      <c r="Y139" s="921">
        <f t="shared" si="432"/>
        <v>396</v>
      </c>
      <c r="Z139" s="1402">
        <f t="shared" si="432"/>
        <v>602</v>
      </c>
      <c r="AA139" s="921">
        <f t="shared" si="432"/>
        <v>106</v>
      </c>
      <c r="AB139" s="921">
        <f t="shared" si="432"/>
        <v>126</v>
      </c>
      <c r="AC139" s="921">
        <f t="shared" si="432"/>
        <v>160</v>
      </c>
      <c r="AD139" s="1401">
        <f t="shared" si="432"/>
        <v>215</v>
      </c>
      <c r="AE139" s="921">
        <f t="shared" si="432"/>
        <v>232</v>
      </c>
      <c r="AF139" s="921">
        <f t="shared" si="432"/>
        <v>375</v>
      </c>
      <c r="AG139" s="921">
        <f t="shared" si="432"/>
        <v>392</v>
      </c>
      <c r="AH139" s="1402">
        <f t="shared" si="432"/>
        <v>607</v>
      </c>
      <c r="AI139" s="921">
        <f t="shared" si="432"/>
        <v>81</v>
      </c>
      <c r="AJ139" s="921">
        <f t="shared" si="432"/>
        <v>190</v>
      </c>
      <c r="AK139" s="924">
        <f t="shared" si="432"/>
        <v>160</v>
      </c>
      <c r="AL139" s="923">
        <f t="shared" si="432"/>
        <v>222</v>
      </c>
      <c r="AM139" s="921">
        <f t="shared" si="432"/>
        <v>271</v>
      </c>
      <c r="AN139" s="924">
        <f t="shared" si="432"/>
        <v>382</v>
      </c>
      <c r="AO139" s="924">
        <f t="shared" si="432"/>
        <v>431</v>
      </c>
      <c r="AP139" s="925">
        <f t="shared" si="432"/>
        <v>653</v>
      </c>
      <c r="AQ139" s="924">
        <f t="shared" si="432"/>
        <v>172.5</v>
      </c>
      <c r="AR139" s="924">
        <f t="shared" si="432"/>
        <v>186.875</v>
      </c>
      <c r="AS139" s="924">
        <f t="shared" si="432"/>
        <v>186.875</v>
      </c>
      <c r="AT139" s="923">
        <f t="shared" si="432"/>
        <v>186.875</v>
      </c>
      <c r="AU139" s="924">
        <f t="shared" si="432"/>
        <v>359.375</v>
      </c>
      <c r="AV139" s="924">
        <f t="shared" si="432"/>
        <v>373.75</v>
      </c>
      <c r="AW139" s="924">
        <f t="shared" si="432"/>
        <v>546.25</v>
      </c>
      <c r="AX139" s="925">
        <f t="shared" si="432"/>
        <v>733.125</v>
      </c>
      <c r="AY139" s="924">
        <f t="shared" si="432"/>
        <v>186.875</v>
      </c>
      <c r="AZ139" s="924">
        <f t="shared" si="432"/>
        <v>201.25</v>
      </c>
      <c r="BA139" s="924">
        <f t="shared" si="432"/>
        <v>201.25</v>
      </c>
      <c r="BB139" s="923">
        <f t="shared" si="432"/>
        <v>201.25</v>
      </c>
      <c r="BC139" s="924">
        <f t="shared" si="432"/>
        <v>388.125</v>
      </c>
      <c r="BD139" s="924">
        <f t="shared" si="432"/>
        <v>402.5</v>
      </c>
      <c r="BE139" s="924">
        <f t="shared" si="432"/>
        <v>589.375</v>
      </c>
      <c r="BF139" s="925">
        <f t="shared" si="432"/>
        <v>790.625</v>
      </c>
      <c r="BG139" s="924">
        <f t="shared" si="432"/>
        <v>201.25</v>
      </c>
      <c r="BH139" s="924">
        <f t="shared" si="432"/>
        <v>201.25</v>
      </c>
      <c r="BI139" s="924">
        <f t="shared" si="432"/>
        <v>201.25</v>
      </c>
      <c r="BJ139" s="923">
        <f t="shared" si="432"/>
        <v>201.25</v>
      </c>
      <c r="BK139" s="924">
        <f t="shared" si="432"/>
        <v>402.5</v>
      </c>
      <c r="BL139" s="924">
        <f t="shared" si="432"/>
        <v>402.5</v>
      </c>
      <c r="BM139" s="924">
        <f t="shared" si="432"/>
        <v>603.75</v>
      </c>
      <c r="BN139" s="925">
        <f t="shared" si="432"/>
        <v>805</v>
      </c>
      <c r="BO139" s="924">
        <f t="shared" ref="BO139:BV139" si="434">BO138+BO137</f>
        <v>201.25</v>
      </c>
      <c r="BP139" s="924">
        <f t="shared" si="434"/>
        <v>201.25</v>
      </c>
      <c r="BQ139" s="924">
        <f t="shared" si="434"/>
        <v>201.25</v>
      </c>
      <c r="BR139" s="923">
        <f t="shared" si="434"/>
        <v>201.25</v>
      </c>
      <c r="BS139" s="924">
        <f t="shared" si="434"/>
        <v>402.5</v>
      </c>
      <c r="BT139" s="924">
        <f t="shared" si="434"/>
        <v>402.5</v>
      </c>
      <c r="BU139" s="924">
        <f t="shared" si="434"/>
        <v>603.75</v>
      </c>
      <c r="BV139" s="925">
        <f t="shared" si="434"/>
        <v>805</v>
      </c>
      <c r="BW139" s="926"/>
      <c r="BX139" s="926"/>
      <c r="BY139" s="14"/>
    </row>
    <row r="140" spans="1:77" ht="15" x14ac:dyDescent="0.25">
      <c r="A140" s="901" t="s">
        <v>892</v>
      </c>
      <c r="B140" s="901">
        <f t="shared" ref="B140:J140" si="435">B139/11.5</f>
        <v>42.608695652173914</v>
      </c>
      <c r="C140" s="901">
        <f t="shared" si="435"/>
        <v>42.695652173913047</v>
      </c>
      <c r="D140" s="901">
        <f t="shared" si="435"/>
        <v>47.391304347826086</v>
      </c>
      <c r="E140" s="901">
        <f t="shared" si="435"/>
        <v>48.521739130434781</v>
      </c>
      <c r="F140" s="901">
        <f t="shared" si="435"/>
        <v>54.434782608695649</v>
      </c>
      <c r="G140" s="901">
        <f t="shared" si="435"/>
        <v>56.695652173913047</v>
      </c>
      <c r="H140" s="901">
        <f t="shared" si="435"/>
        <v>38.782608695652172</v>
      </c>
      <c r="I140" s="901">
        <f t="shared" si="435"/>
        <v>42</v>
      </c>
      <c r="J140" s="902">
        <f t="shared" si="435"/>
        <v>44.869565217391305</v>
      </c>
      <c r="K140" s="901"/>
      <c r="L140" s="901"/>
      <c r="M140" s="901"/>
      <c r="N140" s="927"/>
      <c r="O140" s="901"/>
      <c r="P140" s="901"/>
      <c r="Q140" s="901"/>
      <c r="R140" s="1398">
        <f>R139/11.5</f>
        <v>49.652173913043477</v>
      </c>
      <c r="S140" s="901"/>
      <c r="T140" s="901"/>
      <c r="U140" s="901"/>
      <c r="V140" s="927"/>
      <c r="W140" s="901"/>
      <c r="X140" s="901"/>
      <c r="Y140" s="901"/>
      <c r="Z140" s="1398">
        <f>Z139/11.5</f>
        <v>52.347826086956523</v>
      </c>
      <c r="AA140" s="901"/>
      <c r="AB140" s="901"/>
      <c r="AC140" s="901"/>
      <c r="AD140" s="927"/>
      <c r="AE140" s="901"/>
      <c r="AF140" s="901"/>
      <c r="AG140" s="901"/>
      <c r="AH140" s="1398">
        <f>AH139/11.5</f>
        <v>52.782608695652172</v>
      </c>
      <c r="AI140" s="901"/>
      <c r="AJ140" s="901"/>
      <c r="AK140" s="901"/>
      <c r="AL140" s="927"/>
      <c r="AM140" s="901"/>
      <c r="AN140" s="901"/>
      <c r="AO140" s="901"/>
      <c r="AP140" s="928">
        <f>AP139/11.5</f>
        <v>56.782608695652172</v>
      </c>
      <c r="AQ140" s="901"/>
      <c r="AR140" s="901"/>
      <c r="AS140" s="901"/>
      <c r="AT140" s="927"/>
      <c r="AU140" s="901"/>
      <c r="AV140" s="901"/>
      <c r="AW140" s="901"/>
      <c r="AX140" s="928">
        <f>AX139/11.5</f>
        <v>63.75</v>
      </c>
      <c r="AY140" s="901"/>
      <c r="AZ140" s="901"/>
      <c r="BA140" s="901"/>
      <c r="BB140" s="927"/>
      <c r="BC140" s="901"/>
      <c r="BD140" s="901"/>
      <c r="BE140" s="901"/>
      <c r="BF140" s="928">
        <f>BF139/11.5</f>
        <v>68.75</v>
      </c>
      <c r="BG140" s="901"/>
      <c r="BH140" s="901"/>
      <c r="BI140" s="901"/>
      <c r="BJ140" s="927"/>
      <c r="BK140" s="901"/>
      <c r="BL140" s="901"/>
      <c r="BM140" s="901"/>
      <c r="BN140" s="928">
        <f>BN139/11.5</f>
        <v>70</v>
      </c>
      <c r="BO140" s="901"/>
      <c r="BP140" s="901"/>
      <c r="BQ140" s="901"/>
      <c r="BR140" s="927"/>
      <c r="BS140" s="901"/>
      <c r="BT140" s="901"/>
      <c r="BU140" s="901"/>
      <c r="BV140" s="928">
        <f>BV139/11.5</f>
        <v>70</v>
      </c>
      <c r="BY140" s="14"/>
    </row>
    <row r="141" spans="1:77" x14ac:dyDescent="0.2">
      <c r="A141" s="899"/>
      <c r="J141" s="180"/>
      <c r="N141" s="179"/>
      <c r="R141" s="314"/>
      <c r="V141" s="179"/>
      <c r="Z141" s="314"/>
      <c r="AD141" s="179"/>
      <c r="AH141" s="314"/>
      <c r="AL141" s="179"/>
      <c r="AP141" s="314"/>
      <c r="AT141" s="179"/>
      <c r="AX141" s="314"/>
      <c r="BB141" s="179"/>
      <c r="BF141" s="314"/>
      <c r="BJ141" s="179"/>
      <c r="BN141" s="314"/>
      <c r="BR141" s="179"/>
      <c r="BV141" s="314"/>
    </row>
    <row r="142" spans="1:77" x14ac:dyDescent="0.2">
      <c r="A142" s="899" t="s">
        <v>893</v>
      </c>
      <c r="B142" s="899">
        <v>485</v>
      </c>
      <c r="C142" s="899">
        <v>495</v>
      </c>
      <c r="D142" s="899">
        <v>490</v>
      </c>
      <c r="E142" s="899">
        <v>455</v>
      </c>
      <c r="F142" s="900">
        <v>324</v>
      </c>
      <c r="G142" s="900">
        <v>70</v>
      </c>
      <c r="H142" s="900">
        <f>43-H143</f>
        <v>16</v>
      </c>
      <c r="I142" s="900">
        <v>18</v>
      </c>
      <c r="J142" s="912">
        <v>13</v>
      </c>
      <c r="K142" s="900">
        <v>2</v>
      </c>
      <c r="L142" s="900">
        <f>O142-K142</f>
        <v>3</v>
      </c>
      <c r="M142" s="900">
        <v>1</v>
      </c>
      <c r="N142" s="954">
        <f>P142-M142</f>
        <v>3</v>
      </c>
      <c r="O142" s="900">
        <v>5</v>
      </c>
      <c r="P142" s="900">
        <f>R142-O142</f>
        <v>4</v>
      </c>
      <c r="Q142" s="900">
        <f>O142+M142</f>
        <v>6</v>
      </c>
      <c r="R142" s="955">
        <v>9</v>
      </c>
      <c r="S142" s="900">
        <v>1</v>
      </c>
      <c r="T142" s="900">
        <f>W142-S142</f>
        <v>1</v>
      </c>
      <c r="U142" s="900">
        <v>2</v>
      </c>
      <c r="V142" s="954">
        <f>X142-U142</f>
        <v>1</v>
      </c>
      <c r="W142" s="900">
        <v>2</v>
      </c>
      <c r="X142" s="900">
        <f>Z142-W142</f>
        <v>3</v>
      </c>
      <c r="Y142" s="900">
        <f>W142+U142</f>
        <v>4</v>
      </c>
      <c r="Z142" s="955">
        <v>5</v>
      </c>
      <c r="AA142" s="900">
        <v>1</v>
      </c>
      <c r="AB142" s="900">
        <f>AE142-AA142</f>
        <v>2</v>
      </c>
      <c r="AC142" s="900">
        <v>2</v>
      </c>
      <c r="AD142" s="954">
        <f>AF142-AC142</f>
        <v>2</v>
      </c>
      <c r="AE142" s="900">
        <v>3</v>
      </c>
      <c r="AF142" s="900">
        <f>AH142-AE142</f>
        <v>4</v>
      </c>
      <c r="AG142" s="900">
        <f>AE142+AC142</f>
        <v>5</v>
      </c>
      <c r="AH142" s="955">
        <v>7</v>
      </c>
      <c r="AI142" s="900">
        <v>1</v>
      </c>
      <c r="AJ142" s="900">
        <f>AM142-AI142</f>
        <v>2</v>
      </c>
      <c r="AK142" s="913">
        <f>AN142/2</f>
        <v>1</v>
      </c>
      <c r="AL142" s="914">
        <f>AN142-AK142</f>
        <v>1</v>
      </c>
      <c r="AM142" s="900">
        <v>3</v>
      </c>
      <c r="AN142" s="913">
        <f>AP142-AM142</f>
        <v>2</v>
      </c>
      <c r="AO142" s="913">
        <f>AM142+AK142</f>
        <v>4</v>
      </c>
      <c r="AP142" s="929">
        <v>5</v>
      </c>
      <c r="AQ142" s="913">
        <f>AU142/2</f>
        <v>0</v>
      </c>
      <c r="AR142" s="913">
        <f>AU142-AQ142</f>
        <v>0</v>
      </c>
      <c r="AS142" s="913">
        <f>AV142/2</f>
        <v>0</v>
      </c>
      <c r="AT142" s="914">
        <f>AV142-AS142</f>
        <v>0</v>
      </c>
      <c r="AU142" s="913">
        <f>AX142/2</f>
        <v>0</v>
      </c>
      <c r="AV142" s="913">
        <f>AX142-AU142</f>
        <v>0</v>
      </c>
      <c r="AW142" s="913">
        <f>AU142+AS142</f>
        <v>0</v>
      </c>
      <c r="AX142" s="929">
        <v>0</v>
      </c>
      <c r="AY142" s="913">
        <f>BC142/2</f>
        <v>0</v>
      </c>
      <c r="AZ142" s="913">
        <f>BC142-AY142</f>
        <v>0</v>
      </c>
      <c r="BA142" s="913">
        <f>BD142/2</f>
        <v>0</v>
      </c>
      <c r="BB142" s="914">
        <f>BD142-BA142</f>
        <v>0</v>
      </c>
      <c r="BC142" s="913">
        <f>BF142/2</f>
        <v>0</v>
      </c>
      <c r="BD142" s="913">
        <f>BF142-BC142</f>
        <v>0</v>
      </c>
      <c r="BE142" s="913">
        <f>BC142+BA142</f>
        <v>0</v>
      </c>
      <c r="BF142" s="929">
        <v>0</v>
      </c>
      <c r="BG142" s="913">
        <f>BK142/2</f>
        <v>0</v>
      </c>
      <c r="BH142" s="913">
        <f>BK142-BG142</f>
        <v>0</v>
      </c>
      <c r="BI142" s="913">
        <f>BL142/2</f>
        <v>0</v>
      </c>
      <c r="BJ142" s="914">
        <f>BL142-BI142</f>
        <v>0</v>
      </c>
      <c r="BK142" s="913">
        <f>BN142/2</f>
        <v>0</v>
      </c>
      <c r="BL142" s="913">
        <f>BN142-BK142</f>
        <v>0</v>
      </c>
      <c r="BM142" s="913">
        <f>BK142+BI142</f>
        <v>0</v>
      </c>
      <c r="BN142" s="929">
        <v>0</v>
      </c>
      <c r="BO142" s="913">
        <f>BS142/2</f>
        <v>0</v>
      </c>
      <c r="BP142" s="913">
        <f>BS142-BO142</f>
        <v>0</v>
      </c>
      <c r="BQ142" s="913">
        <f>BT142/2</f>
        <v>0</v>
      </c>
      <c r="BR142" s="914">
        <f>BT142-BQ142</f>
        <v>0</v>
      </c>
      <c r="BS142" s="913">
        <f>BV142/2</f>
        <v>0</v>
      </c>
      <c r="BT142" s="913">
        <f>BV142-BS142</f>
        <v>0</v>
      </c>
      <c r="BU142" s="913">
        <f>BS142+BQ142</f>
        <v>0</v>
      </c>
      <c r="BV142" s="929">
        <v>0</v>
      </c>
      <c r="BW142" s="571"/>
    </row>
    <row r="143" spans="1:77" x14ac:dyDescent="0.2">
      <c r="A143" s="899" t="s">
        <v>894</v>
      </c>
      <c r="B143" s="899">
        <v>0</v>
      </c>
      <c r="C143" s="899">
        <v>0</v>
      </c>
      <c r="D143" s="899">
        <v>0</v>
      </c>
      <c r="E143" s="899">
        <v>74</v>
      </c>
      <c r="F143" s="900">
        <v>256</v>
      </c>
      <c r="G143" s="900">
        <v>57</v>
      </c>
      <c r="H143" s="900">
        <v>27</v>
      </c>
      <c r="I143" s="900">
        <v>245</v>
      </c>
      <c r="J143" s="912">
        <v>374</v>
      </c>
      <c r="K143" s="900">
        <v>111</v>
      </c>
      <c r="L143" s="900">
        <f>O143-K143</f>
        <v>100</v>
      </c>
      <c r="M143" s="900">
        <v>69</v>
      </c>
      <c r="N143" s="954">
        <f>P143-M143</f>
        <v>107</v>
      </c>
      <c r="O143" s="900">
        <v>211</v>
      </c>
      <c r="P143" s="900">
        <f>R143-O143</f>
        <v>176</v>
      </c>
      <c r="Q143" s="900">
        <f>O143+M143</f>
        <v>280</v>
      </c>
      <c r="R143" s="1400">
        <v>387</v>
      </c>
      <c r="S143" s="900">
        <v>66</v>
      </c>
      <c r="T143" s="900">
        <f>W143-S143</f>
        <v>69</v>
      </c>
      <c r="U143" s="900">
        <v>90</v>
      </c>
      <c r="V143" s="954">
        <f>X143-U143</f>
        <v>35</v>
      </c>
      <c r="W143" s="900">
        <v>135</v>
      </c>
      <c r="X143" s="900">
        <f>Z143-W143</f>
        <v>125</v>
      </c>
      <c r="Y143" s="900">
        <f>W143+U143</f>
        <v>225</v>
      </c>
      <c r="Z143" s="1400">
        <f>Z144-Z142</f>
        <v>260</v>
      </c>
      <c r="AA143" s="900">
        <v>104</v>
      </c>
      <c r="AB143" s="900">
        <f>AE143-AA143</f>
        <v>102</v>
      </c>
      <c r="AC143" s="900">
        <v>119</v>
      </c>
      <c r="AD143" s="954">
        <f>AF143-AC143</f>
        <v>115</v>
      </c>
      <c r="AE143" s="900">
        <v>206</v>
      </c>
      <c r="AF143" s="900">
        <f>AH143-AE143</f>
        <v>234</v>
      </c>
      <c r="AG143" s="900">
        <f>AE143+AC143</f>
        <v>325</v>
      </c>
      <c r="AH143" s="1400">
        <f>AH144-AH142</f>
        <v>440</v>
      </c>
      <c r="AI143" s="900">
        <f>AI187</f>
        <v>113</v>
      </c>
      <c r="AJ143" s="900">
        <f t="shared" ref="AJ143:BV143" si="436">AJ187</f>
        <v>127</v>
      </c>
      <c r="AK143" s="913">
        <f t="shared" si="436"/>
        <v>130</v>
      </c>
      <c r="AL143" s="914">
        <f t="shared" si="436"/>
        <v>130</v>
      </c>
      <c r="AM143" s="900">
        <f t="shared" si="436"/>
        <v>240</v>
      </c>
      <c r="AN143" s="913">
        <f t="shared" si="436"/>
        <v>260</v>
      </c>
      <c r="AO143" s="913">
        <f t="shared" si="436"/>
        <v>370</v>
      </c>
      <c r="AP143" s="920">
        <f t="shared" si="436"/>
        <v>500</v>
      </c>
      <c r="AQ143" s="913">
        <f t="shared" si="436"/>
        <v>152.25</v>
      </c>
      <c r="AR143" s="913">
        <f t="shared" si="436"/>
        <v>152.25</v>
      </c>
      <c r="AS143" s="913">
        <f t="shared" si="436"/>
        <v>152.25</v>
      </c>
      <c r="AT143" s="914">
        <f t="shared" si="436"/>
        <v>152.25</v>
      </c>
      <c r="AU143" s="913">
        <f t="shared" si="436"/>
        <v>304.5</v>
      </c>
      <c r="AV143" s="913">
        <f t="shared" si="436"/>
        <v>304.5</v>
      </c>
      <c r="AW143" s="913">
        <f t="shared" si="436"/>
        <v>456.75</v>
      </c>
      <c r="AX143" s="920">
        <f t="shared" si="436"/>
        <v>609</v>
      </c>
      <c r="AY143" s="913">
        <f t="shared" si="436"/>
        <v>171</v>
      </c>
      <c r="AZ143" s="913">
        <f t="shared" si="436"/>
        <v>171</v>
      </c>
      <c r="BA143" s="913">
        <f t="shared" si="436"/>
        <v>171</v>
      </c>
      <c r="BB143" s="914">
        <f t="shared" si="436"/>
        <v>171</v>
      </c>
      <c r="BC143" s="913">
        <f t="shared" si="436"/>
        <v>342</v>
      </c>
      <c r="BD143" s="913">
        <f t="shared" si="436"/>
        <v>342</v>
      </c>
      <c r="BE143" s="913">
        <f t="shared" si="436"/>
        <v>513</v>
      </c>
      <c r="BF143" s="920">
        <f t="shared" si="436"/>
        <v>684</v>
      </c>
      <c r="BG143" s="913">
        <f t="shared" si="436"/>
        <v>171</v>
      </c>
      <c r="BH143" s="913">
        <f t="shared" si="436"/>
        <v>171</v>
      </c>
      <c r="BI143" s="913">
        <f t="shared" si="436"/>
        <v>171</v>
      </c>
      <c r="BJ143" s="914">
        <f t="shared" si="436"/>
        <v>171</v>
      </c>
      <c r="BK143" s="913">
        <f t="shared" si="436"/>
        <v>342</v>
      </c>
      <c r="BL143" s="913">
        <f t="shared" si="436"/>
        <v>342</v>
      </c>
      <c r="BM143" s="913">
        <f t="shared" si="436"/>
        <v>513</v>
      </c>
      <c r="BN143" s="920">
        <f t="shared" si="436"/>
        <v>684</v>
      </c>
      <c r="BO143" s="913">
        <f t="shared" si="436"/>
        <v>171</v>
      </c>
      <c r="BP143" s="913">
        <f t="shared" si="436"/>
        <v>171</v>
      </c>
      <c r="BQ143" s="913">
        <f t="shared" si="436"/>
        <v>171</v>
      </c>
      <c r="BR143" s="914">
        <f t="shared" si="436"/>
        <v>171</v>
      </c>
      <c r="BS143" s="913">
        <f t="shared" si="436"/>
        <v>342</v>
      </c>
      <c r="BT143" s="913">
        <f t="shared" si="436"/>
        <v>342</v>
      </c>
      <c r="BU143" s="913">
        <f t="shared" si="436"/>
        <v>513</v>
      </c>
      <c r="BV143" s="920">
        <f t="shared" si="436"/>
        <v>684</v>
      </c>
      <c r="BW143" s="571"/>
    </row>
    <row r="144" spans="1:77" ht="15" x14ac:dyDescent="0.25">
      <c r="A144" s="921" t="s">
        <v>895</v>
      </c>
      <c r="B144" s="921">
        <f t="shared" ref="B144:R144" si="437">B143+B142</f>
        <v>485</v>
      </c>
      <c r="C144" s="921">
        <f t="shared" si="437"/>
        <v>495</v>
      </c>
      <c r="D144" s="921">
        <f t="shared" si="437"/>
        <v>490</v>
      </c>
      <c r="E144" s="921">
        <f t="shared" si="437"/>
        <v>529</v>
      </c>
      <c r="F144" s="921">
        <f t="shared" si="437"/>
        <v>580</v>
      </c>
      <c r="G144" s="921">
        <f t="shared" si="437"/>
        <v>127</v>
      </c>
      <c r="H144" s="921">
        <f t="shared" si="437"/>
        <v>43</v>
      </c>
      <c r="I144" s="921">
        <f t="shared" si="437"/>
        <v>263</v>
      </c>
      <c r="J144" s="922">
        <f t="shared" si="437"/>
        <v>387</v>
      </c>
      <c r="K144" s="921">
        <f t="shared" si="437"/>
        <v>113</v>
      </c>
      <c r="L144" s="921">
        <f t="shared" si="437"/>
        <v>103</v>
      </c>
      <c r="M144" s="921">
        <f t="shared" si="437"/>
        <v>70</v>
      </c>
      <c r="N144" s="1401">
        <f t="shared" si="437"/>
        <v>110</v>
      </c>
      <c r="O144" s="921">
        <f t="shared" si="437"/>
        <v>216</v>
      </c>
      <c r="P144" s="921">
        <f t="shared" si="437"/>
        <v>180</v>
      </c>
      <c r="Q144" s="921">
        <f t="shared" si="437"/>
        <v>286</v>
      </c>
      <c r="R144" s="1402">
        <f t="shared" si="437"/>
        <v>396</v>
      </c>
      <c r="S144" s="921">
        <f t="shared" ref="S144:T144" si="438">S143+S142</f>
        <v>67</v>
      </c>
      <c r="T144" s="921">
        <f t="shared" si="438"/>
        <v>70</v>
      </c>
      <c r="U144" s="921">
        <f t="shared" ref="U144" si="439">U143+U142</f>
        <v>92</v>
      </c>
      <c r="V144" s="1401">
        <f t="shared" ref="V144:Y144" si="440">V143+V142</f>
        <v>36</v>
      </c>
      <c r="W144" s="921">
        <v>137</v>
      </c>
      <c r="X144" s="921">
        <f t="shared" si="440"/>
        <v>128</v>
      </c>
      <c r="Y144" s="921">
        <f t="shared" si="440"/>
        <v>229</v>
      </c>
      <c r="Z144" s="1402">
        <v>265</v>
      </c>
      <c r="AA144" s="921">
        <f t="shared" ref="AA144:AG144" si="441">AA143+AA142</f>
        <v>105</v>
      </c>
      <c r="AB144" s="921">
        <f t="shared" si="441"/>
        <v>104</v>
      </c>
      <c r="AC144" s="921">
        <f t="shared" si="441"/>
        <v>121</v>
      </c>
      <c r="AD144" s="1401">
        <f t="shared" si="441"/>
        <v>117</v>
      </c>
      <c r="AE144" s="921">
        <f t="shared" si="441"/>
        <v>209</v>
      </c>
      <c r="AF144" s="921">
        <f t="shared" si="441"/>
        <v>238</v>
      </c>
      <c r="AG144" s="921">
        <f t="shared" si="441"/>
        <v>330</v>
      </c>
      <c r="AH144" s="1402">
        <v>447</v>
      </c>
      <c r="AI144" s="921">
        <f t="shared" ref="AI144:AO144" si="442">AI143+AI142</f>
        <v>114</v>
      </c>
      <c r="AJ144" s="921">
        <f t="shared" si="442"/>
        <v>129</v>
      </c>
      <c r="AK144" s="924">
        <f t="shared" si="442"/>
        <v>131</v>
      </c>
      <c r="AL144" s="923">
        <f t="shared" si="442"/>
        <v>131</v>
      </c>
      <c r="AM144" s="921">
        <f t="shared" si="442"/>
        <v>243</v>
      </c>
      <c r="AN144" s="924">
        <f t="shared" si="442"/>
        <v>262</v>
      </c>
      <c r="AO144" s="924">
        <f t="shared" si="442"/>
        <v>374</v>
      </c>
      <c r="AP144" s="925">
        <f>AP142+AP143</f>
        <v>505</v>
      </c>
      <c r="AQ144" s="924">
        <f t="shared" ref="AQ144:AW144" si="443">AQ143+AQ142</f>
        <v>152.25</v>
      </c>
      <c r="AR144" s="924">
        <f t="shared" si="443"/>
        <v>152.25</v>
      </c>
      <c r="AS144" s="924">
        <f t="shared" si="443"/>
        <v>152.25</v>
      </c>
      <c r="AT144" s="923">
        <f t="shared" si="443"/>
        <v>152.25</v>
      </c>
      <c r="AU144" s="924">
        <f t="shared" si="443"/>
        <v>304.5</v>
      </c>
      <c r="AV144" s="924">
        <f t="shared" si="443"/>
        <v>304.5</v>
      </c>
      <c r="AW144" s="924">
        <f t="shared" si="443"/>
        <v>456.75</v>
      </c>
      <c r="AX144" s="925">
        <f>AX142+AX143</f>
        <v>609</v>
      </c>
      <c r="AY144" s="924">
        <f t="shared" ref="AY144:BE144" si="444">AY143+AY142</f>
        <v>171</v>
      </c>
      <c r="AZ144" s="924">
        <f t="shared" si="444"/>
        <v>171</v>
      </c>
      <c r="BA144" s="924">
        <f t="shared" si="444"/>
        <v>171</v>
      </c>
      <c r="BB144" s="923">
        <f t="shared" si="444"/>
        <v>171</v>
      </c>
      <c r="BC144" s="924">
        <f t="shared" si="444"/>
        <v>342</v>
      </c>
      <c r="BD144" s="924">
        <f t="shared" si="444"/>
        <v>342</v>
      </c>
      <c r="BE144" s="924">
        <f t="shared" si="444"/>
        <v>513</v>
      </c>
      <c r="BF144" s="925">
        <f>BF142+BF143</f>
        <v>684</v>
      </c>
      <c r="BG144" s="924">
        <f t="shared" ref="BG144:BM144" si="445">BG143+BG142</f>
        <v>171</v>
      </c>
      <c r="BH144" s="924">
        <f t="shared" si="445"/>
        <v>171</v>
      </c>
      <c r="BI144" s="924">
        <f t="shared" si="445"/>
        <v>171</v>
      </c>
      <c r="BJ144" s="923">
        <f t="shared" si="445"/>
        <v>171</v>
      </c>
      <c r="BK144" s="924">
        <f t="shared" si="445"/>
        <v>342</v>
      </c>
      <c r="BL144" s="924">
        <f t="shared" si="445"/>
        <v>342</v>
      </c>
      <c r="BM144" s="924">
        <f t="shared" si="445"/>
        <v>513</v>
      </c>
      <c r="BN144" s="925">
        <f>BN142+BN143</f>
        <v>684</v>
      </c>
      <c r="BO144" s="924">
        <f t="shared" ref="BO144:BU144" si="446">BO143+BO142</f>
        <v>171</v>
      </c>
      <c r="BP144" s="924">
        <f t="shared" si="446"/>
        <v>171</v>
      </c>
      <c r="BQ144" s="924">
        <f t="shared" si="446"/>
        <v>171</v>
      </c>
      <c r="BR144" s="923">
        <f t="shared" si="446"/>
        <v>171</v>
      </c>
      <c r="BS144" s="924">
        <f t="shared" si="446"/>
        <v>342</v>
      </c>
      <c r="BT144" s="924">
        <f t="shared" si="446"/>
        <v>342</v>
      </c>
      <c r="BU144" s="924">
        <f t="shared" si="446"/>
        <v>513</v>
      </c>
      <c r="BV144" s="925">
        <f>BV142+BV143</f>
        <v>684</v>
      </c>
      <c r="BW144" s="926"/>
      <c r="BX144" s="926"/>
      <c r="BY144" s="14"/>
    </row>
    <row r="145" spans="1:74" x14ac:dyDescent="0.2">
      <c r="A145" s="930" t="s">
        <v>896</v>
      </c>
      <c r="B145" s="930">
        <f>B144/12</f>
        <v>40.416666666666664</v>
      </c>
      <c r="C145" s="930">
        <f t="shared" ref="C145:R145" si="447">C144/12</f>
        <v>41.25</v>
      </c>
      <c r="D145" s="930">
        <f t="shared" si="447"/>
        <v>40.833333333333336</v>
      </c>
      <c r="E145" s="930">
        <f t="shared" si="447"/>
        <v>44.083333333333336</v>
      </c>
      <c r="F145" s="901">
        <f t="shared" si="447"/>
        <v>48.333333333333336</v>
      </c>
      <c r="G145" s="901">
        <f t="shared" si="447"/>
        <v>10.583333333333334</v>
      </c>
      <c r="H145" s="901">
        <f t="shared" si="447"/>
        <v>3.5833333333333335</v>
      </c>
      <c r="I145" s="901">
        <f t="shared" si="447"/>
        <v>21.916666666666668</v>
      </c>
      <c r="J145" s="902">
        <f t="shared" si="447"/>
        <v>32.25</v>
      </c>
      <c r="K145" s="901"/>
      <c r="L145" s="901"/>
      <c r="M145" s="901"/>
      <c r="N145" s="927"/>
      <c r="O145" s="901"/>
      <c r="P145" s="901"/>
      <c r="Q145" s="901"/>
      <c r="R145" s="1398">
        <f t="shared" si="447"/>
        <v>33</v>
      </c>
      <c r="S145" s="901"/>
      <c r="T145" s="901"/>
      <c r="U145" s="901"/>
      <c r="V145" s="927"/>
      <c r="W145" s="901"/>
      <c r="X145" s="901"/>
      <c r="Y145" s="901"/>
      <c r="Z145" s="1398">
        <f>Z144/12</f>
        <v>22.083333333333332</v>
      </c>
      <c r="AA145" s="901"/>
      <c r="AB145" s="901"/>
      <c r="AC145" s="901"/>
      <c r="AD145" s="927"/>
      <c r="AE145" s="901"/>
      <c r="AF145" s="901"/>
      <c r="AG145" s="901"/>
      <c r="AH145" s="1398">
        <f>AH144/12</f>
        <v>37.25</v>
      </c>
      <c r="AI145" s="901"/>
      <c r="AJ145" s="901"/>
      <c r="AK145" s="901"/>
      <c r="AL145" s="927"/>
      <c r="AM145" s="901"/>
      <c r="AN145" s="901"/>
      <c r="AO145" s="901"/>
      <c r="AP145" s="928">
        <f>AP144/12</f>
        <v>42.083333333333336</v>
      </c>
      <c r="AQ145" s="901"/>
      <c r="AR145" s="901"/>
      <c r="AS145" s="901"/>
      <c r="AT145" s="927"/>
      <c r="AU145" s="901"/>
      <c r="AV145" s="901"/>
      <c r="AW145" s="901"/>
      <c r="AX145" s="928">
        <f>AX144/12</f>
        <v>50.75</v>
      </c>
      <c r="AY145" s="901"/>
      <c r="AZ145" s="901"/>
      <c r="BA145" s="901"/>
      <c r="BB145" s="927"/>
      <c r="BC145" s="901"/>
      <c r="BD145" s="901"/>
      <c r="BE145" s="901"/>
      <c r="BF145" s="928">
        <f>BF144/12</f>
        <v>57</v>
      </c>
      <c r="BG145" s="901"/>
      <c r="BH145" s="901"/>
      <c r="BI145" s="901"/>
      <c r="BJ145" s="927"/>
      <c r="BK145" s="901"/>
      <c r="BL145" s="901"/>
      <c r="BM145" s="901"/>
      <c r="BN145" s="928">
        <f>BN144/12</f>
        <v>57</v>
      </c>
      <c r="BO145" s="901"/>
      <c r="BP145" s="901"/>
      <c r="BQ145" s="901"/>
      <c r="BR145" s="927"/>
      <c r="BS145" s="901"/>
      <c r="BT145" s="901"/>
      <c r="BU145" s="901"/>
      <c r="BV145" s="928">
        <f>BV144/12</f>
        <v>57</v>
      </c>
    </row>
    <row r="146" spans="1:74" x14ac:dyDescent="0.2">
      <c r="A146" s="899"/>
      <c r="J146" s="180"/>
      <c r="N146" s="179"/>
      <c r="R146" s="314"/>
      <c r="V146" s="179"/>
      <c r="Z146" s="314"/>
      <c r="AD146" s="179"/>
      <c r="AH146" s="314"/>
      <c r="AL146" s="179"/>
      <c r="AP146" s="314"/>
      <c r="AT146" s="179"/>
      <c r="AX146" s="314"/>
      <c r="BB146" s="179"/>
      <c r="BF146" s="314"/>
      <c r="BJ146" s="179"/>
      <c r="BN146" s="314"/>
      <c r="BR146" s="179"/>
      <c r="BV146" s="314"/>
    </row>
    <row r="147" spans="1:74" x14ac:dyDescent="0.2">
      <c r="A147" s="931" t="s">
        <v>1178</v>
      </c>
      <c r="B147" s="899">
        <v>0</v>
      </c>
      <c r="C147" s="899">
        <v>0</v>
      </c>
      <c r="D147" s="899">
        <v>0</v>
      </c>
      <c r="E147" s="899">
        <v>0</v>
      </c>
      <c r="F147" s="900">
        <v>0</v>
      </c>
      <c r="G147" s="900">
        <v>0</v>
      </c>
      <c r="H147" s="900">
        <v>0</v>
      </c>
      <c r="I147" s="900">
        <v>0</v>
      </c>
      <c r="J147" s="912">
        <v>0</v>
      </c>
      <c r="K147" s="900">
        <f>O147/2</f>
        <v>0.5</v>
      </c>
      <c r="L147" s="900">
        <f>O147-K147</f>
        <v>0.5</v>
      </c>
      <c r="M147" s="900">
        <f>P147/2</f>
        <v>0.5</v>
      </c>
      <c r="N147" s="954">
        <f>P147-M147</f>
        <v>0.5</v>
      </c>
      <c r="O147" s="900">
        <f>R147/2</f>
        <v>1</v>
      </c>
      <c r="P147" s="900">
        <f>R147-O147</f>
        <v>1</v>
      </c>
      <c r="Q147" s="900">
        <f>O147+M147</f>
        <v>1.5</v>
      </c>
      <c r="R147" s="955">
        <v>2</v>
      </c>
      <c r="S147" s="900">
        <v>2</v>
      </c>
      <c r="T147" s="900">
        <f>W147-S147</f>
        <v>3</v>
      </c>
      <c r="U147" s="900">
        <v>4</v>
      </c>
      <c r="V147" s="954">
        <f>X147-U147</f>
        <v>4</v>
      </c>
      <c r="W147" s="900">
        <v>5</v>
      </c>
      <c r="X147" s="900">
        <f>Z147-W147</f>
        <v>8</v>
      </c>
      <c r="Y147" s="900">
        <f>W147+U147</f>
        <v>9</v>
      </c>
      <c r="Z147" s="955">
        <v>13</v>
      </c>
      <c r="AA147" s="900">
        <v>1</v>
      </c>
      <c r="AB147" s="900">
        <f>AE147-AA147</f>
        <v>4</v>
      </c>
      <c r="AC147" s="900">
        <v>5</v>
      </c>
      <c r="AD147" s="954">
        <f>AF147-AC147</f>
        <v>6</v>
      </c>
      <c r="AE147" s="900">
        <v>5</v>
      </c>
      <c r="AF147" s="900">
        <f>AH147-AE147</f>
        <v>11</v>
      </c>
      <c r="AG147" s="900">
        <f>AE147+AC147</f>
        <v>10</v>
      </c>
      <c r="AH147" s="955">
        <v>16</v>
      </c>
      <c r="AI147" s="900">
        <v>3</v>
      </c>
      <c r="AJ147" s="900">
        <f>AM147-AI147</f>
        <v>5</v>
      </c>
      <c r="AK147" s="913">
        <f>AN147/2</f>
        <v>6</v>
      </c>
      <c r="AL147" s="914">
        <f>AN147-AK147</f>
        <v>6</v>
      </c>
      <c r="AM147" s="900">
        <v>8</v>
      </c>
      <c r="AN147" s="913">
        <f>AP147-AM147</f>
        <v>12</v>
      </c>
      <c r="AO147" s="913">
        <f>AM147+AK147</f>
        <v>14</v>
      </c>
      <c r="AP147" s="929">
        <v>20</v>
      </c>
      <c r="AQ147" s="913">
        <f>AU147/2</f>
        <v>6.25</v>
      </c>
      <c r="AR147" s="913">
        <f>AU147-AQ147</f>
        <v>6.25</v>
      </c>
      <c r="AS147" s="913">
        <f>AV147/2</f>
        <v>6.25</v>
      </c>
      <c r="AT147" s="914">
        <f>AV147-AS147</f>
        <v>6.25</v>
      </c>
      <c r="AU147" s="913">
        <f>AX147/2</f>
        <v>12.5</v>
      </c>
      <c r="AV147" s="913">
        <f>AX147-AU147</f>
        <v>12.5</v>
      </c>
      <c r="AW147" s="913">
        <f>AU147+AS147</f>
        <v>18.75</v>
      </c>
      <c r="AX147" s="929">
        <v>25</v>
      </c>
      <c r="AY147" s="913">
        <f>BC147/2</f>
        <v>8.75</v>
      </c>
      <c r="AZ147" s="913">
        <f>BC147-AY147</f>
        <v>8.75</v>
      </c>
      <c r="BA147" s="913">
        <f>BD147/2</f>
        <v>8.75</v>
      </c>
      <c r="BB147" s="914">
        <f>BD147-BA147</f>
        <v>8.75</v>
      </c>
      <c r="BC147" s="913">
        <f>BF147/2</f>
        <v>17.5</v>
      </c>
      <c r="BD147" s="913">
        <f>BF147-BC147</f>
        <v>17.5</v>
      </c>
      <c r="BE147" s="913">
        <f>BC147+BA147</f>
        <v>26.25</v>
      </c>
      <c r="BF147" s="929">
        <v>35</v>
      </c>
      <c r="BG147" s="913">
        <f>BK147/2</f>
        <v>10</v>
      </c>
      <c r="BH147" s="913">
        <f>BK147-BG147</f>
        <v>10</v>
      </c>
      <c r="BI147" s="913">
        <f>BL147/2</f>
        <v>10</v>
      </c>
      <c r="BJ147" s="914">
        <f>BL147-BI147</f>
        <v>10</v>
      </c>
      <c r="BK147" s="913">
        <f>BN147/2</f>
        <v>20</v>
      </c>
      <c r="BL147" s="913">
        <f>BN147-BK147</f>
        <v>20</v>
      </c>
      <c r="BM147" s="913">
        <f>BK147+BI147</f>
        <v>30</v>
      </c>
      <c r="BN147" s="929">
        <v>40</v>
      </c>
      <c r="BO147" s="913">
        <f>BS147/2</f>
        <v>10</v>
      </c>
      <c r="BP147" s="913">
        <f>BS147-BO147</f>
        <v>10</v>
      </c>
      <c r="BQ147" s="913">
        <f>BT147/2</f>
        <v>10</v>
      </c>
      <c r="BR147" s="914">
        <f>BT147-BQ147</f>
        <v>10</v>
      </c>
      <c r="BS147" s="913">
        <f>BV147/2</f>
        <v>20</v>
      </c>
      <c r="BT147" s="913">
        <f>BV147-BS147</f>
        <v>20</v>
      </c>
      <c r="BU147" s="913">
        <f>BS147+BQ147</f>
        <v>30</v>
      </c>
      <c r="BV147" s="915">
        <f>BN147</f>
        <v>40</v>
      </c>
    </row>
    <row r="148" spans="1:74" x14ac:dyDescent="0.2">
      <c r="A148" s="899"/>
      <c r="J148" s="180"/>
      <c r="N148" s="179"/>
      <c r="R148" s="314"/>
      <c r="V148" s="179"/>
      <c r="Z148" s="314"/>
      <c r="AD148" s="179"/>
      <c r="AH148" s="314"/>
      <c r="AL148" s="179"/>
      <c r="AP148" s="314"/>
      <c r="AT148" s="179"/>
      <c r="AX148" s="314"/>
      <c r="BB148" s="179"/>
      <c r="BF148" s="314"/>
      <c r="BJ148" s="179"/>
      <c r="BN148" s="314"/>
      <c r="BR148" s="179"/>
      <c r="BV148" s="314"/>
    </row>
    <row r="149" spans="1:74" x14ac:dyDescent="0.2">
      <c r="A149" s="911" t="s">
        <v>897</v>
      </c>
      <c r="J149" s="180"/>
      <c r="N149" s="179"/>
      <c r="R149" s="314"/>
      <c r="V149" s="179"/>
      <c r="Z149" s="314"/>
      <c r="AD149" s="179"/>
      <c r="AH149" s="314"/>
      <c r="AL149" s="179"/>
      <c r="AP149" s="314"/>
      <c r="AT149" s="179"/>
      <c r="AX149" s="314"/>
      <c r="BB149" s="179"/>
      <c r="BF149" s="314"/>
      <c r="BJ149" s="179"/>
      <c r="BN149" s="314"/>
      <c r="BR149" s="179"/>
      <c r="BV149" s="314"/>
    </row>
    <row r="150" spans="1:74" x14ac:dyDescent="0.2">
      <c r="A150" s="899"/>
      <c r="J150" s="180"/>
      <c r="N150" s="179"/>
      <c r="R150" s="314"/>
      <c r="V150" s="179"/>
      <c r="Z150" s="314"/>
      <c r="AD150" s="179"/>
      <c r="AH150" s="314"/>
      <c r="AL150" s="179"/>
      <c r="AP150" s="314"/>
      <c r="AT150" s="179"/>
      <c r="AX150" s="314"/>
      <c r="BB150" s="179"/>
      <c r="BF150" s="314"/>
      <c r="BJ150" s="179"/>
      <c r="BN150" s="314"/>
      <c r="BR150" s="179"/>
      <c r="BV150" s="314"/>
    </row>
    <row r="151" spans="1:74" ht="11.25" customHeight="1" x14ac:dyDescent="0.2">
      <c r="A151" s="931" t="s">
        <v>889</v>
      </c>
      <c r="B151" s="4">
        <f t="shared" ref="B151:Y151" si="448">B137</f>
        <v>490</v>
      </c>
      <c r="C151" s="4">
        <f t="shared" si="448"/>
        <v>491</v>
      </c>
      <c r="D151" s="4">
        <f t="shared" si="448"/>
        <v>477</v>
      </c>
      <c r="E151" s="4">
        <f t="shared" si="448"/>
        <v>377</v>
      </c>
      <c r="F151" s="4">
        <f t="shared" si="448"/>
        <v>240</v>
      </c>
      <c r="G151" s="4">
        <f t="shared" si="448"/>
        <v>91</v>
      </c>
      <c r="H151" s="4">
        <f t="shared" si="448"/>
        <v>15</v>
      </c>
      <c r="I151" s="4">
        <f t="shared" si="448"/>
        <v>24</v>
      </c>
      <c r="J151" s="180">
        <f t="shared" si="448"/>
        <v>0</v>
      </c>
      <c r="K151" s="4">
        <f t="shared" si="448"/>
        <v>0</v>
      </c>
      <c r="L151" s="4">
        <f t="shared" si="448"/>
        <v>0</v>
      </c>
      <c r="M151" s="4">
        <f t="shared" si="448"/>
        <v>0</v>
      </c>
      <c r="N151" s="179">
        <f t="shared" si="448"/>
        <v>0</v>
      </c>
      <c r="O151" s="4">
        <f t="shared" si="448"/>
        <v>0</v>
      </c>
      <c r="P151" s="4">
        <f t="shared" si="448"/>
        <v>0</v>
      </c>
      <c r="Q151" s="4">
        <f t="shared" si="448"/>
        <v>0</v>
      </c>
      <c r="R151" s="314">
        <f t="shared" si="448"/>
        <v>0</v>
      </c>
      <c r="S151" s="4">
        <f t="shared" si="448"/>
        <v>0</v>
      </c>
      <c r="T151" s="4">
        <f t="shared" ref="T151" si="449">T137</f>
        <v>0</v>
      </c>
      <c r="U151" s="4">
        <f t="shared" si="448"/>
        <v>0</v>
      </c>
      <c r="V151" s="179">
        <f t="shared" si="448"/>
        <v>0</v>
      </c>
      <c r="W151" s="4">
        <f t="shared" ref="W151" si="450">W137</f>
        <v>0</v>
      </c>
      <c r="X151" s="4">
        <f t="shared" si="448"/>
        <v>0</v>
      </c>
      <c r="Y151" s="4">
        <f t="shared" si="448"/>
        <v>0</v>
      </c>
      <c r="Z151" s="314">
        <f>Z137</f>
        <v>0</v>
      </c>
      <c r="AA151" s="4">
        <f t="shared" ref="AA151:AG151" si="451">AA137</f>
        <v>0</v>
      </c>
      <c r="AB151" s="4">
        <f t="shared" si="451"/>
        <v>0</v>
      </c>
      <c r="AC151" s="4">
        <f t="shared" si="451"/>
        <v>0</v>
      </c>
      <c r="AD151" s="179">
        <f t="shared" si="451"/>
        <v>0</v>
      </c>
      <c r="AE151" s="4">
        <f t="shared" si="451"/>
        <v>0</v>
      </c>
      <c r="AF151" s="4">
        <f t="shared" si="451"/>
        <v>0</v>
      </c>
      <c r="AG151" s="4">
        <f t="shared" si="451"/>
        <v>0</v>
      </c>
      <c r="AH151" s="314">
        <f>AH137</f>
        <v>0</v>
      </c>
      <c r="AI151" s="4">
        <f t="shared" ref="AI151:AO151" si="452">AI137</f>
        <v>0</v>
      </c>
      <c r="AJ151" s="4">
        <f t="shared" si="452"/>
        <v>0</v>
      </c>
      <c r="AK151" s="11">
        <f t="shared" si="452"/>
        <v>0</v>
      </c>
      <c r="AL151" s="181">
        <f t="shared" si="452"/>
        <v>0</v>
      </c>
      <c r="AM151" s="4">
        <f t="shared" si="452"/>
        <v>0</v>
      </c>
      <c r="AN151" s="11">
        <f t="shared" si="452"/>
        <v>0</v>
      </c>
      <c r="AO151" s="11">
        <f t="shared" si="452"/>
        <v>0</v>
      </c>
      <c r="AP151" s="603">
        <f>AP137</f>
        <v>0</v>
      </c>
      <c r="AQ151" s="11">
        <f t="shared" ref="AQ151:AW151" si="453">AQ137</f>
        <v>0</v>
      </c>
      <c r="AR151" s="11">
        <f t="shared" si="453"/>
        <v>0</v>
      </c>
      <c r="AS151" s="11">
        <f t="shared" si="453"/>
        <v>0</v>
      </c>
      <c r="AT151" s="181">
        <f t="shared" si="453"/>
        <v>0</v>
      </c>
      <c r="AU151" s="11">
        <f t="shared" si="453"/>
        <v>0</v>
      </c>
      <c r="AV151" s="11">
        <f t="shared" si="453"/>
        <v>0</v>
      </c>
      <c r="AW151" s="11">
        <f t="shared" si="453"/>
        <v>0</v>
      </c>
      <c r="AX151" s="603">
        <f>AX137</f>
        <v>0</v>
      </c>
      <c r="AY151" s="11">
        <f t="shared" ref="AY151:BE151" si="454">AY137</f>
        <v>0</v>
      </c>
      <c r="AZ151" s="11">
        <f t="shared" si="454"/>
        <v>0</v>
      </c>
      <c r="BA151" s="11">
        <f t="shared" si="454"/>
        <v>0</v>
      </c>
      <c r="BB151" s="181">
        <f t="shared" si="454"/>
        <v>0</v>
      </c>
      <c r="BC151" s="11">
        <f t="shared" si="454"/>
        <v>0</v>
      </c>
      <c r="BD151" s="11">
        <f t="shared" si="454"/>
        <v>0</v>
      </c>
      <c r="BE151" s="11">
        <f t="shared" si="454"/>
        <v>0</v>
      </c>
      <c r="BF151" s="603">
        <f>BF137</f>
        <v>0</v>
      </c>
      <c r="BG151" s="11">
        <f t="shared" ref="BG151:BM151" si="455">BG137</f>
        <v>0</v>
      </c>
      <c r="BH151" s="11">
        <f t="shared" si="455"/>
        <v>0</v>
      </c>
      <c r="BI151" s="11">
        <f t="shared" si="455"/>
        <v>0</v>
      </c>
      <c r="BJ151" s="181">
        <f t="shared" si="455"/>
        <v>0</v>
      </c>
      <c r="BK151" s="11">
        <f t="shared" si="455"/>
        <v>0</v>
      </c>
      <c r="BL151" s="11">
        <f t="shared" si="455"/>
        <v>0</v>
      </c>
      <c r="BM151" s="11">
        <f t="shared" si="455"/>
        <v>0</v>
      </c>
      <c r="BN151" s="603">
        <f>BN137</f>
        <v>0</v>
      </c>
      <c r="BO151" s="11">
        <f t="shared" ref="BO151:BU151" si="456">BO137</f>
        <v>0</v>
      </c>
      <c r="BP151" s="11">
        <f t="shared" si="456"/>
        <v>0</v>
      </c>
      <c r="BQ151" s="11">
        <f t="shared" si="456"/>
        <v>0</v>
      </c>
      <c r="BR151" s="181">
        <f t="shared" si="456"/>
        <v>0</v>
      </c>
      <c r="BS151" s="11">
        <f t="shared" si="456"/>
        <v>0</v>
      </c>
      <c r="BT151" s="11">
        <f t="shared" si="456"/>
        <v>0</v>
      </c>
      <c r="BU151" s="11">
        <f t="shared" si="456"/>
        <v>0</v>
      </c>
      <c r="BV151" s="603">
        <f>BV137</f>
        <v>0</v>
      </c>
    </row>
    <row r="152" spans="1:74" ht="11.25" customHeight="1" x14ac:dyDescent="0.2">
      <c r="A152" s="899" t="s">
        <v>898</v>
      </c>
      <c r="B152" s="1403">
        <v>2</v>
      </c>
      <c r="C152" s="1403">
        <v>2</v>
      </c>
      <c r="D152" s="1403">
        <v>2</v>
      </c>
      <c r="E152" s="1403">
        <v>2</v>
      </c>
      <c r="F152" s="1404">
        <v>2</v>
      </c>
      <c r="G152" s="1404">
        <v>2</v>
      </c>
      <c r="H152" s="1404">
        <v>2</v>
      </c>
      <c r="I152" s="1404">
        <v>2</v>
      </c>
      <c r="J152" s="1405">
        <v>2</v>
      </c>
      <c r="K152" s="900">
        <f>R152</f>
        <v>2</v>
      </c>
      <c r="L152" s="900">
        <f>R152</f>
        <v>2</v>
      </c>
      <c r="M152" s="900">
        <f>R152</f>
        <v>2</v>
      </c>
      <c r="N152" s="954">
        <f>R152</f>
        <v>2</v>
      </c>
      <c r="O152" s="1404">
        <f>R152</f>
        <v>2</v>
      </c>
      <c r="P152" s="900">
        <f>R152</f>
        <v>2</v>
      </c>
      <c r="Q152" s="1404">
        <f>R152</f>
        <v>2</v>
      </c>
      <c r="R152" s="955">
        <v>2</v>
      </c>
      <c r="S152" s="900">
        <f>Z152</f>
        <v>2</v>
      </c>
      <c r="T152" s="900">
        <f>Z152</f>
        <v>2</v>
      </c>
      <c r="U152" s="900">
        <f>Z152</f>
        <v>2</v>
      </c>
      <c r="V152" s="954">
        <f>Z152</f>
        <v>2</v>
      </c>
      <c r="W152" s="1404">
        <f>Z152</f>
        <v>2</v>
      </c>
      <c r="X152" s="900">
        <f>Z152</f>
        <v>2</v>
      </c>
      <c r="Y152" s="900">
        <f>Z152</f>
        <v>2</v>
      </c>
      <c r="Z152" s="955">
        <v>2</v>
      </c>
      <c r="AA152" s="900">
        <f>AH152</f>
        <v>2</v>
      </c>
      <c r="AB152" s="900">
        <f>AH152</f>
        <v>2</v>
      </c>
      <c r="AC152" s="900">
        <f>AH152</f>
        <v>2</v>
      </c>
      <c r="AD152" s="954">
        <f>AH152</f>
        <v>2</v>
      </c>
      <c r="AE152" s="900">
        <f>AH152</f>
        <v>2</v>
      </c>
      <c r="AF152" s="900">
        <f>AH152</f>
        <v>2</v>
      </c>
      <c r="AG152" s="900">
        <f>AH152</f>
        <v>2</v>
      </c>
      <c r="AH152" s="955">
        <f>Z152</f>
        <v>2</v>
      </c>
      <c r="AI152" s="900">
        <f>AP152</f>
        <v>2</v>
      </c>
      <c r="AJ152" s="900">
        <f>AP152</f>
        <v>2</v>
      </c>
      <c r="AK152" s="913">
        <f>AP152</f>
        <v>2</v>
      </c>
      <c r="AL152" s="914">
        <f>AP152</f>
        <v>2</v>
      </c>
      <c r="AM152" s="900">
        <f>AP152</f>
        <v>2</v>
      </c>
      <c r="AN152" s="913">
        <f>AP152</f>
        <v>2</v>
      </c>
      <c r="AO152" s="913">
        <f>AP152</f>
        <v>2</v>
      </c>
      <c r="AP152" s="929">
        <f>AH152</f>
        <v>2</v>
      </c>
      <c r="AQ152" s="913">
        <f>AX152</f>
        <v>2</v>
      </c>
      <c r="AR152" s="913">
        <f>AX152</f>
        <v>2</v>
      </c>
      <c r="AS152" s="913">
        <f>AX152</f>
        <v>2</v>
      </c>
      <c r="AT152" s="914">
        <f>AX152</f>
        <v>2</v>
      </c>
      <c r="AU152" s="913">
        <f>AX152</f>
        <v>2</v>
      </c>
      <c r="AV152" s="913">
        <f>AX152</f>
        <v>2</v>
      </c>
      <c r="AW152" s="913">
        <f>AX152</f>
        <v>2</v>
      </c>
      <c r="AX152" s="929">
        <f>AP152</f>
        <v>2</v>
      </c>
      <c r="AY152" s="913">
        <f>BF152</f>
        <v>2</v>
      </c>
      <c r="AZ152" s="913">
        <f>BF152</f>
        <v>2</v>
      </c>
      <c r="BA152" s="913">
        <f>BF152</f>
        <v>2</v>
      </c>
      <c r="BB152" s="914">
        <f>BF152</f>
        <v>2</v>
      </c>
      <c r="BC152" s="913">
        <f>BF152</f>
        <v>2</v>
      </c>
      <c r="BD152" s="913">
        <f>BF152</f>
        <v>2</v>
      </c>
      <c r="BE152" s="913">
        <f>BF152</f>
        <v>2</v>
      </c>
      <c r="BF152" s="929">
        <f>AX152</f>
        <v>2</v>
      </c>
      <c r="BG152" s="913">
        <f>BN152</f>
        <v>2</v>
      </c>
      <c r="BH152" s="913">
        <f>BN152</f>
        <v>2</v>
      </c>
      <c r="BI152" s="913">
        <f>BN152</f>
        <v>2</v>
      </c>
      <c r="BJ152" s="914">
        <f>BN152</f>
        <v>2</v>
      </c>
      <c r="BK152" s="913">
        <f>BN152</f>
        <v>2</v>
      </c>
      <c r="BL152" s="913">
        <f>BN152</f>
        <v>2</v>
      </c>
      <c r="BM152" s="913">
        <f>BN152</f>
        <v>2</v>
      </c>
      <c r="BN152" s="929">
        <f>BF152</f>
        <v>2</v>
      </c>
      <c r="BO152" s="913">
        <f>BV152</f>
        <v>2</v>
      </c>
      <c r="BP152" s="913">
        <f>BV152</f>
        <v>2</v>
      </c>
      <c r="BQ152" s="913">
        <f>BV152</f>
        <v>2</v>
      </c>
      <c r="BR152" s="914">
        <f>BV152</f>
        <v>2</v>
      </c>
      <c r="BS152" s="913">
        <f>BV152</f>
        <v>2</v>
      </c>
      <c r="BT152" s="913">
        <f>BV152</f>
        <v>2</v>
      </c>
      <c r="BU152" s="913">
        <f>BV152</f>
        <v>2</v>
      </c>
      <c r="BV152" s="929">
        <f>BN152</f>
        <v>2</v>
      </c>
    </row>
    <row r="153" spans="1:74" ht="11.25" customHeight="1" x14ac:dyDescent="0.2">
      <c r="A153" s="899" t="s">
        <v>899</v>
      </c>
      <c r="B153" s="1403">
        <f>B151*B152</f>
        <v>980</v>
      </c>
      <c r="C153" s="1403">
        <f t="shared" ref="C153:K153" si="457">C151*C152</f>
        <v>982</v>
      </c>
      <c r="D153" s="1403">
        <f t="shared" si="457"/>
        <v>954</v>
      </c>
      <c r="E153" s="1403">
        <f t="shared" si="457"/>
        <v>754</v>
      </c>
      <c r="F153" s="1404">
        <f t="shared" si="457"/>
        <v>480</v>
      </c>
      <c r="G153" s="1404">
        <f t="shared" si="457"/>
        <v>182</v>
      </c>
      <c r="H153" s="1404">
        <f>H151*H152</f>
        <v>30</v>
      </c>
      <c r="I153" s="1404">
        <f>I151*I152</f>
        <v>48</v>
      </c>
      <c r="J153" s="1405">
        <f t="shared" si="457"/>
        <v>0</v>
      </c>
      <c r="K153" s="900">
        <f t="shared" si="457"/>
        <v>0</v>
      </c>
      <c r="L153" s="900">
        <f>O153-K153</f>
        <v>0</v>
      </c>
      <c r="M153" s="900">
        <f>M151*M152</f>
        <v>0</v>
      </c>
      <c r="N153" s="954">
        <f>P153-M153</f>
        <v>0</v>
      </c>
      <c r="O153" s="1404">
        <f>O151*O152</f>
        <v>0</v>
      </c>
      <c r="P153" s="900">
        <f>R153-O153</f>
        <v>0</v>
      </c>
      <c r="Q153" s="1404">
        <f>K153+L153+M153</f>
        <v>0</v>
      </c>
      <c r="R153" s="955">
        <f>R151*R152</f>
        <v>0</v>
      </c>
      <c r="S153" s="900">
        <f>S151*S152</f>
        <v>0</v>
      </c>
      <c r="T153" s="900">
        <f>W153-S153</f>
        <v>0</v>
      </c>
      <c r="U153" s="900">
        <f>U151*U152</f>
        <v>0</v>
      </c>
      <c r="V153" s="954">
        <f>X153-U153</f>
        <v>0</v>
      </c>
      <c r="W153" s="1404">
        <f>W151*W152</f>
        <v>0</v>
      </c>
      <c r="X153" s="900">
        <f>Z153-W153</f>
        <v>0</v>
      </c>
      <c r="Y153" s="900">
        <f>S153+T153+U153</f>
        <v>0</v>
      </c>
      <c r="Z153" s="955">
        <f>Z151*Z152</f>
        <v>0</v>
      </c>
      <c r="AA153" s="900">
        <f>AA151*AA152</f>
        <v>0</v>
      </c>
      <c r="AB153" s="900">
        <f>AE153-AA153</f>
        <v>0</v>
      </c>
      <c r="AC153" s="900">
        <f>AC151*AC152</f>
        <v>0</v>
      </c>
      <c r="AD153" s="954">
        <f>AF153-AC153</f>
        <v>0</v>
      </c>
      <c r="AE153" s="900">
        <f>AE151*AE152</f>
        <v>0</v>
      </c>
      <c r="AF153" s="900">
        <f>AH153-AE153</f>
        <v>0</v>
      </c>
      <c r="AG153" s="900">
        <f>AA153+AB153+AC153</f>
        <v>0</v>
      </c>
      <c r="AH153" s="955">
        <f>AH151*AH152</f>
        <v>0</v>
      </c>
      <c r="AI153" s="900">
        <f>AI151*AI152</f>
        <v>0</v>
      </c>
      <c r="AJ153" s="900">
        <f>AM153-AI153</f>
        <v>0</v>
      </c>
      <c r="AK153" s="913">
        <f>AK151*AK152</f>
        <v>0</v>
      </c>
      <c r="AL153" s="914">
        <f>AN153-AK153</f>
        <v>0</v>
      </c>
      <c r="AM153" s="900">
        <f>AM151*AM152</f>
        <v>0</v>
      </c>
      <c r="AN153" s="913">
        <f>AP153-AM153</f>
        <v>0</v>
      </c>
      <c r="AO153" s="913">
        <f>AI153+AJ153+AK153</f>
        <v>0</v>
      </c>
      <c r="AP153" s="915">
        <f>AP151*AP152</f>
        <v>0</v>
      </c>
      <c r="AQ153" s="913">
        <f>AQ151*AQ152</f>
        <v>0</v>
      </c>
      <c r="AR153" s="913">
        <f>AU153-AQ153</f>
        <v>0</v>
      </c>
      <c r="AS153" s="913">
        <f>AS151*AS152</f>
        <v>0</v>
      </c>
      <c r="AT153" s="914">
        <f>AV153-AS153</f>
        <v>0</v>
      </c>
      <c r="AU153" s="913">
        <f>AU151*AU152</f>
        <v>0</v>
      </c>
      <c r="AV153" s="913">
        <f>AX153-AU153</f>
        <v>0</v>
      </c>
      <c r="AW153" s="913">
        <f>AQ153+AR153+AS153</f>
        <v>0</v>
      </c>
      <c r="AX153" s="915">
        <f>AX151*AX152</f>
        <v>0</v>
      </c>
      <c r="AY153" s="913">
        <f>AY151*AY152</f>
        <v>0</v>
      </c>
      <c r="AZ153" s="913">
        <f>BC153-AY153</f>
        <v>0</v>
      </c>
      <c r="BA153" s="913">
        <f>BA151*BA152</f>
        <v>0</v>
      </c>
      <c r="BB153" s="914">
        <f>BD153-BA153</f>
        <v>0</v>
      </c>
      <c r="BC153" s="913">
        <f>BC151*BC152</f>
        <v>0</v>
      </c>
      <c r="BD153" s="913">
        <f>BF153-BC153</f>
        <v>0</v>
      </c>
      <c r="BE153" s="913">
        <f>AY153+AZ153+BA153</f>
        <v>0</v>
      </c>
      <c r="BF153" s="915">
        <f>BF151*BF152</f>
        <v>0</v>
      </c>
      <c r="BG153" s="913">
        <f>BG151*BG152</f>
        <v>0</v>
      </c>
      <c r="BH153" s="913">
        <f>BK153-BG153</f>
        <v>0</v>
      </c>
      <c r="BI153" s="913">
        <f>BI151*BI152</f>
        <v>0</v>
      </c>
      <c r="BJ153" s="914">
        <f>BL153-BI153</f>
        <v>0</v>
      </c>
      <c r="BK153" s="913">
        <f>BK151*BK152</f>
        <v>0</v>
      </c>
      <c r="BL153" s="913">
        <f>BN153-BK153</f>
        <v>0</v>
      </c>
      <c r="BM153" s="913">
        <f>BG153+BH153+BI153</f>
        <v>0</v>
      </c>
      <c r="BN153" s="915">
        <f>BN151*BN152</f>
        <v>0</v>
      </c>
      <c r="BO153" s="913">
        <f>BO151*BO152</f>
        <v>0</v>
      </c>
      <c r="BP153" s="913">
        <f>BS153-BO153</f>
        <v>0</v>
      </c>
      <c r="BQ153" s="913">
        <f>BQ151*BQ152</f>
        <v>0</v>
      </c>
      <c r="BR153" s="914">
        <f>BT153-BQ153</f>
        <v>0</v>
      </c>
      <c r="BS153" s="913">
        <f>BS151*BS152</f>
        <v>0</v>
      </c>
      <c r="BT153" s="913">
        <f>BV153-BS153</f>
        <v>0</v>
      </c>
      <c r="BU153" s="913">
        <f>BO153+BP153+BQ153</f>
        <v>0</v>
      </c>
      <c r="BV153" s="915">
        <f>BV151*BV152</f>
        <v>0</v>
      </c>
    </row>
    <row r="154" spans="1:74" ht="11.25" customHeight="1" x14ac:dyDescent="0.2">
      <c r="A154" s="899" t="s">
        <v>900</v>
      </c>
      <c r="B154" s="1403">
        <f t="shared" ref="B154:I154" si="458">(B153*9/12)+(C153*3/12)</f>
        <v>980.5</v>
      </c>
      <c r="C154" s="1403">
        <f t="shared" si="458"/>
        <v>975</v>
      </c>
      <c r="D154" s="1403">
        <f t="shared" si="458"/>
        <v>904</v>
      </c>
      <c r="E154" s="1403">
        <f t="shared" si="458"/>
        <v>685.5</v>
      </c>
      <c r="F154" s="1404">
        <f>(F153*9/12)+(G153*3/12)</f>
        <v>405.5</v>
      </c>
      <c r="G154" s="1404">
        <f t="shared" si="458"/>
        <v>144</v>
      </c>
      <c r="H154" s="1404">
        <f>(H153*9/12)+(I153*3/12)</f>
        <v>34.5</v>
      </c>
      <c r="I154" s="1404">
        <f t="shared" si="458"/>
        <v>36</v>
      </c>
      <c r="J154" s="1405">
        <f>(J153*9/12)+(R153*3/12)</f>
        <v>0</v>
      </c>
      <c r="K154" s="900">
        <f>(K153*9/12)+(L153*3/12)</f>
        <v>0</v>
      </c>
      <c r="L154" s="900">
        <f>(L153*9/12)+(M153*3/12)</f>
        <v>0</v>
      </c>
      <c r="M154" s="900">
        <f>(M153*9/12)+(N153*3/12)</f>
        <v>0</v>
      </c>
      <c r="N154" s="954">
        <f>(N153*9/12)+(S153*3/12)</f>
        <v>0</v>
      </c>
      <c r="O154" s="1404">
        <f>(O153*9/12)+(P153*3/12)</f>
        <v>0</v>
      </c>
      <c r="P154" s="900">
        <f>(P153*9/12)+(W153*3/12)</f>
        <v>0</v>
      </c>
      <c r="Q154" s="1404">
        <f>(Q153*9/12)+((N153+S153+T153)*3/12)</f>
        <v>0</v>
      </c>
      <c r="R154" s="955">
        <f>(R153*9/12)+(Z153*3/12)</f>
        <v>0</v>
      </c>
      <c r="S154" s="900">
        <f>(S153*9/12)+(T153*3/12)</f>
        <v>0</v>
      </c>
      <c r="T154" s="900">
        <f>(T153*9/12)+(U153*3/12)</f>
        <v>0</v>
      </c>
      <c r="U154" s="900">
        <f>(U153*9/12)+(V153*3/12)</f>
        <v>0</v>
      </c>
      <c r="V154" s="954">
        <f>(V153*9/12)+(AA153*3/12)</f>
        <v>0</v>
      </c>
      <c r="W154" s="1404">
        <f>(W153*9/12)+(X153*3/12)</f>
        <v>0</v>
      </c>
      <c r="X154" s="900">
        <f>(X153*9/12)+(AE153*3/12)</f>
        <v>0</v>
      </c>
      <c r="Y154" s="900">
        <f>(Y153*9/12)+((V153+AA153+AB153)*3/12)</f>
        <v>0</v>
      </c>
      <c r="Z154" s="955">
        <f>(Z153*9/12)+(AH153*3/12)</f>
        <v>0</v>
      </c>
      <c r="AA154" s="900">
        <f>(AA153*9/12)+(AB153*3/12)</f>
        <v>0</v>
      </c>
      <c r="AB154" s="900">
        <f>(AB153*9/12)+(AC153*3/12)</f>
        <v>0</v>
      </c>
      <c r="AC154" s="900">
        <f>(AC153*9/12)+(AD153*3/12)</f>
        <v>0</v>
      </c>
      <c r="AD154" s="954">
        <f>(AD153*9/12)+(AI153*3/12)</f>
        <v>0</v>
      </c>
      <c r="AE154" s="900">
        <f>(AE153*9/12)+(AF153*3/12)</f>
        <v>0</v>
      </c>
      <c r="AF154" s="900">
        <f>(AF153*9/12)+(AM153*3/12)</f>
        <v>0</v>
      </c>
      <c r="AG154" s="900">
        <f>(AG153*9/12)+((AD153+AI153+AJ153)*3/12)</f>
        <v>0</v>
      </c>
      <c r="AH154" s="955">
        <f>(AH153*9/12)+(AP153*3/12)</f>
        <v>0</v>
      </c>
      <c r="AI154" s="900">
        <f>(AI153*9/12)+(AJ153*3/12)</f>
        <v>0</v>
      </c>
      <c r="AJ154" s="900">
        <f>(AJ153*9/12)+(AK153*3/12)</f>
        <v>0</v>
      </c>
      <c r="AK154" s="913">
        <f>(AK153*9/12)+(AL153*3/12)</f>
        <v>0</v>
      </c>
      <c r="AL154" s="914">
        <f>(AL153*9/12)+(AQ153*3/12)</f>
        <v>0</v>
      </c>
      <c r="AM154" s="900">
        <f>(AM153*9/12)+(AN153*3/12)</f>
        <v>0</v>
      </c>
      <c r="AN154" s="913">
        <f>(AN153*9/12)+(AU153*3/12)</f>
        <v>0</v>
      </c>
      <c r="AO154" s="913">
        <f>(AO153*9/12)+((AL153+AQ153+AR153)*3/12)</f>
        <v>0</v>
      </c>
      <c r="AP154" s="915">
        <f>(AP153*9/12)+(AX153*3/12)</f>
        <v>0</v>
      </c>
      <c r="AQ154" s="913">
        <f>(AQ153*9/12)+(AR153*3/12)</f>
        <v>0</v>
      </c>
      <c r="AR154" s="913">
        <f>(AR153*9/12)+(AS153*3/12)</f>
        <v>0</v>
      </c>
      <c r="AS154" s="913">
        <f>(AS153*9/12)+(AT153*3/12)</f>
        <v>0</v>
      </c>
      <c r="AT154" s="914">
        <f>(AT153*9/12)+(AY153*3/12)</f>
        <v>0</v>
      </c>
      <c r="AU154" s="913">
        <f>(AU153*9/12)+(AV153*3/12)</f>
        <v>0</v>
      </c>
      <c r="AV154" s="913">
        <f>(AV153*9/12)+(BC153*3/12)</f>
        <v>0</v>
      </c>
      <c r="AW154" s="913">
        <f>(AW153*9/12)+((AT153+AY153+AZ153)*3/12)</f>
        <v>0</v>
      </c>
      <c r="AX154" s="915">
        <f>(AX153*9/12)+(BF153*3/12)</f>
        <v>0</v>
      </c>
      <c r="AY154" s="913">
        <f>(AY153*9/12)+(AZ153*3/12)</f>
        <v>0</v>
      </c>
      <c r="AZ154" s="913">
        <f>(AZ153*9/12)+(BA153*3/12)</f>
        <v>0</v>
      </c>
      <c r="BA154" s="913">
        <f>(BA153*9/12)+(BB153*3/12)</f>
        <v>0</v>
      </c>
      <c r="BB154" s="914">
        <f>(BB153*9/12)+(BG153*3/12)</f>
        <v>0</v>
      </c>
      <c r="BC154" s="913">
        <f>(BC153*9/12)+(BD153*3/12)</f>
        <v>0</v>
      </c>
      <c r="BD154" s="913">
        <f>(BD153*9/12)+(BK153*3/12)</f>
        <v>0</v>
      </c>
      <c r="BE154" s="913">
        <f>(BE153*9/12)+((BB153+BG153+BH153)*3/12)</f>
        <v>0</v>
      </c>
      <c r="BF154" s="915">
        <f>(BF153*9/12)+(BN153*3/12)</f>
        <v>0</v>
      </c>
      <c r="BG154" s="913">
        <f>(BG153*9/12)+(BH153*3/12)</f>
        <v>0</v>
      </c>
      <c r="BH154" s="913">
        <f>(BH153*9/12)+(BI153*3/12)</f>
        <v>0</v>
      </c>
      <c r="BI154" s="913">
        <f>(BI153*9/12)+(BJ153*3/12)</f>
        <v>0</v>
      </c>
      <c r="BJ154" s="914">
        <f>(BJ153*9/12)+(BO153*3/12)</f>
        <v>0</v>
      </c>
      <c r="BK154" s="913">
        <f>(BK153*9/12)+(BL153*3/12)</f>
        <v>0</v>
      </c>
      <c r="BL154" s="913">
        <f>(BL153*9/12)+(BS153*3/12)</f>
        <v>0</v>
      </c>
      <c r="BM154" s="913">
        <f>(BM153*9/12)+((BJ153+BO153+BP153)*3/12)</f>
        <v>0</v>
      </c>
      <c r="BN154" s="915">
        <f>(BN153*9/12)+(BV153*3/12)</f>
        <v>0</v>
      </c>
      <c r="BO154" s="913">
        <f>(BO153*9/12)+(BP153*3/12)</f>
        <v>0</v>
      </c>
      <c r="BP154" s="913">
        <f>(BP153*9/12)+(BQ153*3/12)</f>
        <v>0</v>
      </c>
      <c r="BQ154" s="913">
        <f>(BQ153*9/12)+(BR153*3/12)</f>
        <v>0</v>
      </c>
      <c r="BR154" s="914">
        <f>(BR153*9/12)+(BW153*3/12)</f>
        <v>0</v>
      </c>
      <c r="BS154" s="913">
        <f>(BS153*9/12)+(BT153*3/12)</f>
        <v>0</v>
      </c>
      <c r="BT154" s="913">
        <f>(BT153*9/12)+(CA153*3/12)</f>
        <v>0</v>
      </c>
      <c r="BU154" s="913">
        <f>(BU153*9/12)+((BR153+BW153+BX153)*3/12)</f>
        <v>0</v>
      </c>
      <c r="BV154" s="915">
        <f>(BV153*9/12)+(CD153*3/12)</f>
        <v>0</v>
      </c>
    </row>
    <row r="155" spans="1:74" ht="11.25" customHeight="1" x14ac:dyDescent="0.2">
      <c r="A155" s="899" t="s">
        <v>901</v>
      </c>
      <c r="B155" s="1406">
        <v>8.8999999999999996E-2</v>
      </c>
      <c r="C155" s="1406">
        <v>0.11749999999999999</v>
      </c>
      <c r="D155" s="1406">
        <v>0.115</v>
      </c>
      <c r="E155" s="1406">
        <v>0.15</v>
      </c>
      <c r="F155" s="1407">
        <v>0.29249999999999998</v>
      </c>
      <c r="G155" s="1407">
        <v>0.8</v>
      </c>
      <c r="H155" s="1407">
        <v>2</v>
      </c>
      <c r="I155" s="1407">
        <v>1</v>
      </c>
      <c r="J155" s="1408">
        <v>0</v>
      </c>
      <c r="K155" s="104">
        <f>R155</f>
        <v>0</v>
      </c>
      <c r="L155" s="104">
        <f>R155</f>
        <v>0</v>
      </c>
      <c r="M155" s="104">
        <f>R155</f>
        <v>0</v>
      </c>
      <c r="N155" s="872">
        <f>R155</f>
        <v>0</v>
      </c>
      <c r="O155" s="32">
        <f>R155</f>
        <v>0</v>
      </c>
      <c r="P155" s="104">
        <f>R155</f>
        <v>0</v>
      </c>
      <c r="Q155" s="1407">
        <f>R155</f>
        <v>0</v>
      </c>
      <c r="R155" s="1409">
        <v>0</v>
      </c>
      <c r="S155" s="104">
        <v>0</v>
      </c>
      <c r="T155" s="104">
        <f>Z155</f>
        <v>0</v>
      </c>
      <c r="U155" s="104">
        <f>Z155</f>
        <v>0</v>
      </c>
      <c r="V155" s="872">
        <f>Z155</f>
        <v>0</v>
      </c>
      <c r="W155" s="32">
        <f>Z155</f>
        <v>0</v>
      </c>
      <c r="X155" s="104">
        <f>Z155</f>
        <v>0</v>
      </c>
      <c r="Y155" s="894">
        <f>Z155</f>
        <v>0</v>
      </c>
      <c r="Z155" s="1409">
        <v>0</v>
      </c>
      <c r="AA155" s="104">
        <f>AH155</f>
        <v>0</v>
      </c>
      <c r="AB155" s="104">
        <f>AH155</f>
        <v>0</v>
      </c>
      <c r="AC155" s="104">
        <v>0</v>
      </c>
      <c r="AD155" s="872">
        <f>AH155</f>
        <v>0</v>
      </c>
      <c r="AE155" s="104">
        <f>AH155</f>
        <v>0</v>
      </c>
      <c r="AF155" s="104">
        <f>AH155</f>
        <v>0</v>
      </c>
      <c r="AG155" s="894">
        <f>AH155</f>
        <v>0</v>
      </c>
      <c r="AH155" s="1409">
        <v>0</v>
      </c>
      <c r="AI155" s="104">
        <v>0</v>
      </c>
      <c r="AJ155" s="104">
        <f>AP155</f>
        <v>0</v>
      </c>
      <c r="AK155" s="461">
        <f>AP155</f>
        <v>0</v>
      </c>
      <c r="AL155" s="868">
        <f>AP155</f>
        <v>0</v>
      </c>
      <c r="AM155" s="104">
        <f>AP155</f>
        <v>0</v>
      </c>
      <c r="AN155" s="461">
        <f>AP155</f>
        <v>0</v>
      </c>
      <c r="AO155" s="933">
        <f>AP155</f>
        <v>0</v>
      </c>
      <c r="AP155" s="932">
        <v>0</v>
      </c>
      <c r="AQ155" s="461">
        <f>AX155</f>
        <v>0</v>
      </c>
      <c r="AR155" s="461">
        <f>AX155</f>
        <v>0</v>
      </c>
      <c r="AS155" s="461">
        <f>AX155</f>
        <v>0</v>
      </c>
      <c r="AT155" s="868">
        <f>AX155</f>
        <v>0</v>
      </c>
      <c r="AU155" s="461">
        <f>AX155</f>
        <v>0</v>
      </c>
      <c r="AV155" s="461">
        <f>AX155</f>
        <v>0</v>
      </c>
      <c r="AW155" s="933">
        <f>AX155</f>
        <v>0</v>
      </c>
      <c r="AX155" s="932">
        <v>0</v>
      </c>
      <c r="AY155" s="461">
        <f>BF155</f>
        <v>0</v>
      </c>
      <c r="AZ155" s="461">
        <f>BF155</f>
        <v>0</v>
      </c>
      <c r="BA155" s="461">
        <f>BF155</f>
        <v>0</v>
      </c>
      <c r="BB155" s="868">
        <f>BF155</f>
        <v>0</v>
      </c>
      <c r="BC155" s="461">
        <f>BF155</f>
        <v>0</v>
      </c>
      <c r="BD155" s="461">
        <f>BF155</f>
        <v>0</v>
      </c>
      <c r="BE155" s="933">
        <f>BF155</f>
        <v>0</v>
      </c>
      <c r="BF155" s="932">
        <v>0</v>
      </c>
      <c r="BG155" s="461">
        <f>BN155</f>
        <v>0</v>
      </c>
      <c r="BH155" s="461">
        <f>BN155</f>
        <v>0</v>
      </c>
      <c r="BI155" s="461">
        <f>BN155</f>
        <v>0</v>
      </c>
      <c r="BJ155" s="868">
        <f>BN155</f>
        <v>0</v>
      </c>
      <c r="BK155" s="461">
        <f>BN155</f>
        <v>0</v>
      </c>
      <c r="BL155" s="461">
        <f>BN155</f>
        <v>0</v>
      </c>
      <c r="BM155" s="933">
        <f>BN155</f>
        <v>0</v>
      </c>
      <c r="BN155" s="932">
        <v>0</v>
      </c>
      <c r="BO155" s="461">
        <f>BV155</f>
        <v>0</v>
      </c>
      <c r="BP155" s="461">
        <f>BV155</f>
        <v>0</v>
      </c>
      <c r="BQ155" s="461">
        <f>BV155</f>
        <v>0</v>
      </c>
      <c r="BR155" s="868">
        <f>BV155</f>
        <v>0</v>
      </c>
      <c r="BS155" s="461">
        <f>BV155</f>
        <v>0</v>
      </c>
      <c r="BT155" s="461">
        <f>BV155</f>
        <v>0</v>
      </c>
      <c r="BU155" s="933">
        <f>BV155</f>
        <v>0</v>
      </c>
      <c r="BV155" s="932">
        <v>0</v>
      </c>
    </row>
    <row r="156" spans="1:74" ht="11.25" customHeight="1" x14ac:dyDescent="0.2">
      <c r="A156" s="899" t="s">
        <v>902</v>
      </c>
      <c r="B156" s="1403">
        <f t="shared" ref="B156:I156" si="459">B154*B155</f>
        <v>87.264499999999998</v>
      </c>
      <c r="C156" s="1403">
        <f t="shared" si="459"/>
        <v>114.5625</v>
      </c>
      <c r="D156" s="1403">
        <f t="shared" si="459"/>
        <v>103.96000000000001</v>
      </c>
      <c r="E156" s="1403">
        <f t="shared" si="459"/>
        <v>102.825</v>
      </c>
      <c r="F156" s="1404">
        <f t="shared" si="459"/>
        <v>118.60874999999999</v>
      </c>
      <c r="G156" s="1404">
        <f t="shared" si="459"/>
        <v>115.2</v>
      </c>
      <c r="H156" s="1404">
        <f t="shared" si="459"/>
        <v>69</v>
      </c>
      <c r="I156" s="1404">
        <f t="shared" si="459"/>
        <v>36</v>
      </c>
      <c r="J156" s="1405">
        <v>30</v>
      </c>
      <c r="K156" s="900">
        <f>O156/2</f>
        <v>7.5</v>
      </c>
      <c r="L156" s="900">
        <f>O156-K156</f>
        <v>7.5</v>
      </c>
      <c r="M156" s="900">
        <f>P156/2</f>
        <v>7.5</v>
      </c>
      <c r="N156" s="954">
        <f>P156-M156</f>
        <v>7.5</v>
      </c>
      <c r="O156" s="1404">
        <f>R156/2</f>
        <v>15</v>
      </c>
      <c r="P156" s="900">
        <f>R156-O156</f>
        <v>15</v>
      </c>
      <c r="Q156" s="1404">
        <f>K156+L156+M156</f>
        <v>22.5</v>
      </c>
      <c r="R156" s="955">
        <v>30</v>
      </c>
      <c r="S156" s="900">
        <v>4</v>
      </c>
      <c r="T156" s="900">
        <f>W156-S156</f>
        <v>3.5</v>
      </c>
      <c r="U156" s="900">
        <f>X156/2</f>
        <v>3.75</v>
      </c>
      <c r="V156" s="954">
        <f>X156-U156</f>
        <v>3.75</v>
      </c>
      <c r="W156" s="1404">
        <f>Z156/2</f>
        <v>7.5</v>
      </c>
      <c r="X156" s="900">
        <f>Z156-W156</f>
        <v>7.5</v>
      </c>
      <c r="Y156" s="900">
        <f>S156+T156+U156</f>
        <v>11.25</v>
      </c>
      <c r="Z156" s="955">
        <v>15</v>
      </c>
      <c r="AA156" s="900">
        <f>AE156/2</f>
        <v>3.75</v>
      </c>
      <c r="AB156" s="900">
        <f>AE156-AA156</f>
        <v>3.75</v>
      </c>
      <c r="AC156" s="900">
        <f>AF156/2</f>
        <v>3.75</v>
      </c>
      <c r="AD156" s="954">
        <f>AF156-AC156</f>
        <v>3.75</v>
      </c>
      <c r="AE156" s="900">
        <f>AH156/2</f>
        <v>7.5</v>
      </c>
      <c r="AF156" s="900">
        <f>AH156-AE156</f>
        <v>7.5</v>
      </c>
      <c r="AG156" s="900">
        <f>AA156+AB156+AC156</f>
        <v>11.25</v>
      </c>
      <c r="AH156" s="955">
        <f>Z156</f>
        <v>15</v>
      </c>
      <c r="AI156" s="900">
        <v>4</v>
      </c>
      <c r="AJ156" s="900">
        <f>AM156-AI156</f>
        <v>5</v>
      </c>
      <c r="AK156" s="913">
        <f>AN156/2</f>
        <v>3</v>
      </c>
      <c r="AL156" s="914">
        <f>AN156-AK156</f>
        <v>3</v>
      </c>
      <c r="AM156" s="900">
        <v>9</v>
      </c>
      <c r="AN156" s="913">
        <f>AP156-AM156</f>
        <v>6</v>
      </c>
      <c r="AO156" s="913">
        <f>AI156+AJ156+AK156</f>
        <v>12</v>
      </c>
      <c r="AP156" s="929">
        <f>AH156</f>
        <v>15</v>
      </c>
      <c r="AQ156" s="913">
        <f>AU156/2</f>
        <v>3.75</v>
      </c>
      <c r="AR156" s="913">
        <f>AU156-AQ156</f>
        <v>3.75</v>
      </c>
      <c r="AS156" s="913">
        <f>AV156/2</f>
        <v>3.75</v>
      </c>
      <c r="AT156" s="914">
        <f>AV156-AS156</f>
        <v>3.75</v>
      </c>
      <c r="AU156" s="913">
        <f>AX156/2</f>
        <v>7.5</v>
      </c>
      <c r="AV156" s="913">
        <f>AX156-AU156</f>
        <v>7.5</v>
      </c>
      <c r="AW156" s="913">
        <f>AQ156+AR156+AS156</f>
        <v>11.25</v>
      </c>
      <c r="AX156" s="929">
        <f>AP156</f>
        <v>15</v>
      </c>
      <c r="AY156" s="913">
        <f>BC156/2</f>
        <v>3.75</v>
      </c>
      <c r="AZ156" s="913">
        <f>BC156-AY156</f>
        <v>3.75</v>
      </c>
      <c r="BA156" s="913">
        <f>BD156/2</f>
        <v>3.75</v>
      </c>
      <c r="BB156" s="914">
        <f>BD156-BA156</f>
        <v>3.75</v>
      </c>
      <c r="BC156" s="913">
        <f>BF156/2</f>
        <v>7.5</v>
      </c>
      <c r="BD156" s="913">
        <f>BF156-BC156</f>
        <v>7.5</v>
      </c>
      <c r="BE156" s="913">
        <f>AY156+AZ156+BA156</f>
        <v>11.25</v>
      </c>
      <c r="BF156" s="929">
        <f>AX156</f>
        <v>15</v>
      </c>
      <c r="BG156" s="913">
        <f>BK156/2</f>
        <v>3.75</v>
      </c>
      <c r="BH156" s="913">
        <f>BK156-BG156</f>
        <v>3.75</v>
      </c>
      <c r="BI156" s="913">
        <f>BL156/2</f>
        <v>3.75</v>
      </c>
      <c r="BJ156" s="914">
        <f>BL156-BI156</f>
        <v>3.75</v>
      </c>
      <c r="BK156" s="913">
        <f>BN156/2</f>
        <v>7.5</v>
      </c>
      <c r="BL156" s="913">
        <f>BN156-BK156</f>
        <v>7.5</v>
      </c>
      <c r="BM156" s="913">
        <f>BG156+BH156+BI156</f>
        <v>11.25</v>
      </c>
      <c r="BN156" s="929">
        <f>BF156</f>
        <v>15</v>
      </c>
      <c r="BO156" s="913">
        <f>BS156/2</f>
        <v>3.75</v>
      </c>
      <c r="BP156" s="913">
        <f>BS156-BO156</f>
        <v>3.75</v>
      </c>
      <c r="BQ156" s="913">
        <f>BT156/2</f>
        <v>3.75</v>
      </c>
      <c r="BR156" s="914">
        <f>BT156-BQ156</f>
        <v>3.75</v>
      </c>
      <c r="BS156" s="913">
        <f>BV156/2</f>
        <v>7.5</v>
      </c>
      <c r="BT156" s="913">
        <f>BV156-BS156</f>
        <v>7.5</v>
      </c>
      <c r="BU156" s="913">
        <f>BO156+BP156+BQ156</f>
        <v>11.25</v>
      </c>
      <c r="BV156" s="929">
        <f>BN156</f>
        <v>15</v>
      </c>
    </row>
    <row r="157" spans="1:74" ht="11.25" customHeight="1" x14ac:dyDescent="0.2">
      <c r="A157" s="899" t="s">
        <v>903</v>
      </c>
      <c r="B157" s="1403">
        <f>B154+B156</f>
        <v>1067.7645</v>
      </c>
      <c r="C157" s="1403">
        <f t="shared" ref="C157:K157" si="460">C154+C156</f>
        <v>1089.5625</v>
      </c>
      <c r="D157" s="1403">
        <f t="shared" si="460"/>
        <v>1007.96</v>
      </c>
      <c r="E157" s="1403">
        <f t="shared" si="460"/>
        <v>788.32500000000005</v>
      </c>
      <c r="F157" s="1404">
        <f t="shared" si="460"/>
        <v>524.10874999999999</v>
      </c>
      <c r="G157" s="1404">
        <f>G154+G156</f>
        <v>259.2</v>
      </c>
      <c r="H157" s="1404">
        <f>H154+H156</f>
        <v>103.5</v>
      </c>
      <c r="I157" s="1404">
        <f t="shared" si="460"/>
        <v>72</v>
      </c>
      <c r="J157" s="1405">
        <f t="shared" si="460"/>
        <v>30</v>
      </c>
      <c r="K157" s="900">
        <f t="shared" si="460"/>
        <v>7.5</v>
      </c>
      <c r="L157" s="900">
        <f>O157-K157</f>
        <v>7.5</v>
      </c>
      <c r="M157" s="900">
        <f>M154+M156</f>
        <v>7.5</v>
      </c>
      <c r="N157" s="954">
        <f>P157-M157</f>
        <v>7.5</v>
      </c>
      <c r="O157" s="1404">
        <f>O154+O156</f>
        <v>15</v>
      </c>
      <c r="P157" s="900">
        <f>R157-O157</f>
        <v>15</v>
      </c>
      <c r="Q157" s="1404">
        <f>K157+L157+M157</f>
        <v>22.5</v>
      </c>
      <c r="R157" s="955">
        <f>R154+R156</f>
        <v>30</v>
      </c>
      <c r="S157" s="900">
        <f>S154+S156</f>
        <v>4</v>
      </c>
      <c r="T157" s="900">
        <f>W157-S157</f>
        <v>3.5</v>
      </c>
      <c r="U157" s="900">
        <f>U154+U156</f>
        <v>3.75</v>
      </c>
      <c r="V157" s="954">
        <f>X157-U157</f>
        <v>3.75</v>
      </c>
      <c r="W157" s="1404">
        <f>W154+W156</f>
        <v>7.5</v>
      </c>
      <c r="X157" s="900">
        <f>Z157-W157</f>
        <v>7.5</v>
      </c>
      <c r="Y157" s="900">
        <f>S157+T157+U157</f>
        <v>11.25</v>
      </c>
      <c r="Z157" s="955">
        <f>Z154+Z156</f>
        <v>15</v>
      </c>
      <c r="AA157" s="900">
        <f>AA154+AA156</f>
        <v>3.75</v>
      </c>
      <c r="AB157" s="900">
        <f>AE157-AA157</f>
        <v>3.75</v>
      </c>
      <c r="AC157" s="900">
        <f>AC154+AC156</f>
        <v>3.75</v>
      </c>
      <c r="AD157" s="954">
        <f>AF157-AC157</f>
        <v>3.75</v>
      </c>
      <c r="AE157" s="900">
        <f>AE154+AE156</f>
        <v>7.5</v>
      </c>
      <c r="AF157" s="900">
        <f>AH157-AE157</f>
        <v>7.5</v>
      </c>
      <c r="AG157" s="900">
        <f>AA157+AB157+AC157</f>
        <v>11.25</v>
      </c>
      <c r="AH157" s="955">
        <f>AH154+AH156</f>
        <v>15</v>
      </c>
      <c r="AI157" s="900">
        <f>AI154+AI156</f>
        <v>4</v>
      </c>
      <c r="AJ157" s="900">
        <f>AM157-AI157</f>
        <v>5</v>
      </c>
      <c r="AK157" s="913">
        <f>AK154+AK156</f>
        <v>3</v>
      </c>
      <c r="AL157" s="914">
        <f>AN157-AK157</f>
        <v>3</v>
      </c>
      <c r="AM157" s="900">
        <f>AM154+AM156</f>
        <v>9</v>
      </c>
      <c r="AN157" s="913">
        <f>AP157-AM157</f>
        <v>6</v>
      </c>
      <c r="AO157" s="913">
        <f>AI157+AJ157+AK157</f>
        <v>12</v>
      </c>
      <c r="AP157" s="915">
        <f>AP154+AP156</f>
        <v>15</v>
      </c>
      <c r="AQ157" s="913">
        <f>AQ154+AQ156</f>
        <v>3.75</v>
      </c>
      <c r="AR157" s="913">
        <f>AU157-AQ157</f>
        <v>3.75</v>
      </c>
      <c r="AS157" s="913">
        <f>AS154+AS156</f>
        <v>3.75</v>
      </c>
      <c r="AT157" s="914">
        <f>AV157-AS157</f>
        <v>3.75</v>
      </c>
      <c r="AU157" s="913">
        <f>AU154+AU156</f>
        <v>7.5</v>
      </c>
      <c r="AV157" s="913">
        <f>AX157-AU157</f>
        <v>7.5</v>
      </c>
      <c r="AW157" s="913">
        <f>AQ157+AR157+AS157</f>
        <v>11.25</v>
      </c>
      <c r="AX157" s="915">
        <f>AX154+AX156</f>
        <v>15</v>
      </c>
      <c r="AY157" s="913">
        <f>AY154+AY156</f>
        <v>3.75</v>
      </c>
      <c r="AZ157" s="913">
        <f>BC157-AY157</f>
        <v>3.75</v>
      </c>
      <c r="BA157" s="913">
        <f>BA154+BA156</f>
        <v>3.75</v>
      </c>
      <c r="BB157" s="914">
        <f>BD157-BA157</f>
        <v>3.75</v>
      </c>
      <c r="BC157" s="913">
        <f>BC154+BC156</f>
        <v>7.5</v>
      </c>
      <c r="BD157" s="913">
        <f>BF157-BC157</f>
        <v>7.5</v>
      </c>
      <c r="BE157" s="913">
        <f>AY157+AZ157+BA157</f>
        <v>11.25</v>
      </c>
      <c r="BF157" s="915">
        <f>BF154+BF156</f>
        <v>15</v>
      </c>
      <c r="BG157" s="913">
        <f>BG154+BG156</f>
        <v>3.75</v>
      </c>
      <c r="BH157" s="913">
        <f>BK157-BG157</f>
        <v>3.75</v>
      </c>
      <c r="BI157" s="913">
        <f>BI154+BI156</f>
        <v>3.75</v>
      </c>
      <c r="BJ157" s="914">
        <f>BL157-BI157</f>
        <v>3.75</v>
      </c>
      <c r="BK157" s="913">
        <f>BK154+BK156</f>
        <v>7.5</v>
      </c>
      <c r="BL157" s="913">
        <f>BN157-BK157</f>
        <v>7.5</v>
      </c>
      <c r="BM157" s="913">
        <f>BG157+BH157+BI157</f>
        <v>11.25</v>
      </c>
      <c r="BN157" s="915">
        <f>BN154+BN156</f>
        <v>15</v>
      </c>
      <c r="BO157" s="913">
        <f>BO154+BO156</f>
        <v>3.75</v>
      </c>
      <c r="BP157" s="913">
        <f>BS157-BO157</f>
        <v>3.75</v>
      </c>
      <c r="BQ157" s="913">
        <f>BQ154+BQ156</f>
        <v>3.75</v>
      </c>
      <c r="BR157" s="914">
        <f>BT157-BQ157</f>
        <v>3.75</v>
      </c>
      <c r="BS157" s="913">
        <f>BS154+BS156</f>
        <v>7.5</v>
      </c>
      <c r="BT157" s="913">
        <f>BV157-BS157</f>
        <v>7.5</v>
      </c>
      <c r="BU157" s="913">
        <f>BO157+BP157+BQ157</f>
        <v>11.25</v>
      </c>
      <c r="BV157" s="915">
        <f>BV154+BV156</f>
        <v>15</v>
      </c>
    </row>
    <row r="158" spans="1:74" ht="11.25" customHeight="1" x14ac:dyDescent="0.2">
      <c r="A158" s="899" t="s">
        <v>904</v>
      </c>
      <c r="B158" s="1406">
        <v>0.47499999999999998</v>
      </c>
      <c r="C158" s="1406">
        <v>0.5</v>
      </c>
      <c r="D158" s="1406">
        <v>0.6</v>
      </c>
      <c r="E158" s="1406">
        <v>0.6</v>
      </c>
      <c r="F158" s="1407">
        <v>0.7</v>
      </c>
      <c r="G158" s="1407">
        <v>0.7</v>
      </c>
      <c r="H158" s="1407">
        <v>0.65</v>
      </c>
      <c r="I158" s="1407">
        <v>0.65</v>
      </c>
      <c r="J158" s="1408">
        <v>0.65</v>
      </c>
      <c r="K158" s="104">
        <f>R158</f>
        <v>0.65</v>
      </c>
      <c r="L158" s="104">
        <f>R158</f>
        <v>0.65</v>
      </c>
      <c r="M158" s="104">
        <f>R158</f>
        <v>0.65</v>
      </c>
      <c r="N158" s="872">
        <f>R158</f>
        <v>0.65</v>
      </c>
      <c r="O158" s="32">
        <f>R158</f>
        <v>0.65</v>
      </c>
      <c r="P158" s="104">
        <f>R158</f>
        <v>0.65</v>
      </c>
      <c r="Q158" s="1407">
        <f>R158</f>
        <v>0.65</v>
      </c>
      <c r="R158" s="1409">
        <v>0.65</v>
      </c>
      <c r="S158" s="104">
        <f>Z158</f>
        <v>0.65</v>
      </c>
      <c r="T158" s="104">
        <f>Z158</f>
        <v>0.65</v>
      </c>
      <c r="U158" s="104">
        <f>Z158</f>
        <v>0.65</v>
      </c>
      <c r="V158" s="872">
        <f>Z158</f>
        <v>0.65</v>
      </c>
      <c r="W158" s="32">
        <f>Z158</f>
        <v>0.65</v>
      </c>
      <c r="X158" s="104">
        <f>Z158</f>
        <v>0.65</v>
      </c>
      <c r="Y158" s="894">
        <f>Z158</f>
        <v>0.65</v>
      </c>
      <c r="Z158" s="1409">
        <f>R158</f>
        <v>0.65</v>
      </c>
      <c r="AA158" s="104">
        <f>AH158</f>
        <v>0.65</v>
      </c>
      <c r="AB158" s="104">
        <f>AH158</f>
        <v>0.65</v>
      </c>
      <c r="AC158" s="104">
        <f>AH158</f>
        <v>0.65</v>
      </c>
      <c r="AD158" s="872">
        <f>AH158</f>
        <v>0.65</v>
      </c>
      <c r="AE158" s="104">
        <f>AH158</f>
        <v>0.65</v>
      </c>
      <c r="AF158" s="104">
        <f>AH158</f>
        <v>0.65</v>
      </c>
      <c r="AG158" s="894">
        <f>AH158</f>
        <v>0.65</v>
      </c>
      <c r="AH158" s="1409">
        <f>Z158</f>
        <v>0.65</v>
      </c>
      <c r="AI158" s="104">
        <f>AP158</f>
        <v>0.65</v>
      </c>
      <c r="AJ158" s="104">
        <f>AP158</f>
        <v>0.65</v>
      </c>
      <c r="AK158" s="461">
        <f>AP158</f>
        <v>0.65</v>
      </c>
      <c r="AL158" s="868">
        <f>AP158</f>
        <v>0.65</v>
      </c>
      <c r="AM158" s="104">
        <f>AP158</f>
        <v>0.65</v>
      </c>
      <c r="AN158" s="461">
        <f>AP158</f>
        <v>0.65</v>
      </c>
      <c r="AO158" s="933">
        <f>AP158</f>
        <v>0.65</v>
      </c>
      <c r="AP158" s="932">
        <f>AH158</f>
        <v>0.65</v>
      </c>
      <c r="AQ158" s="461">
        <f>AX158</f>
        <v>0.65</v>
      </c>
      <c r="AR158" s="461">
        <f>AX158</f>
        <v>0.65</v>
      </c>
      <c r="AS158" s="461">
        <f>AX158</f>
        <v>0.65</v>
      </c>
      <c r="AT158" s="868">
        <f>AX158</f>
        <v>0.65</v>
      </c>
      <c r="AU158" s="461">
        <f>AX158</f>
        <v>0.65</v>
      </c>
      <c r="AV158" s="461">
        <f>AX158</f>
        <v>0.65</v>
      </c>
      <c r="AW158" s="933">
        <f>AX158</f>
        <v>0.65</v>
      </c>
      <c r="AX158" s="932">
        <f>AP158</f>
        <v>0.65</v>
      </c>
      <c r="AY158" s="461">
        <f>BF158</f>
        <v>0.65</v>
      </c>
      <c r="AZ158" s="461">
        <f>BF158</f>
        <v>0.65</v>
      </c>
      <c r="BA158" s="461">
        <f>BF158</f>
        <v>0.65</v>
      </c>
      <c r="BB158" s="868">
        <f>BF158</f>
        <v>0.65</v>
      </c>
      <c r="BC158" s="461">
        <f>BF158</f>
        <v>0.65</v>
      </c>
      <c r="BD158" s="461">
        <f>BF158</f>
        <v>0.65</v>
      </c>
      <c r="BE158" s="933">
        <f>BF158</f>
        <v>0.65</v>
      </c>
      <c r="BF158" s="932">
        <f>AX158</f>
        <v>0.65</v>
      </c>
      <c r="BG158" s="461">
        <f>BN158</f>
        <v>0.65</v>
      </c>
      <c r="BH158" s="461">
        <f>BN158</f>
        <v>0.65</v>
      </c>
      <c r="BI158" s="461">
        <f>BN158</f>
        <v>0.65</v>
      </c>
      <c r="BJ158" s="868">
        <f>BN158</f>
        <v>0.65</v>
      </c>
      <c r="BK158" s="461">
        <f>BN158</f>
        <v>0.65</v>
      </c>
      <c r="BL158" s="461">
        <f>BN158</f>
        <v>0.65</v>
      </c>
      <c r="BM158" s="933">
        <f>BN158</f>
        <v>0.65</v>
      </c>
      <c r="BN158" s="932">
        <f>BF158</f>
        <v>0.65</v>
      </c>
      <c r="BO158" s="461">
        <f>BV158</f>
        <v>0.65</v>
      </c>
      <c r="BP158" s="461">
        <f>BV158</f>
        <v>0.65</v>
      </c>
      <c r="BQ158" s="461">
        <f>BV158</f>
        <v>0.65</v>
      </c>
      <c r="BR158" s="868">
        <f>BV158</f>
        <v>0.65</v>
      </c>
      <c r="BS158" s="461">
        <f>BV158</f>
        <v>0.65</v>
      </c>
      <c r="BT158" s="461">
        <f>BV158</f>
        <v>0.65</v>
      </c>
      <c r="BU158" s="933">
        <f>BV158</f>
        <v>0.65</v>
      </c>
      <c r="BV158" s="932">
        <f>BN158</f>
        <v>0.65</v>
      </c>
    </row>
    <row r="159" spans="1:74" ht="11.25" customHeight="1" x14ac:dyDescent="0.2">
      <c r="A159" s="921" t="s">
        <v>905</v>
      </c>
      <c r="B159" s="921">
        <f t="shared" ref="B159:Y159" si="461">ROUND(B157*B158,0)</f>
        <v>507</v>
      </c>
      <c r="C159" s="921">
        <f t="shared" si="461"/>
        <v>545</v>
      </c>
      <c r="D159" s="921">
        <f t="shared" si="461"/>
        <v>605</v>
      </c>
      <c r="E159" s="921">
        <f t="shared" si="461"/>
        <v>473</v>
      </c>
      <c r="F159" s="921">
        <f t="shared" si="461"/>
        <v>367</v>
      </c>
      <c r="G159" s="921">
        <f t="shared" si="461"/>
        <v>181</v>
      </c>
      <c r="H159" s="921">
        <f t="shared" si="461"/>
        <v>67</v>
      </c>
      <c r="I159" s="921">
        <f t="shared" si="461"/>
        <v>47</v>
      </c>
      <c r="J159" s="922">
        <f t="shared" si="461"/>
        <v>20</v>
      </c>
      <c r="K159" s="921">
        <f t="shared" si="461"/>
        <v>5</v>
      </c>
      <c r="L159" s="921">
        <f t="shared" si="461"/>
        <v>5</v>
      </c>
      <c r="M159" s="921">
        <f t="shared" si="461"/>
        <v>5</v>
      </c>
      <c r="N159" s="1401">
        <f t="shared" si="461"/>
        <v>5</v>
      </c>
      <c r="O159" s="921">
        <f t="shared" si="461"/>
        <v>10</v>
      </c>
      <c r="P159" s="921">
        <f t="shared" si="461"/>
        <v>10</v>
      </c>
      <c r="Q159" s="921">
        <f t="shared" si="461"/>
        <v>15</v>
      </c>
      <c r="R159" s="1402">
        <f t="shared" si="461"/>
        <v>20</v>
      </c>
      <c r="S159" s="921">
        <f t="shared" si="461"/>
        <v>3</v>
      </c>
      <c r="T159" s="921">
        <f t="shared" ref="T159" si="462">ROUND(T157*T158,0)</f>
        <v>2</v>
      </c>
      <c r="U159" s="921">
        <f t="shared" si="461"/>
        <v>2</v>
      </c>
      <c r="V159" s="1401">
        <f t="shared" si="461"/>
        <v>2</v>
      </c>
      <c r="W159" s="921">
        <f t="shared" ref="W159" si="463">ROUND(W157*W158,0)</f>
        <v>5</v>
      </c>
      <c r="X159" s="921">
        <f t="shared" si="461"/>
        <v>5</v>
      </c>
      <c r="Y159" s="921">
        <f t="shared" si="461"/>
        <v>7</v>
      </c>
      <c r="Z159" s="1402">
        <f>ROUND(Z157*Z158,0)</f>
        <v>10</v>
      </c>
      <c r="AA159" s="921">
        <f t="shared" ref="AA159:AG159" si="464">ROUND(AA157*AA158,0)</f>
        <v>2</v>
      </c>
      <c r="AB159" s="921">
        <f t="shared" si="464"/>
        <v>2</v>
      </c>
      <c r="AC159" s="921">
        <f t="shared" si="464"/>
        <v>2</v>
      </c>
      <c r="AD159" s="1401">
        <f t="shared" si="464"/>
        <v>2</v>
      </c>
      <c r="AE159" s="921">
        <f t="shared" si="464"/>
        <v>5</v>
      </c>
      <c r="AF159" s="921">
        <f t="shared" si="464"/>
        <v>5</v>
      </c>
      <c r="AG159" s="921">
        <f t="shared" si="464"/>
        <v>7</v>
      </c>
      <c r="AH159" s="1402">
        <f>ROUND(AH157*AH158,0)</f>
        <v>10</v>
      </c>
      <c r="AI159" s="921">
        <f t="shared" ref="AI159:AO159" si="465">ROUND(AI157*AI158,0)</f>
        <v>3</v>
      </c>
      <c r="AJ159" s="921">
        <f t="shared" si="465"/>
        <v>3</v>
      </c>
      <c r="AK159" s="924">
        <f t="shared" si="465"/>
        <v>2</v>
      </c>
      <c r="AL159" s="923">
        <f t="shared" si="465"/>
        <v>2</v>
      </c>
      <c r="AM159" s="921">
        <f t="shared" si="465"/>
        <v>6</v>
      </c>
      <c r="AN159" s="924">
        <f t="shared" si="465"/>
        <v>4</v>
      </c>
      <c r="AO159" s="924">
        <f t="shared" si="465"/>
        <v>8</v>
      </c>
      <c r="AP159" s="925">
        <f>ROUND(AP157*AP158,0)</f>
        <v>10</v>
      </c>
      <c r="AQ159" s="924">
        <f t="shared" ref="AQ159:AW159" si="466">ROUND(AQ157*AQ158,0)</f>
        <v>2</v>
      </c>
      <c r="AR159" s="924">
        <f t="shared" si="466"/>
        <v>2</v>
      </c>
      <c r="AS159" s="924">
        <f t="shared" si="466"/>
        <v>2</v>
      </c>
      <c r="AT159" s="923">
        <f t="shared" si="466"/>
        <v>2</v>
      </c>
      <c r="AU159" s="924">
        <f t="shared" si="466"/>
        <v>5</v>
      </c>
      <c r="AV159" s="924">
        <f t="shared" si="466"/>
        <v>5</v>
      </c>
      <c r="AW159" s="924">
        <f t="shared" si="466"/>
        <v>7</v>
      </c>
      <c r="AX159" s="925">
        <f>ROUND(AX157*AX158,0)</f>
        <v>10</v>
      </c>
      <c r="AY159" s="924">
        <f t="shared" ref="AY159:BE159" si="467">ROUND(AY157*AY158,0)</f>
        <v>2</v>
      </c>
      <c r="AZ159" s="924">
        <f t="shared" si="467"/>
        <v>2</v>
      </c>
      <c r="BA159" s="924">
        <f t="shared" si="467"/>
        <v>2</v>
      </c>
      <c r="BB159" s="923">
        <f t="shared" si="467"/>
        <v>2</v>
      </c>
      <c r="BC159" s="924">
        <f t="shared" si="467"/>
        <v>5</v>
      </c>
      <c r="BD159" s="924">
        <f t="shared" si="467"/>
        <v>5</v>
      </c>
      <c r="BE159" s="924">
        <f t="shared" si="467"/>
        <v>7</v>
      </c>
      <c r="BF159" s="925">
        <f>ROUND(BF157*BF158,0)</f>
        <v>10</v>
      </c>
      <c r="BG159" s="924">
        <f t="shared" ref="BG159:BM159" si="468">ROUND(BG157*BG158,0)</f>
        <v>2</v>
      </c>
      <c r="BH159" s="924">
        <f t="shared" si="468"/>
        <v>2</v>
      </c>
      <c r="BI159" s="924">
        <f t="shared" si="468"/>
        <v>2</v>
      </c>
      <c r="BJ159" s="923">
        <f t="shared" si="468"/>
        <v>2</v>
      </c>
      <c r="BK159" s="924">
        <f t="shared" si="468"/>
        <v>5</v>
      </c>
      <c r="BL159" s="924">
        <f t="shared" si="468"/>
        <v>5</v>
      </c>
      <c r="BM159" s="924">
        <f t="shared" si="468"/>
        <v>7</v>
      </c>
      <c r="BN159" s="925">
        <f>ROUND(BN157*BN158,0)</f>
        <v>10</v>
      </c>
      <c r="BO159" s="924">
        <f t="shared" ref="BO159:BU159" si="469">ROUND(BO157*BO158,0)</f>
        <v>2</v>
      </c>
      <c r="BP159" s="924">
        <f t="shared" si="469"/>
        <v>2</v>
      </c>
      <c r="BQ159" s="924">
        <f t="shared" si="469"/>
        <v>2</v>
      </c>
      <c r="BR159" s="923">
        <f t="shared" si="469"/>
        <v>2</v>
      </c>
      <c r="BS159" s="924">
        <f t="shared" si="469"/>
        <v>5</v>
      </c>
      <c r="BT159" s="924">
        <f t="shared" si="469"/>
        <v>5</v>
      </c>
      <c r="BU159" s="924">
        <f t="shared" si="469"/>
        <v>7</v>
      </c>
      <c r="BV159" s="925">
        <f>ROUND(BV157*BV158,0)</f>
        <v>10</v>
      </c>
    </row>
    <row r="160" spans="1:74" x14ac:dyDescent="0.2">
      <c r="A160" s="899"/>
      <c r="J160" s="180"/>
      <c r="N160" s="179"/>
      <c r="R160" s="314"/>
      <c r="V160" s="179"/>
      <c r="Z160" s="314"/>
      <c r="AD160" s="179"/>
      <c r="AH160" s="314"/>
      <c r="AL160" s="179"/>
      <c r="AP160" s="314"/>
      <c r="AT160" s="179"/>
      <c r="AX160" s="314"/>
      <c r="BB160" s="179"/>
      <c r="BF160" s="314"/>
      <c r="BJ160" s="179"/>
      <c r="BN160" s="314"/>
      <c r="BR160" s="179"/>
      <c r="BV160" s="314"/>
    </row>
    <row r="161" spans="1:74" x14ac:dyDescent="0.2">
      <c r="A161" s="931" t="s">
        <v>906</v>
      </c>
      <c r="B161" s="931">
        <f t="shared" ref="B161:G161" si="470">B142</f>
        <v>485</v>
      </c>
      <c r="C161" s="931">
        <f t="shared" si="470"/>
        <v>495</v>
      </c>
      <c r="D161" s="931">
        <f t="shared" si="470"/>
        <v>490</v>
      </c>
      <c r="E161" s="931">
        <f t="shared" si="470"/>
        <v>455</v>
      </c>
      <c r="F161" s="926">
        <f t="shared" si="470"/>
        <v>324</v>
      </c>
      <c r="G161" s="926">
        <f t="shared" si="470"/>
        <v>70</v>
      </c>
      <c r="H161" s="926">
        <v>10</v>
      </c>
      <c r="I161" s="926">
        <f>I142</f>
        <v>18</v>
      </c>
      <c r="J161" s="934">
        <f>J142</f>
        <v>13</v>
      </c>
      <c r="K161" s="926">
        <f>O161/2</f>
        <v>2.25</v>
      </c>
      <c r="L161" s="926">
        <f>O161-K161</f>
        <v>2.25</v>
      </c>
      <c r="M161" s="926">
        <f>P161/2</f>
        <v>2.25</v>
      </c>
      <c r="N161" s="1001">
        <f>P161-M161</f>
        <v>2.25</v>
      </c>
      <c r="O161" s="926">
        <f>R161/2</f>
        <v>4.5</v>
      </c>
      <c r="P161" s="926">
        <f>R161-O161</f>
        <v>4.5</v>
      </c>
      <c r="Q161" s="926">
        <f>O161+M161</f>
        <v>6.75</v>
      </c>
      <c r="R161" s="1032">
        <f>R142</f>
        <v>9</v>
      </c>
      <c r="S161" s="926">
        <f>S142</f>
        <v>1</v>
      </c>
      <c r="T161" s="926">
        <f>W161-S161</f>
        <v>1</v>
      </c>
      <c r="U161" s="926">
        <f>U142</f>
        <v>2</v>
      </c>
      <c r="V161" s="1001">
        <f>X161-U161</f>
        <v>1</v>
      </c>
      <c r="W161" s="926">
        <f>W142</f>
        <v>2</v>
      </c>
      <c r="X161" s="926">
        <f>Z161-W161</f>
        <v>3</v>
      </c>
      <c r="Y161" s="926">
        <f>W161+U161</f>
        <v>4</v>
      </c>
      <c r="Z161" s="1032">
        <f>Z142</f>
        <v>5</v>
      </c>
      <c r="AA161" s="926">
        <f>AA142</f>
        <v>1</v>
      </c>
      <c r="AB161" s="926">
        <f>AE161-AA161</f>
        <v>2</v>
      </c>
      <c r="AC161" s="926">
        <f>AC142</f>
        <v>2</v>
      </c>
      <c r="AD161" s="1001">
        <f>AF161-AC161</f>
        <v>2</v>
      </c>
      <c r="AE161" s="926">
        <f>AE142</f>
        <v>3</v>
      </c>
      <c r="AF161" s="926">
        <f>AH161-AE161</f>
        <v>4</v>
      </c>
      <c r="AG161" s="926">
        <f>AE161+AC161</f>
        <v>5</v>
      </c>
      <c r="AH161" s="1032">
        <f>AH142</f>
        <v>7</v>
      </c>
      <c r="AI161" s="926">
        <f>AI142</f>
        <v>1</v>
      </c>
      <c r="AJ161" s="926">
        <f>AM161-AI161</f>
        <v>2</v>
      </c>
      <c r="AK161" s="936">
        <f>AK142</f>
        <v>1</v>
      </c>
      <c r="AL161" s="935">
        <f>AN161-AK161</f>
        <v>1</v>
      </c>
      <c r="AM161" s="926">
        <f>AM142</f>
        <v>3</v>
      </c>
      <c r="AN161" s="936">
        <f>AP161-AM161</f>
        <v>2</v>
      </c>
      <c r="AO161" s="936">
        <f>AM161+AK161</f>
        <v>4</v>
      </c>
      <c r="AP161" s="937">
        <f>AP142</f>
        <v>5</v>
      </c>
      <c r="AQ161" s="936">
        <f>AU161/2</f>
        <v>0</v>
      </c>
      <c r="AR161" s="936">
        <f>AU161-AQ161</f>
        <v>0</v>
      </c>
      <c r="AS161" s="936">
        <f>AV161/2</f>
        <v>0</v>
      </c>
      <c r="AT161" s="935">
        <f>AV161-AS161</f>
        <v>0</v>
      </c>
      <c r="AU161" s="936">
        <f>AX161/2</f>
        <v>0</v>
      </c>
      <c r="AV161" s="936">
        <f>AX161-AU161</f>
        <v>0</v>
      </c>
      <c r="AW161" s="936">
        <f>AU161+AS161</f>
        <v>0</v>
      </c>
      <c r="AX161" s="937">
        <f>AX142</f>
        <v>0</v>
      </c>
      <c r="AY161" s="936">
        <f>BC161/2</f>
        <v>0</v>
      </c>
      <c r="AZ161" s="936">
        <f>BC161-AY161</f>
        <v>0</v>
      </c>
      <c r="BA161" s="936">
        <f>BD161/2</f>
        <v>0</v>
      </c>
      <c r="BB161" s="935">
        <f>BD161-BA161</f>
        <v>0</v>
      </c>
      <c r="BC161" s="936">
        <f>BF161/2</f>
        <v>0</v>
      </c>
      <c r="BD161" s="936">
        <f>BF161-BC161</f>
        <v>0</v>
      </c>
      <c r="BE161" s="936">
        <f>BC161+BA161</f>
        <v>0</v>
      </c>
      <c r="BF161" s="937">
        <f>BF142</f>
        <v>0</v>
      </c>
      <c r="BG161" s="936">
        <f>BK161/2</f>
        <v>0</v>
      </c>
      <c r="BH161" s="936">
        <f>BK161-BG161</f>
        <v>0</v>
      </c>
      <c r="BI161" s="936">
        <f>BL161/2</f>
        <v>0</v>
      </c>
      <c r="BJ161" s="935">
        <f>BL161-BI161</f>
        <v>0</v>
      </c>
      <c r="BK161" s="936">
        <f>BN161/2</f>
        <v>0</v>
      </c>
      <c r="BL161" s="936">
        <f>BN161-BK161</f>
        <v>0</v>
      </c>
      <c r="BM161" s="936">
        <f>BK161+BI161</f>
        <v>0</v>
      </c>
      <c r="BN161" s="937">
        <f>BN142</f>
        <v>0</v>
      </c>
      <c r="BO161" s="936">
        <f>BS161/2</f>
        <v>0</v>
      </c>
      <c r="BP161" s="936">
        <f>BS161-BO161</f>
        <v>0</v>
      </c>
      <c r="BQ161" s="936">
        <f>BT161/2</f>
        <v>0</v>
      </c>
      <c r="BR161" s="935">
        <f>BT161-BQ161</f>
        <v>0</v>
      </c>
      <c r="BS161" s="936">
        <f>BV161/2</f>
        <v>0</v>
      </c>
      <c r="BT161" s="936">
        <f>BV161-BS161</f>
        <v>0</v>
      </c>
      <c r="BU161" s="936">
        <f>BS161+BQ161</f>
        <v>0</v>
      </c>
      <c r="BV161" s="937">
        <f>BV142</f>
        <v>0</v>
      </c>
    </row>
    <row r="162" spans="1:74" x14ac:dyDescent="0.2">
      <c r="A162" s="899" t="s">
        <v>898</v>
      </c>
      <c r="B162" s="1403">
        <v>2</v>
      </c>
      <c r="C162" s="1403">
        <v>2</v>
      </c>
      <c r="D162" s="1403">
        <v>2</v>
      </c>
      <c r="E162" s="1403">
        <v>2</v>
      </c>
      <c r="F162" s="1404">
        <v>2</v>
      </c>
      <c r="G162" s="1404">
        <v>2</v>
      </c>
      <c r="H162" s="1404">
        <v>2</v>
      </c>
      <c r="I162" s="1404">
        <v>2</v>
      </c>
      <c r="J162" s="1405">
        <v>2</v>
      </c>
      <c r="K162" s="900">
        <f>R162</f>
        <v>2</v>
      </c>
      <c r="L162" s="900">
        <f>R162</f>
        <v>2</v>
      </c>
      <c r="M162" s="900">
        <f>R162</f>
        <v>2</v>
      </c>
      <c r="N162" s="954">
        <f>R162</f>
        <v>2</v>
      </c>
      <c r="O162" s="900">
        <f>R162</f>
        <v>2</v>
      </c>
      <c r="P162" s="900">
        <f>R162</f>
        <v>2</v>
      </c>
      <c r="Q162" s="900">
        <f>R162</f>
        <v>2</v>
      </c>
      <c r="R162" s="955">
        <v>2</v>
      </c>
      <c r="S162" s="900">
        <f>Z162</f>
        <v>2</v>
      </c>
      <c r="T162" s="900">
        <f>Z162</f>
        <v>2</v>
      </c>
      <c r="U162" s="900">
        <f>Z162</f>
        <v>2</v>
      </c>
      <c r="V162" s="954">
        <f>Z162</f>
        <v>2</v>
      </c>
      <c r="W162" s="900">
        <f>Z162</f>
        <v>2</v>
      </c>
      <c r="X162" s="900">
        <f>Z162</f>
        <v>2</v>
      </c>
      <c r="Y162" s="900">
        <f>Z162</f>
        <v>2</v>
      </c>
      <c r="Z162" s="955">
        <v>2</v>
      </c>
      <c r="AA162" s="900">
        <f>AH162</f>
        <v>2</v>
      </c>
      <c r="AB162" s="900">
        <f>AH162</f>
        <v>2</v>
      </c>
      <c r="AC162" s="900">
        <f>AH162</f>
        <v>2</v>
      </c>
      <c r="AD162" s="954">
        <f>AH162</f>
        <v>2</v>
      </c>
      <c r="AE162" s="900">
        <f>AH162</f>
        <v>2</v>
      </c>
      <c r="AF162" s="900">
        <f>AH162</f>
        <v>2</v>
      </c>
      <c r="AG162" s="900">
        <f>AH162</f>
        <v>2</v>
      </c>
      <c r="AH162" s="955">
        <f>Z162</f>
        <v>2</v>
      </c>
      <c r="AI162" s="900">
        <f>AP162</f>
        <v>2</v>
      </c>
      <c r="AJ162" s="900">
        <f>AP162</f>
        <v>2</v>
      </c>
      <c r="AK162" s="913">
        <f>AP162</f>
        <v>2</v>
      </c>
      <c r="AL162" s="914">
        <f>AP162</f>
        <v>2</v>
      </c>
      <c r="AM162" s="900">
        <f>AP162</f>
        <v>2</v>
      </c>
      <c r="AN162" s="913">
        <f>AP162</f>
        <v>2</v>
      </c>
      <c r="AO162" s="913">
        <f>AP162</f>
        <v>2</v>
      </c>
      <c r="AP162" s="915">
        <f>AH162</f>
        <v>2</v>
      </c>
      <c r="AQ162" s="913">
        <f>AX162</f>
        <v>2</v>
      </c>
      <c r="AR162" s="913">
        <f>AX162</f>
        <v>2</v>
      </c>
      <c r="AS162" s="913">
        <f>AX162</f>
        <v>2</v>
      </c>
      <c r="AT162" s="914">
        <f>AX162</f>
        <v>2</v>
      </c>
      <c r="AU162" s="913">
        <f>AX162</f>
        <v>2</v>
      </c>
      <c r="AV162" s="913">
        <f>AX162</f>
        <v>2</v>
      </c>
      <c r="AW162" s="913">
        <f>AX162</f>
        <v>2</v>
      </c>
      <c r="AX162" s="915">
        <f>AP162</f>
        <v>2</v>
      </c>
      <c r="AY162" s="913">
        <f>BF162</f>
        <v>2</v>
      </c>
      <c r="AZ162" s="913">
        <f>BF162</f>
        <v>2</v>
      </c>
      <c r="BA162" s="913">
        <f>BF162</f>
        <v>2</v>
      </c>
      <c r="BB162" s="914">
        <f>BF162</f>
        <v>2</v>
      </c>
      <c r="BC162" s="913">
        <f>BF162</f>
        <v>2</v>
      </c>
      <c r="BD162" s="913">
        <f>BF162</f>
        <v>2</v>
      </c>
      <c r="BE162" s="913">
        <f>BF162</f>
        <v>2</v>
      </c>
      <c r="BF162" s="915">
        <f>AX162</f>
        <v>2</v>
      </c>
      <c r="BG162" s="913">
        <f>BN162</f>
        <v>2</v>
      </c>
      <c r="BH162" s="913">
        <f>BN162</f>
        <v>2</v>
      </c>
      <c r="BI162" s="913">
        <f>BN162</f>
        <v>2</v>
      </c>
      <c r="BJ162" s="914">
        <f>BN162</f>
        <v>2</v>
      </c>
      <c r="BK162" s="913">
        <f>BN162</f>
        <v>2</v>
      </c>
      <c r="BL162" s="913">
        <f>BN162</f>
        <v>2</v>
      </c>
      <c r="BM162" s="913">
        <f>BN162</f>
        <v>2</v>
      </c>
      <c r="BN162" s="915">
        <f>BF162</f>
        <v>2</v>
      </c>
      <c r="BO162" s="913">
        <f>BV162</f>
        <v>2</v>
      </c>
      <c r="BP162" s="913">
        <f>BV162</f>
        <v>2</v>
      </c>
      <c r="BQ162" s="913">
        <f>BV162</f>
        <v>2</v>
      </c>
      <c r="BR162" s="914">
        <f>BV162</f>
        <v>2</v>
      </c>
      <c r="BS162" s="913">
        <f>BV162</f>
        <v>2</v>
      </c>
      <c r="BT162" s="913">
        <f>BV162</f>
        <v>2</v>
      </c>
      <c r="BU162" s="913">
        <f>BV162</f>
        <v>2</v>
      </c>
      <c r="BV162" s="915">
        <f>BN162</f>
        <v>2</v>
      </c>
    </row>
    <row r="163" spans="1:74" x14ac:dyDescent="0.2">
      <c r="A163" s="899" t="s">
        <v>899</v>
      </c>
      <c r="B163" s="1403">
        <f t="shared" ref="B163:K163" si="471">B161*B162</f>
        <v>970</v>
      </c>
      <c r="C163" s="1403">
        <f t="shared" si="471"/>
        <v>990</v>
      </c>
      <c r="D163" s="1403">
        <f t="shared" si="471"/>
        <v>980</v>
      </c>
      <c r="E163" s="1403">
        <f t="shared" si="471"/>
        <v>910</v>
      </c>
      <c r="F163" s="1404">
        <f>F161*F162</f>
        <v>648</v>
      </c>
      <c r="G163" s="1404">
        <f t="shared" si="471"/>
        <v>140</v>
      </c>
      <c r="H163" s="1404">
        <f t="shared" si="471"/>
        <v>20</v>
      </c>
      <c r="I163" s="1404">
        <f t="shared" si="471"/>
        <v>36</v>
      </c>
      <c r="J163" s="1405">
        <f t="shared" si="471"/>
        <v>26</v>
      </c>
      <c r="K163" s="900">
        <f t="shared" si="471"/>
        <v>4.5</v>
      </c>
      <c r="L163" s="900">
        <f>O163-K163</f>
        <v>4.5</v>
      </c>
      <c r="M163" s="900">
        <f>M161*M162</f>
        <v>4.5</v>
      </c>
      <c r="N163" s="954">
        <f>P163-M163</f>
        <v>4.5</v>
      </c>
      <c r="O163" s="900">
        <f>O161*O162</f>
        <v>9</v>
      </c>
      <c r="P163" s="900">
        <f>R163-O163</f>
        <v>9</v>
      </c>
      <c r="Q163" s="900">
        <f>K163+L163+M163</f>
        <v>13.5</v>
      </c>
      <c r="R163" s="955">
        <f>R161*R162</f>
        <v>18</v>
      </c>
      <c r="S163" s="900">
        <f>S161*S162</f>
        <v>2</v>
      </c>
      <c r="T163" s="900">
        <f>W163-S163</f>
        <v>2</v>
      </c>
      <c r="U163" s="900">
        <f>U161*U162</f>
        <v>4</v>
      </c>
      <c r="V163" s="954">
        <f>X163-U163</f>
        <v>2</v>
      </c>
      <c r="W163" s="900">
        <f>W161*W162</f>
        <v>4</v>
      </c>
      <c r="X163" s="900">
        <f>Z163-W163</f>
        <v>6</v>
      </c>
      <c r="Y163" s="900">
        <f>S163+T163+U163</f>
        <v>8</v>
      </c>
      <c r="Z163" s="955">
        <f>Z161*Z162</f>
        <v>10</v>
      </c>
      <c r="AA163" s="900">
        <f>AA161*AA162</f>
        <v>2</v>
      </c>
      <c r="AB163" s="900">
        <f>AE163-AA163</f>
        <v>4</v>
      </c>
      <c r="AC163" s="900">
        <f>AC161*AC162</f>
        <v>4</v>
      </c>
      <c r="AD163" s="954">
        <f>AF163-AC163</f>
        <v>4</v>
      </c>
      <c r="AE163" s="900">
        <f>AE161*AE162</f>
        <v>6</v>
      </c>
      <c r="AF163" s="900">
        <f>AH163-AE163</f>
        <v>8</v>
      </c>
      <c r="AG163" s="900">
        <f>AA163+AB163+AC163</f>
        <v>10</v>
      </c>
      <c r="AH163" s="955">
        <f>AH161*AH162</f>
        <v>14</v>
      </c>
      <c r="AI163" s="900">
        <f>AI161*AI162</f>
        <v>2</v>
      </c>
      <c r="AJ163" s="900">
        <f>AM163-AI163</f>
        <v>4</v>
      </c>
      <c r="AK163" s="913">
        <f>AK161*AK162</f>
        <v>2</v>
      </c>
      <c r="AL163" s="914">
        <f>AN163-AK163</f>
        <v>2</v>
      </c>
      <c r="AM163" s="900">
        <f>AM161*AM162</f>
        <v>6</v>
      </c>
      <c r="AN163" s="913">
        <f>AP163-AM163</f>
        <v>4</v>
      </c>
      <c r="AO163" s="913">
        <f>AI163+AJ163+AK163</f>
        <v>8</v>
      </c>
      <c r="AP163" s="915">
        <f>AP161*AP162</f>
        <v>10</v>
      </c>
      <c r="AQ163" s="913">
        <f>AQ161*AQ162</f>
        <v>0</v>
      </c>
      <c r="AR163" s="913">
        <f>AU163-AQ163</f>
        <v>0</v>
      </c>
      <c r="AS163" s="913">
        <f>AS161*AS162</f>
        <v>0</v>
      </c>
      <c r="AT163" s="914">
        <f>AV163-AS163</f>
        <v>0</v>
      </c>
      <c r="AU163" s="913">
        <f>AU161*AU162</f>
        <v>0</v>
      </c>
      <c r="AV163" s="913">
        <f>AX163-AU163</f>
        <v>0</v>
      </c>
      <c r="AW163" s="913">
        <f>AQ163+AR163+AS163</f>
        <v>0</v>
      </c>
      <c r="AX163" s="915">
        <f>AX161*AX162</f>
        <v>0</v>
      </c>
      <c r="AY163" s="913">
        <f>AY161*AY162</f>
        <v>0</v>
      </c>
      <c r="AZ163" s="913">
        <f>BC163-AY163</f>
        <v>0</v>
      </c>
      <c r="BA163" s="913">
        <f>BA161*BA162</f>
        <v>0</v>
      </c>
      <c r="BB163" s="914">
        <f>BD163-BA163</f>
        <v>0</v>
      </c>
      <c r="BC163" s="913">
        <f>BC161*BC162</f>
        <v>0</v>
      </c>
      <c r="BD163" s="913">
        <f>BF163-BC163</f>
        <v>0</v>
      </c>
      <c r="BE163" s="913">
        <f>AY163+AZ163+BA163</f>
        <v>0</v>
      </c>
      <c r="BF163" s="915">
        <f>BF161*BF162</f>
        <v>0</v>
      </c>
      <c r="BG163" s="913">
        <f>BG161*BG162</f>
        <v>0</v>
      </c>
      <c r="BH163" s="913">
        <f>BK163-BG163</f>
        <v>0</v>
      </c>
      <c r="BI163" s="913">
        <f>BI161*BI162</f>
        <v>0</v>
      </c>
      <c r="BJ163" s="914">
        <f>BL163-BI163</f>
        <v>0</v>
      </c>
      <c r="BK163" s="913">
        <f>BK161*BK162</f>
        <v>0</v>
      </c>
      <c r="BL163" s="913">
        <f>BN163-BK163</f>
        <v>0</v>
      </c>
      <c r="BM163" s="913">
        <f>BG163+BH163+BI163</f>
        <v>0</v>
      </c>
      <c r="BN163" s="915">
        <f>BN161*BN162</f>
        <v>0</v>
      </c>
      <c r="BO163" s="913">
        <f>BO161*BO162</f>
        <v>0</v>
      </c>
      <c r="BP163" s="913">
        <f>BS163-BO163</f>
        <v>0</v>
      </c>
      <c r="BQ163" s="913">
        <f>BQ161*BQ162</f>
        <v>0</v>
      </c>
      <c r="BR163" s="914">
        <f>BT163-BQ163</f>
        <v>0</v>
      </c>
      <c r="BS163" s="913">
        <f>BS161*BS162</f>
        <v>0</v>
      </c>
      <c r="BT163" s="913">
        <f>BV163-BS163</f>
        <v>0</v>
      </c>
      <c r="BU163" s="913">
        <f>BO163+BP163+BQ163</f>
        <v>0</v>
      </c>
      <c r="BV163" s="915">
        <f>BV161*BV162</f>
        <v>0</v>
      </c>
    </row>
    <row r="164" spans="1:74" x14ac:dyDescent="0.2">
      <c r="A164" s="899" t="s">
        <v>900</v>
      </c>
      <c r="B164" s="1403">
        <f t="shared" ref="B164:I164" si="472">(B163*9/12)+(C163*3/12)</f>
        <v>975</v>
      </c>
      <c r="C164" s="1403">
        <f t="shared" si="472"/>
        <v>987.5</v>
      </c>
      <c r="D164" s="1403">
        <f t="shared" si="472"/>
        <v>962.5</v>
      </c>
      <c r="E164" s="1403">
        <f t="shared" si="472"/>
        <v>844.5</v>
      </c>
      <c r="F164" s="1404">
        <f t="shared" si="472"/>
        <v>521</v>
      </c>
      <c r="G164" s="1404">
        <f>(G163*9/12)+(H163*3/12)</f>
        <v>110</v>
      </c>
      <c r="H164" s="1404">
        <f t="shared" si="472"/>
        <v>24</v>
      </c>
      <c r="I164" s="1404">
        <f t="shared" si="472"/>
        <v>33.5</v>
      </c>
      <c r="J164" s="1405">
        <f>(J163*9/12)+(R163*3/12)</f>
        <v>24</v>
      </c>
      <c r="K164" s="900">
        <f>(K163*9/12)+(L163*3/12)</f>
        <v>4.5</v>
      </c>
      <c r="L164" s="900">
        <f>(L163*9/12)+(M163*3/12)</f>
        <v>4.5</v>
      </c>
      <c r="M164" s="900">
        <f>(M163*9/12)+(N163*3/12)</f>
        <v>4.5</v>
      </c>
      <c r="N164" s="954">
        <f>(N163*9/12)+(S163*3/12)</f>
        <v>3.875</v>
      </c>
      <c r="O164" s="900">
        <f>(O163*9/12)+(P163*3/12)</f>
        <v>9</v>
      </c>
      <c r="P164" s="900">
        <f>(P163*9/12)+(W163*3/12)</f>
        <v>7.75</v>
      </c>
      <c r="Q164" s="900">
        <f>(Q163*9/12)+((N163+S163+T163)*3/12)</f>
        <v>12.25</v>
      </c>
      <c r="R164" s="955">
        <f>(R163*9/12)+(Z163*3/12)</f>
        <v>16</v>
      </c>
      <c r="S164" s="900">
        <f>(S163*9/12)+(T163*3/12)</f>
        <v>2</v>
      </c>
      <c r="T164" s="900">
        <f>(T163*9/12)+(U163*3/12)</f>
        <v>2.5</v>
      </c>
      <c r="U164" s="900">
        <f>(U163*9/12)+(V163*3/12)</f>
        <v>3.5</v>
      </c>
      <c r="V164" s="954">
        <f>(V163*9/12)+(AA163*3/12)</f>
        <v>2</v>
      </c>
      <c r="W164" s="900">
        <f>(W163*9/12)+(X163*3/12)</f>
        <v>4.5</v>
      </c>
      <c r="X164" s="900">
        <f>(X163*9/12)+(AE163*3/12)</f>
        <v>6</v>
      </c>
      <c r="Y164" s="900">
        <f>(Y163*9/12)+((V163+AA163+AB163)*3/12)</f>
        <v>8</v>
      </c>
      <c r="Z164" s="955">
        <f>(Z163*9/12)+(AH163*3/12)</f>
        <v>11</v>
      </c>
      <c r="AA164" s="900">
        <f>(AA163*9/12)+(AB163*3/12)</f>
        <v>2.5</v>
      </c>
      <c r="AB164" s="900">
        <f>(AB163*9/12)+(AC163*3/12)</f>
        <v>4</v>
      </c>
      <c r="AC164" s="900">
        <f>(AC163*9/12)+(AD163*3/12)</f>
        <v>4</v>
      </c>
      <c r="AD164" s="954">
        <f>(AD163*9/12)+(AI163*3/12)</f>
        <v>3.5</v>
      </c>
      <c r="AE164" s="900">
        <f>(AE163*9/12)+(AF163*3/12)</f>
        <v>6.5</v>
      </c>
      <c r="AF164" s="900">
        <f>(AF163*9/12)+(AM163*3/12)</f>
        <v>7.5</v>
      </c>
      <c r="AG164" s="900">
        <f>(AG163*9/12)+((AD163+AI163+AJ163)*3/12)</f>
        <v>10</v>
      </c>
      <c r="AH164" s="955">
        <f>(AH163*9/12)+(AP163*3/12)</f>
        <v>13</v>
      </c>
      <c r="AI164" s="900">
        <f>(AI163*9/12)+(AJ163*3/12)</f>
        <v>2.5</v>
      </c>
      <c r="AJ164" s="900">
        <f>(AJ163*9/12)+(AK163*3/12)</f>
        <v>3.5</v>
      </c>
      <c r="AK164" s="913">
        <f>(AK163*9/12)+(AL163*3/12)</f>
        <v>2</v>
      </c>
      <c r="AL164" s="914">
        <f>(AL163*9/12)+(AQ163*3/12)</f>
        <v>1.5</v>
      </c>
      <c r="AM164" s="900">
        <f>(AM163*9/12)+(AN163*3/12)</f>
        <v>5.5</v>
      </c>
      <c r="AN164" s="913">
        <f>(AN163*9/12)+(AU163*3/12)</f>
        <v>3</v>
      </c>
      <c r="AO164" s="913">
        <f>(AO163*9/12)+((AL163+AQ163+AR163)*3/12)</f>
        <v>6.5</v>
      </c>
      <c r="AP164" s="915">
        <f>(AP163*9/12)+(AX163*3/12)</f>
        <v>7.5</v>
      </c>
      <c r="AQ164" s="913">
        <f>(AQ163*9/12)+(AR163*3/12)</f>
        <v>0</v>
      </c>
      <c r="AR164" s="913">
        <f>(AR163*9/12)+(AS163*3/12)</f>
        <v>0</v>
      </c>
      <c r="AS164" s="913">
        <f>(AS163*9/12)+(AT163*3/12)</f>
        <v>0</v>
      </c>
      <c r="AT164" s="914">
        <f>(AT163*9/12)+(AY163*3/12)</f>
        <v>0</v>
      </c>
      <c r="AU164" s="913">
        <f>(AU163*9/12)+(AV163*3/12)</f>
        <v>0</v>
      </c>
      <c r="AV164" s="913">
        <f>(AV163*9/12)+(BC163*3/12)</f>
        <v>0</v>
      </c>
      <c r="AW164" s="913">
        <f>(AW163*9/12)+((AT163+AY163+AZ163)*3/12)</f>
        <v>0</v>
      </c>
      <c r="AX164" s="915">
        <f>(AX163*9/12)+(BF163*3/12)</f>
        <v>0</v>
      </c>
      <c r="AY164" s="913">
        <f>(AY163*9/12)+(AZ163*3/12)</f>
        <v>0</v>
      </c>
      <c r="AZ164" s="913">
        <f>(AZ163*9/12)+(BA163*3/12)</f>
        <v>0</v>
      </c>
      <c r="BA164" s="913">
        <f>(BA163*9/12)+(BB163*3/12)</f>
        <v>0</v>
      </c>
      <c r="BB164" s="914">
        <f>(BB163*9/12)+(BG163*3/12)</f>
        <v>0</v>
      </c>
      <c r="BC164" s="913">
        <f>(BC163*9/12)+(BD163*3/12)</f>
        <v>0</v>
      </c>
      <c r="BD164" s="913">
        <f>(BD163*9/12)+(BK163*3/12)</f>
        <v>0</v>
      </c>
      <c r="BE164" s="913">
        <f>(BE163*9/12)+((BB163+BG163+BH163)*3/12)</f>
        <v>0</v>
      </c>
      <c r="BF164" s="915">
        <f>(BF163*9/12)+(BN163*3/12)</f>
        <v>0</v>
      </c>
      <c r="BG164" s="913">
        <f>(BG163*9/12)+(BH163*3/12)</f>
        <v>0</v>
      </c>
      <c r="BH164" s="913">
        <f>(BH163*9/12)+(BI163*3/12)</f>
        <v>0</v>
      </c>
      <c r="BI164" s="913">
        <f>(BI163*9/12)+(BJ163*3/12)</f>
        <v>0</v>
      </c>
      <c r="BJ164" s="914">
        <f>(BJ163*9/12)+(BO163*3/12)</f>
        <v>0</v>
      </c>
      <c r="BK164" s="913">
        <f>(BK163*9/12)+(BL163*3/12)</f>
        <v>0</v>
      </c>
      <c r="BL164" s="913">
        <f>(BL163*9/12)+(BS163*3/12)</f>
        <v>0</v>
      </c>
      <c r="BM164" s="913">
        <f>(BM163*9/12)+((BJ163+BO163+BP163)*3/12)</f>
        <v>0</v>
      </c>
      <c r="BN164" s="915">
        <f>(BN163*9/12)+(BV163*3/12)</f>
        <v>0</v>
      </c>
      <c r="BO164" s="913">
        <f>(BO163*9/12)+(BP163*3/12)</f>
        <v>0</v>
      </c>
      <c r="BP164" s="913">
        <f>(BP163*9/12)+(BQ163*3/12)</f>
        <v>0</v>
      </c>
      <c r="BQ164" s="913">
        <f>(BQ163*9/12)+(BR163*3/12)</f>
        <v>0</v>
      </c>
      <c r="BR164" s="914">
        <f>(BR163*9/12)+(BW163*3/12)</f>
        <v>0</v>
      </c>
      <c r="BS164" s="913">
        <f>(BS163*9/12)+(BT163*3/12)</f>
        <v>0</v>
      </c>
      <c r="BT164" s="913">
        <f>(BT163*9/12)+(CA163*3/12)</f>
        <v>0</v>
      </c>
      <c r="BU164" s="913">
        <f>(BU163*9/12)+((BR163+BW163+BX163)*3/12)</f>
        <v>0</v>
      </c>
      <c r="BV164" s="915">
        <f>(BV163*9/12)+(CD163*3/12)</f>
        <v>0</v>
      </c>
    </row>
    <row r="165" spans="1:74" x14ac:dyDescent="0.2">
      <c r="A165" s="899" t="s">
        <v>901</v>
      </c>
      <c r="B165" s="1406">
        <v>0.08</v>
      </c>
      <c r="C165" s="1406">
        <v>0.08</v>
      </c>
      <c r="D165" s="1406">
        <v>0.13</v>
      </c>
      <c r="E165" s="1406">
        <v>0.15</v>
      </c>
      <c r="F165" s="1407">
        <v>0.3</v>
      </c>
      <c r="G165" s="1407">
        <v>0.91</v>
      </c>
      <c r="H165" s="1407">
        <v>2.75</v>
      </c>
      <c r="I165" s="1407">
        <v>0.8</v>
      </c>
      <c r="J165" s="1408">
        <v>0.65</v>
      </c>
      <c r="K165" s="104">
        <f>R165</f>
        <v>0</v>
      </c>
      <c r="L165" s="104">
        <f>R165</f>
        <v>0</v>
      </c>
      <c r="M165" s="104">
        <f>R165</f>
        <v>0</v>
      </c>
      <c r="N165" s="872">
        <f>R165</f>
        <v>0</v>
      </c>
      <c r="O165" s="104">
        <f>R165</f>
        <v>0</v>
      </c>
      <c r="P165" s="104">
        <f>R165</f>
        <v>0</v>
      </c>
      <c r="Q165" s="894">
        <f>R165</f>
        <v>0</v>
      </c>
      <c r="R165" s="1409">
        <v>0</v>
      </c>
      <c r="S165" s="104">
        <f>Z165</f>
        <v>0</v>
      </c>
      <c r="T165" s="104">
        <f>Z165</f>
        <v>0</v>
      </c>
      <c r="U165" s="104">
        <f>Z165</f>
        <v>0</v>
      </c>
      <c r="V165" s="872">
        <f>Z165</f>
        <v>0</v>
      </c>
      <c r="W165" s="104">
        <f>Z165</f>
        <v>0</v>
      </c>
      <c r="X165" s="104">
        <f>Z165</f>
        <v>0</v>
      </c>
      <c r="Y165" s="894">
        <f>Z165</f>
        <v>0</v>
      </c>
      <c r="Z165" s="1409">
        <v>0</v>
      </c>
      <c r="AA165" s="104">
        <f>AH165</f>
        <v>0</v>
      </c>
      <c r="AB165" s="104">
        <f>AH165</f>
        <v>0</v>
      </c>
      <c r="AC165" s="104">
        <f>AH165</f>
        <v>0</v>
      </c>
      <c r="AD165" s="872">
        <f>AH165</f>
        <v>0</v>
      </c>
      <c r="AE165" s="104">
        <f>AH165</f>
        <v>0</v>
      </c>
      <c r="AF165" s="104">
        <f>AH165</f>
        <v>0</v>
      </c>
      <c r="AG165" s="894">
        <f>AH165</f>
        <v>0</v>
      </c>
      <c r="AH165" s="1409">
        <v>0</v>
      </c>
      <c r="AI165" s="104">
        <v>0</v>
      </c>
      <c r="AJ165" s="104">
        <f>AP165</f>
        <v>0</v>
      </c>
      <c r="AK165" s="461">
        <f>AP165</f>
        <v>0</v>
      </c>
      <c r="AL165" s="868">
        <f>AP165</f>
        <v>0</v>
      </c>
      <c r="AM165" s="104">
        <f>AP165</f>
        <v>0</v>
      </c>
      <c r="AN165" s="461">
        <f>AP165</f>
        <v>0</v>
      </c>
      <c r="AO165" s="933">
        <f>AP165</f>
        <v>0</v>
      </c>
      <c r="AP165" s="932">
        <v>0</v>
      </c>
      <c r="AQ165" s="461">
        <f>AX165</f>
        <v>0</v>
      </c>
      <c r="AR165" s="461">
        <f>AX165</f>
        <v>0</v>
      </c>
      <c r="AS165" s="461">
        <f>AX165</f>
        <v>0</v>
      </c>
      <c r="AT165" s="868">
        <f>AX165</f>
        <v>0</v>
      </c>
      <c r="AU165" s="461">
        <f>AX165</f>
        <v>0</v>
      </c>
      <c r="AV165" s="461">
        <f>AX165</f>
        <v>0</v>
      </c>
      <c r="AW165" s="933">
        <f>AX165</f>
        <v>0</v>
      </c>
      <c r="AX165" s="932">
        <v>0</v>
      </c>
      <c r="AY165" s="461">
        <f>BF165</f>
        <v>0</v>
      </c>
      <c r="AZ165" s="461">
        <f>BF165</f>
        <v>0</v>
      </c>
      <c r="BA165" s="461">
        <f>BF165</f>
        <v>0</v>
      </c>
      <c r="BB165" s="868">
        <f>BF165</f>
        <v>0</v>
      </c>
      <c r="BC165" s="461">
        <f>BF165</f>
        <v>0</v>
      </c>
      <c r="BD165" s="461">
        <f>BF165</f>
        <v>0</v>
      </c>
      <c r="BE165" s="933">
        <f>BF165</f>
        <v>0</v>
      </c>
      <c r="BF165" s="932">
        <v>0</v>
      </c>
      <c r="BG165" s="461">
        <f>BN165</f>
        <v>0</v>
      </c>
      <c r="BH165" s="461">
        <f>BN165</f>
        <v>0</v>
      </c>
      <c r="BI165" s="461">
        <f>BN165</f>
        <v>0</v>
      </c>
      <c r="BJ165" s="868">
        <f>BN165</f>
        <v>0</v>
      </c>
      <c r="BK165" s="461">
        <f>BN165</f>
        <v>0</v>
      </c>
      <c r="BL165" s="461">
        <f>BN165</f>
        <v>0</v>
      </c>
      <c r="BM165" s="933">
        <f>BN165</f>
        <v>0</v>
      </c>
      <c r="BN165" s="932">
        <v>0</v>
      </c>
      <c r="BO165" s="461">
        <f>BV165</f>
        <v>0</v>
      </c>
      <c r="BP165" s="461">
        <f>BV165</f>
        <v>0</v>
      </c>
      <c r="BQ165" s="461">
        <f>BV165</f>
        <v>0</v>
      </c>
      <c r="BR165" s="868">
        <f>BV165</f>
        <v>0</v>
      </c>
      <c r="BS165" s="461">
        <f>BV165</f>
        <v>0</v>
      </c>
      <c r="BT165" s="461">
        <f>BV165</f>
        <v>0</v>
      </c>
      <c r="BU165" s="933">
        <f>BV165</f>
        <v>0</v>
      </c>
      <c r="BV165" s="932">
        <v>0</v>
      </c>
    </row>
    <row r="166" spans="1:74" x14ac:dyDescent="0.2">
      <c r="A166" s="899" t="s">
        <v>902</v>
      </c>
      <c r="B166" s="1403">
        <f t="shared" ref="B166:J166" si="473">B164*B165</f>
        <v>78</v>
      </c>
      <c r="C166" s="1403">
        <f t="shared" si="473"/>
        <v>79</v>
      </c>
      <c r="D166" s="1403">
        <f t="shared" si="473"/>
        <v>125.125</v>
      </c>
      <c r="E166" s="1403">
        <f t="shared" si="473"/>
        <v>126.675</v>
      </c>
      <c r="F166" s="1404">
        <f t="shared" si="473"/>
        <v>156.29999999999998</v>
      </c>
      <c r="G166" s="1404">
        <f t="shared" si="473"/>
        <v>100.10000000000001</v>
      </c>
      <c r="H166" s="1404">
        <f t="shared" si="473"/>
        <v>66</v>
      </c>
      <c r="I166" s="1404">
        <f t="shared" si="473"/>
        <v>26.8</v>
      </c>
      <c r="J166" s="1405">
        <f t="shared" si="473"/>
        <v>15.600000000000001</v>
      </c>
      <c r="K166" s="900">
        <f>O166/2</f>
        <v>5</v>
      </c>
      <c r="L166" s="900">
        <f>O166-K166</f>
        <v>5</v>
      </c>
      <c r="M166" s="900">
        <v>7</v>
      </c>
      <c r="N166" s="954">
        <f>P166-M166</f>
        <v>-1</v>
      </c>
      <c r="O166" s="900">
        <v>10</v>
      </c>
      <c r="P166" s="900">
        <f>R166-O166</f>
        <v>6</v>
      </c>
      <c r="Q166" s="900">
        <f>K166+L166+M166</f>
        <v>17</v>
      </c>
      <c r="R166" s="955">
        <v>16</v>
      </c>
      <c r="S166" s="900">
        <v>7</v>
      </c>
      <c r="T166" s="900">
        <f>W166-S166</f>
        <v>11</v>
      </c>
      <c r="U166" s="900">
        <v>8</v>
      </c>
      <c r="V166" s="954">
        <f>X166-U166</f>
        <v>15</v>
      </c>
      <c r="W166" s="900">
        <v>18</v>
      </c>
      <c r="X166" s="900">
        <f>Z166-W166</f>
        <v>23</v>
      </c>
      <c r="Y166" s="900">
        <f>S166+T166+U166</f>
        <v>26</v>
      </c>
      <c r="Z166" s="955">
        <v>41</v>
      </c>
      <c r="AA166" s="900">
        <v>8</v>
      </c>
      <c r="AB166" s="900">
        <f>AE166-AA166</f>
        <v>10</v>
      </c>
      <c r="AC166" s="900">
        <f>AF166/2</f>
        <v>1</v>
      </c>
      <c r="AD166" s="954">
        <f>AF166-AC166</f>
        <v>1</v>
      </c>
      <c r="AE166" s="900">
        <v>18</v>
      </c>
      <c r="AF166" s="900">
        <f>AH166-AE166</f>
        <v>2</v>
      </c>
      <c r="AG166" s="900">
        <f>AA166+AB166+AC166</f>
        <v>19</v>
      </c>
      <c r="AH166" s="955">
        <v>20</v>
      </c>
      <c r="AI166" s="900">
        <v>6</v>
      </c>
      <c r="AJ166" s="900">
        <f>AM166-AI166</f>
        <v>4</v>
      </c>
      <c r="AK166" s="913">
        <f>AN166/2</f>
        <v>5</v>
      </c>
      <c r="AL166" s="914">
        <f>AN166-AK166</f>
        <v>5</v>
      </c>
      <c r="AM166" s="900">
        <v>10</v>
      </c>
      <c r="AN166" s="913">
        <f>AP166-AM166</f>
        <v>10</v>
      </c>
      <c r="AO166" s="913">
        <f>AI166+AJ166+AK166</f>
        <v>15</v>
      </c>
      <c r="AP166" s="929">
        <v>20</v>
      </c>
      <c r="AQ166" s="913">
        <f>AU166/2</f>
        <v>5</v>
      </c>
      <c r="AR166" s="913">
        <f>AU166-AQ166</f>
        <v>5</v>
      </c>
      <c r="AS166" s="913">
        <f>AV166/2</f>
        <v>5</v>
      </c>
      <c r="AT166" s="914">
        <f>AV166-AS166</f>
        <v>5</v>
      </c>
      <c r="AU166" s="913">
        <f>AX166/2</f>
        <v>10</v>
      </c>
      <c r="AV166" s="913">
        <f>AX166-AU166</f>
        <v>10</v>
      </c>
      <c r="AW166" s="913">
        <f>AQ166+AR166+AS166</f>
        <v>15</v>
      </c>
      <c r="AX166" s="929">
        <v>20</v>
      </c>
      <c r="AY166" s="913">
        <f>BC166/2</f>
        <v>5</v>
      </c>
      <c r="AZ166" s="913">
        <f>BC166-AY166</f>
        <v>5</v>
      </c>
      <c r="BA166" s="913">
        <f>BD166/2</f>
        <v>5</v>
      </c>
      <c r="BB166" s="914">
        <f>BD166-BA166</f>
        <v>5</v>
      </c>
      <c r="BC166" s="913">
        <f>BF166/2</f>
        <v>10</v>
      </c>
      <c r="BD166" s="913">
        <f>BF166-BC166</f>
        <v>10</v>
      </c>
      <c r="BE166" s="913">
        <f>AY166+AZ166+BA166</f>
        <v>15</v>
      </c>
      <c r="BF166" s="929">
        <v>20</v>
      </c>
      <c r="BG166" s="913">
        <f>BK166/2</f>
        <v>5</v>
      </c>
      <c r="BH166" s="913">
        <f>BK166-BG166</f>
        <v>5</v>
      </c>
      <c r="BI166" s="913">
        <f>BL166/2</f>
        <v>5</v>
      </c>
      <c r="BJ166" s="914">
        <f>BL166-BI166</f>
        <v>5</v>
      </c>
      <c r="BK166" s="913">
        <f>BN166/2</f>
        <v>10</v>
      </c>
      <c r="BL166" s="913">
        <f>BN166-BK166</f>
        <v>10</v>
      </c>
      <c r="BM166" s="913">
        <f>BG166+BH166+BI166</f>
        <v>15</v>
      </c>
      <c r="BN166" s="929">
        <v>20</v>
      </c>
      <c r="BO166" s="913">
        <f>BS166/2</f>
        <v>5</v>
      </c>
      <c r="BP166" s="913">
        <f>BS166-BO166</f>
        <v>5</v>
      </c>
      <c r="BQ166" s="913">
        <f>BT166/2</f>
        <v>5</v>
      </c>
      <c r="BR166" s="914">
        <f>BT166-BQ166</f>
        <v>5</v>
      </c>
      <c r="BS166" s="913">
        <f>BV166/2</f>
        <v>10</v>
      </c>
      <c r="BT166" s="913">
        <f>BV166-BS166</f>
        <v>10</v>
      </c>
      <c r="BU166" s="913">
        <f>BO166+BP166+BQ166</f>
        <v>15</v>
      </c>
      <c r="BV166" s="929">
        <v>20</v>
      </c>
    </row>
    <row r="167" spans="1:74" x14ac:dyDescent="0.2">
      <c r="A167" s="899" t="s">
        <v>903</v>
      </c>
      <c r="B167" s="1403">
        <f t="shared" ref="B167:K167" si="474">B164+B166</f>
        <v>1053</v>
      </c>
      <c r="C167" s="1403">
        <f t="shared" si="474"/>
        <v>1066.5</v>
      </c>
      <c r="D167" s="1403">
        <f t="shared" si="474"/>
        <v>1087.625</v>
      </c>
      <c r="E167" s="1403">
        <f>E164+E166</f>
        <v>971.17499999999995</v>
      </c>
      <c r="F167" s="1404">
        <f t="shared" si="474"/>
        <v>677.3</v>
      </c>
      <c r="G167" s="1404">
        <f>G164+G166</f>
        <v>210.10000000000002</v>
      </c>
      <c r="H167" s="1404">
        <f t="shared" si="474"/>
        <v>90</v>
      </c>
      <c r="I167" s="1404">
        <f t="shared" si="474"/>
        <v>60.3</v>
      </c>
      <c r="J167" s="1405">
        <f t="shared" si="474"/>
        <v>39.6</v>
      </c>
      <c r="K167" s="900">
        <f t="shared" si="474"/>
        <v>9.5</v>
      </c>
      <c r="L167" s="900">
        <f>O167-K167</f>
        <v>9.5</v>
      </c>
      <c r="M167" s="900">
        <f>M164+M166</f>
        <v>11.5</v>
      </c>
      <c r="N167" s="954">
        <f>P167-M167</f>
        <v>1.5</v>
      </c>
      <c r="O167" s="900">
        <f>O164+O166</f>
        <v>19</v>
      </c>
      <c r="P167" s="900">
        <f>R167-O167</f>
        <v>13</v>
      </c>
      <c r="Q167" s="900">
        <f>K167+L167+M167</f>
        <v>30.5</v>
      </c>
      <c r="R167" s="955">
        <f>R164+R166</f>
        <v>32</v>
      </c>
      <c r="S167" s="900">
        <f>S164+S166</f>
        <v>9</v>
      </c>
      <c r="T167" s="900">
        <f>W167-S167</f>
        <v>13.5</v>
      </c>
      <c r="U167" s="900">
        <f>U164+U166</f>
        <v>11.5</v>
      </c>
      <c r="V167" s="954">
        <f>X167-U167</f>
        <v>18</v>
      </c>
      <c r="W167" s="900">
        <f>W164+W166</f>
        <v>22.5</v>
      </c>
      <c r="X167" s="900">
        <f>Z167-W167</f>
        <v>29.5</v>
      </c>
      <c r="Y167" s="900">
        <f>S167+T167+U167</f>
        <v>34</v>
      </c>
      <c r="Z167" s="955">
        <f>Z164+Z166</f>
        <v>52</v>
      </c>
      <c r="AA167" s="900">
        <f>AA164+AA166</f>
        <v>10.5</v>
      </c>
      <c r="AB167" s="900">
        <f>AE167-AA167</f>
        <v>14</v>
      </c>
      <c r="AC167" s="900">
        <f>AC164+AC166</f>
        <v>5</v>
      </c>
      <c r="AD167" s="954">
        <f>AF167-AC167</f>
        <v>3.5</v>
      </c>
      <c r="AE167" s="900">
        <f>AE164+AE166</f>
        <v>24.5</v>
      </c>
      <c r="AF167" s="900">
        <f>AH167-AE167</f>
        <v>8.5</v>
      </c>
      <c r="AG167" s="900">
        <f>AA167+AB167+AC167</f>
        <v>29.5</v>
      </c>
      <c r="AH167" s="955">
        <f>AH164+AH166</f>
        <v>33</v>
      </c>
      <c r="AI167" s="900">
        <f>AI164+AI166</f>
        <v>8.5</v>
      </c>
      <c r="AJ167" s="900">
        <f>AM167-AI167</f>
        <v>7</v>
      </c>
      <c r="AK167" s="913">
        <f>AK164+AK166</f>
        <v>7</v>
      </c>
      <c r="AL167" s="914">
        <f>AN167-AK167</f>
        <v>5</v>
      </c>
      <c r="AM167" s="900">
        <f>AM164+AM166</f>
        <v>15.5</v>
      </c>
      <c r="AN167" s="913">
        <f>AP167-AM167</f>
        <v>12</v>
      </c>
      <c r="AO167" s="913">
        <f>AI167+AJ167+AK167</f>
        <v>22.5</v>
      </c>
      <c r="AP167" s="915">
        <f>AP164+AP166</f>
        <v>27.5</v>
      </c>
      <c r="AQ167" s="913">
        <f>AQ164+AQ166</f>
        <v>5</v>
      </c>
      <c r="AR167" s="913">
        <f>AU167-AQ167</f>
        <v>5</v>
      </c>
      <c r="AS167" s="913">
        <f>AS164+AS166</f>
        <v>5</v>
      </c>
      <c r="AT167" s="914">
        <f>AV167-AS167</f>
        <v>5</v>
      </c>
      <c r="AU167" s="913">
        <f>AU164+AU166</f>
        <v>10</v>
      </c>
      <c r="AV167" s="913">
        <f>AX167-AU167</f>
        <v>10</v>
      </c>
      <c r="AW167" s="913">
        <f>AQ167+AR167+AS167</f>
        <v>15</v>
      </c>
      <c r="AX167" s="915">
        <f>AX164+AX166</f>
        <v>20</v>
      </c>
      <c r="AY167" s="913">
        <f>AY164+AY166</f>
        <v>5</v>
      </c>
      <c r="AZ167" s="913">
        <f>BC167-AY167</f>
        <v>5</v>
      </c>
      <c r="BA167" s="913">
        <f>BA164+BA166</f>
        <v>5</v>
      </c>
      <c r="BB167" s="914">
        <f>BD167-BA167</f>
        <v>5</v>
      </c>
      <c r="BC167" s="913">
        <f>BC164+BC166</f>
        <v>10</v>
      </c>
      <c r="BD167" s="913">
        <f>BF167-BC167</f>
        <v>10</v>
      </c>
      <c r="BE167" s="913">
        <f>AY167+AZ167+BA167</f>
        <v>15</v>
      </c>
      <c r="BF167" s="915">
        <f>BF164+BF166</f>
        <v>20</v>
      </c>
      <c r="BG167" s="913">
        <f>BG164+BG166</f>
        <v>5</v>
      </c>
      <c r="BH167" s="913">
        <f>BK167-BG167</f>
        <v>5</v>
      </c>
      <c r="BI167" s="913">
        <f>BI164+BI166</f>
        <v>5</v>
      </c>
      <c r="BJ167" s="914">
        <f>BL167-BI167</f>
        <v>5</v>
      </c>
      <c r="BK167" s="913">
        <f>BK164+BK166</f>
        <v>10</v>
      </c>
      <c r="BL167" s="913">
        <f>BN167-BK167</f>
        <v>10</v>
      </c>
      <c r="BM167" s="913">
        <f>BG167+BH167+BI167</f>
        <v>15</v>
      </c>
      <c r="BN167" s="915">
        <f>BN164+BN166</f>
        <v>20</v>
      </c>
      <c r="BO167" s="913">
        <f>BO164+BO166</f>
        <v>5</v>
      </c>
      <c r="BP167" s="913">
        <f>BS167-BO167</f>
        <v>5</v>
      </c>
      <c r="BQ167" s="913">
        <f>BQ164+BQ166</f>
        <v>5</v>
      </c>
      <c r="BR167" s="914">
        <f>BT167-BQ167</f>
        <v>5</v>
      </c>
      <c r="BS167" s="913">
        <f>BS164+BS166</f>
        <v>10</v>
      </c>
      <c r="BT167" s="913">
        <f>BV167-BS167</f>
        <v>10</v>
      </c>
      <c r="BU167" s="913">
        <f>BO167+BP167+BQ167</f>
        <v>15</v>
      </c>
      <c r="BV167" s="915">
        <f>BV164+BV166</f>
        <v>20</v>
      </c>
    </row>
    <row r="168" spans="1:74" x14ac:dyDescent="0.2">
      <c r="A168" s="899" t="s">
        <v>904</v>
      </c>
      <c r="B168" s="1406">
        <v>1</v>
      </c>
      <c r="C168" s="1406">
        <v>1</v>
      </c>
      <c r="D168" s="1406">
        <v>1</v>
      </c>
      <c r="E168" s="1406">
        <v>1</v>
      </c>
      <c r="F168" s="1407">
        <v>1</v>
      </c>
      <c r="G168" s="1407">
        <v>1</v>
      </c>
      <c r="H168" s="1407">
        <v>1</v>
      </c>
      <c r="I168" s="1407">
        <v>1</v>
      </c>
      <c r="J168" s="1408">
        <f>I168</f>
        <v>1</v>
      </c>
      <c r="K168" s="104">
        <f>R168</f>
        <v>1</v>
      </c>
      <c r="L168" s="104">
        <f>R168</f>
        <v>1</v>
      </c>
      <c r="M168" s="104">
        <f>R168</f>
        <v>1</v>
      </c>
      <c r="N168" s="872">
        <f>R168</f>
        <v>1</v>
      </c>
      <c r="O168" s="104">
        <f>R168</f>
        <v>1</v>
      </c>
      <c r="P168" s="104">
        <f>R168</f>
        <v>1</v>
      </c>
      <c r="Q168" s="894">
        <f>R168</f>
        <v>1</v>
      </c>
      <c r="R168" s="1409">
        <v>1</v>
      </c>
      <c r="S168" s="104">
        <f>Z168</f>
        <v>1</v>
      </c>
      <c r="T168" s="104">
        <f>Z168</f>
        <v>1</v>
      </c>
      <c r="U168" s="104">
        <f>Z168</f>
        <v>1</v>
      </c>
      <c r="V168" s="872">
        <f>Z168</f>
        <v>1</v>
      </c>
      <c r="W168" s="104">
        <f>Z168</f>
        <v>1</v>
      </c>
      <c r="X168" s="104">
        <f>Z168</f>
        <v>1</v>
      </c>
      <c r="Y168" s="894">
        <f>Z168</f>
        <v>1</v>
      </c>
      <c r="Z168" s="1409">
        <f>R168</f>
        <v>1</v>
      </c>
      <c r="AA168" s="104">
        <f>AH168</f>
        <v>1</v>
      </c>
      <c r="AB168" s="104">
        <f>AH168</f>
        <v>1</v>
      </c>
      <c r="AC168" s="104">
        <f>AH168</f>
        <v>1</v>
      </c>
      <c r="AD168" s="872">
        <f>AH168</f>
        <v>1</v>
      </c>
      <c r="AE168" s="104">
        <f>AH168</f>
        <v>1</v>
      </c>
      <c r="AF168" s="104">
        <f>AH168</f>
        <v>1</v>
      </c>
      <c r="AG168" s="894">
        <f>AH168</f>
        <v>1</v>
      </c>
      <c r="AH168" s="1409">
        <f>Z168</f>
        <v>1</v>
      </c>
      <c r="AI168" s="104">
        <f>AP168</f>
        <v>1</v>
      </c>
      <c r="AJ168" s="104">
        <f>AP168</f>
        <v>1</v>
      </c>
      <c r="AK168" s="461">
        <f>AP168</f>
        <v>1</v>
      </c>
      <c r="AL168" s="868">
        <f>AP168</f>
        <v>1</v>
      </c>
      <c r="AM168" s="104">
        <f>AP168</f>
        <v>1</v>
      </c>
      <c r="AN168" s="461">
        <f>AP168</f>
        <v>1</v>
      </c>
      <c r="AO168" s="933">
        <f>AP168</f>
        <v>1</v>
      </c>
      <c r="AP168" s="932">
        <f>AH168</f>
        <v>1</v>
      </c>
      <c r="AQ168" s="461">
        <f>AX168</f>
        <v>1</v>
      </c>
      <c r="AR168" s="461">
        <f>AX168</f>
        <v>1</v>
      </c>
      <c r="AS168" s="461">
        <f>AX168</f>
        <v>1</v>
      </c>
      <c r="AT168" s="868">
        <f>AX168</f>
        <v>1</v>
      </c>
      <c r="AU168" s="461">
        <f>AX168</f>
        <v>1</v>
      </c>
      <c r="AV168" s="461">
        <f>AX168</f>
        <v>1</v>
      </c>
      <c r="AW168" s="933">
        <f>AX168</f>
        <v>1</v>
      </c>
      <c r="AX168" s="932">
        <f>AP168</f>
        <v>1</v>
      </c>
      <c r="AY168" s="461">
        <f>BF168</f>
        <v>1</v>
      </c>
      <c r="AZ168" s="461">
        <f>BF168</f>
        <v>1</v>
      </c>
      <c r="BA168" s="461">
        <f>BF168</f>
        <v>1</v>
      </c>
      <c r="BB168" s="868">
        <f>BF168</f>
        <v>1</v>
      </c>
      <c r="BC168" s="461">
        <f>BF168</f>
        <v>1</v>
      </c>
      <c r="BD168" s="461">
        <f>BF168</f>
        <v>1</v>
      </c>
      <c r="BE168" s="933">
        <f>BF168</f>
        <v>1</v>
      </c>
      <c r="BF168" s="932">
        <f>AX168</f>
        <v>1</v>
      </c>
      <c r="BG168" s="461">
        <f>BN168</f>
        <v>1</v>
      </c>
      <c r="BH168" s="461">
        <f>BN168</f>
        <v>1</v>
      </c>
      <c r="BI168" s="461">
        <f>BN168</f>
        <v>1</v>
      </c>
      <c r="BJ168" s="868">
        <f>BN168</f>
        <v>1</v>
      </c>
      <c r="BK168" s="461">
        <f>BN168</f>
        <v>1</v>
      </c>
      <c r="BL168" s="461">
        <f>BN168</f>
        <v>1</v>
      </c>
      <c r="BM168" s="933">
        <f>BN168</f>
        <v>1</v>
      </c>
      <c r="BN168" s="932">
        <f>BF168</f>
        <v>1</v>
      </c>
      <c r="BO168" s="461">
        <f>BV168</f>
        <v>1</v>
      </c>
      <c r="BP168" s="461">
        <f>BV168</f>
        <v>1</v>
      </c>
      <c r="BQ168" s="461">
        <f>BV168</f>
        <v>1</v>
      </c>
      <c r="BR168" s="868">
        <f>BV168</f>
        <v>1</v>
      </c>
      <c r="BS168" s="461">
        <f>BV168</f>
        <v>1</v>
      </c>
      <c r="BT168" s="461">
        <f>BV168</f>
        <v>1</v>
      </c>
      <c r="BU168" s="933">
        <f>BV168</f>
        <v>1</v>
      </c>
      <c r="BV168" s="932">
        <f>BN168</f>
        <v>1</v>
      </c>
    </row>
    <row r="169" spans="1:74" x14ac:dyDescent="0.2">
      <c r="A169" s="921" t="s">
        <v>907</v>
      </c>
      <c r="B169" s="921">
        <f t="shared" ref="B169:G169" si="475">ROUND(B167*B168,0)</f>
        <v>1053</v>
      </c>
      <c r="C169" s="921">
        <f t="shared" si="475"/>
        <v>1067</v>
      </c>
      <c r="D169" s="921">
        <f t="shared" si="475"/>
        <v>1088</v>
      </c>
      <c r="E169" s="921">
        <f>ROUND(E167*E168,0)</f>
        <v>971</v>
      </c>
      <c r="F169" s="921">
        <f>ROUND(F167*F168,0)</f>
        <v>677</v>
      </c>
      <c r="G169" s="921">
        <f t="shared" si="475"/>
        <v>210</v>
      </c>
      <c r="H169" s="921">
        <f>ROUND(H167*H168,0)</f>
        <v>90</v>
      </c>
      <c r="I169" s="921">
        <f>ROUND(I167*I168,0)</f>
        <v>60</v>
      </c>
      <c r="J169" s="922">
        <f>ROUND(J167*J168,0)</f>
        <v>40</v>
      </c>
      <c r="K169" s="921">
        <f t="shared" ref="K169:BV169" si="476">ROUND(K167*K168,0)</f>
        <v>10</v>
      </c>
      <c r="L169" s="921">
        <f t="shared" si="476"/>
        <v>10</v>
      </c>
      <c r="M169" s="921">
        <f t="shared" si="476"/>
        <v>12</v>
      </c>
      <c r="N169" s="1401">
        <f t="shared" si="476"/>
        <v>2</v>
      </c>
      <c r="O169" s="921">
        <f t="shared" si="476"/>
        <v>19</v>
      </c>
      <c r="P169" s="921">
        <f t="shared" si="476"/>
        <v>13</v>
      </c>
      <c r="Q169" s="921">
        <f t="shared" si="476"/>
        <v>31</v>
      </c>
      <c r="R169" s="1402">
        <f>ROUND(R167*R168,0)</f>
        <v>32</v>
      </c>
      <c r="S169" s="921">
        <f t="shared" si="476"/>
        <v>9</v>
      </c>
      <c r="T169" s="921">
        <f t="shared" ref="T169" si="477">ROUND(T167*T168,0)</f>
        <v>14</v>
      </c>
      <c r="U169" s="921">
        <f t="shared" si="476"/>
        <v>12</v>
      </c>
      <c r="V169" s="1401">
        <f t="shared" si="476"/>
        <v>18</v>
      </c>
      <c r="W169" s="921">
        <f t="shared" ref="W169" si="478">ROUND(W167*W168,0)</f>
        <v>23</v>
      </c>
      <c r="X169" s="921">
        <f t="shared" si="476"/>
        <v>30</v>
      </c>
      <c r="Y169" s="921">
        <f t="shared" si="476"/>
        <v>34</v>
      </c>
      <c r="Z169" s="1402">
        <f t="shared" si="476"/>
        <v>52</v>
      </c>
      <c r="AA169" s="921">
        <f t="shared" si="476"/>
        <v>11</v>
      </c>
      <c r="AB169" s="921">
        <f t="shared" si="476"/>
        <v>14</v>
      </c>
      <c r="AC169" s="921">
        <f t="shared" si="476"/>
        <v>5</v>
      </c>
      <c r="AD169" s="1401">
        <f t="shared" si="476"/>
        <v>4</v>
      </c>
      <c r="AE169" s="921">
        <f t="shared" si="476"/>
        <v>25</v>
      </c>
      <c r="AF169" s="921">
        <f t="shared" si="476"/>
        <v>9</v>
      </c>
      <c r="AG169" s="921">
        <f t="shared" si="476"/>
        <v>30</v>
      </c>
      <c r="AH169" s="1402">
        <f t="shared" si="476"/>
        <v>33</v>
      </c>
      <c r="AI169" s="921">
        <f t="shared" si="476"/>
        <v>9</v>
      </c>
      <c r="AJ169" s="921">
        <f t="shared" si="476"/>
        <v>7</v>
      </c>
      <c r="AK169" s="924">
        <f t="shared" si="476"/>
        <v>7</v>
      </c>
      <c r="AL169" s="923">
        <f t="shared" si="476"/>
        <v>5</v>
      </c>
      <c r="AM169" s="921">
        <f t="shared" si="476"/>
        <v>16</v>
      </c>
      <c r="AN169" s="924">
        <f t="shared" si="476"/>
        <v>12</v>
      </c>
      <c r="AO169" s="924">
        <f t="shared" si="476"/>
        <v>23</v>
      </c>
      <c r="AP169" s="925">
        <f t="shared" si="476"/>
        <v>28</v>
      </c>
      <c r="AQ169" s="924">
        <f t="shared" si="476"/>
        <v>5</v>
      </c>
      <c r="AR169" s="924">
        <f t="shared" si="476"/>
        <v>5</v>
      </c>
      <c r="AS169" s="924">
        <f t="shared" si="476"/>
        <v>5</v>
      </c>
      <c r="AT169" s="923">
        <f t="shared" si="476"/>
        <v>5</v>
      </c>
      <c r="AU169" s="924">
        <f t="shared" si="476"/>
        <v>10</v>
      </c>
      <c r="AV169" s="924">
        <f t="shared" si="476"/>
        <v>10</v>
      </c>
      <c r="AW169" s="924">
        <f t="shared" si="476"/>
        <v>15</v>
      </c>
      <c r="AX169" s="925">
        <f t="shared" si="476"/>
        <v>20</v>
      </c>
      <c r="AY169" s="924">
        <f t="shared" si="476"/>
        <v>5</v>
      </c>
      <c r="AZ169" s="924">
        <f t="shared" si="476"/>
        <v>5</v>
      </c>
      <c r="BA169" s="924">
        <f t="shared" si="476"/>
        <v>5</v>
      </c>
      <c r="BB169" s="923">
        <f t="shared" si="476"/>
        <v>5</v>
      </c>
      <c r="BC169" s="924">
        <f t="shared" si="476"/>
        <v>10</v>
      </c>
      <c r="BD169" s="924">
        <f t="shared" si="476"/>
        <v>10</v>
      </c>
      <c r="BE169" s="924">
        <f t="shared" si="476"/>
        <v>15</v>
      </c>
      <c r="BF169" s="925">
        <f t="shared" si="476"/>
        <v>20</v>
      </c>
      <c r="BG169" s="924">
        <f t="shared" si="476"/>
        <v>5</v>
      </c>
      <c r="BH169" s="924">
        <f t="shared" si="476"/>
        <v>5</v>
      </c>
      <c r="BI169" s="924">
        <f t="shared" si="476"/>
        <v>5</v>
      </c>
      <c r="BJ169" s="923">
        <f t="shared" si="476"/>
        <v>5</v>
      </c>
      <c r="BK169" s="924">
        <f t="shared" si="476"/>
        <v>10</v>
      </c>
      <c r="BL169" s="924">
        <f t="shared" si="476"/>
        <v>10</v>
      </c>
      <c r="BM169" s="924">
        <f t="shared" si="476"/>
        <v>15</v>
      </c>
      <c r="BN169" s="925">
        <f t="shared" si="476"/>
        <v>20</v>
      </c>
      <c r="BO169" s="924">
        <f t="shared" si="476"/>
        <v>5</v>
      </c>
      <c r="BP169" s="924">
        <f t="shared" si="476"/>
        <v>5</v>
      </c>
      <c r="BQ169" s="924">
        <f t="shared" si="476"/>
        <v>5</v>
      </c>
      <c r="BR169" s="923">
        <f t="shared" si="476"/>
        <v>5</v>
      </c>
      <c r="BS169" s="924">
        <f t="shared" si="476"/>
        <v>10</v>
      </c>
      <c r="BT169" s="924">
        <f t="shared" si="476"/>
        <v>10</v>
      </c>
      <c r="BU169" s="924">
        <f t="shared" si="476"/>
        <v>15</v>
      </c>
      <c r="BV169" s="925">
        <f t="shared" si="476"/>
        <v>20</v>
      </c>
    </row>
    <row r="170" spans="1:74" x14ac:dyDescent="0.2">
      <c r="A170" s="899"/>
      <c r="J170" s="180"/>
      <c r="N170" s="181"/>
      <c r="O170" s="11"/>
      <c r="P170" s="11"/>
      <c r="R170" s="603"/>
      <c r="V170" s="179"/>
      <c r="W170" s="11"/>
      <c r="X170" s="11"/>
      <c r="Z170" s="603"/>
      <c r="AA170" s="11"/>
      <c r="AD170" s="179"/>
      <c r="AH170" s="314"/>
      <c r="AI170" s="11"/>
      <c r="AK170" s="11"/>
      <c r="AL170" s="181"/>
      <c r="AN170" s="11"/>
      <c r="AO170" s="11"/>
      <c r="AP170" s="603"/>
      <c r="AQ170" s="11"/>
      <c r="AR170" s="11"/>
      <c r="AS170" s="11"/>
      <c r="AT170" s="181"/>
      <c r="AU170" s="11"/>
      <c r="AV170" s="11"/>
      <c r="AW170" s="11"/>
      <c r="AX170" s="603"/>
      <c r="AY170" s="11"/>
      <c r="AZ170" s="11"/>
      <c r="BA170" s="11"/>
      <c r="BB170" s="181"/>
      <c r="BC170" s="11"/>
      <c r="BD170" s="11"/>
      <c r="BE170" s="11"/>
      <c r="BF170" s="603"/>
      <c r="BG170" s="11"/>
      <c r="BH170" s="11"/>
      <c r="BI170" s="11"/>
      <c r="BJ170" s="181"/>
      <c r="BK170" s="11"/>
      <c r="BL170" s="11"/>
      <c r="BM170" s="11"/>
      <c r="BN170" s="603"/>
      <c r="BO170" s="11"/>
      <c r="BP170" s="11"/>
      <c r="BQ170" s="11"/>
      <c r="BR170" s="181"/>
      <c r="BS170" s="11"/>
      <c r="BT170" s="11"/>
      <c r="BU170" s="11"/>
      <c r="BV170" s="603"/>
    </row>
    <row r="171" spans="1:74" ht="12" thickBot="1" x14ac:dyDescent="0.25">
      <c r="A171" s="938" t="s">
        <v>908</v>
      </c>
      <c r="B171" s="938">
        <f t="shared" ref="B171:J171" si="479">B49</f>
        <v>1560</v>
      </c>
      <c r="C171" s="938">
        <f t="shared" si="479"/>
        <v>1612</v>
      </c>
      <c r="D171" s="938">
        <f t="shared" si="479"/>
        <v>1693</v>
      </c>
      <c r="E171" s="938">
        <f t="shared" si="479"/>
        <v>1444</v>
      </c>
      <c r="F171" s="938">
        <f t="shared" si="479"/>
        <v>1044</v>
      </c>
      <c r="G171" s="938">
        <f t="shared" si="479"/>
        <v>391</v>
      </c>
      <c r="H171" s="938">
        <f t="shared" si="479"/>
        <v>157</v>
      </c>
      <c r="I171" s="938">
        <f t="shared" si="479"/>
        <v>107</v>
      </c>
      <c r="J171" s="939">
        <f t="shared" si="479"/>
        <v>60</v>
      </c>
      <c r="K171" s="938">
        <f t="shared" ref="K171:BV171" si="480">K169+K159</f>
        <v>15</v>
      </c>
      <c r="L171" s="938">
        <f t="shared" si="480"/>
        <v>15</v>
      </c>
      <c r="M171" s="938">
        <f t="shared" si="480"/>
        <v>17</v>
      </c>
      <c r="N171" s="1411">
        <f t="shared" si="480"/>
        <v>7</v>
      </c>
      <c r="O171" s="938">
        <f t="shared" si="480"/>
        <v>29</v>
      </c>
      <c r="P171" s="938">
        <f t="shared" si="480"/>
        <v>23</v>
      </c>
      <c r="Q171" s="938">
        <f t="shared" si="480"/>
        <v>46</v>
      </c>
      <c r="R171" s="1410">
        <f>R169+R159</f>
        <v>52</v>
      </c>
      <c r="S171" s="938">
        <f>S169+S159</f>
        <v>12</v>
      </c>
      <c r="T171" s="938">
        <f t="shared" ref="T171" si="481">T169+T159</f>
        <v>16</v>
      </c>
      <c r="U171" s="938">
        <f t="shared" si="480"/>
        <v>14</v>
      </c>
      <c r="V171" s="1411">
        <f t="shared" si="480"/>
        <v>20</v>
      </c>
      <c r="W171" s="938">
        <f t="shared" ref="W171" si="482">W169+W159</f>
        <v>28</v>
      </c>
      <c r="X171" s="938">
        <f t="shared" si="480"/>
        <v>35</v>
      </c>
      <c r="Y171" s="938">
        <f t="shared" si="480"/>
        <v>41</v>
      </c>
      <c r="Z171" s="1410">
        <f t="shared" si="480"/>
        <v>62</v>
      </c>
      <c r="AA171" s="938">
        <f>AA169+AA159</f>
        <v>13</v>
      </c>
      <c r="AB171" s="938">
        <f t="shared" si="480"/>
        <v>16</v>
      </c>
      <c r="AC171" s="938">
        <f t="shared" si="480"/>
        <v>7</v>
      </c>
      <c r="AD171" s="1411">
        <f t="shared" si="480"/>
        <v>6</v>
      </c>
      <c r="AE171" s="938">
        <f t="shared" si="480"/>
        <v>30</v>
      </c>
      <c r="AF171" s="938">
        <f t="shared" si="480"/>
        <v>14</v>
      </c>
      <c r="AG171" s="938">
        <f t="shared" si="480"/>
        <v>37</v>
      </c>
      <c r="AH171" s="1410">
        <f t="shared" si="480"/>
        <v>43</v>
      </c>
      <c r="AI171" s="938">
        <f t="shared" si="480"/>
        <v>12</v>
      </c>
      <c r="AJ171" s="938">
        <f t="shared" si="480"/>
        <v>10</v>
      </c>
      <c r="AK171" s="941">
        <f t="shared" si="480"/>
        <v>9</v>
      </c>
      <c r="AL171" s="940">
        <f t="shared" si="480"/>
        <v>7</v>
      </c>
      <c r="AM171" s="938">
        <f t="shared" si="480"/>
        <v>22</v>
      </c>
      <c r="AN171" s="941">
        <f t="shared" si="480"/>
        <v>16</v>
      </c>
      <c r="AO171" s="941">
        <f t="shared" si="480"/>
        <v>31</v>
      </c>
      <c r="AP171" s="942">
        <f t="shared" si="480"/>
        <v>38</v>
      </c>
      <c r="AQ171" s="941">
        <f t="shared" si="480"/>
        <v>7</v>
      </c>
      <c r="AR171" s="941">
        <f t="shared" si="480"/>
        <v>7</v>
      </c>
      <c r="AS171" s="941">
        <f t="shared" si="480"/>
        <v>7</v>
      </c>
      <c r="AT171" s="940">
        <f t="shared" si="480"/>
        <v>7</v>
      </c>
      <c r="AU171" s="941">
        <f t="shared" si="480"/>
        <v>15</v>
      </c>
      <c r="AV171" s="941">
        <f t="shared" si="480"/>
        <v>15</v>
      </c>
      <c r="AW171" s="941">
        <f t="shared" si="480"/>
        <v>22</v>
      </c>
      <c r="AX171" s="942">
        <f t="shared" si="480"/>
        <v>30</v>
      </c>
      <c r="AY171" s="941">
        <f t="shared" si="480"/>
        <v>7</v>
      </c>
      <c r="AZ171" s="941">
        <f t="shared" si="480"/>
        <v>7</v>
      </c>
      <c r="BA171" s="941">
        <f t="shared" si="480"/>
        <v>7</v>
      </c>
      <c r="BB171" s="940">
        <f t="shared" si="480"/>
        <v>7</v>
      </c>
      <c r="BC171" s="941">
        <f t="shared" si="480"/>
        <v>15</v>
      </c>
      <c r="BD171" s="941">
        <f t="shared" si="480"/>
        <v>15</v>
      </c>
      <c r="BE171" s="941">
        <f t="shared" si="480"/>
        <v>22</v>
      </c>
      <c r="BF171" s="942">
        <f t="shared" si="480"/>
        <v>30</v>
      </c>
      <c r="BG171" s="941">
        <f t="shared" si="480"/>
        <v>7</v>
      </c>
      <c r="BH171" s="941">
        <f t="shared" si="480"/>
        <v>7</v>
      </c>
      <c r="BI171" s="941">
        <f t="shared" si="480"/>
        <v>7</v>
      </c>
      <c r="BJ171" s="940">
        <f t="shared" si="480"/>
        <v>7</v>
      </c>
      <c r="BK171" s="941">
        <f t="shared" si="480"/>
        <v>15</v>
      </c>
      <c r="BL171" s="941">
        <f t="shared" si="480"/>
        <v>15</v>
      </c>
      <c r="BM171" s="941">
        <f t="shared" si="480"/>
        <v>22</v>
      </c>
      <c r="BN171" s="942">
        <f t="shared" si="480"/>
        <v>30</v>
      </c>
      <c r="BO171" s="941">
        <f t="shared" si="480"/>
        <v>7</v>
      </c>
      <c r="BP171" s="941">
        <f t="shared" si="480"/>
        <v>7</v>
      </c>
      <c r="BQ171" s="941">
        <f t="shared" si="480"/>
        <v>7</v>
      </c>
      <c r="BR171" s="940">
        <f t="shared" si="480"/>
        <v>7</v>
      </c>
      <c r="BS171" s="941">
        <f t="shared" si="480"/>
        <v>15</v>
      </c>
      <c r="BT171" s="941">
        <f t="shared" si="480"/>
        <v>15</v>
      </c>
      <c r="BU171" s="941">
        <f t="shared" si="480"/>
        <v>22</v>
      </c>
      <c r="BV171" s="942">
        <f t="shared" si="480"/>
        <v>30</v>
      </c>
    </row>
    <row r="172" spans="1:74" x14ac:dyDescent="0.2">
      <c r="A172" s="899"/>
      <c r="B172" s="943" t="str">
        <f>IFERROR(B171/A171-1,"nm")</f>
        <v>nm</v>
      </c>
      <c r="C172" s="943">
        <f>IFERROR(C171/B171-1,"nm")</f>
        <v>3.3333333333333437E-2</v>
      </c>
      <c r="D172" s="943">
        <f t="shared" ref="D172:J172" si="483">IFERROR(D171/C171-1,"nm")</f>
        <v>5.0248138957816435E-2</v>
      </c>
      <c r="E172" s="943">
        <f t="shared" si="483"/>
        <v>-0.14707619610159484</v>
      </c>
      <c r="F172" s="944">
        <f t="shared" si="483"/>
        <v>-0.2770083102493075</v>
      </c>
      <c r="G172" s="944">
        <f t="shared" si="483"/>
        <v>-0.62547892720306519</v>
      </c>
      <c r="H172" s="944">
        <f t="shared" si="483"/>
        <v>-0.59846547314578002</v>
      </c>
      <c r="I172" s="944">
        <f t="shared" si="483"/>
        <v>-0.31847133757961787</v>
      </c>
      <c r="J172" s="945">
        <f t="shared" si="483"/>
        <v>-0.43925233644859818</v>
      </c>
      <c r="K172" s="944"/>
      <c r="L172" s="944"/>
      <c r="M172" s="944"/>
      <c r="N172" s="946"/>
      <c r="O172" s="944"/>
      <c r="P172" s="944"/>
      <c r="Q172" s="944"/>
      <c r="R172" s="1412">
        <f>IFERROR(R171/J171-1,"nm")</f>
        <v>-0.1333333333333333</v>
      </c>
      <c r="S172" s="944">
        <f t="shared" ref="S172:BV172" si="484">IFERROR(S171/K171-1,"nm")</f>
        <v>-0.19999999999999996</v>
      </c>
      <c r="T172" s="944">
        <f t="shared" si="484"/>
        <v>6.6666666666666652E-2</v>
      </c>
      <c r="U172" s="944">
        <f t="shared" si="484"/>
        <v>-0.17647058823529416</v>
      </c>
      <c r="V172" s="946">
        <f t="shared" si="484"/>
        <v>1.8571428571428572</v>
      </c>
      <c r="W172" s="944">
        <f t="shared" si="484"/>
        <v>-3.4482758620689613E-2</v>
      </c>
      <c r="X172" s="944">
        <f t="shared" si="484"/>
        <v>0.52173913043478271</v>
      </c>
      <c r="Y172" s="944">
        <f t="shared" si="484"/>
        <v>-0.10869565217391308</v>
      </c>
      <c r="Z172" s="1412">
        <f t="shared" si="484"/>
        <v>0.19230769230769229</v>
      </c>
      <c r="AA172" s="944">
        <f t="shared" si="484"/>
        <v>8.3333333333333259E-2</v>
      </c>
      <c r="AB172" s="944">
        <f t="shared" si="484"/>
        <v>0</v>
      </c>
      <c r="AC172" s="944">
        <f t="shared" si="484"/>
        <v>-0.5</v>
      </c>
      <c r="AD172" s="946">
        <f t="shared" si="484"/>
        <v>-0.7</v>
      </c>
      <c r="AE172" s="944">
        <f t="shared" si="484"/>
        <v>7.1428571428571397E-2</v>
      </c>
      <c r="AF172" s="944">
        <f t="shared" si="484"/>
        <v>-0.6</v>
      </c>
      <c r="AG172" s="944">
        <f t="shared" si="484"/>
        <v>-9.7560975609756073E-2</v>
      </c>
      <c r="AH172" s="1412">
        <f t="shared" si="484"/>
        <v>-0.30645161290322576</v>
      </c>
      <c r="AI172" s="944">
        <f t="shared" si="484"/>
        <v>-7.6923076923076872E-2</v>
      </c>
      <c r="AJ172" s="944">
        <f t="shared" si="484"/>
        <v>-0.375</v>
      </c>
      <c r="AK172" s="948">
        <f t="shared" si="484"/>
        <v>0.28571428571428581</v>
      </c>
      <c r="AL172" s="949">
        <f t="shared" si="484"/>
        <v>0.16666666666666674</v>
      </c>
      <c r="AM172" s="944">
        <f t="shared" si="484"/>
        <v>-0.26666666666666672</v>
      </c>
      <c r="AN172" s="948">
        <f t="shared" si="484"/>
        <v>0.14285714285714279</v>
      </c>
      <c r="AO172" s="948">
        <f t="shared" si="484"/>
        <v>-0.16216216216216217</v>
      </c>
      <c r="AP172" s="947">
        <f t="shared" si="484"/>
        <v>-0.11627906976744184</v>
      </c>
      <c r="AQ172" s="948">
        <f t="shared" si="484"/>
        <v>-0.41666666666666663</v>
      </c>
      <c r="AR172" s="948">
        <f t="shared" si="484"/>
        <v>-0.30000000000000004</v>
      </c>
      <c r="AS172" s="948">
        <f t="shared" si="484"/>
        <v>-0.22222222222222221</v>
      </c>
      <c r="AT172" s="949">
        <f t="shared" si="484"/>
        <v>0</v>
      </c>
      <c r="AU172" s="948">
        <f t="shared" si="484"/>
        <v>-0.31818181818181823</v>
      </c>
      <c r="AV172" s="948">
        <f t="shared" si="484"/>
        <v>-6.25E-2</v>
      </c>
      <c r="AW172" s="948">
        <f t="shared" si="484"/>
        <v>-0.29032258064516125</v>
      </c>
      <c r="AX172" s="947">
        <f t="shared" si="484"/>
        <v>-0.21052631578947367</v>
      </c>
      <c r="AY172" s="948">
        <f t="shared" si="484"/>
        <v>0</v>
      </c>
      <c r="AZ172" s="948">
        <f t="shared" si="484"/>
        <v>0</v>
      </c>
      <c r="BA172" s="948">
        <f t="shared" si="484"/>
        <v>0</v>
      </c>
      <c r="BB172" s="949">
        <f t="shared" si="484"/>
        <v>0</v>
      </c>
      <c r="BC172" s="948">
        <f t="shared" si="484"/>
        <v>0</v>
      </c>
      <c r="BD172" s="948">
        <f t="shared" si="484"/>
        <v>0</v>
      </c>
      <c r="BE172" s="948">
        <f t="shared" si="484"/>
        <v>0</v>
      </c>
      <c r="BF172" s="947">
        <f t="shared" si="484"/>
        <v>0</v>
      </c>
      <c r="BG172" s="948">
        <f t="shared" si="484"/>
        <v>0</v>
      </c>
      <c r="BH172" s="948">
        <f t="shared" si="484"/>
        <v>0</v>
      </c>
      <c r="BI172" s="948">
        <f t="shared" si="484"/>
        <v>0</v>
      </c>
      <c r="BJ172" s="949">
        <f t="shared" si="484"/>
        <v>0</v>
      </c>
      <c r="BK172" s="948">
        <f t="shared" si="484"/>
        <v>0</v>
      </c>
      <c r="BL172" s="948">
        <f t="shared" si="484"/>
        <v>0</v>
      </c>
      <c r="BM172" s="948">
        <f t="shared" si="484"/>
        <v>0</v>
      </c>
      <c r="BN172" s="947">
        <f t="shared" si="484"/>
        <v>0</v>
      </c>
      <c r="BO172" s="948">
        <f t="shared" si="484"/>
        <v>0</v>
      </c>
      <c r="BP172" s="948">
        <f t="shared" si="484"/>
        <v>0</v>
      </c>
      <c r="BQ172" s="948">
        <f t="shared" si="484"/>
        <v>0</v>
      </c>
      <c r="BR172" s="949">
        <f t="shared" si="484"/>
        <v>0</v>
      </c>
      <c r="BS172" s="948">
        <f t="shared" si="484"/>
        <v>0</v>
      </c>
      <c r="BT172" s="948">
        <f t="shared" si="484"/>
        <v>0</v>
      </c>
      <c r="BU172" s="948">
        <f t="shared" si="484"/>
        <v>0</v>
      </c>
      <c r="BV172" s="947">
        <f t="shared" si="484"/>
        <v>0</v>
      </c>
    </row>
    <row r="173" spans="1:74" x14ac:dyDescent="0.2">
      <c r="A173" s="930" t="s">
        <v>909</v>
      </c>
      <c r="B173" s="950">
        <f t="shared" ref="B173:AG173" si="485">(B169+B159)-B171</f>
        <v>0</v>
      </c>
      <c r="C173" s="950">
        <f t="shared" si="485"/>
        <v>0</v>
      </c>
      <c r="D173" s="950">
        <f t="shared" si="485"/>
        <v>0</v>
      </c>
      <c r="E173" s="950">
        <f t="shared" si="485"/>
        <v>0</v>
      </c>
      <c r="F173" s="951">
        <f t="shared" si="485"/>
        <v>0</v>
      </c>
      <c r="G173" s="951">
        <f t="shared" si="485"/>
        <v>0</v>
      </c>
      <c r="H173" s="951">
        <f t="shared" si="485"/>
        <v>0</v>
      </c>
      <c r="I173" s="951">
        <f t="shared" si="485"/>
        <v>0</v>
      </c>
      <c r="J173" s="1516">
        <f t="shared" si="485"/>
        <v>0</v>
      </c>
      <c r="K173" s="951">
        <f t="shared" si="485"/>
        <v>0</v>
      </c>
      <c r="L173" s="951">
        <f t="shared" si="485"/>
        <v>0</v>
      </c>
      <c r="M173" s="951">
        <f t="shared" si="485"/>
        <v>0</v>
      </c>
      <c r="N173" s="1517">
        <f t="shared" si="485"/>
        <v>0</v>
      </c>
      <c r="O173" s="951">
        <f t="shared" si="485"/>
        <v>0</v>
      </c>
      <c r="P173" s="951">
        <f t="shared" si="485"/>
        <v>0</v>
      </c>
      <c r="Q173" s="951">
        <f t="shared" si="485"/>
        <v>0</v>
      </c>
      <c r="R173" s="314">
        <f t="shared" si="485"/>
        <v>0</v>
      </c>
      <c r="S173" s="951">
        <f t="shared" si="485"/>
        <v>0</v>
      </c>
      <c r="T173" s="951">
        <f t="shared" si="485"/>
        <v>0</v>
      </c>
      <c r="U173" s="951">
        <f t="shared" si="485"/>
        <v>0</v>
      </c>
      <c r="V173" s="1517">
        <f t="shared" si="485"/>
        <v>0</v>
      </c>
      <c r="W173" s="951">
        <f t="shared" si="485"/>
        <v>0</v>
      </c>
      <c r="X173" s="951">
        <f t="shared" si="485"/>
        <v>0</v>
      </c>
      <c r="Y173" s="951">
        <f t="shared" si="485"/>
        <v>0</v>
      </c>
      <c r="Z173" s="314">
        <f t="shared" si="485"/>
        <v>0</v>
      </c>
      <c r="AA173" s="951">
        <f t="shared" ref="AA173" si="486">(AA169+AA159)-AA171</f>
        <v>0</v>
      </c>
      <c r="AB173" s="951">
        <f t="shared" si="485"/>
        <v>0</v>
      </c>
      <c r="AC173" s="951">
        <f t="shared" si="485"/>
        <v>0</v>
      </c>
      <c r="AD173" s="1517">
        <f t="shared" si="485"/>
        <v>0</v>
      </c>
      <c r="AE173" s="951">
        <f t="shared" ref="AE173" si="487">(AE169+AE159)-AE171</f>
        <v>0</v>
      </c>
      <c r="AF173" s="951">
        <f t="shared" si="485"/>
        <v>0</v>
      </c>
      <c r="AG173" s="951">
        <f t="shared" si="485"/>
        <v>0</v>
      </c>
      <c r="AH173" s="314">
        <f>(AH169+AH159)-AH171</f>
        <v>0</v>
      </c>
      <c r="AI173" s="951">
        <f t="shared" ref="AI173:AJ173" si="488">(AI169+AI159)-AI171</f>
        <v>0</v>
      </c>
      <c r="AJ173" s="951">
        <f t="shared" si="488"/>
        <v>0</v>
      </c>
      <c r="AK173" s="951"/>
      <c r="AL173" s="1517"/>
      <c r="AM173" s="951">
        <f t="shared" ref="AM173" si="489">(AM169+AM159)-AM171</f>
        <v>0</v>
      </c>
      <c r="AN173" s="951"/>
      <c r="AO173" s="951"/>
      <c r="AP173" s="603">
        <f>(AP169+AP159)-AP171</f>
        <v>0</v>
      </c>
      <c r="AQ173" s="951"/>
      <c r="AR173" s="951"/>
      <c r="AS173" s="951"/>
      <c r="AT173" s="1517"/>
      <c r="AU173" s="951"/>
      <c r="AV173" s="951"/>
      <c r="AW173" s="951"/>
      <c r="AX173" s="603">
        <f>(AX169+AX159)-AX171</f>
        <v>0</v>
      </c>
      <c r="AY173" s="951"/>
      <c r="AZ173" s="951"/>
      <c r="BA173" s="951"/>
      <c r="BB173" s="1517"/>
      <c r="BC173" s="951"/>
      <c r="BD173" s="951"/>
      <c r="BE173" s="951"/>
      <c r="BF173" s="603">
        <f>(BF169+BF159)-BF171</f>
        <v>0</v>
      </c>
      <c r="BG173" s="951"/>
      <c r="BH173" s="951"/>
      <c r="BI173" s="951"/>
      <c r="BJ173" s="1517"/>
      <c r="BK173" s="951"/>
      <c r="BL173" s="951"/>
      <c r="BM173" s="951"/>
      <c r="BN173" s="603">
        <f>(BN169+BN159)-BN171</f>
        <v>0</v>
      </c>
      <c r="BO173" s="951"/>
      <c r="BP173" s="951"/>
      <c r="BQ173" s="951"/>
      <c r="BR173" s="1517"/>
      <c r="BS173" s="951"/>
      <c r="BT173" s="951"/>
      <c r="BU173" s="951"/>
      <c r="BV173" s="603">
        <f>(BV169+BV159)-BV171</f>
        <v>0</v>
      </c>
    </row>
    <row r="174" spans="1:74" x14ac:dyDescent="0.2">
      <c r="A174" s="899"/>
      <c r="B174" s="952"/>
      <c r="C174" s="952"/>
      <c r="D174" s="952"/>
      <c r="E174" s="952"/>
      <c r="F174" s="953"/>
      <c r="G174" s="900"/>
      <c r="H174" s="900"/>
      <c r="I174" s="900"/>
      <c r="J174" s="912"/>
      <c r="K174" s="900"/>
      <c r="L174" s="900"/>
      <c r="M174" s="900"/>
      <c r="N174" s="954"/>
      <c r="O174" s="900"/>
      <c r="P174" s="900"/>
      <c r="Q174" s="900"/>
      <c r="R174" s="955"/>
      <c r="S174" s="900"/>
      <c r="T174" s="900"/>
      <c r="U174" s="900"/>
      <c r="V174" s="954"/>
      <c r="W174" s="900"/>
      <c r="X174" s="900"/>
      <c r="Y174" s="900"/>
      <c r="Z174" s="955"/>
      <c r="AA174" s="900"/>
      <c r="AB174" s="900"/>
      <c r="AC174" s="900"/>
      <c r="AD174" s="954"/>
      <c r="AE174" s="900"/>
      <c r="AF174" s="900"/>
      <c r="AG174" s="900"/>
      <c r="AH174" s="955"/>
      <c r="AI174" s="900"/>
      <c r="AJ174" s="900"/>
      <c r="AK174" s="900"/>
      <c r="AL174" s="954"/>
      <c r="AM174" s="900"/>
      <c r="AN174" s="900"/>
      <c r="AO174" s="900"/>
      <c r="AP174" s="955"/>
      <c r="AQ174" s="900"/>
      <c r="AR174" s="900"/>
      <c r="AS174" s="900"/>
      <c r="AT174" s="954"/>
      <c r="AU174" s="900"/>
      <c r="AV174" s="900"/>
      <c r="AW174" s="900"/>
      <c r="AX174" s="955"/>
      <c r="AY174" s="900"/>
      <c r="AZ174" s="900"/>
      <c r="BA174" s="900"/>
      <c r="BB174" s="954"/>
      <c r="BC174" s="900"/>
      <c r="BD174" s="900"/>
      <c r="BE174" s="900"/>
      <c r="BF174" s="955"/>
      <c r="BG174" s="900"/>
      <c r="BH174" s="900"/>
      <c r="BI174" s="900"/>
      <c r="BJ174" s="954"/>
      <c r="BK174" s="900"/>
      <c r="BL174" s="900"/>
      <c r="BM174" s="900"/>
      <c r="BN174" s="955"/>
      <c r="BO174" s="900"/>
      <c r="BP174" s="900"/>
      <c r="BQ174" s="900"/>
      <c r="BR174" s="954"/>
      <c r="BS174" s="900"/>
      <c r="BT174" s="900"/>
      <c r="BU174" s="900"/>
      <c r="BV174" s="955"/>
    </row>
    <row r="175" spans="1:74" x14ac:dyDescent="0.2">
      <c r="A175" s="911" t="s">
        <v>910</v>
      </c>
      <c r="J175" s="180"/>
      <c r="N175" s="179"/>
      <c r="R175" s="314"/>
      <c r="V175" s="179"/>
      <c r="Z175" s="314"/>
      <c r="AD175" s="179"/>
      <c r="AH175" s="314"/>
      <c r="AL175" s="179"/>
      <c r="AP175" s="314"/>
      <c r="AT175" s="179"/>
      <c r="AX175" s="314"/>
      <c r="BB175" s="179"/>
      <c r="BF175" s="314"/>
      <c r="BJ175" s="179"/>
      <c r="BN175" s="314"/>
      <c r="BR175" s="179"/>
      <c r="BV175" s="314"/>
    </row>
    <row r="176" spans="1:74" x14ac:dyDescent="0.2">
      <c r="A176" s="899"/>
      <c r="J176" s="180"/>
      <c r="N176" s="179"/>
      <c r="R176" s="314"/>
      <c r="V176" s="179"/>
      <c r="Z176" s="314"/>
      <c r="AD176" s="179"/>
      <c r="AH176" s="314"/>
      <c r="AL176" s="179"/>
      <c r="AP176" s="314"/>
      <c r="AT176" s="179"/>
      <c r="AX176" s="314"/>
      <c r="BB176" s="179"/>
      <c r="BF176" s="314"/>
      <c r="BJ176" s="179"/>
      <c r="BN176" s="314"/>
      <c r="BR176" s="179"/>
      <c r="BV176" s="314"/>
    </row>
    <row r="177" spans="1:75" ht="15" x14ac:dyDescent="0.25">
      <c r="A177" s="931" t="s">
        <v>890</v>
      </c>
      <c r="B177" s="931">
        <f t="shared" ref="B177:Q177" si="490">B138</f>
        <v>0</v>
      </c>
      <c r="C177" s="931">
        <f t="shared" si="490"/>
        <v>0</v>
      </c>
      <c r="D177" s="931">
        <f t="shared" si="490"/>
        <v>68</v>
      </c>
      <c r="E177" s="931">
        <f t="shared" si="490"/>
        <v>181</v>
      </c>
      <c r="F177" s="926">
        <f t="shared" si="490"/>
        <v>386</v>
      </c>
      <c r="G177" s="926">
        <f t="shared" si="490"/>
        <v>561</v>
      </c>
      <c r="H177" s="926">
        <f t="shared" si="490"/>
        <v>431</v>
      </c>
      <c r="I177" s="926">
        <f t="shared" si="490"/>
        <v>459</v>
      </c>
      <c r="J177" s="934">
        <f>J138</f>
        <v>516</v>
      </c>
      <c r="K177" s="926">
        <f t="shared" si="490"/>
        <v>0</v>
      </c>
      <c r="L177" s="926">
        <f t="shared" si="490"/>
        <v>0</v>
      </c>
      <c r="M177" s="926">
        <f t="shared" si="490"/>
        <v>0</v>
      </c>
      <c r="N177" s="1001">
        <f t="shared" si="490"/>
        <v>0</v>
      </c>
      <c r="O177" s="926">
        <f t="shared" si="490"/>
        <v>0</v>
      </c>
      <c r="P177" s="926">
        <f t="shared" si="490"/>
        <v>0</v>
      </c>
      <c r="Q177" s="926">
        <f t="shared" si="490"/>
        <v>0</v>
      </c>
      <c r="R177" s="1032">
        <f>R138</f>
        <v>571</v>
      </c>
      <c r="S177" s="926">
        <f t="shared" ref="S177:Y177" si="491">S138</f>
        <v>116</v>
      </c>
      <c r="T177" s="926">
        <f t="shared" si="491"/>
        <v>145</v>
      </c>
      <c r="U177" s="926">
        <f t="shared" si="491"/>
        <v>135</v>
      </c>
      <c r="V177" s="1001">
        <f t="shared" si="491"/>
        <v>206</v>
      </c>
      <c r="W177" s="926">
        <f t="shared" si="491"/>
        <v>261</v>
      </c>
      <c r="X177" s="926">
        <f t="shared" si="491"/>
        <v>341</v>
      </c>
      <c r="Y177" s="926">
        <f t="shared" si="491"/>
        <v>396</v>
      </c>
      <c r="Z177" s="1032">
        <f>Z138</f>
        <v>602</v>
      </c>
      <c r="AA177" s="926">
        <f t="shared" ref="AA177:AG177" si="492">AA138</f>
        <v>106</v>
      </c>
      <c r="AB177" s="926">
        <f t="shared" si="492"/>
        <v>126</v>
      </c>
      <c r="AC177" s="926">
        <f>AC138</f>
        <v>160</v>
      </c>
      <c r="AD177" s="1001">
        <f t="shared" si="492"/>
        <v>215</v>
      </c>
      <c r="AE177" s="926">
        <f t="shared" si="492"/>
        <v>232</v>
      </c>
      <c r="AF177" s="926">
        <f t="shared" si="492"/>
        <v>375</v>
      </c>
      <c r="AG177" s="926">
        <f t="shared" si="492"/>
        <v>392</v>
      </c>
      <c r="AH177" s="1032">
        <f>AH138</f>
        <v>607</v>
      </c>
      <c r="AI177" s="926">
        <f t="shared" ref="AI177:AO177" si="493">AI138</f>
        <v>81</v>
      </c>
      <c r="AJ177" s="926">
        <f t="shared" si="493"/>
        <v>190</v>
      </c>
      <c r="AK177" s="936">
        <f t="shared" si="493"/>
        <v>160</v>
      </c>
      <c r="AL177" s="935">
        <f t="shared" si="493"/>
        <v>222</v>
      </c>
      <c r="AM177" s="926">
        <f t="shared" si="493"/>
        <v>271</v>
      </c>
      <c r="AN177" s="936">
        <f t="shared" si="493"/>
        <v>382</v>
      </c>
      <c r="AO177" s="936">
        <f t="shared" si="493"/>
        <v>431</v>
      </c>
      <c r="AP177" s="937">
        <f>AP138</f>
        <v>653</v>
      </c>
      <c r="AQ177" s="936">
        <f t="shared" ref="AQ177:AW177" si="494">AQ138</f>
        <v>172.5</v>
      </c>
      <c r="AR177" s="936">
        <f t="shared" si="494"/>
        <v>186.875</v>
      </c>
      <c r="AS177" s="936">
        <f t="shared" si="494"/>
        <v>186.875</v>
      </c>
      <c r="AT177" s="935">
        <f t="shared" si="494"/>
        <v>186.875</v>
      </c>
      <c r="AU177" s="936">
        <f t="shared" si="494"/>
        <v>359.375</v>
      </c>
      <c r="AV177" s="936">
        <f t="shared" si="494"/>
        <v>373.75</v>
      </c>
      <c r="AW177" s="936">
        <f t="shared" si="494"/>
        <v>546.25</v>
      </c>
      <c r="AX177" s="937">
        <f>AX138</f>
        <v>733.125</v>
      </c>
      <c r="AY177" s="936">
        <f t="shared" ref="AY177:BE177" si="495">AY138</f>
        <v>186.875</v>
      </c>
      <c r="AZ177" s="936">
        <f t="shared" si="495"/>
        <v>201.25</v>
      </c>
      <c r="BA177" s="936">
        <f t="shared" si="495"/>
        <v>201.25</v>
      </c>
      <c r="BB177" s="935">
        <f t="shared" si="495"/>
        <v>201.25</v>
      </c>
      <c r="BC177" s="936">
        <f t="shared" si="495"/>
        <v>388.125</v>
      </c>
      <c r="BD177" s="936">
        <f t="shared" si="495"/>
        <v>402.5</v>
      </c>
      <c r="BE177" s="936">
        <f t="shared" si="495"/>
        <v>589.375</v>
      </c>
      <c r="BF177" s="937">
        <f>BF138</f>
        <v>790.625</v>
      </c>
      <c r="BG177" s="936">
        <f t="shared" ref="BG177:BM177" si="496">BG138</f>
        <v>201.25</v>
      </c>
      <c r="BH177" s="936">
        <f t="shared" si="496"/>
        <v>201.25</v>
      </c>
      <c r="BI177" s="936">
        <f t="shared" si="496"/>
        <v>201.25</v>
      </c>
      <c r="BJ177" s="935">
        <f t="shared" si="496"/>
        <v>201.25</v>
      </c>
      <c r="BK177" s="936">
        <f t="shared" si="496"/>
        <v>402.5</v>
      </c>
      <c r="BL177" s="936">
        <f t="shared" si="496"/>
        <v>402.5</v>
      </c>
      <c r="BM177" s="936">
        <f t="shared" si="496"/>
        <v>603.75</v>
      </c>
      <c r="BN177" s="937">
        <f>BN138</f>
        <v>805</v>
      </c>
      <c r="BO177" s="936">
        <f t="shared" ref="BO177:BU177" si="497">BO138</f>
        <v>201.25</v>
      </c>
      <c r="BP177" s="936">
        <f t="shared" si="497"/>
        <v>201.25</v>
      </c>
      <c r="BQ177" s="936">
        <f t="shared" si="497"/>
        <v>201.25</v>
      </c>
      <c r="BR177" s="935">
        <f t="shared" si="497"/>
        <v>201.25</v>
      </c>
      <c r="BS177" s="936">
        <f t="shared" si="497"/>
        <v>402.5</v>
      </c>
      <c r="BT177" s="936">
        <f t="shared" si="497"/>
        <v>402.5</v>
      </c>
      <c r="BU177" s="936">
        <f t="shared" si="497"/>
        <v>603.75</v>
      </c>
      <c r="BV177" s="937">
        <f>BV138</f>
        <v>805</v>
      </c>
      <c r="BW177" s="23"/>
    </row>
    <row r="178" spans="1:75" x14ac:dyDescent="0.2">
      <c r="A178" s="931" t="s">
        <v>898</v>
      </c>
      <c r="B178" s="899">
        <v>2</v>
      </c>
      <c r="C178" s="899">
        <v>2</v>
      </c>
      <c r="D178" s="899">
        <v>2</v>
      </c>
      <c r="E178" s="899">
        <v>2</v>
      </c>
      <c r="F178" s="900">
        <v>2</v>
      </c>
      <c r="G178" s="900">
        <v>2</v>
      </c>
      <c r="H178" s="900">
        <v>2</v>
      </c>
      <c r="I178" s="900">
        <v>2</v>
      </c>
      <c r="J178" s="912">
        <v>2</v>
      </c>
      <c r="K178" s="900">
        <f>R178</f>
        <v>2</v>
      </c>
      <c r="L178" s="900">
        <f>R178</f>
        <v>2</v>
      </c>
      <c r="M178" s="900">
        <f>R178</f>
        <v>2</v>
      </c>
      <c r="N178" s="954">
        <f>R178</f>
        <v>2</v>
      </c>
      <c r="O178" s="900">
        <f>R178</f>
        <v>2</v>
      </c>
      <c r="P178" s="900">
        <f>R178</f>
        <v>2</v>
      </c>
      <c r="Q178" s="900">
        <f>R178</f>
        <v>2</v>
      </c>
      <c r="R178" s="955">
        <v>2</v>
      </c>
      <c r="S178" s="900">
        <f>Z178</f>
        <v>2</v>
      </c>
      <c r="T178" s="900">
        <f>Z178</f>
        <v>2</v>
      </c>
      <c r="U178" s="900">
        <f>Z178</f>
        <v>2</v>
      </c>
      <c r="V178" s="954">
        <f>Z178</f>
        <v>2</v>
      </c>
      <c r="W178" s="900">
        <f>Z178</f>
        <v>2</v>
      </c>
      <c r="X178" s="900">
        <f>Z178</f>
        <v>2</v>
      </c>
      <c r="Y178" s="900">
        <f>Z178</f>
        <v>2</v>
      </c>
      <c r="Z178" s="955">
        <v>2</v>
      </c>
      <c r="AA178" s="900">
        <f>AH178</f>
        <v>2</v>
      </c>
      <c r="AB178" s="900">
        <f>AH178</f>
        <v>2</v>
      </c>
      <c r="AC178" s="900">
        <f>AH178</f>
        <v>2</v>
      </c>
      <c r="AD178" s="954">
        <f>AH178</f>
        <v>2</v>
      </c>
      <c r="AE178" s="900">
        <f>AH178</f>
        <v>2</v>
      </c>
      <c r="AF178" s="900">
        <f>AH178</f>
        <v>2</v>
      </c>
      <c r="AG178" s="900">
        <f>AH178</f>
        <v>2</v>
      </c>
      <c r="AH178" s="955">
        <v>2</v>
      </c>
      <c r="AI178" s="900">
        <f>AP178</f>
        <v>2</v>
      </c>
      <c r="AJ178" s="900">
        <f>AP178</f>
        <v>2</v>
      </c>
      <c r="AK178" s="913">
        <f>AP178</f>
        <v>2</v>
      </c>
      <c r="AL178" s="914">
        <f>AP178</f>
        <v>2</v>
      </c>
      <c r="AM178" s="900">
        <f>AP178</f>
        <v>2</v>
      </c>
      <c r="AN178" s="913">
        <f>AP178</f>
        <v>2</v>
      </c>
      <c r="AO178" s="913">
        <f>AP178</f>
        <v>2</v>
      </c>
      <c r="AP178" s="929">
        <v>2</v>
      </c>
      <c r="AQ178" s="913">
        <f>AX178</f>
        <v>2</v>
      </c>
      <c r="AR178" s="913">
        <f>AX178</f>
        <v>2</v>
      </c>
      <c r="AS178" s="913">
        <f>AX178</f>
        <v>2</v>
      </c>
      <c r="AT178" s="914">
        <f>AX178</f>
        <v>2</v>
      </c>
      <c r="AU178" s="913">
        <f>AX178</f>
        <v>2</v>
      </c>
      <c r="AV178" s="913">
        <f>AX178</f>
        <v>2</v>
      </c>
      <c r="AW178" s="913">
        <f>AX178</f>
        <v>2</v>
      </c>
      <c r="AX178" s="929">
        <v>2</v>
      </c>
      <c r="AY178" s="913">
        <f>BF178</f>
        <v>2</v>
      </c>
      <c r="AZ178" s="913">
        <f>BF178</f>
        <v>2</v>
      </c>
      <c r="BA178" s="913">
        <f>BF178</f>
        <v>2</v>
      </c>
      <c r="BB178" s="914">
        <f>BF178</f>
        <v>2</v>
      </c>
      <c r="BC178" s="913">
        <f>BF178</f>
        <v>2</v>
      </c>
      <c r="BD178" s="913">
        <f>BF178</f>
        <v>2</v>
      </c>
      <c r="BE178" s="913">
        <f>BF178</f>
        <v>2</v>
      </c>
      <c r="BF178" s="929">
        <v>2</v>
      </c>
      <c r="BG178" s="913">
        <f>BN178</f>
        <v>2</v>
      </c>
      <c r="BH178" s="913">
        <f>BN178</f>
        <v>2</v>
      </c>
      <c r="BI178" s="913">
        <f>BN178</f>
        <v>2</v>
      </c>
      <c r="BJ178" s="914">
        <f>BN178</f>
        <v>2</v>
      </c>
      <c r="BK178" s="913">
        <f>BN178</f>
        <v>2</v>
      </c>
      <c r="BL178" s="913">
        <f>BN178</f>
        <v>2</v>
      </c>
      <c r="BM178" s="913">
        <f>BN178</f>
        <v>2</v>
      </c>
      <c r="BN178" s="929">
        <v>2</v>
      </c>
      <c r="BO178" s="913">
        <f>BV178</f>
        <v>2</v>
      </c>
      <c r="BP178" s="913">
        <f>BV178</f>
        <v>2</v>
      </c>
      <c r="BQ178" s="913">
        <f>BV178</f>
        <v>2</v>
      </c>
      <c r="BR178" s="914">
        <f>BV178</f>
        <v>2</v>
      </c>
      <c r="BS178" s="913">
        <f>BV178</f>
        <v>2</v>
      </c>
      <c r="BT178" s="913">
        <f>BV178</f>
        <v>2</v>
      </c>
      <c r="BU178" s="913">
        <f>BV178</f>
        <v>2</v>
      </c>
      <c r="BV178" s="929">
        <v>2</v>
      </c>
    </row>
    <row r="179" spans="1:75" x14ac:dyDescent="0.2">
      <c r="A179" s="931" t="s">
        <v>899</v>
      </c>
      <c r="B179" s="899">
        <f t="shared" ref="B179:I179" si="498">B177*B178</f>
        <v>0</v>
      </c>
      <c r="C179" s="899">
        <f t="shared" si="498"/>
        <v>0</v>
      </c>
      <c r="D179" s="899">
        <f t="shared" si="498"/>
        <v>136</v>
      </c>
      <c r="E179" s="899">
        <f t="shared" si="498"/>
        <v>362</v>
      </c>
      <c r="F179" s="900">
        <f t="shared" si="498"/>
        <v>772</v>
      </c>
      <c r="G179" s="900">
        <f t="shared" si="498"/>
        <v>1122</v>
      </c>
      <c r="H179" s="900">
        <f t="shared" si="498"/>
        <v>862</v>
      </c>
      <c r="I179" s="900">
        <f t="shared" si="498"/>
        <v>918</v>
      </c>
      <c r="J179" s="912">
        <f>J177*J178</f>
        <v>1032</v>
      </c>
      <c r="K179" s="900">
        <f>K177*K178</f>
        <v>0</v>
      </c>
      <c r="L179" s="900">
        <f>O179-K179</f>
        <v>0</v>
      </c>
      <c r="M179" s="900">
        <f>M177*M178</f>
        <v>0</v>
      </c>
      <c r="N179" s="954">
        <f>P179-M179</f>
        <v>1142</v>
      </c>
      <c r="O179" s="900">
        <f>O177*O178</f>
        <v>0</v>
      </c>
      <c r="P179" s="900">
        <f>R179-O179</f>
        <v>1142</v>
      </c>
      <c r="Q179" s="900">
        <f>K179+L179+M179</f>
        <v>0</v>
      </c>
      <c r="R179" s="955">
        <f>R177*R178</f>
        <v>1142</v>
      </c>
      <c r="S179" s="900">
        <f>S177*S178</f>
        <v>232</v>
      </c>
      <c r="T179" s="900">
        <f>W179-S179</f>
        <v>290</v>
      </c>
      <c r="U179" s="900">
        <f>U177*U178</f>
        <v>270</v>
      </c>
      <c r="V179" s="954">
        <f>X179-U179</f>
        <v>412</v>
      </c>
      <c r="W179" s="900">
        <f>W177*W178</f>
        <v>522</v>
      </c>
      <c r="X179" s="900">
        <f>Z179-W179</f>
        <v>682</v>
      </c>
      <c r="Y179" s="900">
        <f>S179+T179+U179</f>
        <v>792</v>
      </c>
      <c r="Z179" s="955">
        <f>Z177*Z178</f>
        <v>1204</v>
      </c>
      <c r="AA179" s="900">
        <f>AA177*AA178</f>
        <v>212</v>
      </c>
      <c r="AB179" s="900">
        <f>AE179-AA179</f>
        <v>252</v>
      </c>
      <c r="AC179" s="900">
        <f>AC177*AC178</f>
        <v>320</v>
      </c>
      <c r="AD179" s="954">
        <f>AF179-AC179</f>
        <v>430</v>
      </c>
      <c r="AE179" s="900">
        <f>AE177*AE178</f>
        <v>464</v>
      </c>
      <c r="AF179" s="900">
        <f>AH179-AE179</f>
        <v>750</v>
      </c>
      <c r="AG179" s="900">
        <f>AA179+AB179+AC179</f>
        <v>784</v>
      </c>
      <c r="AH179" s="955">
        <f>AH177*AH178</f>
        <v>1214</v>
      </c>
      <c r="AI179" s="900">
        <f>AI177*AI178</f>
        <v>162</v>
      </c>
      <c r="AJ179" s="900">
        <f>AM179-AI179</f>
        <v>380</v>
      </c>
      <c r="AK179" s="913">
        <f>AK177*AK178</f>
        <v>320</v>
      </c>
      <c r="AL179" s="914">
        <f>AN179-AK179</f>
        <v>444</v>
      </c>
      <c r="AM179" s="900">
        <f>AM177*AM178</f>
        <v>542</v>
      </c>
      <c r="AN179" s="913">
        <f>AP179-AM179</f>
        <v>764</v>
      </c>
      <c r="AO179" s="913">
        <f>AI179+AJ179+AK179</f>
        <v>862</v>
      </c>
      <c r="AP179" s="915">
        <f>AP177*AP178</f>
        <v>1306</v>
      </c>
      <c r="AQ179" s="913">
        <f>AQ177*AQ178</f>
        <v>345</v>
      </c>
      <c r="AR179" s="913">
        <f>AU179-AQ179</f>
        <v>373.75</v>
      </c>
      <c r="AS179" s="913">
        <f>AS177*AS178</f>
        <v>373.75</v>
      </c>
      <c r="AT179" s="914">
        <f>AV179-AS179</f>
        <v>373.75</v>
      </c>
      <c r="AU179" s="913">
        <f>AU177*AU178</f>
        <v>718.75</v>
      </c>
      <c r="AV179" s="913">
        <f>AX179-AU179</f>
        <v>747.5</v>
      </c>
      <c r="AW179" s="913">
        <f>AQ179+AR179+AS179</f>
        <v>1092.5</v>
      </c>
      <c r="AX179" s="915">
        <f>AX177*AX178</f>
        <v>1466.25</v>
      </c>
      <c r="AY179" s="913">
        <f>AY177*AY178</f>
        <v>373.75</v>
      </c>
      <c r="AZ179" s="913">
        <f>BC179-AY179</f>
        <v>402.5</v>
      </c>
      <c r="BA179" s="913">
        <f>BA177*BA178</f>
        <v>402.5</v>
      </c>
      <c r="BB179" s="914">
        <f>BD179-BA179</f>
        <v>402.5</v>
      </c>
      <c r="BC179" s="913">
        <f>BC177*BC178</f>
        <v>776.25</v>
      </c>
      <c r="BD179" s="913">
        <f>BF179-BC179</f>
        <v>805</v>
      </c>
      <c r="BE179" s="913">
        <f>AY179+AZ179+BA179</f>
        <v>1178.75</v>
      </c>
      <c r="BF179" s="915">
        <f>BF177*BF178</f>
        <v>1581.25</v>
      </c>
      <c r="BG179" s="913">
        <f>BG177*BG178</f>
        <v>402.5</v>
      </c>
      <c r="BH179" s="913">
        <f>BK179-BG179</f>
        <v>402.5</v>
      </c>
      <c r="BI179" s="913">
        <f>BI177*BI178</f>
        <v>402.5</v>
      </c>
      <c r="BJ179" s="914">
        <f>BL179-BI179</f>
        <v>402.5</v>
      </c>
      <c r="BK179" s="913">
        <f>BK177*BK178</f>
        <v>805</v>
      </c>
      <c r="BL179" s="913">
        <f>BN179-BK179</f>
        <v>805</v>
      </c>
      <c r="BM179" s="913">
        <f>BG179+BH179+BI179</f>
        <v>1207.5</v>
      </c>
      <c r="BN179" s="915">
        <f>BN177*BN178</f>
        <v>1610</v>
      </c>
      <c r="BO179" s="913">
        <f>BO177*BO178</f>
        <v>402.5</v>
      </c>
      <c r="BP179" s="913">
        <f>BS179-BO179</f>
        <v>402.5</v>
      </c>
      <c r="BQ179" s="913">
        <f>BQ177*BQ178</f>
        <v>402.5</v>
      </c>
      <c r="BR179" s="914">
        <f>BT179-BQ179</f>
        <v>402.5</v>
      </c>
      <c r="BS179" s="913">
        <f>BS177*BS178</f>
        <v>805</v>
      </c>
      <c r="BT179" s="913">
        <f>BV179-BS179</f>
        <v>805</v>
      </c>
      <c r="BU179" s="913">
        <f>BO179+BP179+BQ179</f>
        <v>1207.5</v>
      </c>
      <c r="BV179" s="915">
        <f>BV177*BV178</f>
        <v>1610</v>
      </c>
    </row>
    <row r="180" spans="1:75" x14ac:dyDescent="0.2">
      <c r="A180" s="899" t="s">
        <v>900</v>
      </c>
      <c r="B180" s="899">
        <f t="shared" ref="B180:I180" si="499">(B179*9/12)+(C179*3/12)</f>
        <v>0</v>
      </c>
      <c r="C180" s="899">
        <v>0</v>
      </c>
      <c r="D180" s="899">
        <f>(D179*9/12)+(E179*3/12)</f>
        <v>192.5</v>
      </c>
      <c r="E180" s="899">
        <f t="shared" si="499"/>
        <v>464.5</v>
      </c>
      <c r="F180" s="900">
        <f>(F179*9/12)+(G179*3/12)</f>
        <v>859.5</v>
      </c>
      <c r="G180" s="900">
        <f t="shared" si="499"/>
        <v>1057</v>
      </c>
      <c r="H180" s="900">
        <f t="shared" si="499"/>
        <v>876</v>
      </c>
      <c r="I180" s="900">
        <f t="shared" si="499"/>
        <v>946.5</v>
      </c>
      <c r="J180" s="912">
        <f>(J179*9/12)+(R179*3/12)</f>
        <v>1059.5</v>
      </c>
      <c r="K180" s="900">
        <f>(K179*9/12)+(L179*3/12)</f>
        <v>0</v>
      </c>
      <c r="L180" s="900">
        <f>(L179*9/12)+(M179*3/12)</f>
        <v>0</v>
      </c>
      <c r="M180" s="900">
        <f>(M179*9/12)+(N179*3/12)</f>
        <v>285.5</v>
      </c>
      <c r="N180" s="954">
        <f>(N179*9/12)+(S179*3/12)</f>
        <v>914.5</v>
      </c>
      <c r="O180" s="900">
        <f>(O179*9/12)+(P179*3/12)</f>
        <v>285.5</v>
      </c>
      <c r="P180" s="900">
        <f>(P179*9/12)+(W179*3/12)</f>
        <v>987</v>
      </c>
      <c r="Q180" s="900">
        <f>K180+L180+M180</f>
        <v>285.5</v>
      </c>
      <c r="R180" s="955">
        <f>(R179*9/12)+(Z179*3/12)</f>
        <v>1157.5</v>
      </c>
      <c r="S180" s="900">
        <f>(S179*9/12)+(T179*3/12)</f>
        <v>246.5</v>
      </c>
      <c r="T180" s="900">
        <f>(T179*9/12)+(U179*3/12)</f>
        <v>285</v>
      </c>
      <c r="U180" s="900">
        <f>(U179*9/12)+(V179*3/12)</f>
        <v>305.5</v>
      </c>
      <c r="V180" s="954">
        <f>(V179*9/12)+(AA179*3/12)</f>
        <v>362</v>
      </c>
      <c r="W180" s="900">
        <f>(W179*9/12)+(X179*3/12)</f>
        <v>562</v>
      </c>
      <c r="X180" s="900">
        <f>(X179*9/12)+(AE179*3/12)</f>
        <v>627.5</v>
      </c>
      <c r="Y180" s="900">
        <f>S180+T180+U180</f>
        <v>837</v>
      </c>
      <c r="Z180" s="955">
        <f>(Z179*9/12)+(AH179*3/12)</f>
        <v>1206.5</v>
      </c>
      <c r="AA180" s="900">
        <f>(AA179*9/12)+(AB179*3/12)</f>
        <v>222</v>
      </c>
      <c r="AB180" s="900">
        <f>(AB179*9/12)+(AC179*3/12)</f>
        <v>269</v>
      </c>
      <c r="AC180" s="900">
        <f>(AC179*9/12)+(AD179*3/12)</f>
        <v>347.5</v>
      </c>
      <c r="AD180" s="954">
        <f>(AD179*9/12)+(AI179*3/12)</f>
        <v>363</v>
      </c>
      <c r="AE180" s="900">
        <f>(AE179*9/12)+(AF179*3/12)</f>
        <v>535.5</v>
      </c>
      <c r="AF180" s="900">
        <f>(AF179*9/12)+(AM179*3/12)</f>
        <v>698</v>
      </c>
      <c r="AG180" s="900">
        <f>AA180+AB180+AC180</f>
        <v>838.5</v>
      </c>
      <c r="AH180" s="955">
        <f>(AH179*9/12)+(AP179*3/12)</f>
        <v>1237</v>
      </c>
      <c r="AI180" s="900">
        <f>(AI179*9/12)+(AJ179*3/12)</f>
        <v>216.5</v>
      </c>
      <c r="AJ180" s="900">
        <f>(AJ179*9/12)+(AK179*3/12)</f>
        <v>365</v>
      </c>
      <c r="AK180" s="913">
        <f>(AK179*9/12)+(AL179*3/12)</f>
        <v>351</v>
      </c>
      <c r="AL180" s="914">
        <f>(AL179*9/12)+(AQ179*3/12)</f>
        <v>419.25</v>
      </c>
      <c r="AM180" s="900">
        <f>(AM179*9/12)+(AN179*3/12)</f>
        <v>597.5</v>
      </c>
      <c r="AN180" s="913">
        <f>(AN179*9/12)+(AU179*3/12)</f>
        <v>752.6875</v>
      </c>
      <c r="AO180" s="913">
        <f>AI180+AJ180+AK180</f>
        <v>932.5</v>
      </c>
      <c r="AP180" s="915">
        <f>(AP179*9/12)+(AX179*3/12)</f>
        <v>1346.0625</v>
      </c>
      <c r="AQ180" s="913">
        <f>(AQ179*9/12)+(AR179*3/12)</f>
        <v>352.1875</v>
      </c>
      <c r="AR180" s="913">
        <f>(AR179*9/12)+(AS179*3/12)</f>
        <v>373.75</v>
      </c>
      <c r="AS180" s="913">
        <f>(AS179*9/12)+(AT179*3/12)</f>
        <v>373.75</v>
      </c>
      <c r="AT180" s="914">
        <f>(AT179*9/12)+(AY179*3/12)</f>
        <v>373.75</v>
      </c>
      <c r="AU180" s="913">
        <f>(AU179*9/12)+(AV179*3/12)</f>
        <v>725.9375</v>
      </c>
      <c r="AV180" s="913">
        <f>(AV179*9/12)+(BC179*3/12)</f>
        <v>754.6875</v>
      </c>
      <c r="AW180" s="913">
        <f>AQ180+AR180+AS180</f>
        <v>1099.6875</v>
      </c>
      <c r="AX180" s="915">
        <f>(AX179*9/12)+(BF179*3/12)</f>
        <v>1495</v>
      </c>
      <c r="AY180" s="913">
        <f>(AY179*9/12)+(AZ179*3/12)</f>
        <v>380.9375</v>
      </c>
      <c r="AZ180" s="913">
        <f>(AZ179*9/12)+(BA179*3/12)</f>
        <v>402.5</v>
      </c>
      <c r="BA180" s="913">
        <f>(BA179*9/12)+(BB179*3/12)</f>
        <v>402.5</v>
      </c>
      <c r="BB180" s="914">
        <f>(BB179*9/12)+(BG179*3/12)</f>
        <v>402.5</v>
      </c>
      <c r="BC180" s="913">
        <f>(BC179*9/12)+(BD179*3/12)</f>
        <v>783.4375</v>
      </c>
      <c r="BD180" s="913">
        <f>(BD179*9/12)+(BK179*3/12)</f>
        <v>805</v>
      </c>
      <c r="BE180" s="913">
        <f>AY180+AZ180+BA180</f>
        <v>1185.9375</v>
      </c>
      <c r="BF180" s="915">
        <f>(BF179*9/12)+(BN179*3/12)</f>
        <v>1588.4375</v>
      </c>
      <c r="BG180" s="913">
        <f>(BG179*9/12)+(BH179*3/12)</f>
        <v>402.5</v>
      </c>
      <c r="BH180" s="913">
        <f>(BH179*9/12)+(BI179*3/12)</f>
        <v>402.5</v>
      </c>
      <c r="BI180" s="913">
        <f>(BI179*9/12)+(BJ179*3/12)</f>
        <v>402.5</v>
      </c>
      <c r="BJ180" s="914">
        <f>(BJ179*9/12)+(BO179*3/12)</f>
        <v>402.5</v>
      </c>
      <c r="BK180" s="913">
        <f>(BK179*9/12)+(BL179*3/12)</f>
        <v>805</v>
      </c>
      <c r="BL180" s="913">
        <f>(BL179*9/12)+(BS179*3/12)</f>
        <v>805</v>
      </c>
      <c r="BM180" s="913">
        <f>BG180+BH180+BI180</f>
        <v>1207.5</v>
      </c>
      <c r="BN180" s="915">
        <f>(BN179*9/12)+(BV179*3/12)</f>
        <v>1610</v>
      </c>
      <c r="BO180" s="913">
        <f>(BO179*9/12)+(BP179*3/12)</f>
        <v>402.5</v>
      </c>
      <c r="BP180" s="913">
        <f>(BP179*9/12)+(BQ179*3/12)</f>
        <v>402.5</v>
      </c>
      <c r="BQ180" s="913">
        <f>(BQ179*9/12)+(BR179*3/12)</f>
        <v>402.5</v>
      </c>
      <c r="BR180" s="914">
        <f>(BR179*9/12)+(BW179*3/12)</f>
        <v>301.875</v>
      </c>
      <c r="BS180" s="913">
        <f>(BS179*9/12)+(BT179*3/12)</f>
        <v>805</v>
      </c>
      <c r="BT180" s="913">
        <f>(BT179*9/12)+(CA179*3/12)</f>
        <v>603.75</v>
      </c>
      <c r="BU180" s="913">
        <f>BO180+BP180+BQ180</f>
        <v>1207.5</v>
      </c>
      <c r="BV180" s="915">
        <f>BV179</f>
        <v>1610</v>
      </c>
    </row>
    <row r="181" spans="1:75" x14ac:dyDescent="0.2">
      <c r="A181" s="899" t="s">
        <v>1140</v>
      </c>
      <c r="B181" s="893">
        <v>0.08</v>
      </c>
      <c r="C181" s="893">
        <v>0.08</v>
      </c>
      <c r="D181" s="893">
        <v>0</v>
      </c>
      <c r="E181" s="893">
        <v>0</v>
      </c>
      <c r="F181" s="894">
        <v>0.03</v>
      </c>
      <c r="G181" s="894">
        <v>0.3</v>
      </c>
      <c r="H181" s="894">
        <v>0.3</v>
      </c>
      <c r="I181" s="894">
        <v>6.25E-2</v>
      </c>
      <c r="J181" s="956">
        <v>2.8799999999999999E-2</v>
      </c>
      <c r="K181" s="104">
        <v>0.15</v>
      </c>
      <c r="L181" s="104" t="e">
        <f>L182/L180</f>
        <v>#DIV/0!</v>
      </c>
      <c r="M181" s="104">
        <v>0.33330000000000004</v>
      </c>
      <c r="N181" s="872">
        <f>N182/N180</f>
        <v>0.1413873428102789</v>
      </c>
      <c r="O181" s="104">
        <v>0.30299999999999999</v>
      </c>
      <c r="P181" s="104">
        <f>P182/P180</f>
        <v>0.22741223404255323</v>
      </c>
      <c r="Q181" s="894">
        <f>Q182/Q180</f>
        <v>0.63630000000000009</v>
      </c>
      <c r="R181" s="1409">
        <v>0.26865000000000006</v>
      </c>
      <c r="S181" s="104">
        <v>0.42</v>
      </c>
      <c r="T181" s="104">
        <f>T182/T180</f>
        <v>1.6350877192976759E-4</v>
      </c>
      <c r="U181" s="104">
        <v>0.2</v>
      </c>
      <c r="V181" s="872">
        <f>V182/V180</f>
        <v>-0.17161353591160214</v>
      </c>
      <c r="W181" s="104">
        <v>0.18429999999999996</v>
      </c>
      <c r="X181" s="104">
        <f>X182/X180</f>
        <v>-1.6320318725099217E-3</v>
      </c>
      <c r="Y181" s="894">
        <f>Y182/Y180</f>
        <v>0.19674623655913975</v>
      </c>
      <c r="Z181" s="1409">
        <v>8.5000000000000006E-2</v>
      </c>
      <c r="AA181" s="104">
        <v>0.15</v>
      </c>
      <c r="AB181" s="104">
        <f>AB182/AB180</f>
        <v>2.5511152416356892E-2</v>
      </c>
      <c r="AC181" s="104">
        <v>0.08</v>
      </c>
      <c r="AD181" s="872">
        <f>AD182/AD180</f>
        <v>0.10243112947658407</v>
      </c>
      <c r="AE181" s="104">
        <v>7.4999999999999997E-2</v>
      </c>
      <c r="AF181" s="104">
        <f>AF182/AF180</f>
        <v>9.3098137535816639E-2</v>
      </c>
      <c r="AG181" s="894">
        <f>AG182/AG180</f>
        <v>8.1052474657125825E-2</v>
      </c>
      <c r="AH181" s="1409">
        <v>8.5000000000000006E-2</v>
      </c>
      <c r="AI181" s="104">
        <v>1.6830000000000001</v>
      </c>
      <c r="AJ181" s="104">
        <f>AJ182/AJ180</f>
        <v>-0.60539589041095898</v>
      </c>
      <c r="AK181" s="1584">
        <v>0.1</v>
      </c>
      <c r="AL181" s="868">
        <f>AL182/AL180</f>
        <v>5.58363148479427E-2</v>
      </c>
      <c r="AM181" s="104">
        <v>0.24</v>
      </c>
      <c r="AN181" s="461">
        <f>AN182/AN180</f>
        <v>7.7733953333886871E-2</v>
      </c>
      <c r="AO181" s="933">
        <f>AO182/AO180</f>
        <v>0.19142091152815013</v>
      </c>
      <c r="AP181" s="932">
        <v>0.15</v>
      </c>
      <c r="AQ181" s="461">
        <f>AX181</f>
        <v>0.11</v>
      </c>
      <c r="AR181" s="461">
        <f>AX181</f>
        <v>0.11</v>
      </c>
      <c r="AS181" s="461">
        <f>AX181</f>
        <v>0.11</v>
      </c>
      <c r="AT181" s="868">
        <f>AX181</f>
        <v>0.11</v>
      </c>
      <c r="AU181" s="461">
        <f>AX181</f>
        <v>0.11</v>
      </c>
      <c r="AV181" s="461">
        <f>AX181</f>
        <v>0.11</v>
      </c>
      <c r="AW181" s="933">
        <f>AW182/AW180</f>
        <v>0.11215686274509803</v>
      </c>
      <c r="AX181" s="932">
        <v>0.11</v>
      </c>
      <c r="AY181" s="461">
        <f>BF181</f>
        <v>0.11</v>
      </c>
      <c r="AZ181" s="461">
        <f>BF181</f>
        <v>0.11</v>
      </c>
      <c r="BA181" s="461">
        <f>BF181</f>
        <v>0.11</v>
      </c>
      <c r="BB181" s="868">
        <f>BF181</f>
        <v>0.11</v>
      </c>
      <c r="BC181" s="461">
        <f>BF181</f>
        <v>0.11</v>
      </c>
      <c r="BD181" s="461">
        <f>BF181</f>
        <v>0.11</v>
      </c>
      <c r="BE181" s="933">
        <f>BE182/BE180</f>
        <v>0.11050000000000001</v>
      </c>
      <c r="BF181" s="957">
        <f>AX181</f>
        <v>0.11</v>
      </c>
      <c r="BG181" s="461">
        <f>BN181</f>
        <v>0.11</v>
      </c>
      <c r="BH181" s="461">
        <f>BN181</f>
        <v>0.11</v>
      </c>
      <c r="BI181" s="461">
        <f>BN181</f>
        <v>0.11</v>
      </c>
      <c r="BJ181" s="868">
        <f>BN181</f>
        <v>0.11</v>
      </c>
      <c r="BK181" s="461">
        <f>BN181</f>
        <v>0.11</v>
      </c>
      <c r="BL181" s="461">
        <f>BN181</f>
        <v>0.11</v>
      </c>
      <c r="BM181" s="933">
        <f>BM182/BM180</f>
        <v>0.10999999999999999</v>
      </c>
      <c r="BN181" s="957">
        <f>BF181</f>
        <v>0.11</v>
      </c>
      <c r="BO181" s="461">
        <f>BV181</f>
        <v>0.11</v>
      </c>
      <c r="BP181" s="461">
        <f>BV181</f>
        <v>0.11</v>
      </c>
      <c r="BQ181" s="461">
        <f>BV181</f>
        <v>0.11</v>
      </c>
      <c r="BR181" s="868">
        <f>BV181</f>
        <v>0.11</v>
      </c>
      <c r="BS181" s="461">
        <f>BV181</f>
        <v>0.11</v>
      </c>
      <c r="BT181" s="461">
        <f>BV181</f>
        <v>0.11</v>
      </c>
      <c r="BU181" s="933">
        <f>BU182/BU180</f>
        <v>0.10999999999999999</v>
      </c>
      <c r="BV181" s="957">
        <f>BN181</f>
        <v>0.11</v>
      </c>
    </row>
    <row r="182" spans="1:75" x14ac:dyDescent="0.2">
      <c r="A182" s="899" t="s">
        <v>902</v>
      </c>
      <c r="B182" s="899">
        <f t="shared" ref="B182:K182" si="500">B180*B181</f>
        <v>0</v>
      </c>
      <c r="C182" s="899">
        <f t="shared" si="500"/>
        <v>0</v>
      </c>
      <c r="D182" s="899">
        <f t="shared" si="500"/>
        <v>0</v>
      </c>
      <c r="E182" s="899">
        <f t="shared" si="500"/>
        <v>0</v>
      </c>
      <c r="F182" s="900">
        <f t="shared" si="500"/>
        <v>25.785</v>
      </c>
      <c r="G182" s="900">
        <f t="shared" si="500"/>
        <v>317.09999999999997</v>
      </c>
      <c r="H182" s="900">
        <f>H180*H181</f>
        <v>262.8</v>
      </c>
      <c r="I182" s="900">
        <f t="shared" si="500"/>
        <v>59.15625</v>
      </c>
      <c r="J182" s="912">
        <f t="shared" si="500"/>
        <v>30.5136</v>
      </c>
      <c r="K182" s="900">
        <f t="shared" si="500"/>
        <v>0</v>
      </c>
      <c r="L182" s="900">
        <f>O182-K182</f>
        <v>86.506500000000003</v>
      </c>
      <c r="M182" s="900">
        <f>M180*M181</f>
        <v>95.157150000000016</v>
      </c>
      <c r="N182" s="954">
        <f>P182-M182</f>
        <v>129.29872500000005</v>
      </c>
      <c r="O182" s="900">
        <f>O180*O181</f>
        <v>86.506500000000003</v>
      </c>
      <c r="P182" s="900">
        <f>R182-O182</f>
        <v>224.45587500000005</v>
      </c>
      <c r="Q182" s="900">
        <f>K182+L182+M182</f>
        <v>181.66365000000002</v>
      </c>
      <c r="R182" s="955">
        <f>R180*R181</f>
        <v>310.96237500000007</v>
      </c>
      <c r="S182" s="900">
        <f t="shared" ref="S182" si="501">S180*S181</f>
        <v>103.53</v>
      </c>
      <c r="T182" s="900">
        <f>W182-S182</f>
        <v>4.6599999999983766E-2</v>
      </c>
      <c r="U182" s="900">
        <f>U180*U181</f>
        <v>61.1</v>
      </c>
      <c r="V182" s="954">
        <f>X182-U182</f>
        <v>-62.124099999999977</v>
      </c>
      <c r="W182" s="900">
        <f>W180*W181</f>
        <v>103.57659999999998</v>
      </c>
      <c r="X182" s="900">
        <f>Z182-W182</f>
        <v>-1.0240999999999758</v>
      </c>
      <c r="Y182" s="900">
        <f>S182+T182+U182</f>
        <v>164.67659999999998</v>
      </c>
      <c r="Z182" s="955">
        <f>Z180*Z181</f>
        <v>102.55250000000001</v>
      </c>
      <c r="AA182" s="900">
        <f t="shared" ref="AA182" si="502">AA180*AA181</f>
        <v>33.299999999999997</v>
      </c>
      <c r="AB182" s="900">
        <f>AE182-AA182</f>
        <v>6.8625000000000043</v>
      </c>
      <c r="AC182" s="900">
        <f>AC180*AC181</f>
        <v>27.8</v>
      </c>
      <c r="AD182" s="954">
        <f>AF182-AC182</f>
        <v>37.182500000000019</v>
      </c>
      <c r="AE182" s="900">
        <f>AE180*AE181</f>
        <v>40.162500000000001</v>
      </c>
      <c r="AF182" s="900">
        <f>AH182-AE182</f>
        <v>64.982500000000016</v>
      </c>
      <c r="AG182" s="900">
        <f>AA182+AB182+AC182</f>
        <v>67.962500000000006</v>
      </c>
      <c r="AH182" s="955">
        <f>AH180*AH181</f>
        <v>105.14500000000001</v>
      </c>
      <c r="AI182" s="900">
        <f t="shared" ref="AI182" si="503">AI180*AI181</f>
        <v>364.36950000000002</v>
      </c>
      <c r="AJ182" s="900">
        <f>AM182-AI182</f>
        <v>-220.96950000000001</v>
      </c>
      <c r="AK182" s="913">
        <f>AK180*AK181</f>
        <v>35.1</v>
      </c>
      <c r="AL182" s="914">
        <f>AN182-AK182</f>
        <v>23.409374999999976</v>
      </c>
      <c r="AM182" s="900">
        <f>AM180*AM181</f>
        <v>143.4</v>
      </c>
      <c r="AN182" s="913">
        <f>AP182-AM182</f>
        <v>58.509374999999977</v>
      </c>
      <c r="AO182" s="913">
        <f>AI182+AJ182+AK182</f>
        <v>178.5</v>
      </c>
      <c r="AP182" s="915">
        <f>AP180*AP181</f>
        <v>201.90937499999998</v>
      </c>
      <c r="AQ182" s="913">
        <f>AU182/2</f>
        <v>41.112499999999997</v>
      </c>
      <c r="AR182" s="913">
        <f>AU182-AQ182</f>
        <v>41.112499999999997</v>
      </c>
      <c r="AS182" s="913">
        <f>AV182/2</f>
        <v>41.112499999999997</v>
      </c>
      <c r="AT182" s="914">
        <f>AV182-AS182</f>
        <v>41.112499999999997</v>
      </c>
      <c r="AU182" s="913">
        <f>AX182/2</f>
        <v>82.224999999999994</v>
      </c>
      <c r="AV182" s="913">
        <f>AX182-AU182</f>
        <v>82.224999999999994</v>
      </c>
      <c r="AW182" s="913">
        <f>AQ182+AR182+AS182</f>
        <v>123.33749999999999</v>
      </c>
      <c r="AX182" s="915">
        <f>AX180*AX181</f>
        <v>164.45</v>
      </c>
      <c r="AY182" s="913">
        <f>BC182/2</f>
        <v>43.682031250000001</v>
      </c>
      <c r="AZ182" s="913">
        <f>BC182-AY182</f>
        <v>43.682031250000001</v>
      </c>
      <c r="BA182" s="913">
        <f>BD182/2</f>
        <v>43.682031250000001</v>
      </c>
      <c r="BB182" s="914">
        <f>BD182-BA182</f>
        <v>43.682031250000001</v>
      </c>
      <c r="BC182" s="913">
        <f>BF182/2</f>
        <v>87.364062500000003</v>
      </c>
      <c r="BD182" s="913">
        <f>BF182-BC182</f>
        <v>87.364062500000003</v>
      </c>
      <c r="BE182" s="913">
        <f>AY182+AZ182+BA182</f>
        <v>131.04609375000001</v>
      </c>
      <c r="BF182" s="915">
        <f>BF180*BF181</f>
        <v>174.72812500000001</v>
      </c>
      <c r="BG182" s="913">
        <f>BK182/2</f>
        <v>44.274999999999999</v>
      </c>
      <c r="BH182" s="913">
        <f>BK182-BG182</f>
        <v>44.274999999999999</v>
      </c>
      <c r="BI182" s="913">
        <f>BL182/2</f>
        <v>44.274999999999999</v>
      </c>
      <c r="BJ182" s="914">
        <f>BL182-BI182</f>
        <v>44.274999999999999</v>
      </c>
      <c r="BK182" s="913">
        <f>BN182/2</f>
        <v>88.55</v>
      </c>
      <c r="BL182" s="913">
        <f>BN182-BK182</f>
        <v>88.55</v>
      </c>
      <c r="BM182" s="913">
        <f>BG182+BH182+BI182</f>
        <v>132.82499999999999</v>
      </c>
      <c r="BN182" s="915">
        <f>BN180*BN181</f>
        <v>177.1</v>
      </c>
      <c r="BO182" s="913">
        <f>BS182/2</f>
        <v>44.274999999999999</v>
      </c>
      <c r="BP182" s="913">
        <f>BS182-BO182</f>
        <v>44.274999999999999</v>
      </c>
      <c r="BQ182" s="913">
        <f>BT182/2</f>
        <v>44.274999999999999</v>
      </c>
      <c r="BR182" s="914">
        <f>BT182-BQ182</f>
        <v>44.274999999999999</v>
      </c>
      <c r="BS182" s="913">
        <f>BV182/2</f>
        <v>88.55</v>
      </c>
      <c r="BT182" s="913">
        <f>BV182-BS182</f>
        <v>88.55</v>
      </c>
      <c r="BU182" s="913">
        <f>BO182+BP182+BQ182</f>
        <v>132.82499999999999</v>
      </c>
      <c r="BV182" s="915">
        <f>BV180*BV181</f>
        <v>177.1</v>
      </c>
    </row>
    <row r="183" spans="1:75" x14ac:dyDescent="0.2">
      <c r="A183" s="899" t="s">
        <v>903</v>
      </c>
      <c r="B183" s="899">
        <f t="shared" ref="B183:H183" si="504">B180+B182</f>
        <v>0</v>
      </c>
      <c r="C183" s="899">
        <f t="shared" si="504"/>
        <v>0</v>
      </c>
      <c r="D183" s="899">
        <f t="shared" si="504"/>
        <v>192.5</v>
      </c>
      <c r="E183" s="899">
        <f t="shared" si="504"/>
        <v>464.5</v>
      </c>
      <c r="F183" s="900">
        <f>F180+F182</f>
        <v>885.28499999999997</v>
      </c>
      <c r="G183" s="900">
        <f>G180+G182</f>
        <v>1374.1</v>
      </c>
      <c r="H183" s="900">
        <f t="shared" si="504"/>
        <v>1138.8</v>
      </c>
      <c r="I183" s="900">
        <f>I180+I182</f>
        <v>1005.65625</v>
      </c>
      <c r="J183" s="912">
        <f>J180+J182</f>
        <v>1090.0136</v>
      </c>
      <c r="K183" s="900">
        <f>K180+K182</f>
        <v>0</v>
      </c>
      <c r="L183" s="900">
        <f>O183-K183</f>
        <v>372.00650000000002</v>
      </c>
      <c r="M183" s="900">
        <f>M180+M182</f>
        <v>380.65715</v>
      </c>
      <c r="N183" s="954">
        <f>P183-M183</f>
        <v>715.7987250000001</v>
      </c>
      <c r="O183" s="900">
        <f>O180+O182</f>
        <v>372.00650000000002</v>
      </c>
      <c r="P183" s="900">
        <f>R183-O183</f>
        <v>1096.4558750000001</v>
      </c>
      <c r="Q183" s="900">
        <f>K183+L183+M183</f>
        <v>752.66364999999996</v>
      </c>
      <c r="R183" s="955">
        <f>R180+R182</f>
        <v>1468.4623750000001</v>
      </c>
      <c r="S183" s="900">
        <f>S180+S182</f>
        <v>350.03</v>
      </c>
      <c r="T183" s="900">
        <f>W183-S183</f>
        <v>315.54660000000001</v>
      </c>
      <c r="U183" s="900">
        <f>U180+U182</f>
        <v>366.6</v>
      </c>
      <c r="V183" s="954">
        <f>X183-U183</f>
        <v>276.8759</v>
      </c>
      <c r="W183" s="900">
        <f>W180+W182</f>
        <v>665.57659999999998</v>
      </c>
      <c r="X183" s="900">
        <f>Z183-W183</f>
        <v>643.47590000000002</v>
      </c>
      <c r="Y183" s="900">
        <f>S183+T183+U183</f>
        <v>1032.1766</v>
      </c>
      <c r="Z183" s="955">
        <f>Z180+Z182</f>
        <v>1309.0525</v>
      </c>
      <c r="AA183" s="900">
        <f>AA180+AA182</f>
        <v>255.3</v>
      </c>
      <c r="AB183" s="900">
        <f>AE183-AA183</f>
        <v>320.36250000000001</v>
      </c>
      <c r="AC183" s="900">
        <f>AC180+AC182</f>
        <v>375.3</v>
      </c>
      <c r="AD183" s="954">
        <f>AF183-AC183</f>
        <v>391.18249999999995</v>
      </c>
      <c r="AE183" s="900">
        <f>AE180+AE182</f>
        <v>575.66250000000002</v>
      </c>
      <c r="AF183" s="900">
        <f>AH183-AE183</f>
        <v>766.48249999999996</v>
      </c>
      <c r="AG183" s="900">
        <f>AA183+AB183+AC183</f>
        <v>950.96250000000009</v>
      </c>
      <c r="AH183" s="955">
        <f>AH180+AH182</f>
        <v>1342.145</v>
      </c>
      <c r="AI183" s="900">
        <f>AI180+AI182</f>
        <v>580.86950000000002</v>
      </c>
      <c r="AJ183" s="900">
        <f>AM183-AI183</f>
        <v>160.03049999999996</v>
      </c>
      <c r="AK183" s="913">
        <f>AK180+AK182</f>
        <v>386.1</v>
      </c>
      <c r="AL183" s="914">
        <f>AN183-AK183</f>
        <v>420.97187499999995</v>
      </c>
      <c r="AM183" s="900">
        <f>AM180+AM182</f>
        <v>740.9</v>
      </c>
      <c r="AN183" s="913">
        <f>AP183-AM183</f>
        <v>807.07187499999998</v>
      </c>
      <c r="AO183" s="913">
        <f>AI183+AJ183+AK183</f>
        <v>1127</v>
      </c>
      <c r="AP183" s="915">
        <f>AP180+AP182</f>
        <v>1547.971875</v>
      </c>
      <c r="AQ183" s="913">
        <f>AQ180+AQ182</f>
        <v>393.3</v>
      </c>
      <c r="AR183" s="913">
        <f>AU183-AQ183</f>
        <v>414.86250000000001</v>
      </c>
      <c r="AS183" s="913">
        <f>AS180+AS182</f>
        <v>414.86250000000001</v>
      </c>
      <c r="AT183" s="914">
        <f>AV183-AS183</f>
        <v>436.42500000000001</v>
      </c>
      <c r="AU183" s="913">
        <f>AU180+AU182</f>
        <v>808.16250000000002</v>
      </c>
      <c r="AV183" s="913">
        <f>AX183-AU183</f>
        <v>851.28750000000002</v>
      </c>
      <c r="AW183" s="913">
        <f>AQ183+AR183+AS183</f>
        <v>1223.0250000000001</v>
      </c>
      <c r="AX183" s="915">
        <f>AX180+AX182</f>
        <v>1659.45</v>
      </c>
      <c r="AY183" s="913">
        <f>AY180+AY182</f>
        <v>424.61953125000002</v>
      </c>
      <c r="AZ183" s="913">
        <f>BC183-AY183</f>
        <v>446.18203125000002</v>
      </c>
      <c r="BA183" s="913">
        <f>BA180+BA182</f>
        <v>446.18203125000002</v>
      </c>
      <c r="BB183" s="914">
        <f>BD183-BA183</f>
        <v>446.18203125000002</v>
      </c>
      <c r="BC183" s="913">
        <f>BC180+BC182</f>
        <v>870.80156250000005</v>
      </c>
      <c r="BD183" s="913">
        <f>BF183-BC183</f>
        <v>892.36406250000005</v>
      </c>
      <c r="BE183" s="913">
        <f>AY183+AZ183+BA183</f>
        <v>1316.9835937500002</v>
      </c>
      <c r="BF183" s="915">
        <f>BF180+BF182</f>
        <v>1763.1656250000001</v>
      </c>
      <c r="BG183" s="913">
        <f>BG180+BG182</f>
        <v>446.77499999999998</v>
      </c>
      <c r="BH183" s="913">
        <f>BK183-BG183</f>
        <v>446.77499999999998</v>
      </c>
      <c r="BI183" s="913">
        <f>BI180+BI182</f>
        <v>446.77499999999998</v>
      </c>
      <c r="BJ183" s="914">
        <f>BL183-BI183</f>
        <v>446.77499999999998</v>
      </c>
      <c r="BK183" s="913">
        <f>BK180+BK182</f>
        <v>893.55</v>
      </c>
      <c r="BL183" s="913">
        <f>BN183-BK183</f>
        <v>893.55</v>
      </c>
      <c r="BM183" s="913">
        <f>BG183+BH183+BI183</f>
        <v>1340.3249999999998</v>
      </c>
      <c r="BN183" s="915">
        <f>BN180+BN182</f>
        <v>1787.1</v>
      </c>
      <c r="BO183" s="913">
        <f>BO180+BO182</f>
        <v>446.77499999999998</v>
      </c>
      <c r="BP183" s="913">
        <f>BS183-BO183</f>
        <v>446.77499999999998</v>
      </c>
      <c r="BQ183" s="913">
        <f>BQ180+BQ182</f>
        <v>446.77499999999998</v>
      </c>
      <c r="BR183" s="914">
        <f>BT183-BQ183</f>
        <v>446.77499999999998</v>
      </c>
      <c r="BS183" s="913">
        <f>BS180+BS182</f>
        <v>893.55</v>
      </c>
      <c r="BT183" s="913">
        <f>BV183-BS183</f>
        <v>893.55</v>
      </c>
      <c r="BU183" s="913">
        <f>BO183+BP183+BQ183</f>
        <v>1340.3249999999998</v>
      </c>
      <c r="BV183" s="915">
        <f>BV180+BV182</f>
        <v>1787.1</v>
      </c>
    </row>
    <row r="184" spans="1:75" x14ac:dyDescent="0.2">
      <c r="A184" s="899" t="s">
        <v>904</v>
      </c>
      <c r="B184" s="893"/>
      <c r="C184" s="893"/>
      <c r="D184" s="893">
        <f>29/D177</f>
        <v>0.4264705882352941</v>
      </c>
      <c r="E184" s="893">
        <f>106/E177</f>
        <v>0.58563535911602205</v>
      </c>
      <c r="F184" s="894">
        <f>201/F177</f>
        <v>0.52072538860103623</v>
      </c>
      <c r="G184" s="894">
        <f>285/G177</f>
        <v>0.50802139037433158</v>
      </c>
      <c r="H184" s="894">
        <f>231/H177</f>
        <v>0.53596287703016243</v>
      </c>
      <c r="I184" s="894">
        <f>270/I177</f>
        <v>0.58823529411764708</v>
      </c>
      <c r="J184" s="956">
        <f>289/J177</f>
        <v>0.56007751937984496</v>
      </c>
      <c r="K184" s="104" t="e">
        <f>59/K177</f>
        <v>#DIV/0!</v>
      </c>
      <c r="L184" s="104" t="e">
        <f>L185/L183</f>
        <v>#DIV/0!</v>
      </c>
      <c r="M184" s="104" t="e">
        <f>64/M177</f>
        <v>#DIV/0!</v>
      </c>
      <c r="N184" s="872" t="e">
        <f>N185/N183</f>
        <v>#DIV/0!</v>
      </c>
      <c r="O184" s="104" t="e">
        <f>128/O177</f>
        <v>#DIV/0!</v>
      </c>
      <c r="P184" s="104" t="e">
        <f>P185/P183</f>
        <v>#DIV/0!</v>
      </c>
      <c r="Q184" s="894" t="e">
        <f>Q185/Q183</f>
        <v>#DIV/0!</v>
      </c>
      <c r="R184" s="1409">
        <f>287/R177</f>
        <v>0.50262697022767078</v>
      </c>
      <c r="S184" s="104">
        <f>58/S177</f>
        <v>0.5</v>
      </c>
      <c r="T184" s="104">
        <f>T185/T183</f>
        <v>0.50388753990694246</v>
      </c>
      <c r="U184" s="104">
        <f>77/U177</f>
        <v>0.57037037037037042</v>
      </c>
      <c r="V184" s="872">
        <f>V185/V183</f>
        <v>0.63927557436382143</v>
      </c>
      <c r="W184" s="104">
        <f>131/W177</f>
        <v>0.50191570881226055</v>
      </c>
      <c r="X184" s="104">
        <f>X185/X183</f>
        <v>0.59986706572849113</v>
      </c>
      <c r="Y184" s="894">
        <f>Y185/Y183</f>
        <v>0.52607276700518113</v>
      </c>
      <c r="Z184" s="1409">
        <v>0.55000000000000004</v>
      </c>
      <c r="AA184" s="104">
        <f>61/AA177</f>
        <v>0.57547169811320753</v>
      </c>
      <c r="AB184" s="104">
        <f>AB185/AB183</f>
        <v>0.51816301845565571</v>
      </c>
      <c r="AC184" s="104">
        <f>105/AC177</f>
        <v>0.65625</v>
      </c>
      <c r="AD184" s="872">
        <f>AD185/AD183</f>
        <v>0.59562991698248269</v>
      </c>
      <c r="AE184" s="104">
        <f>126/AE177</f>
        <v>0.5431034482758621</v>
      </c>
      <c r="AF184" s="104">
        <f>AF185/AF183</f>
        <v>0.62493272840541048</v>
      </c>
      <c r="AG184" s="894">
        <f>AG185/AG183</f>
        <v>0.58782549259303074</v>
      </c>
      <c r="AH184" s="1409">
        <f>358/607</f>
        <v>0.5897858319604613</v>
      </c>
      <c r="AI184" s="104">
        <f>31/AI177</f>
        <v>0.38271604938271603</v>
      </c>
      <c r="AJ184" s="104">
        <f>AJ185/AJ183</f>
        <v>1.2622593818053436</v>
      </c>
      <c r="AK184" s="1584">
        <v>0.57499999999999996</v>
      </c>
      <c r="AL184" s="868">
        <f>AL185/AL183</f>
        <v>0.57961116761066289</v>
      </c>
      <c r="AM184" s="104">
        <f>155/AM177</f>
        <v>0.5719557195571956</v>
      </c>
      <c r="AN184" s="461">
        <f>AN185/AN183</f>
        <v>0.57739591037043636</v>
      </c>
      <c r="AO184" s="933">
        <f>AO185/AO183</f>
        <v>0.5732031943212067</v>
      </c>
      <c r="AP184" s="932">
        <v>0.57499999999999996</v>
      </c>
      <c r="AQ184" s="461">
        <f>AX184</f>
        <v>0.55000000000000004</v>
      </c>
      <c r="AR184" s="461">
        <f>AX184</f>
        <v>0.55000000000000004</v>
      </c>
      <c r="AS184" s="461">
        <f>AX184</f>
        <v>0.55000000000000004</v>
      </c>
      <c r="AT184" s="868">
        <f>AT185/AT183</f>
        <v>0.55221401157128946</v>
      </c>
      <c r="AU184" s="461">
        <f>AX184</f>
        <v>0.55000000000000004</v>
      </c>
      <c r="AV184" s="461">
        <f>AV185/AV183</f>
        <v>0.55093020865453801</v>
      </c>
      <c r="AW184" s="933">
        <f>AW185/AW183</f>
        <v>0.54945728828110618</v>
      </c>
      <c r="AX184" s="932">
        <v>0.55000000000000004</v>
      </c>
      <c r="AY184" s="461">
        <f>BF184</f>
        <v>0.55000000000000004</v>
      </c>
      <c r="AZ184" s="461">
        <f>BF184</f>
        <v>0.55000000000000004</v>
      </c>
      <c r="BA184" s="461">
        <f>BF184</f>
        <v>0.55000000000000004</v>
      </c>
      <c r="BB184" s="868">
        <f>BB185/BB183</f>
        <v>0.55134447998907399</v>
      </c>
      <c r="BC184" s="461">
        <f>BF184</f>
        <v>0.55000000000000004</v>
      </c>
      <c r="BD184" s="461">
        <f>BD185/BD183</f>
        <v>0.55022386112730748</v>
      </c>
      <c r="BE184" s="933">
        <f>BE185/BE183</f>
        <v>0.54974109277889394</v>
      </c>
      <c r="BF184" s="957">
        <f>+AX184</f>
        <v>0.55000000000000004</v>
      </c>
      <c r="BG184" s="461">
        <f>BN184</f>
        <v>0.55000000000000004</v>
      </c>
      <c r="BH184" s="461">
        <f>BN184</f>
        <v>0.55000000000000004</v>
      </c>
      <c r="BI184" s="461">
        <f>BN184</f>
        <v>0.55000000000000004</v>
      </c>
      <c r="BJ184" s="868">
        <f>BJ185/BJ183</f>
        <v>0.55061272452576804</v>
      </c>
      <c r="BK184" s="461">
        <f>BN184</f>
        <v>0.55000000000000004</v>
      </c>
      <c r="BL184" s="461">
        <f>BL185/BL183</f>
        <v>0.55061272452576804</v>
      </c>
      <c r="BM184" s="933">
        <f>BM185/BM183</f>
        <v>0.55061272452576804</v>
      </c>
      <c r="BN184" s="957">
        <f>+BF184</f>
        <v>0.55000000000000004</v>
      </c>
      <c r="BO184" s="461">
        <f>BV184</f>
        <v>0.55000000000000004</v>
      </c>
      <c r="BP184" s="461">
        <f>BV184</f>
        <v>0.55000000000000004</v>
      </c>
      <c r="BQ184" s="461">
        <f>BV184</f>
        <v>0.55000000000000004</v>
      </c>
      <c r="BR184" s="868">
        <f>BR185/BR183</f>
        <v>0.55061272452576804</v>
      </c>
      <c r="BS184" s="461">
        <f>BV184</f>
        <v>0.55000000000000004</v>
      </c>
      <c r="BT184" s="461">
        <f>BT185/BT183</f>
        <v>0.55061272452576804</v>
      </c>
      <c r="BU184" s="933">
        <f>BU185/BU183</f>
        <v>0.55061272452576804</v>
      </c>
      <c r="BV184" s="957">
        <f>+BN184</f>
        <v>0.55000000000000004</v>
      </c>
    </row>
    <row r="185" spans="1:75" x14ac:dyDescent="0.2">
      <c r="A185" s="921" t="s">
        <v>911</v>
      </c>
      <c r="B185" s="921">
        <f t="shared" ref="B185:W185" si="505">ROUND(B183*B184,0)</f>
        <v>0</v>
      </c>
      <c r="C185" s="921">
        <f t="shared" si="505"/>
        <v>0</v>
      </c>
      <c r="D185" s="921">
        <f t="shared" si="505"/>
        <v>82</v>
      </c>
      <c r="E185" s="921">
        <f>ROUND(E183*E184,0)</f>
        <v>272</v>
      </c>
      <c r="F185" s="921">
        <f>ROUND(F183*F184,0)</f>
        <v>461</v>
      </c>
      <c r="G185" s="921">
        <f>ROUND(G183*G184,0)</f>
        <v>698</v>
      </c>
      <c r="H185" s="921">
        <f t="shared" si="505"/>
        <v>610</v>
      </c>
      <c r="I185" s="921">
        <f t="shared" si="505"/>
        <v>592</v>
      </c>
      <c r="J185" s="922">
        <f t="shared" si="505"/>
        <v>610</v>
      </c>
      <c r="K185" s="921" t="e">
        <f t="shared" si="505"/>
        <v>#DIV/0!</v>
      </c>
      <c r="L185" s="921" t="e">
        <f>O185-K185</f>
        <v>#DIV/0!</v>
      </c>
      <c r="M185" s="921" t="e">
        <f>ROUND(M183*M184,0)</f>
        <v>#DIV/0!</v>
      </c>
      <c r="N185" s="1401" t="e">
        <f>P185-M185</f>
        <v>#DIV/0!</v>
      </c>
      <c r="O185" s="921" t="e">
        <f t="shared" si="505"/>
        <v>#DIV/0!</v>
      </c>
      <c r="P185" s="921" t="e">
        <f>R185-O185</f>
        <v>#DIV/0!</v>
      </c>
      <c r="Q185" s="921" t="e">
        <f>K185+L185+M185</f>
        <v>#DIV/0!</v>
      </c>
      <c r="R185" s="1402">
        <f t="shared" si="505"/>
        <v>738</v>
      </c>
      <c r="S185" s="921">
        <f t="shared" si="505"/>
        <v>175</v>
      </c>
      <c r="T185" s="921">
        <f>W185-S185</f>
        <v>159</v>
      </c>
      <c r="U185" s="921">
        <f t="shared" si="505"/>
        <v>209</v>
      </c>
      <c r="V185" s="1401">
        <f>X185-U185</f>
        <v>177</v>
      </c>
      <c r="W185" s="921">
        <f t="shared" si="505"/>
        <v>334</v>
      </c>
      <c r="X185" s="921">
        <f>Z185-W185</f>
        <v>386</v>
      </c>
      <c r="Y185" s="921">
        <f>S185+T185+U185</f>
        <v>543</v>
      </c>
      <c r="Z185" s="1402">
        <f>ROUND(Z183*Z184,0)</f>
        <v>720</v>
      </c>
      <c r="AA185" s="921">
        <f t="shared" ref="AA185:AC185" si="506">ROUND(AA183*AA184,0)</f>
        <v>147</v>
      </c>
      <c r="AB185" s="921">
        <f>AE185-AA185</f>
        <v>166</v>
      </c>
      <c r="AC185" s="921">
        <f t="shared" si="506"/>
        <v>246</v>
      </c>
      <c r="AD185" s="1401">
        <f>AF185-AC185</f>
        <v>233</v>
      </c>
      <c r="AE185" s="921">
        <f t="shared" ref="AE185" si="507">ROUND(AE183*AE184,0)</f>
        <v>313</v>
      </c>
      <c r="AF185" s="921">
        <f>AH185-AE185</f>
        <v>479</v>
      </c>
      <c r="AG185" s="921">
        <f>AA185+AB185+AC185</f>
        <v>559</v>
      </c>
      <c r="AH185" s="1402">
        <f>ROUND(AH183*AH184,0)</f>
        <v>792</v>
      </c>
      <c r="AI185" s="921">
        <f t="shared" ref="AI185:AM185" si="508">ROUND(AI183*AI184,0)</f>
        <v>222</v>
      </c>
      <c r="AJ185" s="921">
        <f>AM185-AI185</f>
        <v>202</v>
      </c>
      <c r="AK185" s="924">
        <f t="shared" si="508"/>
        <v>222</v>
      </c>
      <c r="AL185" s="923">
        <f>AN185-AK185</f>
        <v>244</v>
      </c>
      <c r="AM185" s="921">
        <f t="shared" si="508"/>
        <v>424</v>
      </c>
      <c r="AN185" s="924">
        <f>AP185-AM185</f>
        <v>466</v>
      </c>
      <c r="AO185" s="924">
        <f>AI185+AJ185+AK185</f>
        <v>646</v>
      </c>
      <c r="AP185" s="925">
        <f>ROUND(AP183*AP184,0)</f>
        <v>890</v>
      </c>
      <c r="AQ185" s="924">
        <f t="shared" ref="AQ185:AU185" si="509">ROUND(AQ183*AQ184,0)</f>
        <v>216</v>
      </c>
      <c r="AR185" s="924">
        <f t="shared" si="509"/>
        <v>228</v>
      </c>
      <c r="AS185" s="924">
        <f t="shared" si="509"/>
        <v>228</v>
      </c>
      <c r="AT185" s="923">
        <f>AV185-AS185</f>
        <v>241</v>
      </c>
      <c r="AU185" s="924">
        <f t="shared" si="509"/>
        <v>444</v>
      </c>
      <c r="AV185" s="924">
        <f>AX185-AU185</f>
        <v>469</v>
      </c>
      <c r="AW185" s="924">
        <f>AQ185+AR185+AS185</f>
        <v>672</v>
      </c>
      <c r="AX185" s="925">
        <f>ROUND(AX183*AX184,0)</f>
        <v>913</v>
      </c>
      <c r="AY185" s="924">
        <f t="shared" ref="AY185:BC185" si="510">ROUND(AY183*AY184,0)</f>
        <v>234</v>
      </c>
      <c r="AZ185" s="924">
        <f t="shared" si="510"/>
        <v>245</v>
      </c>
      <c r="BA185" s="924">
        <f t="shared" si="510"/>
        <v>245</v>
      </c>
      <c r="BB185" s="923">
        <f>BD185-BA185</f>
        <v>246</v>
      </c>
      <c r="BC185" s="924">
        <f t="shared" si="510"/>
        <v>479</v>
      </c>
      <c r="BD185" s="924">
        <f>BF185-BC185</f>
        <v>491</v>
      </c>
      <c r="BE185" s="924">
        <f>AY185+AZ185+BA185</f>
        <v>724</v>
      </c>
      <c r="BF185" s="925">
        <f>ROUND(BF183*BF184,0)</f>
        <v>970</v>
      </c>
      <c r="BG185" s="924">
        <f t="shared" ref="BG185:BK185" si="511">ROUND(BG183*BG184,0)</f>
        <v>246</v>
      </c>
      <c r="BH185" s="924">
        <f t="shared" si="511"/>
        <v>246</v>
      </c>
      <c r="BI185" s="924">
        <f t="shared" si="511"/>
        <v>246</v>
      </c>
      <c r="BJ185" s="923">
        <f>BL185-BI185</f>
        <v>246</v>
      </c>
      <c r="BK185" s="924">
        <f t="shared" si="511"/>
        <v>491</v>
      </c>
      <c r="BL185" s="924">
        <f>BN185-BK185</f>
        <v>492</v>
      </c>
      <c r="BM185" s="924">
        <f>BG185+BH185+BI185</f>
        <v>738</v>
      </c>
      <c r="BN185" s="925">
        <f>ROUND(BN183*BN184,0)</f>
        <v>983</v>
      </c>
      <c r="BO185" s="924">
        <f t="shared" ref="BO185:BS185" si="512">ROUND(BO183*BO184,0)</f>
        <v>246</v>
      </c>
      <c r="BP185" s="924">
        <f t="shared" si="512"/>
        <v>246</v>
      </c>
      <c r="BQ185" s="924">
        <f t="shared" si="512"/>
        <v>246</v>
      </c>
      <c r="BR185" s="923">
        <f>BT185-BQ185</f>
        <v>246</v>
      </c>
      <c r="BS185" s="924">
        <f t="shared" si="512"/>
        <v>491</v>
      </c>
      <c r="BT185" s="924">
        <f>BV185-BS185</f>
        <v>492</v>
      </c>
      <c r="BU185" s="924">
        <f>BO185+BP185+BQ185</f>
        <v>738</v>
      </c>
      <c r="BV185" s="925">
        <f>ROUND(BV183*BV184,0)</f>
        <v>983</v>
      </c>
    </row>
    <row r="186" spans="1:75" x14ac:dyDescent="0.2">
      <c r="A186" s="899"/>
      <c r="B186" s="899"/>
      <c r="C186" s="899"/>
      <c r="D186" s="958"/>
      <c r="E186" s="958"/>
      <c r="F186" s="959"/>
      <c r="G186" s="900"/>
      <c r="H186" s="900"/>
      <c r="I186" s="900"/>
      <c r="J186" s="912"/>
      <c r="K186" s="900"/>
      <c r="L186" s="900"/>
      <c r="M186" s="900"/>
      <c r="N186" s="954"/>
      <c r="O186" s="900"/>
      <c r="P186" s="900"/>
      <c r="Q186" s="900"/>
      <c r="R186" s="955"/>
      <c r="S186" s="900"/>
      <c r="T186" s="900"/>
      <c r="U186" s="900"/>
      <c r="V186" s="954"/>
      <c r="W186" s="900"/>
      <c r="X186" s="900"/>
      <c r="Y186" s="900"/>
      <c r="Z186" s="955"/>
      <c r="AA186" s="900"/>
      <c r="AB186" s="900"/>
      <c r="AC186" s="900"/>
      <c r="AD186" s="954"/>
      <c r="AE186" s="900"/>
      <c r="AF186" s="900"/>
      <c r="AG186" s="900"/>
      <c r="AH186" s="955"/>
      <c r="AI186" s="900"/>
      <c r="AJ186" s="900"/>
      <c r="AK186" s="900"/>
      <c r="AL186" s="954"/>
      <c r="AM186" s="900"/>
      <c r="AN186" s="900"/>
      <c r="AO186" s="900"/>
      <c r="AP186" s="955"/>
      <c r="AQ186" s="900"/>
      <c r="AR186" s="900"/>
      <c r="AS186" s="900"/>
      <c r="AT186" s="954"/>
      <c r="AU186" s="900"/>
      <c r="AV186" s="900"/>
      <c r="AW186" s="900"/>
      <c r="AX186" s="955"/>
      <c r="AY186" s="900"/>
      <c r="AZ186" s="900"/>
      <c r="BA186" s="900"/>
      <c r="BB186" s="954"/>
      <c r="BC186" s="900"/>
      <c r="BD186" s="900"/>
      <c r="BE186" s="900"/>
      <c r="BF186" s="955"/>
      <c r="BG186" s="900"/>
      <c r="BH186" s="900"/>
      <c r="BI186" s="900"/>
      <c r="BJ186" s="954"/>
      <c r="BK186" s="900"/>
      <c r="BL186" s="900"/>
      <c r="BM186" s="900"/>
      <c r="BN186" s="955"/>
      <c r="BO186" s="900"/>
      <c r="BP186" s="900"/>
      <c r="BQ186" s="900"/>
      <c r="BR186" s="954"/>
      <c r="BS186" s="900"/>
      <c r="BT186" s="900"/>
      <c r="BU186" s="900"/>
      <c r="BV186" s="955"/>
    </row>
    <row r="187" spans="1:75" x14ac:dyDescent="0.2">
      <c r="A187" s="931" t="s">
        <v>912</v>
      </c>
      <c r="B187" s="931">
        <f>B143</f>
        <v>0</v>
      </c>
      <c r="C187" s="931">
        <f>C143</f>
        <v>0</v>
      </c>
      <c r="D187" s="931">
        <f>D143</f>
        <v>0</v>
      </c>
      <c r="E187" s="931">
        <f>E143</f>
        <v>74</v>
      </c>
      <c r="F187" s="926">
        <f>F143</f>
        <v>256</v>
      </c>
      <c r="G187" s="926">
        <v>524</v>
      </c>
      <c r="H187" s="926">
        <v>71</v>
      </c>
      <c r="I187" s="926">
        <v>120</v>
      </c>
      <c r="J187" s="934">
        <v>248</v>
      </c>
      <c r="K187" s="926">
        <v>102</v>
      </c>
      <c r="L187" s="926">
        <f>O187-K187</f>
        <v>69</v>
      </c>
      <c r="M187" s="926">
        <v>87</v>
      </c>
      <c r="N187" s="1001">
        <f>P187-M187</f>
        <v>90</v>
      </c>
      <c r="O187" s="926">
        <v>171</v>
      </c>
      <c r="P187" s="926">
        <f>R187-O187</f>
        <v>177</v>
      </c>
      <c r="Q187" s="926">
        <f>O187+M187</f>
        <v>258</v>
      </c>
      <c r="R187" s="1032">
        <v>348</v>
      </c>
      <c r="S187" s="926">
        <v>71</v>
      </c>
      <c r="T187" s="926">
        <f>W187-S187</f>
        <v>68</v>
      </c>
      <c r="U187" s="926">
        <v>62</v>
      </c>
      <c r="V187" s="1001">
        <f>X187-U187</f>
        <v>59</v>
      </c>
      <c r="W187" s="926">
        <v>139</v>
      </c>
      <c r="X187" s="926">
        <f>Z187-W187</f>
        <v>121</v>
      </c>
      <c r="Y187" s="926">
        <f>W187+U187</f>
        <v>201</v>
      </c>
      <c r="Z187" s="1032">
        <v>260</v>
      </c>
      <c r="AA187" s="926">
        <v>77</v>
      </c>
      <c r="AB187" s="926">
        <f>AE187-AA187</f>
        <v>83</v>
      </c>
      <c r="AC187" s="926">
        <v>100</v>
      </c>
      <c r="AD187" s="1001">
        <f>AF187-AC187</f>
        <v>180</v>
      </c>
      <c r="AE187" s="926">
        <v>160</v>
      </c>
      <c r="AF187" s="926">
        <f>AH187-AE187</f>
        <v>280</v>
      </c>
      <c r="AG187" s="926">
        <f>AE187+AC187</f>
        <v>260</v>
      </c>
      <c r="AH187" s="1032">
        <v>440</v>
      </c>
      <c r="AI187" s="926">
        <v>113</v>
      </c>
      <c r="AJ187" s="926">
        <f>AM187-AI187</f>
        <v>127</v>
      </c>
      <c r="AK187" s="936">
        <f>AN187/2</f>
        <v>130</v>
      </c>
      <c r="AL187" s="935">
        <f>AN187-AK187</f>
        <v>130</v>
      </c>
      <c r="AM187" s="926">
        <v>240</v>
      </c>
      <c r="AN187" s="936">
        <f>AP187-AM187</f>
        <v>260</v>
      </c>
      <c r="AO187" s="936">
        <f>AM187+AK187</f>
        <v>370</v>
      </c>
      <c r="AP187" s="960">
        <v>500</v>
      </c>
      <c r="AQ187" s="936">
        <f>AU187/2</f>
        <v>152.25</v>
      </c>
      <c r="AR187" s="936">
        <f>AU187-AQ187</f>
        <v>152.25</v>
      </c>
      <c r="AS187" s="936">
        <f>AV187/2</f>
        <v>152.25</v>
      </c>
      <c r="AT187" s="935">
        <f>AV187-AS187</f>
        <v>152.25</v>
      </c>
      <c r="AU187" s="936">
        <f>AX187/2</f>
        <v>304.5</v>
      </c>
      <c r="AV187" s="936">
        <f>AX187-AU187</f>
        <v>304.5</v>
      </c>
      <c r="AW187" s="936">
        <f>AU187+AS187</f>
        <v>456.75</v>
      </c>
      <c r="AX187" s="960">
        <f>47*3+52*9</f>
        <v>609</v>
      </c>
      <c r="AY187" s="936">
        <f>BC187/2</f>
        <v>171</v>
      </c>
      <c r="AZ187" s="936">
        <f>BC187-AY187</f>
        <v>171</v>
      </c>
      <c r="BA187" s="936">
        <f>BD187/2</f>
        <v>171</v>
      </c>
      <c r="BB187" s="935">
        <f>BD187-BA187</f>
        <v>171</v>
      </c>
      <c r="BC187" s="936">
        <f>BF187/2</f>
        <v>342</v>
      </c>
      <c r="BD187" s="936">
        <f>BF187-BC187</f>
        <v>342</v>
      </c>
      <c r="BE187" s="936">
        <f>BC187+BA187</f>
        <v>513</v>
      </c>
      <c r="BF187" s="960">
        <f>57*12</f>
        <v>684</v>
      </c>
      <c r="BG187" s="936">
        <f>BK187/2</f>
        <v>171</v>
      </c>
      <c r="BH187" s="936">
        <f>BK187-BG187</f>
        <v>171</v>
      </c>
      <c r="BI187" s="936">
        <f>BL187/2</f>
        <v>171</v>
      </c>
      <c r="BJ187" s="935">
        <f>BL187-BI187</f>
        <v>171</v>
      </c>
      <c r="BK187" s="936">
        <f>BN187/2</f>
        <v>342</v>
      </c>
      <c r="BL187" s="936">
        <f>BN187-BK187</f>
        <v>342</v>
      </c>
      <c r="BM187" s="936">
        <f>BK187+BI187</f>
        <v>513</v>
      </c>
      <c r="BN187" s="960">
        <f>57*12</f>
        <v>684</v>
      </c>
      <c r="BO187" s="936">
        <f>BS187/2</f>
        <v>171</v>
      </c>
      <c r="BP187" s="936">
        <f>BS187-BO187</f>
        <v>171</v>
      </c>
      <c r="BQ187" s="936">
        <f>BT187/2</f>
        <v>171</v>
      </c>
      <c r="BR187" s="935">
        <f>BT187-BQ187</f>
        <v>171</v>
      </c>
      <c r="BS187" s="936">
        <f>BV187/2</f>
        <v>342</v>
      </c>
      <c r="BT187" s="936">
        <f>BV187-BS187</f>
        <v>342</v>
      </c>
      <c r="BU187" s="936">
        <f>BS187+BQ187</f>
        <v>513</v>
      </c>
      <c r="BV187" s="937">
        <f>BN187</f>
        <v>684</v>
      </c>
      <c r="BW187" s="571"/>
    </row>
    <row r="188" spans="1:75" x14ac:dyDescent="0.2">
      <c r="A188" s="899" t="s">
        <v>898</v>
      </c>
      <c r="B188" s="899">
        <v>2</v>
      </c>
      <c r="C188" s="899">
        <v>2</v>
      </c>
      <c r="D188" s="899">
        <v>2</v>
      </c>
      <c r="E188" s="899">
        <v>2</v>
      </c>
      <c r="F188" s="900">
        <v>2</v>
      </c>
      <c r="G188" s="900">
        <v>2</v>
      </c>
      <c r="H188" s="900">
        <v>2</v>
      </c>
      <c r="I188" s="900">
        <v>2</v>
      </c>
      <c r="J188" s="912">
        <v>2</v>
      </c>
      <c r="K188" s="900">
        <v>2</v>
      </c>
      <c r="L188" s="900">
        <f>R188</f>
        <v>2</v>
      </c>
      <c r="M188" s="900">
        <f>R188</f>
        <v>2</v>
      </c>
      <c r="N188" s="954">
        <f>R188</f>
        <v>2</v>
      </c>
      <c r="O188" s="900">
        <f>R188</f>
        <v>2</v>
      </c>
      <c r="P188" s="900">
        <f>R188</f>
        <v>2</v>
      </c>
      <c r="Q188" s="900">
        <f>R188</f>
        <v>2</v>
      </c>
      <c r="R188" s="955">
        <v>2</v>
      </c>
      <c r="S188" s="900">
        <f>Z188</f>
        <v>2</v>
      </c>
      <c r="T188" s="900">
        <f>Z188</f>
        <v>2</v>
      </c>
      <c r="U188" s="900">
        <f>Z188</f>
        <v>2</v>
      </c>
      <c r="V188" s="954">
        <f>Z188</f>
        <v>2</v>
      </c>
      <c r="W188" s="900">
        <f>Z188</f>
        <v>2</v>
      </c>
      <c r="X188" s="900">
        <f>Z188</f>
        <v>2</v>
      </c>
      <c r="Y188" s="900">
        <f>Z188</f>
        <v>2</v>
      </c>
      <c r="Z188" s="955">
        <v>2</v>
      </c>
      <c r="AA188" s="900">
        <f>AH188</f>
        <v>2</v>
      </c>
      <c r="AB188" s="900">
        <f>AH188</f>
        <v>2</v>
      </c>
      <c r="AC188" s="900">
        <f>AH188</f>
        <v>2</v>
      </c>
      <c r="AD188" s="954">
        <f>AH188</f>
        <v>2</v>
      </c>
      <c r="AE188" s="900">
        <f>AH188</f>
        <v>2</v>
      </c>
      <c r="AF188" s="900">
        <f>AH188</f>
        <v>2</v>
      </c>
      <c r="AG188" s="900">
        <f>AH188</f>
        <v>2</v>
      </c>
      <c r="AH188" s="955">
        <v>2</v>
      </c>
      <c r="AI188" s="900">
        <f>AP188</f>
        <v>2</v>
      </c>
      <c r="AJ188" s="900">
        <f>AP188</f>
        <v>2</v>
      </c>
      <c r="AK188" s="913">
        <f>AP188</f>
        <v>2</v>
      </c>
      <c r="AL188" s="914">
        <f>AP188</f>
        <v>2</v>
      </c>
      <c r="AM188" s="900">
        <f>AP188</f>
        <v>2</v>
      </c>
      <c r="AN188" s="913">
        <f>AP188</f>
        <v>2</v>
      </c>
      <c r="AO188" s="913">
        <f>AP188</f>
        <v>2</v>
      </c>
      <c r="AP188" s="929">
        <v>2</v>
      </c>
      <c r="AQ188" s="913">
        <f>AX188</f>
        <v>2</v>
      </c>
      <c r="AR188" s="913">
        <f>AX188</f>
        <v>2</v>
      </c>
      <c r="AS188" s="913">
        <f>AX188</f>
        <v>2</v>
      </c>
      <c r="AT188" s="914">
        <f>AX188</f>
        <v>2</v>
      </c>
      <c r="AU188" s="913">
        <f>AX188</f>
        <v>2</v>
      </c>
      <c r="AV188" s="913">
        <f>AX188</f>
        <v>2</v>
      </c>
      <c r="AW188" s="913">
        <f>AX188</f>
        <v>2</v>
      </c>
      <c r="AX188" s="929">
        <v>2</v>
      </c>
      <c r="AY188" s="913">
        <f>BF188</f>
        <v>2</v>
      </c>
      <c r="AZ188" s="913">
        <f>BF188</f>
        <v>2</v>
      </c>
      <c r="BA188" s="913">
        <f>BF188</f>
        <v>2</v>
      </c>
      <c r="BB188" s="914">
        <f>BF188</f>
        <v>2</v>
      </c>
      <c r="BC188" s="913">
        <f>BF188</f>
        <v>2</v>
      </c>
      <c r="BD188" s="913">
        <f>BF188</f>
        <v>2</v>
      </c>
      <c r="BE188" s="913">
        <f>BF188</f>
        <v>2</v>
      </c>
      <c r="BF188" s="929">
        <v>2</v>
      </c>
      <c r="BG188" s="913">
        <f>BN188</f>
        <v>2</v>
      </c>
      <c r="BH188" s="913">
        <f>BN188</f>
        <v>2</v>
      </c>
      <c r="BI188" s="913">
        <f>BN188</f>
        <v>2</v>
      </c>
      <c r="BJ188" s="914">
        <f>BN188</f>
        <v>2</v>
      </c>
      <c r="BK188" s="913">
        <f>BN188</f>
        <v>2</v>
      </c>
      <c r="BL188" s="913">
        <f>BN188</f>
        <v>2</v>
      </c>
      <c r="BM188" s="913">
        <f>BN188</f>
        <v>2</v>
      </c>
      <c r="BN188" s="929">
        <v>2</v>
      </c>
      <c r="BO188" s="913">
        <f>BV188</f>
        <v>2</v>
      </c>
      <c r="BP188" s="913">
        <f>BV188</f>
        <v>2</v>
      </c>
      <c r="BQ188" s="913">
        <f>BV188</f>
        <v>2</v>
      </c>
      <c r="BR188" s="914">
        <f>BV188</f>
        <v>2</v>
      </c>
      <c r="BS188" s="913">
        <f>BV188</f>
        <v>2</v>
      </c>
      <c r="BT188" s="913">
        <f>BV188</f>
        <v>2</v>
      </c>
      <c r="BU188" s="913">
        <f>BV188</f>
        <v>2</v>
      </c>
      <c r="BV188" s="929">
        <v>2</v>
      </c>
    </row>
    <row r="189" spans="1:75" x14ac:dyDescent="0.2">
      <c r="A189" s="899" t="s">
        <v>899</v>
      </c>
      <c r="B189" s="899">
        <f t="shared" ref="B189:K189" si="513">B187*B188</f>
        <v>0</v>
      </c>
      <c r="C189" s="899">
        <f t="shared" si="513"/>
        <v>0</v>
      </c>
      <c r="D189" s="899">
        <f>D187*D188</f>
        <v>0</v>
      </c>
      <c r="E189" s="899">
        <f>E187*E188</f>
        <v>148</v>
      </c>
      <c r="F189" s="900">
        <f t="shared" si="513"/>
        <v>512</v>
      </c>
      <c r="G189" s="900">
        <f>G187*G188</f>
        <v>1048</v>
      </c>
      <c r="H189" s="900">
        <f>H187*H188</f>
        <v>142</v>
      </c>
      <c r="I189" s="900">
        <f>I187*I188</f>
        <v>240</v>
      </c>
      <c r="J189" s="912">
        <f t="shared" si="513"/>
        <v>496</v>
      </c>
      <c r="K189" s="900">
        <f t="shared" si="513"/>
        <v>204</v>
      </c>
      <c r="L189" s="900">
        <f>O189-K189</f>
        <v>138</v>
      </c>
      <c r="M189" s="900">
        <f>M187*M188</f>
        <v>174</v>
      </c>
      <c r="N189" s="954">
        <f>P189-M189</f>
        <v>180</v>
      </c>
      <c r="O189" s="900">
        <f>O187*O188</f>
        <v>342</v>
      </c>
      <c r="P189" s="900">
        <f>R189-O189</f>
        <v>354</v>
      </c>
      <c r="Q189" s="900">
        <f>K189+L189+M189</f>
        <v>516</v>
      </c>
      <c r="R189" s="955">
        <f>R187*R188</f>
        <v>696</v>
      </c>
      <c r="S189" s="900">
        <f>S187*S188</f>
        <v>142</v>
      </c>
      <c r="T189" s="900">
        <f>W189-S189</f>
        <v>136</v>
      </c>
      <c r="U189" s="900">
        <f>U187*U188</f>
        <v>124</v>
      </c>
      <c r="V189" s="954">
        <f>X189-U189</f>
        <v>118</v>
      </c>
      <c r="W189" s="900">
        <f>W187*W188</f>
        <v>278</v>
      </c>
      <c r="X189" s="900">
        <f>Z189-W189</f>
        <v>242</v>
      </c>
      <c r="Y189" s="900">
        <f>S189+T189+U189</f>
        <v>402</v>
      </c>
      <c r="Z189" s="955">
        <f>Z187*Z188</f>
        <v>520</v>
      </c>
      <c r="AA189" s="900">
        <f>AA187*AA188</f>
        <v>154</v>
      </c>
      <c r="AB189" s="900">
        <f>AE189-AA189</f>
        <v>166</v>
      </c>
      <c r="AC189" s="900">
        <f>AC187*AC188</f>
        <v>200</v>
      </c>
      <c r="AD189" s="954">
        <f>AF189-AC189</f>
        <v>360</v>
      </c>
      <c r="AE189" s="900">
        <f>AE187*AE188</f>
        <v>320</v>
      </c>
      <c r="AF189" s="900">
        <f>AH189-AE189</f>
        <v>560</v>
      </c>
      <c r="AG189" s="900">
        <f>AA189+AB189+AC189</f>
        <v>520</v>
      </c>
      <c r="AH189" s="955">
        <f>AH187*AH188</f>
        <v>880</v>
      </c>
      <c r="AI189" s="900">
        <f>AI187*AI188</f>
        <v>226</v>
      </c>
      <c r="AJ189" s="900">
        <f>AM189-AI189</f>
        <v>254</v>
      </c>
      <c r="AK189" s="913">
        <f>AK187*AK188</f>
        <v>260</v>
      </c>
      <c r="AL189" s="914">
        <f>AN189-AK189</f>
        <v>260</v>
      </c>
      <c r="AM189" s="900">
        <f>AM187*AM188</f>
        <v>480</v>
      </c>
      <c r="AN189" s="913">
        <f>AP189-AM189</f>
        <v>520</v>
      </c>
      <c r="AO189" s="913">
        <f>AI189+AJ189+AK189</f>
        <v>740</v>
      </c>
      <c r="AP189" s="915">
        <f>AP187*AP188</f>
        <v>1000</v>
      </c>
      <c r="AQ189" s="913">
        <f>AQ187*AQ188</f>
        <v>304.5</v>
      </c>
      <c r="AR189" s="913">
        <f>AU189-AQ189</f>
        <v>304.5</v>
      </c>
      <c r="AS189" s="913">
        <f>AS187*AS188</f>
        <v>304.5</v>
      </c>
      <c r="AT189" s="914">
        <f>AV189-AS189</f>
        <v>304.5</v>
      </c>
      <c r="AU189" s="913">
        <f>AU187*AU188</f>
        <v>609</v>
      </c>
      <c r="AV189" s="913">
        <f>AX189-AU189</f>
        <v>609</v>
      </c>
      <c r="AW189" s="913">
        <f>AQ189+AR189+AS189</f>
        <v>913.5</v>
      </c>
      <c r="AX189" s="915">
        <f>AX187*AX188</f>
        <v>1218</v>
      </c>
      <c r="AY189" s="913">
        <f>AY187*AY188</f>
        <v>342</v>
      </c>
      <c r="AZ189" s="913">
        <f>BC189-AY189</f>
        <v>342</v>
      </c>
      <c r="BA189" s="913">
        <f>BA187*BA188</f>
        <v>342</v>
      </c>
      <c r="BB189" s="914">
        <f>BD189-BA189</f>
        <v>342</v>
      </c>
      <c r="BC189" s="913">
        <f>BC187*BC188</f>
        <v>684</v>
      </c>
      <c r="BD189" s="913">
        <f>BF189-BC189</f>
        <v>684</v>
      </c>
      <c r="BE189" s="913">
        <f>AY189+AZ189+BA189</f>
        <v>1026</v>
      </c>
      <c r="BF189" s="915">
        <f>BF187*BF188</f>
        <v>1368</v>
      </c>
      <c r="BG189" s="913">
        <f>BG187*BG188</f>
        <v>342</v>
      </c>
      <c r="BH189" s="913">
        <f>BK189-BG189</f>
        <v>342</v>
      </c>
      <c r="BI189" s="913">
        <f>BI187*BI188</f>
        <v>342</v>
      </c>
      <c r="BJ189" s="914">
        <f>BL189-BI189</f>
        <v>342</v>
      </c>
      <c r="BK189" s="913">
        <f>BK187*BK188</f>
        <v>684</v>
      </c>
      <c r="BL189" s="913">
        <f>BN189-BK189</f>
        <v>684</v>
      </c>
      <c r="BM189" s="913">
        <f>BG189+BH189+BI189</f>
        <v>1026</v>
      </c>
      <c r="BN189" s="915">
        <f>BN187*BN188</f>
        <v>1368</v>
      </c>
      <c r="BO189" s="913">
        <f>BO187*BO188</f>
        <v>342</v>
      </c>
      <c r="BP189" s="913">
        <f>BS189-BO189</f>
        <v>342</v>
      </c>
      <c r="BQ189" s="913">
        <f>BQ187*BQ188</f>
        <v>342</v>
      </c>
      <c r="BR189" s="914">
        <f>BT189-BQ189</f>
        <v>342</v>
      </c>
      <c r="BS189" s="913">
        <f>BS187*BS188</f>
        <v>684</v>
      </c>
      <c r="BT189" s="913">
        <f>BV189-BS189</f>
        <v>684</v>
      </c>
      <c r="BU189" s="913">
        <f>BO189+BP189+BQ189</f>
        <v>1026</v>
      </c>
      <c r="BV189" s="915">
        <f>BV187*BV188</f>
        <v>1368</v>
      </c>
    </row>
    <row r="190" spans="1:75" x14ac:dyDescent="0.2">
      <c r="A190" s="899" t="s">
        <v>900</v>
      </c>
      <c r="B190" s="899">
        <f t="shared" ref="B190:H190" si="514">(B189*9/12)+(C189*3/12)</f>
        <v>0</v>
      </c>
      <c r="C190" s="899">
        <f t="shared" si="514"/>
        <v>0</v>
      </c>
      <c r="D190" s="899">
        <f t="shared" si="514"/>
        <v>37</v>
      </c>
      <c r="E190" s="899">
        <f t="shared" si="514"/>
        <v>239</v>
      </c>
      <c r="F190" s="900">
        <f t="shared" si="514"/>
        <v>646</v>
      </c>
      <c r="G190" s="900">
        <f t="shared" si="514"/>
        <v>821.5</v>
      </c>
      <c r="H190" s="900">
        <f t="shared" si="514"/>
        <v>166.5</v>
      </c>
      <c r="I190" s="900">
        <f>I189</f>
        <v>240</v>
      </c>
      <c r="J190" s="912">
        <f>(J189*9/12)+(R189*3/12)-30</f>
        <v>516</v>
      </c>
      <c r="K190" s="900">
        <f>(K189*9/12)+(L189*3/12)</f>
        <v>187.5</v>
      </c>
      <c r="L190" s="900">
        <f>(L189*9/12)+(M189*3/12)</f>
        <v>147</v>
      </c>
      <c r="M190" s="900">
        <f>(M189*9/12)+(N189*3/12)</f>
        <v>175.5</v>
      </c>
      <c r="N190" s="954">
        <f>(N189*9/12)+(S189*3/12)</f>
        <v>170.5</v>
      </c>
      <c r="O190" s="900">
        <f>(O189*9/12)+(P189*3/12)</f>
        <v>345</v>
      </c>
      <c r="P190" s="900">
        <f>(P189*9/12)+(W189*3/12)</f>
        <v>335</v>
      </c>
      <c r="Q190" s="900">
        <f>K190+L190+M190</f>
        <v>510</v>
      </c>
      <c r="R190" s="955">
        <f>(R189*9/12)+(Z189*3/12)</f>
        <v>652</v>
      </c>
      <c r="S190" s="900">
        <f>(S189*9/12)+(T189*3/12)</f>
        <v>140.5</v>
      </c>
      <c r="T190" s="900">
        <f>(T189*9/12)+(U189*3/12)</f>
        <v>133</v>
      </c>
      <c r="U190" s="900">
        <f>(U189*9/12)+(V189*3/12)</f>
        <v>122.5</v>
      </c>
      <c r="V190" s="954">
        <f>(V189*9/12)+(AA189*3/12)</f>
        <v>127</v>
      </c>
      <c r="W190" s="900">
        <f>(W189*9/12)+(X189*3/12)</f>
        <v>269</v>
      </c>
      <c r="X190" s="900">
        <f>(X189*9/12)+(AE189*3/12)</f>
        <v>261.5</v>
      </c>
      <c r="Y190" s="900">
        <f>S190+T190+U190</f>
        <v>396</v>
      </c>
      <c r="Z190" s="955">
        <f>(Z189*9/12)+(AH189*3/12)</f>
        <v>610</v>
      </c>
      <c r="AA190" s="900">
        <f>(AA189*9/12)+(AB189*3/12)</f>
        <v>157</v>
      </c>
      <c r="AB190" s="900">
        <f>(AB189*9/12)+(AC189*3/12)</f>
        <v>174.5</v>
      </c>
      <c r="AC190" s="900">
        <f>(AC189*9/12)+(AD189*3/12)</f>
        <v>240</v>
      </c>
      <c r="AD190" s="954">
        <f>(AD189*9/12)+(AI189*3/12)</f>
        <v>326.5</v>
      </c>
      <c r="AE190" s="900">
        <f>(AE189*9/12)+(AF189*3/12)</f>
        <v>380</v>
      </c>
      <c r="AF190" s="900">
        <f>(AF189*9/12)+(AM189*3/12)</f>
        <v>540</v>
      </c>
      <c r="AG190" s="900">
        <f>AA190+AB190+AC190</f>
        <v>571.5</v>
      </c>
      <c r="AH190" s="955">
        <f>(AH189*9/12)+(AP189*3/12)</f>
        <v>910</v>
      </c>
      <c r="AI190" s="900">
        <f>(AI189*9/12)+(AJ189*3/12)</f>
        <v>233</v>
      </c>
      <c r="AJ190" s="900">
        <f>(AJ189*9/12)+(AK189*3/12)</f>
        <v>255.5</v>
      </c>
      <c r="AK190" s="913">
        <f>(AK189*9/12)+(AL189*3/12)</f>
        <v>260</v>
      </c>
      <c r="AL190" s="914">
        <f>(AL189*9/12)+(AQ189*3/12)</f>
        <v>271.125</v>
      </c>
      <c r="AM190" s="900">
        <f>(AM189*9/12)+(AN189*3/12)</f>
        <v>490</v>
      </c>
      <c r="AN190" s="913">
        <f>(AN189*9/12)+(AU189*3/12)</f>
        <v>542.25</v>
      </c>
      <c r="AO190" s="913">
        <f>AI190+AJ190+AK190</f>
        <v>748.5</v>
      </c>
      <c r="AP190" s="915">
        <f>(AP189*9/12)+(AX189*3/12)</f>
        <v>1054.5</v>
      </c>
      <c r="AQ190" s="913">
        <f>(AQ189*9/12)+(AR189*3/12)</f>
        <v>304.5</v>
      </c>
      <c r="AR190" s="913">
        <f>(AR189*9/12)+(AS189*3/12)</f>
        <v>304.5</v>
      </c>
      <c r="AS190" s="913">
        <f>(AS189*9/12)+(AT189*3/12)</f>
        <v>304.5</v>
      </c>
      <c r="AT190" s="914">
        <f>(AT189*9/12)+(AY189*3/12)</f>
        <v>313.875</v>
      </c>
      <c r="AU190" s="913">
        <f>(AU189*9/12)+(AV189*3/12)</f>
        <v>609</v>
      </c>
      <c r="AV190" s="913">
        <f>(AV189*9/12)+(BC189*3/12)</f>
        <v>627.75</v>
      </c>
      <c r="AW190" s="913">
        <f>AQ190+AR190+AS190</f>
        <v>913.5</v>
      </c>
      <c r="AX190" s="915">
        <f>(AX189*9/12)+(BF189*3/12)</f>
        <v>1255.5</v>
      </c>
      <c r="AY190" s="913">
        <f>(AY189*9/12)+(AZ189*3/12)</f>
        <v>342</v>
      </c>
      <c r="AZ190" s="913">
        <f>(AZ189*9/12)+(BA189*3/12)</f>
        <v>342</v>
      </c>
      <c r="BA190" s="913">
        <f>(BA189*9/12)+(BB189*3/12)</f>
        <v>342</v>
      </c>
      <c r="BB190" s="914">
        <f>(BB189*9/12)+(BG189*3/12)</f>
        <v>342</v>
      </c>
      <c r="BC190" s="913">
        <f>(BC189*9/12)+(BD189*3/12)</f>
        <v>684</v>
      </c>
      <c r="BD190" s="913">
        <f>(BD189*9/12)+(BK189*3/12)</f>
        <v>684</v>
      </c>
      <c r="BE190" s="913">
        <f>AY190+AZ190+BA190</f>
        <v>1026</v>
      </c>
      <c r="BF190" s="915">
        <f>(BF189*9/12)+(BN189*3/12)</f>
        <v>1368</v>
      </c>
      <c r="BG190" s="913">
        <f>(BG189*9/12)+(BH189*3/12)</f>
        <v>342</v>
      </c>
      <c r="BH190" s="913">
        <f>(BH189*9/12)+(BI189*3/12)</f>
        <v>342</v>
      </c>
      <c r="BI190" s="913">
        <f>(BI189*9/12)+(BJ189*3/12)</f>
        <v>342</v>
      </c>
      <c r="BJ190" s="914">
        <f>(BJ189*9/12)+(BO189*3/12)</f>
        <v>342</v>
      </c>
      <c r="BK190" s="913">
        <f>(BK189*9/12)+(BL189*3/12)</f>
        <v>684</v>
      </c>
      <c r="BL190" s="913">
        <f>(BL189*9/12)+(BS189*3/12)</f>
        <v>684</v>
      </c>
      <c r="BM190" s="913">
        <f>BG190+BH190+BI190</f>
        <v>1026</v>
      </c>
      <c r="BN190" s="915">
        <f>(BN189*9/12)+(BV189*3/12)</f>
        <v>1368</v>
      </c>
      <c r="BO190" s="913">
        <f>(BO189*9/12)+(BP189*3/12)</f>
        <v>342</v>
      </c>
      <c r="BP190" s="913">
        <f>(BP189*9/12)+(BQ189*3/12)</f>
        <v>342</v>
      </c>
      <c r="BQ190" s="913">
        <f>(BQ189*9/12)+(BR189*3/12)</f>
        <v>342</v>
      </c>
      <c r="BR190" s="914">
        <f>(BR189*9/12)+(BW189*3/12)</f>
        <v>256.5</v>
      </c>
      <c r="BS190" s="913">
        <f>(BS189*9/12)+(BT189*3/12)</f>
        <v>684</v>
      </c>
      <c r="BT190" s="913">
        <f>(BT189*9/12)+(CA189*3/12)</f>
        <v>513</v>
      </c>
      <c r="BU190" s="913">
        <f>BO190+BP190+BQ190</f>
        <v>1026</v>
      </c>
      <c r="BV190" s="915">
        <f>(BV189*9/12)+(BW189*3/12)</f>
        <v>1026</v>
      </c>
    </row>
    <row r="191" spans="1:75" x14ac:dyDescent="0.2">
      <c r="A191" s="899" t="s">
        <v>1141</v>
      </c>
      <c r="B191" s="893">
        <v>0.08</v>
      </c>
      <c r="C191" s="893">
        <v>0.08</v>
      </c>
      <c r="D191" s="893">
        <v>0</v>
      </c>
      <c r="E191" s="893">
        <v>0</v>
      </c>
      <c r="F191" s="894">
        <v>1.7500000000000002E-2</v>
      </c>
      <c r="G191" s="894">
        <v>0.26400000000000001</v>
      </c>
      <c r="H191" s="894">
        <v>0.23</v>
      </c>
      <c r="I191" s="894">
        <v>5.2499999999999998E-2</v>
      </c>
      <c r="J191" s="956">
        <v>0.02</v>
      </c>
      <c r="K191" s="104">
        <v>0.15</v>
      </c>
      <c r="L191" s="104">
        <f>L192/L190</f>
        <v>0.39540816326530615</v>
      </c>
      <c r="M191" s="104">
        <v>0.15</v>
      </c>
      <c r="N191" s="872">
        <f>R191</f>
        <v>0.26</v>
      </c>
      <c r="O191" s="104">
        <v>0.25</v>
      </c>
      <c r="P191" s="104">
        <f>P192/P190</f>
        <v>0.24856716417910452</v>
      </c>
      <c r="Q191" s="894">
        <f>Q192/Q190</f>
        <v>0.22073529411764706</v>
      </c>
      <c r="R191" s="1409">
        <v>0.26</v>
      </c>
      <c r="S191" s="104">
        <v>0.34</v>
      </c>
      <c r="T191" s="104">
        <f>T192/T190</f>
        <v>2.5112781954887191E-2</v>
      </c>
      <c r="U191" s="104">
        <v>0.2</v>
      </c>
      <c r="V191" s="872">
        <f>V192/V190</f>
        <v>-0.21110236220472436</v>
      </c>
      <c r="W191" s="104">
        <v>0.19</v>
      </c>
      <c r="X191" s="104">
        <f>X192/X190</f>
        <v>-8.8336520076481642E-3</v>
      </c>
      <c r="Y191" s="894">
        <f>Y192/Y190</f>
        <v>0.19093434343434343</v>
      </c>
      <c r="Z191" s="1409">
        <v>0.08</v>
      </c>
      <c r="AA191" s="104">
        <v>7.2800000000000045E-2</v>
      </c>
      <c r="AB191" s="104">
        <f>AB192/AB190</f>
        <v>6.5159885386819438E-2</v>
      </c>
      <c r="AC191" s="104">
        <v>7.0000000000000007E-2</v>
      </c>
      <c r="AD191" s="872">
        <f>AD192/AD190</f>
        <v>7.938744257274119E-2</v>
      </c>
      <c r="AE191" s="104">
        <v>0.06</v>
      </c>
      <c r="AF191" s="104">
        <f>AF192/AF190</f>
        <v>7.9111111111111104E-2</v>
      </c>
      <c r="AG191" s="894">
        <f>AG192/AG190</f>
        <v>6.9291338582677164E-2</v>
      </c>
      <c r="AH191" s="1409">
        <v>7.1999999999999995E-2</v>
      </c>
      <c r="AI191" s="104">
        <v>0.25</v>
      </c>
      <c r="AJ191" s="104">
        <f>AJ192/AJ190</f>
        <v>0.15557729941291584</v>
      </c>
      <c r="AK191" s="1584">
        <v>0.15</v>
      </c>
      <c r="AL191" s="868">
        <f>AL192/AL190</f>
        <v>0.11097279852466571</v>
      </c>
      <c r="AM191" s="104">
        <v>0.2</v>
      </c>
      <c r="AN191" s="461">
        <f>AN192/AN190</f>
        <v>0.11097279852466571</v>
      </c>
      <c r="AO191" s="933">
        <f>AO192/AO190</f>
        <v>0.17112558450233797</v>
      </c>
      <c r="AP191" s="932">
        <v>0.15</v>
      </c>
      <c r="AQ191" s="461">
        <f>AX191</f>
        <v>0.11</v>
      </c>
      <c r="AR191" s="461">
        <f>AX191</f>
        <v>0.11</v>
      </c>
      <c r="AS191" s="461">
        <f>AX191</f>
        <v>0.11</v>
      </c>
      <c r="AT191" s="868">
        <f>AX191</f>
        <v>0.11</v>
      </c>
      <c r="AU191" s="461">
        <f>AX191</f>
        <v>0.11</v>
      </c>
      <c r="AV191" s="461">
        <f>AX191</f>
        <v>0.11</v>
      </c>
      <c r="AW191" s="933">
        <f>AW192/AW190</f>
        <v>0.11338669950738915</v>
      </c>
      <c r="AX191" s="932">
        <v>0.11</v>
      </c>
      <c r="AY191" s="461">
        <f>BF191</f>
        <v>0.11</v>
      </c>
      <c r="AZ191" s="461">
        <f>BF191</f>
        <v>0.11</v>
      </c>
      <c r="BA191" s="461">
        <f>BF191</f>
        <v>0.11</v>
      </c>
      <c r="BB191" s="868">
        <f>BF191</f>
        <v>0.11</v>
      </c>
      <c r="BC191" s="461">
        <f>BF191</f>
        <v>0.11</v>
      </c>
      <c r="BD191" s="461">
        <f>BF191</f>
        <v>0.11</v>
      </c>
      <c r="BE191" s="933">
        <f>BE192/BE190</f>
        <v>0.10999999999999999</v>
      </c>
      <c r="BF191" s="957">
        <f>AX191</f>
        <v>0.11</v>
      </c>
      <c r="BG191" s="461">
        <f>BN191</f>
        <v>0.11</v>
      </c>
      <c r="BH191" s="461">
        <f>BN191</f>
        <v>0.11</v>
      </c>
      <c r="BI191" s="461">
        <f>BN191</f>
        <v>0.11</v>
      </c>
      <c r="BJ191" s="868">
        <f>BN191</f>
        <v>0.11</v>
      </c>
      <c r="BK191" s="461">
        <f>BN191</f>
        <v>0.11</v>
      </c>
      <c r="BL191" s="461">
        <f>BN191</f>
        <v>0.11</v>
      </c>
      <c r="BM191" s="933">
        <f>BM192/BM190</f>
        <v>0.10999999999999999</v>
      </c>
      <c r="BN191" s="957">
        <f>BF191</f>
        <v>0.11</v>
      </c>
      <c r="BO191" s="461">
        <f>BV191</f>
        <v>0.11</v>
      </c>
      <c r="BP191" s="461">
        <f>BV191</f>
        <v>0.11</v>
      </c>
      <c r="BQ191" s="461">
        <f>BV191</f>
        <v>0.11</v>
      </c>
      <c r="BR191" s="868">
        <f>BV191</f>
        <v>0.11</v>
      </c>
      <c r="BS191" s="461">
        <f>BV191</f>
        <v>0.11</v>
      </c>
      <c r="BT191" s="461">
        <f>BV191</f>
        <v>0.11</v>
      </c>
      <c r="BU191" s="933">
        <f>BU192/BU190</f>
        <v>8.249999999999999E-2</v>
      </c>
      <c r="BV191" s="957">
        <f>BN191</f>
        <v>0.11</v>
      </c>
    </row>
    <row r="192" spans="1:75" x14ac:dyDescent="0.2">
      <c r="A192" s="899" t="s">
        <v>902</v>
      </c>
      <c r="B192" s="899">
        <f t="shared" ref="B192:K192" si="515">B190*B191</f>
        <v>0</v>
      </c>
      <c r="C192" s="899">
        <f t="shared" si="515"/>
        <v>0</v>
      </c>
      <c r="D192" s="899">
        <f t="shared" si="515"/>
        <v>0</v>
      </c>
      <c r="E192" s="899">
        <f t="shared" si="515"/>
        <v>0</v>
      </c>
      <c r="F192" s="900">
        <f t="shared" si="515"/>
        <v>11.305000000000001</v>
      </c>
      <c r="G192" s="900">
        <f t="shared" si="515"/>
        <v>216.876</v>
      </c>
      <c r="H192" s="900">
        <f t="shared" si="515"/>
        <v>38.295000000000002</v>
      </c>
      <c r="I192" s="900">
        <f t="shared" si="515"/>
        <v>12.6</v>
      </c>
      <c r="J192" s="912">
        <f t="shared" si="515"/>
        <v>10.32</v>
      </c>
      <c r="K192" s="900">
        <f t="shared" si="515"/>
        <v>28.125</v>
      </c>
      <c r="L192" s="900">
        <f>O192-K192</f>
        <v>58.125</v>
      </c>
      <c r="M192" s="900">
        <f>M190*M191</f>
        <v>26.324999999999999</v>
      </c>
      <c r="N192" s="954">
        <f>P192-M192</f>
        <v>56.945000000000007</v>
      </c>
      <c r="O192" s="900">
        <f>O190*O191</f>
        <v>86.25</v>
      </c>
      <c r="P192" s="900">
        <f>R192-O192</f>
        <v>83.27000000000001</v>
      </c>
      <c r="Q192" s="900">
        <f>K192+L192+M192</f>
        <v>112.575</v>
      </c>
      <c r="R192" s="955">
        <f>R190*R191</f>
        <v>169.52</v>
      </c>
      <c r="S192" s="900">
        <f>S190*S191</f>
        <v>47.77</v>
      </c>
      <c r="T192" s="900">
        <f>W192-S192</f>
        <v>3.3399999999999963</v>
      </c>
      <c r="U192" s="900">
        <f>U190*U191</f>
        <v>24.5</v>
      </c>
      <c r="V192" s="954">
        <f>X192-U192</f>
        <v>-26.809999999999995</v>
      </c>
      <c r="W192" s="900">
        <f>W190*W191</f>
        <v>51.11</v>
      </c>
      <c r="X192" s="900">
        <f>Z192-W192</f>
        <v>-2.3099999999999952</v>
      </c>
      <c r="Y192" s="900">
        <f>S192+T192+U192</f>
        <v>75.61</v>
      </c>
      <c r="Z192" s="955">
        <f>Z190*Z191</f>
        <v>48.800000000000004</v>
      </c>
      <c r="AA192" s="900">
        <f>AA190*AA191</f>
        <v>11.429600000000008</v>
      </c>
      <c r="AB192" s="900">
        <f>AE192-AA192</f>
        <v>11.370399999999993</v>
      </c>
      <c r="AC192" s="900">
        <f>AC190*AC191</f>
        <v>16.8</v>
      </c>
      <c r="AD192" s="954">
        <f>AF192-AC192</f>
        <v>25.919999999999998</v>
      </c>
      <c r="AE192" s="900">
        <f>AE190*AE191</f>
        <v>22.8</v>
      </c>
      <c r="AF192" s="900">
        <f>AH192-AE192</f>
        <v>42.72</v>
      </c>
      <c r="AG192" s="900">
        <f>AA192+AB192+AC192</f>
        <v>39.6</v>
      </c>
      <c r="AH192" s="955">
        <f>AH190*AH191</f>
        <v>65.52</v>
      </c>
      <c r="AI192" s="900">
        <f>AI190*AI191</f>
        <v>58.25</v>
      </c>
      <c r="AJ192" s="900">
        <f>AM192-AI192</f>
        <v>39.75</v>
      </c>
      <c r="AK192" s="913">
        <f>AN192/2</f>
        <v>30.087499999999991</v>
      </c>
      <c r="AL192" s="914">
        <f>AN192-AK192</f>
        <v>30.087499999999991</v>
      </c>
      <c r="AM192" s="900">
        <f>AM190*AM191</f>
        <v>98</v>
      </c>
      <c r="AN192" s="913">
        <f>AP192-AM192</f>
        <v>60.174999999999983</v>
      </c>
      <c r="AO192" s="913">
        <f>AI192+AJ192+AK192</f>
        <v>128.08749999999998</v>
      </c>
      <c r="AP192" s="915">
        <f>AP190*AP191</f>
        <v>158.17499999999998</v>
      </c>
      <c r="AQ192" s="913">
        <f>AU192/2</f>
        <v>34.526249999999997</v>
      </c>
      <c r="AR192" s="913">
        <f>AU192-AQ192</f>
        <v>34.526249999999997</v>
      </c>
      <c r="AS192" s="913">
        <f>AV192/2</f>
        <v>34.526249999999997</v>
      </c>
      <c r="AT192" s="914">
        <f>AV192-AS192</f>
        <v>34.526249999999997</v>
      </c>
      <c r="AU192" s="913">
        <f>AX192/2</f>
        <v>69.052499999999995</v>
      </c>
      <c r="AV192" s="913">
        <f>AX192-AU192</f>
        <v>69.052499999999995</v>
      </c>
      <c r="AW192" s="913">
        <f>AQ192+AR192+AS192</f>
        <v>103.57874999999999</v>
      </c>
      <c r="AX192" s="915">
        <f>AX190*AX191</f>
        <v>138.10499999999999</v>
      </c>
      <c r="AY192" s="913">
        <f>BC192/2</f>
        <v>37.619999999999997</v>
      </c>
      <c r="AZ192" s="913">
        <f>BC192-AY192</f>
        <v>37.619999999999997</v>
      </c>
      <c r="BA192" s="913">
        <f>BD192/2</f>
        <v>37.619999999999997</v>
      </c>
      <c r="BB192" s="914">
        <f>BD192-BA192</f>
        <v>37.619999999999997</v>
      </c>
      <c r="BC192" s="913">
        <f>BF192/2</f>
        <v>75.239999999999995</v>
      </c>
      <c r="BD192" s="913">
        <f>BF192-BC192</f>
        <v>75.239999999999995</v>
      </c>
      <c r="BE192" s="913">
        <f>AY192+AZ192+BA192</f>
        <v>112.85999999999999</v>
      </c>
      <c r="BF192" s="915">
        <f>BF190*BF191</f>
        <v>150.47999999999999</v>
      </c>
      <c r="BG192" s="913">
        <f>BK192/2</f>
        <v>37.619999999999997</v>
      </c>
      <c r="BH192" s="913">
        <f>BK192-BG192</f>
        <v>37.619999999999997</v>
      </c>
      <c r="BI192" s="913">
        <f>BL192/2</f>
        <v>37.619999999999997</v>
      </c>
      <c r="BJ192" s="914">
        <f>BL192-BI192</f>
        <v>37.619999999999997</v>
      </c>
      <c r="BK192" s="913">
        <f>BN192/2</f>
        <v>75.239999999999995</v>
      </c>
      <c r="BL192" s="913">
        <f>BN192-BK192</f>
        <v>75.239999999999995</v>
      </c>
      <c r="BM192" s="913">
        <f>BG192+BH192+BI192</f>
        <v>112.85999999999999</v>
      </c>
      <c r="BN192" s="915">
        <f>BN190*BN191</f>
        <v>150.47999999999999</v>
      </c>
      <c r="BO192" s="913">
        <f>BS192/2</f>
        <v>28.215</v>
      </c>
      <c r="BP192" s="913">
        <f>BS192-BO192</f>
        <v>28.215</v>
      </c>
      <c r="BQ192" s="913">
        <f>BT192/2</f>
        <v>28.215</v>
      </c>
      <c r="BR192" s="914">
        <f>BT192-BQ192</f>
        <v>28.215</v>
      </c>
      <c r="BS192" s="913">
        <f>BV192/2</f>
        <v>56.43</v>
      </c>
      <c r="BT192" s="913">
        <f>BV192-BS192</f>
        <v>56.43</v>
      </c>
      <c r="BU192" s="913">
        <f>BO192+BP192+BQ192</f>
        <v>84.644999999999996</v>
      </c>
      <c r="BV192" s="915">
        <f>BV190*BV191</f>
        <v>112.86</v>
      </c>
    </row>
    <row r="193" spans="1:74" x14ac:dyDescent="0.2">
      <c r="A193" s="899" t="s">
        <v>903</v>
      </c>
      <c r="B193" s="899">
        <f t="shared" ref="B193:K193" si="516">B190+B192</f>
        <v>0</v>
      </c>
      <c r="C193" s="899">
        <f t="shared" si="516"/>
        <v>0</v>
      </c>
      <c r="D193" s="899">
        <f>D190+D192</f>
        <v>37</v>
      </c>
      <c r="E193" s="899">
        <f t="shared" si="516"/>
        <v>239</v>
      </c>
      <c r="F193" s="900">
        <f t="shared" si="516"/>
        <v>657.30499999999995</v>
      </c>
      <c r="G193" s="900">
        <f t="shared" si="516"/>
        <v>1038.376</v>
      </c>
      <c r="H193" s="900">
        <f>H190+H192</f>
        <v>204.79500000000002</v>
      </c>
      <c r="I193" s="900">
        <f>I190+I192</f>
        <v>252.6</v>
      </c>
      <c r="J193" s="912">
        <f t="shared" si="516"/>
        <v>526.32000000000005</v>
      </c>
      <c r="K193" s="900">
        <f t="shared" si="516"/>
        <v>215.625</v>
      </c>
      <c r="L193" s="900">
        <f>O193-K193</f>
        <v>215.625</v>
      </c>
      <c r="M193" s="900">
        <f>M190+M192</f>
        <v>201.82499999999999</v>
      </c>
      <c r="N193" s="954">
        <f>P193-M193</f>
        <v>188.44499999999999</v>
      </c>
      <c r="O193" s="900">
        <f>O190+O192</f>
        <v>431.25</v>
      </c>
      <c r="P193" s="900">
        <f>R193-O193</f>
        <v>390.27</v>
      </c>
      <c r="Q193" s="900">
        <f>K193+L193+M193</f>
        <v>633.07500000000005</v>
      </c>
      <c r="R193" s="955">
        <f>R190+R192</f>
        <v>821.52</v>
      </c>
      <c r="S193" s="900">
        <f>S190+S192</f>
        <v>188.27</v>
      </c>
      <c r="T193" s="900">
        <f>W193-S193</f>
        <v>131.84</v>
      </c>
      <c r="U193" s="900">
        <f>U190+U192</f>
        <v>147</v>
      </c>
      <c r="V193" s="954">
        <f>X193-U193</f>
        <v>191.68999999999994</v>
      </c>
      <c r="W193" s="900">
        <f>W190+W192</f>
        <v>320.11</v>
      </c>
      <c r="X193" s="900">
        <f>Z193-W193</f>
        <v>338.68999999999994</v>
      </c>
      <c r="Y193" s="900">
        <f>S193+T193+U193</f>
        <v>467.11</v>
      </c>
      <c r="Z193" s="955">
        <f>Z190+Z192</f>
        <v>658.8</v>
      </c>
      <c r="AA193" s="900">
        <f>AA190+AA192</f>
        <v>168.42959999999999</v>
      </c>
      <c r="AB193" s="900">
        <f>AE193-AA193</f>
        <v>234.37040000000002</v>
      </c>
      <c r="AC193" s="900">
        <f>AC190+AC192</f>
        <v>256.8</v>
      </c>
      <c r="AD193" s="954">
        <f>AF193-AC193</f>
        <v>315.92</v>
      </c>
      <c r="AE193" s="900">
        <f>AE190+AE192</f>
        <v>402.8</v>
      </c>
      <c r="AF193" s="900">
        <f>AH193-AE193</f>
        <v>572.72</v>
      </c>
      <c r="AG193" s="900">
        <f>AA193+AB193+AC193</f>
        <v>659.6</v>
      </c>
      <c r="AH193" s="955">
        <f>AH190+AH192</f>
        <v>975.52</v>
      </c>
      <c r="AI193" s="900">
        <f>AI190+AI192</f>
        <v>291.25</v>
      </c>
      <c r="AJ193" s="900">
        <f>AM193-AI193</f>
        <v>296.75</v>
      </c>
      <c r="AK193" s="913">
        <f>AK190+AK192</f>
        <v>290.08749999999998</v>
      </c>
      <c r="AL193" s="914">
        <f>AN193-AK193</f>
        <v>334.58749999999998</v>
      </c>
      <c r="AM193" s="900">
        <f>AM190+AM192</f>
        <v>588</v>
      </c>
      <c r="AN193" s="913">
        <f>AP193-AM193</f>
        <v>624.67499999999995</v>
      </c>
      <c r="AO193" s="913">
        <f>AI193+AJ193+AK193</f>
        <v>878.08749999999998</v>
      </c>
      <c r="AP193" s="915">
        <f>AP190+AP192</f>
        <v>1212.675</v>
      </c>
      <c r="AQ193" s="913">
        <f>AQ190+AQ192</f>
        <v>339.02625</v>
      </c>
      <c r="AR193" s="913">
        <f>AU193-AQ193</f>
        <v>339.02625</v>
      </c>
      <c r="AS193" s="913">
        <f>AS190+AS192</f>
        <v>339.02625</v>
      </c>
      <c r="AT193" s="914">
        <f>AV193-AS193</f>
        <v>376.52625</v>
      </c>
      <c r="AU193" s="913">
        <f>AU190+AU192</f>
        <v>678.05250000000001</v>
      </c>
      <c r="AV193" s="913">
        <f>AX193-AU193</f>
        <v>715.55250000000001</v>
      </c>
      <c r="AW193" s="913">
        <f>AQ193+AR193+AS193</f>
        <v>1017.07875</v>
      </c>
      <c r="AX193" s="915">
        <f>AX190+AX192</f>
        <v>1393.605</v>
      </c>
      <c r="AY193" s="913">
        <f>AY190+AY192</f>
        <v>379.62</v>
      </c>
      <c r="AZ193" s="913">
        <f>BC193-AY193</f>
        <v>379.62</v>
      </c>
      <c r="BA193" s="913">
        <f>BA190+BA192</f>
        <v>379.62</v>
      </c>
      <c r="BB193" s="914">
        <f>BD193-BA193</f>
        <v>379.62</v>
      </c>
      <c r="BC193" s="913">
        <f>BC190+BC192</f>
        <v>759.24</v>
      </c>
      <c r="BD193" s="913">
        <f>BF193-BC193</f>
        <v>759.24</v>
      </c>
      <c r="BE193" s="913">
        <f>AY193+AZ193+BA193</f>
        <v>1138.8600000000001</v>
      </c>
      <c r="BF193" s="915">
        <f>BF190+BF192</f>
        <v>1518.48</v>
      </c>
      <c r="BG193" s="913">
        <f>BG190+BG192</f>
        <v>379.62</v>
      </c>
      <c r="BH193" s="913">
        <f>BK193-BG193</f>
        <v>379.62</v>
      </c>
      <c r="BI193" s="913">
        <f>BI190+BI192</f>
        <v>379.62</v>
      </c>
      <c r="BJ193" s="914">
        <f>BL193-BI193</f>
        <v>379.62</v>
      </c>
      <c r="BK193" s="913">
        <f>BK190+BK192</f>
        <v>759.24</v>
      </c>
      <c r="BL193" s="913">
        <f>BN193-BK193</f>
        <v>759.24</v>
      </c>
      <c r="BM193" s="913">
        <f>BG193+BH193+BI193</f>
        <v>1138.8600000000001</v>
      </c>
      <c r="BN193" s="915">
        <f>BN190+BN192</f>
        <v>1518.48</v>
      </c>
      <c r="BO193" s="913">
        <f>BO190+BO192</f>
        <v>370.21499999999997</v>
      </c>
      <c r="BP193" s="913">
        <f>BS193-BO193</f>
        <v>370.21499999999997</v>
      </c>
      <c r="BQ193" s="913">
        <f>BQ190+BQ192</f>
        <v>370.21499999999997</v>
      </c>
      <c r="BR193" s="914">
        <f>BT193-BQ193</f>
        <v>28.214999999999975</v>
      </c>
      <c r="BS193" s="913">
        <f>BS190+BS192</f>
        <v>740.43</v>
      </c>
      <c r="BT193" s="913">
        <f>BV193-BS193</f>
        <v>398.42999999999995</v>
      </c>
      <c r="BU193" s="913">
        <f>BO193+BP193+BQ193</f>
        <v>1110.645</v>
      </c>
      <c r="BV193" s="915">
        <f>BV190+BV192</f>
        <v>1138.8599999999999</v>
      </c>
    </row>
    <row r="194" spans="1:74" x14ac:dyDescent="0.2">
      <c r="A194" s="899" t="s">
        <v>904</v>
      </c>
      <c r="B194" s="893">
        <v>1</v>
      </c>
      <c r="C194" s="893">
        <f>B194</f>
        <v>1</v>
      </c>
      <c r="D194" s="893">
        <f t="shared" ref="D194:J194" si="517">C194</f>
        <v>1</v>
      </c>
      <c r="E194" s="893">
        <f t="shared" si="517"/>
        <v>1</v>
      </c>
      <c r="F194" s="894">
        <f t="shared" si="517"/>
        <v>1</v>
      </c>
      <c r="G194" s="894">
        <f t="shared" si="517"/>
        <v>1</v>
      </c>
      <c r="H194" s="894">
        <f t="shared" si="517"/>
        <v>1</v>
      </c>
      <c r="I194" s="894">
        <f t="shared" si="517"/>
        <v>1</v>
      </c>
      <c r="J194" s="956">
        <f t="shared" si="517"/>
        <v>1</v>
      </c>
      <c r="K194" s="104">
        <f>R194</f>
        <v>1</v>
      </c>
      <c r="L194" s="104">
        <f>R194</f>
        <v>1</v>
      </c>
      <c r="M194" s="104">
        <f>R194</f>
        <v>1</v>
      </c>
      <c r="N194" s="872">
        <f>R194</f>
        <v>1</v>
      </c>
      <c r="O194" s="104">
        <f>R194</f>
        <v>1</v>
      </c>
      <c r="P194" s="104">
        <f>R194</f>
        <v>1</v>
      </c>
      <c r="Q194" s="894">
        <f>R194</f>
        <v>1</v>
      </c>
      <c r="R194" s="1409">
        <f>J194</f>
        <v>1</v>
      </c>
      <c r="S194" s="104">
        <f>Z194</f>
        <v>1</v>
      </c>
      <c r="T194" s="104">
        <f>Z194</f>
        <v>1</v>
      </c>
      <c r="U194" s="104">
        <v>1</v>
      </c>
      <c r="V194" s="872">
        <f>V195/V193</f>
        <v>1.0016171944285046</v>
      </c>
      <c r="W194" s="104">
        <v>1</v>
      </c>
      <c r="X194" s="104">
        <f>X195/X193</f>
        <v>1.0009152912693025</v>
      </c>
      <c r="Y194" s="894">
        <f>Z194</f>
        <v>1</v>
      </c>
      <c r="Z194" s="1409">
        <v>1</v>
      </c>
      <c r="AA194" s="104">
        <f>AH194</f>
        <v>1</v>
      </c>
      <c r="AB194" s="104">
        <f>AH194</f>
        <v>1</v>
      </c>
      <c r="AC194" s="104">
        <f>AH194</f>
        <v>1</v>
      </c>
      <c r="AD194" s="872">
        <f>AH194</f>
        <v>1</v>
      </c>
      <c r="AE194" s="104">
        <f>AH194</f>
        <v>1</v>
      </c>
      <c r="AF194" s="104">
        <f>AH194</f>
        <v>1</v>
      </c>
      <c r="AG194" s="894">
        <f>AH194</f>
        <v>1</v>
      </c>
      <c r="AH194" s="1409">
        <f>Z194</f>
        <v>1</v>
      </c>
      <c r="AI194" s="104">
        <f>AP194</f>
        <v>1</v>
      </c>
      <c r="AJ194" s="104">
        <f>AP194</f>
        <v>1</v>
      </c>
      <c r="AK194" s="461">
        <f>AP194</f>
        <v>1</v>
      </c>
      <c r="AL194" s="868">
        <f>AP194</f>
        <v>1</v>
      </c>
      <c r="AM194" s="104">
        <f>AP194</f>
        <v>1</v>
      </c>
      <c r="AN194" s="461">
        <f>AP194</f>
        <v>1</v>
      </c>
      <c r="AO194" s="933">
        <f>AP194</f>
        <v>1</v>
      </c>
      <c r="AP194" s="957">
        <f>AH194</f>
        <v>1</v>
      </c>
      <c r="AQ194" s="461">
        <f>AX194</f>
        <v>1</v>
      </c>
      <c r="AR194" s="461">
        <f>AX194</f>
        <v>1</v>
      </c>
      <c r="AS194" s="461">
        <f>AX194</f>
        <v>1</v>
      </c>
      <c r="AT194" s="868">
        <f>AX194</f>
        <v>1</v>
      </c>
      <c r="AU194" s="461">
        <f>AX194</f>
        <v>1</v>
      </c>
      <c r="AV194" s="461">
        <f>AX194</f>
        <v>1</v>
      </c>
      <c r="AW194" s="933">
        <f>AX194</f>
        <v>1</v>
      </c>
      <c r="AX194" s="957">
        <f>AP194</f>
        <v>1</v>
      </c>
      <c r="AY194" s="461">
        <f>BF194</f>
        <v>1</v>
      </c>
      <c r="AZ194" s="461">
        <f>BF194</f>
        <v>1</v>
      </c>
      <c r="BA194" s="461">
        <f>BF194</f>
        <v>1</v>
      </c>
      <c r="BB194" s="868">
        <f>BF194</f>
        <v>1</v>
      </c>
      <c r="BC194" s="461">
        <f>BF194</f>
        <v>1</v>
      </c>
      <c r="BD194" s="461">
        <f>BF194</f>
        <v>1</v>
      </c>
      <c r="BE194" s="933">
        <f>BF194</f>
        <v>1</v>
      </c>
      <c r="BF194" s="957">
        <f>AX194</f>
        <v>1</v>
      </c>
      <c r="BG194" s="461">
        <f>BN194</f>
        <v>1</v>
      </c>
      <c r="BH194" s="461">
        <f>BN194</f>
        <v>1</v>
      </c>
      <c r="BI194" s="461">
        <f>BN194</f>
        <v>1</v>
      </c>
      <c r="BJ194" s="868">
        <f>BN194</f>
        <v>1</v>
      </c>
      <c r="BK194" s="461">
        <f>BN194</f>
        <v>1</v>
      </c>
      <c r="BL194" s="461">
        <f>BN194</f>
        <v>1</v>
      </c>
      <c r="BM194" s="933">
        <f>BN194</f>
        <v>1</v>
      </c>
      <c r="BN194" s="957">
        <f>BF194</f>
        <v>1</v>
      </c>
      <c r="BO194" s="461">
        <f>BV194</f>
        <v>1</v>
      </c>
      <c r="BP194" s="461">
        <f>BV194</f>
        <v>1</v>
      </c>
      <c r="BQ194" s="461">
        <f>BV194</f>
        <v>1</v>
      </c>
      <c r="BR194" s="868">
        <f>BV194</f>
        <v>1</v>
      </c>
      <c r="BS194" s="461">
        <f>BV194</f>
        <v>1</v>
      </c>
      <c r="BT194" s="461">
        <f>BV194</f>
        <v>1</v>
      </c>
      <c r="BU194" s="933">
        <f>BV194</f>
        <v>1</v>
      </c>
      <c r="BV194" s="957">
        <f>BN194</f>
        <v>1</v>
      </c>
    </row>
    <row r="195" spans="1:74" x14ac:dyDescent="0.2">
      <c r="A195" s="921" t="s">
        <v>913</v>
      </c>
      <c r="B195" s="921">
        <f t="shared" ref="B195:Q195" si="518">ROUND(B193*B194,0)</f>
        <v>0</v>
      </c>
      <c r="C195" s="921">
        <f t="shared" si="518"/>
        <v>0</v>
      </c>
      <c r="D195" s="921">
        <f>ROUND(D193*D194,0)</f>
        <v>37</v>
      </c>
      <c r="E195" s="921">
        <f t="shared" si="518"/>
        <v>239</v>
      </c>
      <c r="F195" s="921">
        <f>ROUND(F193*F194,0)</f>
        <v>657</v>
      </c>
      <c r="G195" s="921">
        <f>ROUND(G193*G194,0)</f>
        <v>1038</v>
      </c>
      <c r="H195" s="921">
        <f>ROUND(H193*H194,0)</f>
        <v>205</v>
      </c>
      <c r="I195" s="921">
        <f>ROUND(I193*I194,0)</f>
        <v>253</v>
      </c>
      <c r="J195" s="922">
        <f t="shared" si="518"/>
        <v>526</v>
      </c>
      <c r="K195" s="921">
        <f t="shared" si="518"/>
        <v>216</v>
      </c>
      <c r="L195" s="921">
        <f t="shared" si="518"/>
        <v>216</v>
      </c>
      <c r="M195" s="921">
        <f t="shared" si="518"/>
        <v>202</v>
      </c>
      <c r="N195" s="1401">
        <f>ROUND(N193*N194,0)</f>
        <v>188</v>
      </c>
      <c r="O195" s="921">
        <f t="shared" si="518"/>
        <v>431</v>
      </c>
      <c r="P195" s="921">
        <f t="shared" si="518"/>
        <v>390</v>
      </c>
      <c r="Q195" s="921">
        <f t="shared" si="518"/>
        <v>633</v>
      </c>
      <c r="R195" s="1402">
        <f>ROUND(R193*R194,0)</f>
        <v>822</v>
      </c>
      <c r="S195" s="921">
        <f t="shared" ref="S195:BU195" si="519">ROUND(S193*S194,0)</f>
        <v>188</v>
      </c>
      <c r="T195" s="921">
        <f t="shared" si="519"/>
        <v>132</v>
      </c>
      <c r="U195" s="921">
        <f t="shared" si="519"/>
        <v>147</v>
      </c>
      <c r="V195" s="1401">
        <f>X195-U195</f>
        <v>192</v>
      </c>
      <c r="W195" s="921">
        <f t="shared" si="519"/>
        <v>320</v>
      </c>
      <c r="X195" s="921">
        <f>Z195-W195</f>
        <v>339</v>
      </c>
      <c r="Y195" s="921">
        <f t="shared" si="519"/>
        <v>467</v>
      </c>
      <c r="Z195" s="1402">
        <f t="shared" si="519"/>
        <v>659</v>
      </c>
      <c r="AA195" s="921">
        <f>ROUND(AA193*AA194,0)</f>
        <v>168</v>
      </c>
      <c r="AB195" s="921">
        <f>ROUND(AB193*AB194,0)</f>
        <v>234</v>
      </c>
      <c r="AC195" s="921">
        <f t="shared" si="519"/>
        <v>257</v>
      </c>
      <c r="AD195" s="1401">
        <f t="shared" si="519"/>
        <v>316</v>
      </c>
      <c r="AE195" s="921">
        <f t="shared" si="519"/>
        <v>403</v>
      </c>
      <c r="AF195" s="921">
        <f t="shared" si="519"/>
        <v>573</v>
      </c>
      <c r="AG195" s="921">
        <f t="shared" si="519"/>
        <v>660</v>
      </c>
      <c r="AH195" s="1402">
        <f t="shared" si="519"/>
        <v>976</v>
      </c>
      <c r="AI195" s="921">
        <f t="shared" si="519"/>
        <v>291</v>
      </c>
      <c r="AJ195" s="921">
        <f t="shared" si="519"/>
        <v>297</v>
      </c>
      <c r="AK195" s="924">
        <f t="shared" si="519"/>
        <v>290</v>
      </c>
      <c r="AL195" s="923">
        <f t="shared" si="519"/>
        <v>335</v>
      </c>
      <c r="AM195" s="921">
        <f t="shared" si="519"/>
        <v>588</v>
      </c>
      <c r="AN195" s="924">
        <f t="shared" si="519"/>
        <v>625</v>
      </c>
      <c r="AO195" s="924">
        <f t="shared" si="519"/>
        <v>878</v>
      </c>
      <c r="AP195" s="925">
        <f t="shared" si="519"/>
        <v>1213</v>
      </c>
      <c r="AQ195" s="924">
        <f t="shared" si="519"/>
        <v>339</v>
      </c>
      <c r="AR195" s="924">
        <f t="shared" si="519"/>
        <v>339</v>
      </c>
      <c r="AS195" s="924">
        <f t="shared" si="519"/>
        <v>339</v>
      </c>
      <c r="AT195" s="923">
        <f t="shared" si="519"/>
        <v>377</v>
      </c>
      <c r="AU195" s="924">
        <f t="shared" si="519"/>
        <v>678</v>
      </c>
      <c r="AV195" s="924">
        <f t="shared" si="519"/>
        <v>716</v>
      </c>
      <c r="AW195" s="924">
        <f t="shared" si="519"/>
        <v>1017</v>
      </c>
      <c r="AX195" s="925">
        <f t="shared" si="519"/>
        <v>1394</v>
      </c>
      <c r="AY195" s="924">
        <f t="shared" si="519"/>
        <v>380</v>
      </c>
      <c r="AZ195" s="924">
        <f t="shared" si="519"/>
        <v>380</v>
      </c>
      <c r="BA195" s="924">
        <f t="shared" si="519"/>
        <v>380</v>
      </c>
      <c r="BB195" s="923">
        <f t="shared" si="519"/>
        <v>380</v>
      </c>
      <c r="BC195" s="924">
        <f t="shared" si="519"/>
        <v>759</v>
      </c>
      <c r="BD195" s="924">
        <f t="shared" si="519"/>
        <v>759</v>
      </c>
      <c r="BE195" s="924">
        <f t="shared" si="519"/>
        <v>1139</v>
      </c>
      <c r="BF195" s="925">
        <f t="shared" si="519"/>
        <v>1518</v>
      </c>
      <c r="BG195" s="924">
        <f t="shared" si="519"/>
        <v>380</v>
      </c>
      <c r="BH195" s="924">
        <f t="shared" si="519"/>
        <v>380</v>
      </c>
      <c r="BI195" s="924">
        <f t="shared" si="519"/>
        <v>380</v>
      </c>
      <c r="BJ195" s="923">
        <f t="shared" si="519"/>
        <v>380</v>
      </c>
      <c r="BK195" s="924">
        <f t="shared" si="519"/>
        <v>759</v>
      </c>
      <c r="BL195" s="924">
        <f t="shared" si="519"/>
        <v>759</v>
      </c>
      <c r="BM195" s="924">
        <f t="shared" si="519"/>
        <v>1139</v>
      </c>
      <c r="BN195" s="925">
        <f t="shared" si="519"/>
        <v>1518</v>
      </c>
      <c r="BO195" s="924">
        <f t="shared" si="519"/>
        <v>370</v>
      </c>
      <c r="BP195" s="924">
        <f t="shared" si="519"/>
        <v>370</v>
      </c>
      <c r="BQ195" s="924">
        <f t="shared" si="519"/>
        <v>370</v>
      </c>
      <c r="BR195" s="923">
        <f t="shared" si="519"/>
        <v>28</v>
      </c>
      <c r="BS195" s="924">
        <f t="shared" si="519"/>
        <v>740</v>
      </c>
      <c r="BT195" s="924">
        <f t="shared" si="519"/>
        <v>398</v>
      </c>
      <c r="BU195" s="924">
        <f t="shared" si="519"/>
        <v>1111</v>
      </c>
      <c r="BV195" s="925">
        <f>BN195</f>
        <v>1518</v>
      </c>
    </row>
    <row r="196" spans="1:74" x14ac:dyDescent="0.2">
      <c r="A196" s="930" t="s">
        <v>914</v>
      </c>
      <c r="B196" s="899"/>
      <c r="C196" s="899"/>
      <c r="D196" s="899"/>
      <c r="E196" s="899"/>
      <c r="F196" s="900"/>
      <c r="G196" s="900"/>
      <c r="H196" s="900"/>
      <c r="I196" s="900"/>
      <c r="J196" s="912"/>
      <c r="K196" s="900"/>
      <c r="L196" s="900"/>
      <c r="M196" s="900"/>
      <c r="N196" s="954"/>
      <c r="O196" s="900"/>
      <c r="P196" s="900"/>
      <c r="Q196" s="900"/>
      <c r="R196" s="955"/>
      <c r="S196" s="900"/>
      <c r="T196" s="900"/>
      <c r="U196" s="900"/>
      <c r="V196" s="954"/>
      <c r="W196" s="900"/>
      <c r="X196" s="900"/>
      <c r="Y196" s="900"/>
      <c r="Z196" s="955"/>
      <c r="AA196" s="900"/>
      <c r="AB196" s="900"/>
      <c r="AC196" s="900"/>
      <c r="AD196" s="954"/>
      <c r="AE196" s="900"/>
      <c r="AF196" s="900"/>
      <c r="AG196" s="900"/>
      <c r="AH196" s="955"/>
      <c r="AI196" s="900"/>
      <c r="AJ196" s="900"/>
      <c r="AK196" s="900"/>
      <c r="AL196" s="954"/>
      <c r="AM196" s="900"/>
      <c r="AN196" s="900"/>
      <c r="AO196" s="900"/>
      <c r="AP196" s="955"/>
      <c r="AQ196" s="900"/>
      <c r="AR196" s="900"/>
      <c r="AS196" s="900"/>
      <c r="AT196" s="954"/>
      <c r="AU196" s="900"/>
      <c r="AV196" s="900"/>
      <c r="AW196" s="900"/>
      <c r="AX196" s="955"/>
      <c r="AY196" s="900"/>
      <c r="AZ196" s="900"/>
      <c r="BA196" s="900"/>
      <c r="BB196" s="954"/>
      <c r="BC196" s="900"/>
      <c r="BD196" s="900"/>
      <c r="BE196" s="900"/>
      <c r="BF196" s="955"/>
      <c r="BG196" s="900"/>
      <c r="BH196" s="900"/>
      <c r="BI196" s="900"/>
      <c r="BJ196" s="954"/>
      <c r="BK196" s="900"/>
      <c r="BL196" s="900"/>
      <c r="BM196" s="900"/>
      <c r="BN196" s="955"/>
      <c r="BO196" s="900"/>
      <c r="BP196" s="900"/>
      <c r="BQ196" s="900"/>
      <c r="BR196" s="954"/>
      <c r="BS196" s="900"/>
      <c r="BT196" s="900"/>
      <c r="BU196" s="900"/>
      <c r="BV196" s="955"/>
    </row>
    <row r="197" spans="1:74" s="186" customFormat="1" x14ac:dyDescent="0.2">
      <c r="A197" s="931" t="s">
        <v>915</v>
      </c>
      <c r="B197" s="931">
        <f t="shared" ref="B197:J197" si="520">B147</f>
        <v>0</v>
      </c>
      <c r="C197" s="931">
        <f t="shared" si="520"/>
        <v>0</v>
      </c>
      <c r="D197" s="931">
        <f t="shared" si="520"/>
        <v>0</v>
      </c>
      <c r="E197" s="931">
        <f t="shared" si="520"/>
        <v>0</v>
      </c>
      <c r="F197" s="926">
        <f t="shared" si="520"/>
        <v>0</v>
      </c>
      <c r="G197" s="926">
        <f t="shared" si="520"/>
        <v>0</v>
      </c>
      <c r="H197" s="926">
        <f t="shared" si="520"/>
        <v>0</v>
      </c>
      <c r="I197" s="926">
        <f t="shared" si="520"/>
        <v>0</v>
      </c>
      <c r="J197" s="934">
        <f t="shared" si="520"/>
        <v>0</v>
      </c>
      <c r="K197" s="926">
        <v>0</v>
      </c>
      <c r="L197" s="926">
        <f>O197-K197</f>
        <v>0</v>
      </c>
      <c r="M197" s="926">
        <f>P197/2</f>
        <v>1</v>
      </c>
      <c r="N197" s="1001">
        <f>P197-M197</f>
        <v>1</v>
      </c>
      <c r="O197" s="926">
        <v>0</v>
      </c>
      <c r="P197" s="926">
        <f>R197-O197</f>
        <v>2</v>
      </c>
      <c r="Q197" s="926">
        <f>O197+M197</f>
        <v>1</v>
      </c>
      <c r="R197" s="1032">
        <f>R147</f>
        <v>2</v>
      </c>
      <c r="S197" s="926">
        <v>2</v>
      </c>
      <c r="T197" s="926">
        <f>W197-S197</f>
        <v>1</v>
      </c>
      <c r="U197" s="926">
        <v>4</v>
      </c>
      <c r="V197" s="1001">
        <f>X197-U197</f>
        <v>6</v>
      </c>
      <c r="W197" s="926">
        <v>3</v>
      </c>
      <c r="X197" s="926">
        <f>Z197-W197</f>
        <v>10</v>
      </c>
      <c r="Y197" s="926">
        <f>S197+T197+U197</f>
        <v>7</v>
      </c>
      <c r="Z197" s="1032">
        <f>Z147</f>
        <v>13</v>
      </c>
      <c r="AA197" s="926">
        <v>1</v>
      </c>
      <c r="AB197" s="926">
        <f>AE197-AA197</f>
        <v>4</v>
      </c>
      <c r="AC197" s="926">
        <v>2</v>
      </c>
      <c r="AD197" s="1001">
        <f>AF197-AC197</f>
        <v>9</v>
      </c>
      <c r="AE197" s="926">
        <v>5</v>
      </c>
      <c r="AF197" s="926">
        <f>AH197-AE197</f>
        <v>11</v>
      </c>
      <c r="AG197" s="926">
        <f>AE197+AC197</f>
        <v>7</v>
      </c>
      <c r="AH197" s="1032">
        <f>AH147</f>
        <v>16</v>
      </c>
      <c r="AI197" s="926">
        <v>3</v>
      </c>
      <c r="AJ197" s="926">
        <f>AM197-AI197</f>
        <v>5</v>
      </c>
      <c r="AK197" s="936">
        <f>AN197/2</f>
        <v>6</v>
      </c>
      <c r="AL197" s="935">
        <f>AN197-AK197</f>
        <v>6</v>
      </c>
      <c r="AM197" s="926">
        <v>8</v>
      </c>
      <c r="AN197" s="936">
        <f>AP197-AM197</f>
        <v>12</v>
      </c>
      <c r="AO197" s="936">
        <f>AM197+AK197</f>
        <v>14</v>
      </c>
      <c r="AP197" s="937">
        <f>AP147</f>
        <v>20</v>
      </c>
      <c r="AQ197" s="936">
        <f>AU197/2</f>
        <v>6.25</v>
      </c>
      <c r="AR197" s="936">
        <f>AU197-AQ197</f>
        <v>6.25</v>
      </c>
      <c r="AS197" s="936">
        <f>AV197/2</f>
        <v>6.25</v>
      </c>
      <c r="AT197" s="935">
        <f>AV197-AS197</f>
        <v>6.25</v>
      </c>
      <c r="AU197" s="936">
        <f>AX197/2</f>
        <v>12.5</v>
      </c>
      <c r="AV197" s="936">
        <f>AX197-AU197</f>
        <v>12.5</v>
      </c>
      <c r="AW197" s="936">
        <f>AU197+AS197</f>
        <v>18.75</v>
      </c>
      <c r="AX197" s="937">
        <f>AX147</f>
        <v>25</v>
      </c>
      <c r="AY197" s="936">
        <f>BC197/2</f>
        <v>8.75</v>
      </c>
      <c r="AZ197" s="936">
        <f>BC197-AY197</f>
        <v>8.75</v>
      </c>
      <c r="BA197" s="936">
        <f>BD197/2</f>
        <v>8.75</v>
      </c>
      <c r="BB197" s="935">
        <f>BD197-BA197</f>
        <v>8.75</v>
      </c>
      <c r="BC197" s="936">
        <f>BF197/2</f>
        <v>17.5</v>
      </c>
      <c r="BD197" s="936">
        <f>BF197-BC197</f>
        <v>17.5</v>
      </c>
      <c r="BE197" s="936">
        <f>BC197+BA197</f>
        <v>26.25</v>
      </c>
      <c r="BF197" s="937">
        <f>BF147</f>
        <v>35</v>
      </c>
      <c r="BG197" s="936">
        <f>BK197/2</f>
        <v>10</v>
      </c>
      <c r="BH197" s="936">
        <f>BK197-BG197</f>
        <v>10</v>
      </c>
      <c r="BI197" s="936">
        <f>BL197/2</f>
        <v>10</v>
      </c>
      <c r="BJ197" s="935">
        <f>BL197-BI197</f>
        <v>10</v>
      </c>
      <c r="BK197" s="936">
        <f>BN197/2</f>
        <v>20</v>
      </c>
      <c r="BL197" s="936">
        <f>BN197-BK197</f>
        <v>20</v>
      </c>
      <c r="BM197" s="936">
        <f>BK197+BI197</f>
        <v>30</v>
      </c>
      <c r="BN197" s="937">
        <f>BN147</f>
        <v>40</v>
      </c>
      <c r="BO197" s="936">
        <f>BS197/2</f>
        <v>10</v>
      </c>
      <c r="BP197" s="936">
        <f>BS197-BO197</f>
        <v>10</v>
      </c>
      <c r="BQ197" s="936">
        <f>BT197/2</f>
        <v>10</v>
      </c>
      <c r="BR197" s="935">
        <f>BT197-BQ197</f>
        <v>10</v>
      </c>
      <c r="BS197" s="936">
        <f>BV197/2</f>
        <v>20</v>
      </c>
      <c r="BT197" s="936">
        <f>BV197-BS197</f>
        <v>20</v>
      </c>
      <c r="BU197" s="936">
        <f>BS197+BQ197</f>
        <v>30</v>
      </c>
      <c r="BV197" s="937">
        <f>BV147</f>
        <v>40</v>
      </c>
    </row>
    <row r="198" spans="1:74" x14ac:dyDescent="0.2">
      <c r="A198" s="899" t="s">
        <v>898</v>
      </c>
      <c r="B198" s="899">
        <v>2</v>
      </c>
      <c r="C198" s="899">
        <v>2</v>
      </c>
      <c r="D198" s="899">
        <v>2</v>
      </c>
      <c r="E198" s="899">
        <v>2</v>
      </c>
      <c r="F198" s="900">
        <v>2</v>
      </c>
      <c r="G198" s="900">
        <v>2</v>
      </c>
      <c r="H198" s="900">
        <v>2</v>
      </c>
      <c r="I198" s="900">
        <v>2</v>
      </c>
      <c r="J198" s="912">
        <v>2</v>
      </c>
      <c r="K198" s="900">
        <f>R198</f>
        <v>2</v>
      </c>
      <c r="L198" s="900">
        <f>R198</f>
        <v>2</v>
      </c>
      <c r="M198" s="900">
        <f>R198</f>
        <v>2</v>
      </c>
      <c r="N198" s="954">
        <f>R198</f>
        <v>2</v>
      </c>
      <c r="O198" s="900">
        <f>R198</f>
        <v>2</v>
      </c>
      <c r="P198" s="900">
        <f>R198</f>
        <v>2</v>
      </c>
      <c r="Q198" s="900">
        <f>R198</f>
        <v>2</v>
      </c>
      <c r="R198" s="955">
        <v>2</v>
      </c>
      <c r="S198" s="900">
        <f>Z198</f>
        <v>2</v>
      </c>
      <c r="T198" s="900">
        <f>Z198</f>
        <v>2</v>
      </c>
      <c r="U198" s="900">
        <f>Z198</f>
        <v>2</v>
      </c>
      <c r="V198" s="954">
        <f>Z198</f>
        <v>2</v>
      </c>
      <c r="W198" s="900">
        <f>Z198</f>
        <v>2</v>
      </c>
      <c r="X198" s="900">
        <f>Z198</f>
        <v>2</v>
      </c>
      <c r="Y198" s="900">
        <f>Z198</f>
        <v>2</v>
      </c>
      <c r="Z198" s="955">
        <v>2</v>
      </c>
      <c r="AA198" s="900">
        <f>AH198</f>
        <v>2</v>
      </c>
      <c r="AB198" s="900">
        <f>AH198</f>
        <v>2</v>
      </c>
      <c r="AC198" s="900">
        <f>AH198</f>
        <v>2</v>
      </c>
      <c r="AD198" s="954">
        <f>AH198</f>
        <v>2</v>
      </c>
      <c r="AE198" s="900">
        <f>AH198</f>
        <v>2</v>
      </c>
      <c r="AF198" s="900">
        <f>AH198</f>
        <v>2</v>
      </c>
      <c r="AG198" s="900">
        <f>AH198</f>
        <v>2</v>
      </c>
      <c r="AH198" s="955">
        <v>2</v>
      </c>
      <c r="AI198" s="900">
        <f>AP198</f>
        <v>2</v>
      </c>
      <c r="AJ198" s="900">
        <f>AP198</f>
        <v>2</v>
      </c>
      <c r="AK198" s="913">
        <f>AP198</f>
        <v>2</v>
      </c>
      <c r="AL198" s="914">
        <f>AP198</f>
        <v>2</v>
      </c>
      <c r="AM198" s="900">
        <f>AP198</f>
        <v>2</v>
      </c>
      <c r="AN198" s="913">
        <f>AP198</f>
        <v>2</v>
      </c>
      <c r="AO198" s="913">
        <f>AP198</f>
        <v>2</v>
      </c>
      <c r="AP198" s="929">
        <v>2</v>
      </c>
      <c r="AQ198" s="913">
        <f>AX198</f>
        <v>2</v>
      </c>
      <c r="AR198" s="913">
        <f>AX198</f>
        <v>2</v>
      </c>
      <c r="AS198" s="913">
        <f>AX198</f>
        <v>2</v>
      </c>
      <c r="AT198" s="914">
        <f>AX198</f>
        <v>2</v>
      </c>
      <c r="AU198" s="913">
        <f>AX198</f>
        <v>2</v>
      </c>
      <c r="AV198" s="913">
        <f>AX198</f>
        <v>2</v>
      </c>
      <c r="AW198" s="913">
        <f>AX198</f>
        <v>2</v>
      </c>
      <c r="AX198" s="929">
        <v>2</v>
      </c>
      <c r="AY198" s="913">
        <f>BF198</f>
        <v>2</v>
      </c>
      <c r="AZ198" s="913">
        <f>BF198</f>
        <v>2</v>
      </c>
      <c r="BA198" s="913">
        <f>BF198</f>
        <v>2</v>
      </c>
      <c r="BB198" s="914">
        <f>BF198</f>
        <v>2</v>
      </c>
      <c r="BC198" s="913">
        <f>BF198</f>
        <v>2</v>
      </c>
      <c r="BD198" s="913">
        <f>BF198</f>
        <v>2</v>
      </c>
      <c r="BE198" s="913">
        <f>BF198</f>
        <v>2</v>
      </c>
      <c r="BF198" s="929">
        <v>2</v>
      </c>
      <c r="BG198" s="913">
        <f>BN198</f>
        <v>2</v>
      </c>
      <c r="BH198" s="913">
        <f>BN198</f>
        <v>2</v>
      </c>
      <c r="BI198" s="913">
        <f>BN198</f>
        <v>2</v>
      </c>
      <c r="BJ198" s="914">
        <f>BN198</f>
        <v>2</v>
      </c>
      <c r="BK198" s="913">
        <f>BN198</f>
        <v>2</v>
      </c>
      <c r="BL198" s="913">
        <f>BN198</f>
        <v>2</v>
      </c>
      <c r="BM198" s="913">
        <f>BN198</f>
        <v>2</v>
      </c>
      <c r="BN198" s="929">
        <v>2</v>
      </c>
      <c r="BO198" s="913">
        <f>BV198</f>
        <v>2</v>
      </c>
      <c r="BP198" s="913">
        <f>BV198</f>
        <v>2</v>
      </c>
      <c r="BQ198" s="913">
        <f>BV198</f>
        <v>2</v>
      </c>
      <c r="BR198" s="914">
        <f>BV198</f>
        <v>2</v>
      </c>
      <c r="BS198" s="913">
        <f>BV198</f>
        <v>2</v>
      </c>
      <c r="BT198" s="913">
        <f>BV198</f>
        <v>2</v>
      </c>
      <c r="BU198" s="913">
        <f>BV198</f>
        <v>2</v>
      </c>
      <c r="BV198" s="929">
        <v>2</v>
      </c>
    </row>
    <row r="199" spans="1:74" x14ac:dyDescent="0.2">
      <c r="A199" s="899" t="s">
        <v>899</v>
      </c>
      <c r="B199" s="899">
        <f t="shared" ref="B199:K199" si="521">B197*B198</f>
        <v>0</v>
      </c>
      <c r="C199" s="899">
        <f t="shared" si="521"/>
        <v>0</v>
      </c>
      <c r="D199" s="899">
        <f t="shared" si="521"/>
        <v>0</v>
      </c>
      <c r="E199" s="899">
        <f t="shared" si="521"/>
        <v>0</v>
      </c>
      <c r="F199" s="900">
        <f t="shared" si="521"/>
        <v>0</v>
      </c>
      <c r="G199" s="900">
        <f t="shared" si="521"/>
        <v>0</v>
      </c>
      <c r="H199" s="900">
        <f t="shared" si="521"/>
        <v>0</v>
      </c>
      <c r="I199" s="900">
        <f t="shared" si="521"/>
        <v>0</v>
      </c>
      <c r="J199" s="912">
        <f t="shared" si="521"/>
        <v>0</v>
      </c>
      <c r="K199" s="900">
        <f t="shared" si="521"/>
        <v>0</v>
      </c>
      <c r="L199" s="900">
        <f>O199-K199</f>
        <v>0</v>
      </c>
      <c r="M199" s="900">
        <f>M197*M198</f>
        <v>2</v>
      </c>
      <c r="N199" s="954">
        <f>P199-M199</f>
        <v>2</v>
      </c>
      <c r="O199" s="900">
        <f>O197*O198</f>
        <v>0</v>
      </c>
      <c r="P199" s="900">
        <f>R199-O199</f>
        <v>4</v>
      </c>
      <c r="Q199" s="900">
        <f>K199+L199+M199</f>
        <v>2</v>
      </c>
      <c r="R199" s="955">
        <f>R197*R198</f>
        <v>4</v>
      </c>
      <c r="S199" s="900">
        <f>S197*S198</f>
        <v>4</v>
      </c>
      <c r="T199" s="900">
        <f>W199-S199</f>
        <v>2</v>
      </c>
      <c r="U199" s="900">
        <f>U197*U198</f>
        <v>8</v>
      </c>
      <c r="V199" s="954">
        <f>X199-U199</f>
        <v>12</v>
      </c>
      <c r="W199" s="900">
        <f>W197*W198</f>
        <v>6</v>
      </c>
      <c r="X199" s="900">
        <f>Z199-W199</f>
        <v>20</v>
      </c>
      <c r="Y199" s="900">
        <f>S199+T199+U199</f>
        <v>14</v>
      </c>
      <c r="Z199" s="955">
        <f>Z197*Z198</f>
        <v>26</v>
      </c>
      <c r="AA199" s="900">
        <f>AA197*AA198</f>
        <v>2</v>
      </c>
      <c r="AB199" s="900">
        <f>AE199-AA199</f>
        <v>8</v>
      </c>
      <c r="AC199" s="900">
        <f>AC197*AC198</f>
        <v>4</v>
      </c>
      <c r="AD199" s="954">
        <f>AF199-AC199</f>
        <v>18</v>
      </c>
      <c r="AE199" s="900">
        <f>AE197*AE198</f>
        <v>10</v>
      </c>
      <c r="AF199" s="900">
        <f>AH199-AE199</f>
        <v>22</v>
      </c>
      <c r="AG199" s="900">
        <f>AA199+AB199+AC199</f>
        <v>14</v>
      </c>
      <c r="AH199" s="955">
        <f>AH197*AH198</f>
        <v>32</v>
      </c>
      <c r="AI199" s="900">
        <f>AI197*AI198</f>
        <v>6</v>
      </c>
      <c r="AJ199" s="900">
        <f>AM199-AI199</f>
        <v>10</v>
      </c>
      <c r="AK199" s="913">
        <f>AK197*AK198</f>
        <v>12</v>
      </c>
      <c r="AL199" s="914">
        <f>AN199-AK199</f>
        <v>12</v>
      </c>
      <c r="AM199" s="900">
        <f>AM197*AM198</f>
        <v>16</v>
      </c>
      <c r="AN199" s="913">
        <f>AP199-AM199</f>
        <v>24</v>
      </c>
      <c r="AO199" s="913">
        <f>AI199+AJ199+AK199</f>
        <v>28</v>
      </c>
      <c r="AP199" s="915">
        <f>AP197*AP198</f>
        <v>40</v>
      </c>
      <c r="AQ199" s="913">
        <f>AQ197*AQ198</f>
        <v>12.5</v>
      </c>
      <c r="AR199" s="913">
        <f>AU199-AQ199</f>
        <v>12.5</v>
      </c>
      <c r="AS199" s="913">
        <f>AS197*AS198</f>
        <v>12.5</v>
      </c>
      <c r="AT199" s="914">
        <f>AV199-AS199</f>
        <v>12.5</v>
      </c>
      <c r="AU199" s="913">
        <f>AU197*AU198</f>
        <v>25</v>
      </c>
      <c r="AV199" s="913">
        <f>AX199-AU199</f>
        <v>25</v>
      </c>
      <c r="AW199" s="913">
        <f>AQ199+AR199+AS199</f>
        <v>37.5</v>
      </c>
      <c r="AX199" s="915">
        <f>AX197*AX198</f>
        <v>50</v>
      </c>
      <c r="AY199" s="913">
        <f>AY197*AY198</f>
        <v>17.5</v>
      </c>
      <c r="AZ199" s="913">
        <f>BC199-AY199</f>
        <v>17.5</v>
      </c>
      <c r="BA199" s="913">
        <f>BA197*BA198</f>
        <v>17.5</v>
      </c>
      <c r="BB199" s="914">
        <f>BD199-BA199</f>
        <v>17.5</v>
      </c>
      <c r="BC199" s="913">
        <f>BC197*BC198</f>
        <v>35</v>
      </c>
      <c r="BD199" s="913">
        <f>BF199-BC199</f>
        <v>35</v>
      </c>
      <c r="BE199" s="913">
        <f>AY199+AZ199+BA199</f>
        <v>52.5</v>
      </c>
      <c r="BF199" s="915">
        <f>BF197*BF198</f>
        <v>70</v>
      </c>
      <c r="BG199" s="913">
        <f>BG197*BG198</f>
        <v>20</v>
      </c>
      <c r="BH199" s="913">
        <f>BK199-BG199</f>
        <v>20</v>
      </c>
      <c r="BI199" s="913">
        <f>BI197*BI198</f>
        <v>20</v>
      </c>
      <c r="BJ199" s="914">
        <f>BL199-BI199</f>
        <v>20</v>
      </c>
      <c r="BK199" s="913">
        <f>BK197*BK198</f>
        <v>40</v>
      </c>
      <c r="BL199" s="913">
        <f>BN199-BK199</f>
        <v>40</v>
      </c>
      <c r="BM199" s="913">
        <f>BG199+BH199+BI199</f>
        <v>60</v>
      </c>
      <c r="BN199" s="915">
        <f>BN197*BN198</f>
        <v>80</v>
      </c>
      <c r="BO199" s="913">
        <f>BO197*BO198</f>
        <v>20</v>
      </c>
      <c r="BP199" s="913">
        <f>BS199-BO199</f>
        <v>20</v>
      </c>
      <c r="BQ199" s="913">
        <f>BQ197*BQ198</f>
        <v>20</v>
      </c>
      <c r="BR199" s="914">
        <f>BT199-BQ199</f>
        <v>20</v>
      </c>
      <c r="BS199" s="913">
        <f>BS197*BS198</f>
        <v>40</v>
      </c>
      <c r="BT199" s="913">
        <f>BV199-BS199</f>
        <v>40</v>
      </c>
      <c r="BU199" s="913">
        <f>BO199+BP199+BQ199</f>
        <v>60</v>
      </c>
      <c r="BV199" s="915">
        <f>BV197*BV198</f>
        <v>80</v>
      </c>
    </row>
    <row r="200" spans="1:74" x14ac:dyDescent="0.2">
      <c r="A200" s="899" t="s">
        <v>900</v>
      </c>
      <c r="B200" s="899">
        <f t="shared" ref="B200:I200" si="522">(B199*9/12)+(C199*3/12)</f>
        <v>0</v>
      </c>
      <c r="C200" s="899">
        <f t="shared" si="522"/>
        <v>0</v>
      </c>
      <c r="D200" s="899">
        <f t="shared" si="522"/>
        <v>0</v>
      </c>
      <c r="E200" s="899">
        <f t="shared" si="522"/>
        <v>0</v>
      </c>
      <c r="F200" s="900">
        <f t="shared" si="522"/>
        <v>0</v>
      </c>
      <c r="G200" s="900">
        <f t="shared" si="522"/>
        <v>0</v>
      </c>
      <c r="H200" s="900">
        <f t="shared" si="522"/>
        <v>0</v>
      </c>
      <c r="I200" s="900">
        <f t="shared" si="522"/>
        <v>0</v>
      </c>
      <c r="J200" s="912">
        <f>(J199*9/12)+(R199*3/12)</f>
        <v>1</v>
      </c>
      <c r="K200" s="900">
        <f>(K199*9/12)+(L199*3/12)</f>
        <v>0</v>
      </c>
      <c r="L200" s="900">
        <f>(L199*9/12)+(M199*3/12)</f>
        <v>0.5</v>
      </c>
      <c r="M200" s="900">
        <f>(M199*9/12)+(N199*3/12)</f>
        <v>2</v>
      </c>
      <c r="N200" s="954">
        <f>(N199*9/12)+(S199*3/12)</f>
        <v>2.5</v>
      </c>
      <c r="O200" s="900">
        <f>(O199*9/12)+(P199*3/12)</f>
        <v>1</v>
      </c>
      <c r="P200" s="900">
        <f>(P199*9/12)+(W199*3/12)</f>
        <v>4.5</v>
      </c>
      <c r="Q200" s="900">
        <f>(Q199*9/12)+((N199+S199+T199)*3/12)</f>
        <v>3.5</v>
      </c>
      <c r="R200" s="955">
        <f>(R199*9/12)+(Z199*3/12)</f>
        <v>9.5</v>
      </c>
      <c r="S200" s="900">
        <f>(S199*9/12)+(T199*3/12)</f>
        <v>3.5</v>
      </c>
      <c r="T200" s="900">
        <f>(T199*9/12)+(U199*3/12)</f>
        <v>3.5</v>
      </c>
      <c r="U200" s="900">
        <f>(U199*9/12)+(V199*3/12)</f>
        <v>9</v>
      </c>
      <c r="V200" s="954">
        <f>(V199*9/12)+(AA199*3/12)</f>
        <v>9.5</v>
      </c>
      <c r="W200" s="900">
        <f>(W199*9/12)+(X199*3/12)</f>
        <v>9.5</v>
      </c>
      <c r="X200" s="900">
        <f>(X199*9/12)+(AE199*3/12)</f>
        <v>17.5</v>
      </c>
      <c r="Y200" s="900">
        <f>(Y199*9/12)+((V199+AA199+AB199)*3/12)</f>
        <v>16</v>
      </c>
      <c r="Z200" s="955">
        <f>(Z199*9/12)+(AH199*3/12)</f>
        <v>27.5</v>
      </c>
      <c r="AA200" s="900">
        <f>(AA199*9/12)+(AB199*3/12)</f>
        <v>3.5</v>
      </c>
      <c r="AB200" s="900">
        <f>(AB199*9/12)+(AC199*3/12)</f>
        <v>7</v>
      </c>
      <c r="AC200" s="900">
        <f>(AC199*9/12)+(AD199*3/12)</f>
        <v>7.5</v>
      </c>
      <c r="AD200" s="954">
        <f>(AD199*9/12)+(AI199*3/12)</f>
        <v>15</v>
      </c>
      <c r="AE200" s="900">
        <f>(AE199*9/12)+(AF199*3/12)</f>
        <v>13</v>
      </c>
      <c r="AF200" s="900">
        <f>(AF199*9/12)+(AM199*3/12)</f>
        <v>20.5</v>
      </c>
      <c r="AG200" s="900">
        <f>(AG199*9/12)+((AD199+AI199+AJ199)*3/12)</f>
        <v>19</v>
      </c>
      <c r="AH200" s="955">
        <f>(AH199*9/12)+(AP199*3/12)</f>
        <v>34</v>
      </c>
      <c r="AI200" s="900">
        <f>(AI199*9/12)+(AJ199*3/12)</f>
        <v>7</v>
      </c>
      <c r="AJ200" s="900">
        <f>(AJ199*9/12)+(AK199*3/12)</f>
        <v>10.5</v>
      </c>
      <c r="AK200" s="913">
        <f>(AK199*9/12)+(AL199*3/12)</f>
        <v>12</v>
      </c>
      <c r="AL200" s="914">
        <f>(AL199*9/12)+(AQ199*3/12)</f>
        <v>12.125</v>
      </c>
      <c r="AM200" s="900">
        <f>(AM199*9/12)+(AN199*3/12)</f>
        <v>18</v>
      </c>
      <c r="AN200" s="913">
        <f>(AN199*9/12)+(AU199*3/12)</f>
        <v>24.25</v>
      </c>
      <c r="AO200" s="913">
        <f>(AO199*9/12)+((AL199+AQ199+AR199)*3/12)</f>
        <v>30.25</v>
      </c>
      <c r="AP200" s="915">
        <f>(AP199*9/12)+(AX199*3/12)</f>
        <v>42.5</v>
      </c>
      <c r="AQ200" s="913">
        <f>(AQ199*9/12)+(AR199*3/12)</f>
        <v>12.5</v>
      </c>
      <c r="AR200" s="913">
        <f>(AR199*9/12)+(AS199*3/12)</f>
        <v>12.5</v>
      </c>
      <c r="AS200" s="913">
        <f>(AS199*9/12)+(AT199*3/12)</f>
        <v>12.5</v>
      </c>
      <c r="AT200" s="914">
        <f>(AT199*9/12)+(AY199*3/12)</f>
        <v>13.75</v>
      </c>
      <c r="AU200" s="913">
        <f>(AU199*9/12)+(AV199*3/12)</f>
        <v>25</v>
      </c>
      <c r="AV200" s="913">
        <f>(AV199*9/12)+(BC199*3/12)</f>
        <v>27.5</v>
      </c>
      <c r="AW200" s="913">
        <f>(AW199*9/12)+((AT199+AY199+AZ199)*3/12)</f>
        <v>40</v>
      </c>
      <c r="AX200" s="915">
        <f>(AX199*9/12)+(BF199*3/12)</f>
        <v>55</v>
      </c>
      <c r="AY200" s="913">
        <f>(AY199*9/12)+(AZ199*3/12)</f>
        <v>17.5</v>
      </c>
      <c r="AZ200" s="913">
        <f>(AZ199*9/12)+(BA199*3/12)</f>
        <v>17.5</v>
      </c>
      <c r="BA200" s="913">
        <f>(BA199*9/12)+(BB199*3/12)</f>
        <v>17.5</v>
      </c>
      <c r="BB200" s="914">
        <f>(BB199*9/12)+(BG199*3/12)</f>
        <v>18.125</v>
      </c>
      <c r="BC200" s="913">
        <f>(BC199*9/12)+(BD199*3/12)</f>
        <v>35</v>
      </c>
      <c r="BD200" s="913">
        <f>(BD199*9/12)+(BK199*3/12)</f>
        <v>36.25</v>
      </c>
      <c r="BE200" s="913">
        <f>(BE199*9/12)+((BB199+BG199+BH199)*3/12)</f>
        <v>53.75</v>
      </c>
      <c r="BF200" s="915">
        <f>(BF199*9/12)+(BN199*3/12)</f>
        <v>72.5</v>
      </c>
      <c r="BG200" s="913">
        <f>(BG199*9/12)+(BH199*3/12)</f>
        <v>20</v>
      </c>
      <c r="BH200" s="913">
        <f>(BH199*9/12)+(BI199*3/12)</f>
        <v>20</v>
      </c>
      <c r="BI200" s="913">
        <f>(BI199*9/12)+(BJ199*3/12)</f>
        <v>20</v>
      </c>
      <c r="BJ200" s="914">
        <f>(BJ199*9/12)+(BO199*3/12)</f>
        <v>20</v>
      </c>
      <c r="BK200" s="913">
        <f>(BK199*9/12)+(BL199*3/12)</f>
        <v>40</v>
      </c>
      <c r="BL200" s="913">
        <f>(BL199*9/12)+(BS199*3/12)</f>
        <v>40</v>
      </c>
      <c r="BM200" s="913">
        <f>(BM199*9/12)+((BJ199+BO199+BP199)*3/12)</f>
        <v>60</v>
      </c>
      <c r="BN200" s="915">
        <f>(BN199*9/12)+(BV199*3/12)</f>
        <v>80</v>
      </c>
      <c r="BO200" s="913">
        <f>(BO199*9/12)+(BP199*3/12)</f>
        <v>20</v>
      </c>
      <c r="BP200" s="913">
        <f>(BP199*9/12)+(BQ199*3/12)</f>
        <v>20</v>
      </c>
      <c r="BQ200" s="913">
        <f>(BQ199*9/12)+(BR199*3/12)</f>
        <v>20</v>
      </c>
      <c r="BR200" s="914">
        <f>(BR199*9/12)+(BW199*3/12)</f>
        <v>15</v>
      </c>
      <c r="BS200" s="913">
        <f>(BS199*9/12)+(BT199*3/12)</f>
        <v>40</v>
      </c>
      <c r="BT200" s="913">
        <f>(BT199*9/12)+(CA199*3/12)</f>
        <v>30</v>
      </c>
      <c r="BU200" s="913">
        <f>(BU199*9/12)+((BR199+BW199+BX199)*3/12)</f>
        <v>50</v>
      </c>
      <c r="BV200" s="915">
        <f>(BV199*9/12)+(CD199*3/12)</f>
        <v>60</v>
      </c>
    </row>
    <row r="201" spans="1:74" x14ac:dyDescent="0.2">
      <c r="A201" s="899" t="s">
        <v>1141</v>
      </c>
      <c r="B201" s="893"/>
      <c r="C201" s="893"/>
      <c r="D201" s="893"/>
      <c r="E201" s="893"/>
      <c r="F201" s="894"/>
      <c r="G201" s="894"/>
      <c r="H201" s="894"/>
      <c r="I201" s="894"/>
      <c r="J201" s="956"/>
      <c r="K201" s="104">
        <f>R201</f>
        <v>0</v>
      </c>
      <c r="L201" s="104">
        <f>R201</f>
        <v>0</v>
      </c>
      <c r="M201" s="104">
        <f>R201</f>
        <v>0</v>
      </c>
      <c r="N201" s="872">
        <f>R201</f>
        <v>0</v>
      </c>
      <c r="O201" s="104">
        <f>R201</f>
        <v>0</v>
      </c>
      <c r="P201" s="104">
        <f>R201</f>
        <v>0</v>
      </c>
      <c r="Q201" s="894">
        <f>R201</f>
        <v>0</v>
      </c>
      <c r="R201" s="1409">
        <v>0</v>
      </c>
      <c r="S201" s="104">
        <f>Z201</f>
        <v>0</v>
      </c>
      <c r="T201" s="104">
        <f>Z201</f>
        <v>0</v>
      </c>
      <c r="U201" s="104">
        <f>Z201</f>
        <v>0</v>
      </c>
      <c r="V201" s="872">
        <f>Z201</f>
        <v>0</v>
      </c>
      <c r="W201" s="104">
        <f>Z201</f>
        <v>0</v>
      </c>
      <c r="X201" s="104">
        <f>Z201</f>
        <v>0</v>
      </c>
      <c r="Y201" s="894">
        <f>Z201</f>
        <v>0</v>
      </c>
      <c r="Z201" s="1409">
        <v>0</v>
      </c>
      <c r="AA201" s="104">
        <v>0</v>
      </c>
      <c r="AB201" s="104">
        <f>AB202/AB200</f>
        <v>0</v>
      </c>
      <c r="AC201" s="104">
        <v>0</v>
      </c>
      <c r="AD201" s="872">
        <f>AD202/AD200</f>
        <v>0</v>
      </c>
      <c r="AE201" s="104">
        <v>0</v>
      </c>
      <c r="AF201" s="104">
        <f>AF202/AF200</f>
        <v>0</v>
      </c>
      <c r="AG201" s="894">
        <f>AG202/AG200</f>
        <v>0</v>
      </c>
      <c r="AH201" s="1409">
        <v>0</v>
      </c>
      <c r="AI201" s="104">
        <v>0</v>
      </c>
      <c r="AJ201" s="104">
        <f>AJ202/AJ200</f>
        <v>0</v>
      </c>
      <c r="AK201" s="1584">
        <v>0</v>
      </c>
      <c r="AL201" s="868">
        <f>AL202/AL200</f>
        <v>0</v>
      </c>
      <c r="AM201" s="104">
        <v>0</v>
      </c>
      <c r="AN201" s="461">
        <f>AN202/AN200</f>
        <v>0</v>
      </c>
      <c r="AO201" s="933">
        <f>AO202/AO200</f>
        <v>0</v>
      </c>
      <c r="AP201" s="932">
        <v>0</v>
      </c>
      <c r="AQ201" s="461">
        <f>AX201</f>
        <v>0</v>
      </c>
      <c r="AR201" s="461">
        <f>AX201</f>
        <v>0</v>
      </c>
      <c r="AS201" s="461">
        <f>AX201</f>
        <v>0</v>
      </c>
      <c r="AT201" s="868">
        <f>AX201</f>
        <v>0</v>
      </c>
      <c r="AU201" s="461">
        <f>AX201</f>
        <v>0</v>
      </c>
      <c r="AV201" s="461">
        <f>AX201</f>
        <v>0</v>
      </c>
      <c r="AW201" s="933">
        <f>AX201</f>
        <v>0</v>
      </c>
      <c r="AX201" s="957">
        <f>AP201</f>
        <v>0</v>
      </c>
      <c r="AY201" s="461">
        <f>BF201</f>
        <v>0</v>
      </c>
      <c r="AZ201" s="461">
        <f>BF201</f>
        <v>0</v>
      </c>
      <c r="BA201" s="461">
        <f>BF201</f>
        <v>0</v>
      </c>
      <c r="BB201" s="868">
        <f>BF201</f>
        <v>0</v>
      </c>
      <c r="BC201" s="461">
        <f>BF201</f>
        <v>0</v>
      </c>
      <c r="BD201" s="461">
        <f>BF201</f>
        <v>0</v>
      </c>
      <c r="BE201" s="933">
        <f>BF201</f>
        <v>0</v>
      </c>
      <c r="BF201" s="957">
        <f>AX201</f>
        <v>0</v>
      </c>
      <c r="BG201" s="461">
        <f>BN201</f>
        <v>0</v>
      </c>
      <c r="BH201" s="461">
        <f>BN201</f>
        <v>0</v>
      </c>
      <c r="BI201" s="461">
        <f>BN201</f>
        <v>0</v>
      </c>
      <c r="BJ201" s="868">
        <f>BN201</f>
        <v>0</v>
      </c>
      <c r="BK201" s="461">
        <f>BN201</f>
        <v>0</v>
      </c>
      <c r="BL201" s="461">
        <f>BN201</f>
        <v>0</v>
      </c>
      <c r="BM201" s="933">
        <f>BN201</f>
        <v>0</v>
      </c>
      <c r="BN201" s="957">
        <f>BF201</f>
        <v>0</v>
      </c>
      <c r="BO201" s="461">
        <f>BV201</f>
        <v>0</v>
      </c>
      <c r="BP201" s="461">
        <f>BV201</f>
        <v>0</v>
      </c>
      <c r="BQ201" s="461">
        <f>BV201</f>
        <v>0</v>
      </c>
      <c r="BR201" s="868">
        <f>BV201</f>
        <v>0</v>
      </c>
      <c r="BS201" s="461">
        <f>BV201</f>
        <v>0</v>
      </c>
      <c r="BT201" s="461">
        <f>BV201</f>
        <v>0</v>
      </c>
      <c r="BU201" s="933">
        <f>BV201</f>
        <v>0</v>
      </c>
      <c r="BV201" s="957">
        <f>BN201</f>
        <v>0</v>
      </c>
    </row>
    <row r="202" spans="1:74" x14ac:dyDescent="0.2">
      <c r="A202" s="899" t="s">
        <v>902</v>
      </c>
      <c r="B202" s="899">
        <f t="shared" ref="B202:J202" si="523">B200*B201</f>
        <v>0</v>
      </c>
      <c r="C202" s="899">
        <f t="shared" si="523"/>
        <v>0</v>
      </c>
      <c r="D202" s="899">
        <f t="shared" si="523"/>
        <v>0</v>
      </c>
      <c r="E202" s="899">
        <f t="shared" si="523"/>
        <v>0</v>
      </c>
      <c r="F202" s="900">
        <f t="shared" si="523"/>
        <v>0</v>
      </c>
      <c r="G202" s="900">
        <f t="shared" si="523"/>
        <v>0</v>
      </c>
      <c r="H202" s="900">
        <f t="shared" si="523"/>
        <v>0</v>
      </c>
      <c r="I202" s="900">
        <f t="shared" si="523"/>
        <v>0</v>
      </c>
      <c r="J202" s="912">
        <f t="shared" si="523"/>
        <v>0</v>
      </c>
      <c r="K202" s="900">
        <f>O202/2</f>
        <v>0</v>
      </c>
      <c r="L202" s="900">
        <f>O202-K202</f>
        <v>0</v>
      </c>
      <c r="M202" s="900">
        <f>P202/2</f>
        <v>0</v>
      </c>
      <c r="N202" s="954">
        <f>P202-M202</f>
        <v>0</v>
      </c>
      <c r="O202" s="900">
        <f>R202/2</f>
        <v>0</v>
      </c>
      <c r="P202" s="900">
        <f>R202-O202</f>
        <v>0</v>
      </c>
      <c r="Q202" s="900">
        <f>K202+L202+M202</f>
        <v>0</v>
      </c>
      <c r="R202" s="955">
        <f>R200*R201</f>
        <v>0</v>
      </c>
      <c r="S202" s="900">
        <f>S200*S201</f>
        <v>0</v>
      </c>
      <c r="T202" s="900">
        <f>W202-S202</f>
        <v>0</v>
      </c>
      <c r="U202" s="900">
        <f>U200*U201</f>
        <v>0</v>
      </c>
      <c r="V202" s="954">
        <f>X202-U202</f>
        <v>0</v>
      </c>
      <c r="W202" s="900">
        <f>W200*W201</f>
        <v>0</v>
      </c>
      <c r="X202" s="900">
        <f>Z202-W202</f>
        <v>0</v>
      </c>
      <c r="Y202" s="900">
        <f>S202+T202+U202</f>
        <v>0</v>
      </c>
      <c r="Z202" s="955">
        <f>Z200*Z201</f>
        <v>0</v>
      </c>
      <c r="AA202" s="900">
        <f>AA200*AA201</f>
        <v>0</v>
      </c>
      <c r="AB202" s="900">
        <f>AE202-AA202</f>
        <v>0</v>
      </c>
      <c r="AC202" s="900">
        <f>AC200*AC201</f>
        <v>0</v>
      </c>
      <c r="AD202" s="954">
        <f>AF202-AC202</f>
        <v>0</v>
      </c>
      <c r="AE202" s="900">
        <f>AE200*AE201</f>
        <v>0</v>
      </c>
      <c r="AF202" s="900">
        <f>AH202-AE202</f>
        <v>0</v>
      </c>
      <c r="AG202" s="900">
        <f>AA202+AB202+AC202</f>
        <v>0</v>
      </c>
      <c r="AH202" s="955">
        <f>AH200*AH201</f>
        <v>0</v>
      </c>
      <c r="AI202" s="900">
        <f>AI200*AI201</f>
        <v>0</v>
      </c>
      <c r="AJ202" s="900">
        <f>AM202-AI202</f>
        <v>0</v>
      </c>
      <c r="AK202" s="913">
        <f>AK200*AK201</f>
        <v>0</v>
      </c>
      <c r="AL202" s="914">
        <f>AN202-AK202</f>
        <v>0</v>
      </c>
      <c r="AM202" s="900">
        <f>AM200*AM201</f>
        <v>0</v>
      </c>
      <c r="AN202" s="913">
        <f>AP202-AM202</f>
        <v>0</v>
      </c>
      <c r="AO202" s="913">
        <f>AI202+AJ202+AK202</f>
        <v>0</v>
      </c>
      <c r="AP202" s="915">
        <f>AP200*AP201</f>
        <v>0</v>
      </c>
      <c r="AQ202" s="913">
        <f>AU202/2</f>
        <v>0</v>
      </c>
      <c r="AR202" s="913">
        <f>AU202-AQ202</f>
        <v>0</v>
      </c>
      <c r="AS202" s="913">
        <f>AV202/2</f>
        <v>0</v>
      </c>
      <c r="AT202" s="914">
        <f>AV202-AS202</f>
        <v>0</v>
      </c>
      <c r="AU202" s="913">
        <f>AX202/2</f>
        <v>0</v>
      </c>
      <c r="AV202" s="913">
        <f>AX202-AU202</f>
        <v>0</v>
      </c>
      <c r="AW202" s="913">
        <f>AQ202+AR202+AS202</f>
        <v>0</v>
      </c>
      <c r="AX202" s="915">
        <f>AX200*AX201</f>
        <v>0</v>
      </c>
      <c r="AY202" s="913">
        <f>BC202/2</f>
        <v>0</v>
      </c>
      <c r="AZ202" s="913">
        <f>BC202-AY202</f>
        <v>0</v>
      </c>
      <c r="BA202" s="913">
        <f>BD202/2</f>
        <v>0</v>
      </c>
      <c r="BB202" s="914">
        <f>BD202-BA202</f>
        <v>0</v>
      </c>
      <c r="BC202" s="913">
        <f>BF202/2</f>
        <v>0</v>
      </c>
      <c r="BD202" s="913">
        <f>BF202-BC202</f>
        <v>0</v>
      </c>
      <c r="BE202" s="913">
        <f>AY202+AZ202+BA202</f>
        <v>0</v>
      </c>
      <c r="BF202" s="915">
        <f>BF200*BF201</f>
        <v>0</v>
      </c>
      <c r="BG202" s="913">
        <f>BK202/2</f>
        <v>0</v>
      </c>
      <c r="BH202" s="913">
        <f>BK202-BG202</f>
        <v>0</v>
      </c>
      <c r="BI202" s="913">
        <f>BL202/2</f>
        <v>0</v>
      </c>
      <c r="BJ202" s="914">
        <f>BL202-BI202</f>
        <v>0</v>
      </c>
      <c r="BK202" s="913">
        <f>BN202/2</f>
        <v>0</v>
      </c>
      <c r="BL202" s="913">
        <f>BN202-BK202</f>
        <v>0</v>
      </c>
      <c r="BM202" s="913">
        <f>BG202+BH202+BI202</f>
        <v>0</v>
      </c>
      <c r="BN202" s="915">
        <f>BN200*BN201</f>
        <v>0</v>
      </c>
      <c r="BO202" s="913">
        <f>BS202/2</f>
        <v>0</v>
      </c>
      <c r="BP202" s="913">
        <f>BS202-BO202</f>
        <v>0</v>
      </c>
      <c r="BQ202" s="913">
        <f>BT202/2</f>
        <v>0</v>
      </c>
      <c r="BR202" s="914">
        <f>BT202-BQ202</f>
        <v>0</v>
      </c>
      <c r="BS202" s="913">
        <f>BV202/2</f>
        <v>0</v>
      </c>
      <c r="BT202" s="913">
        <f>BV202-BS202</f>
        <v>0</v>
      </c>
      <c r="BU202" s="913">
        <f>BO202+BP202+BQ202</f>
        <v>0</v>
      </c>
      <c r="BV202" s="915">
        <f>BV200*BV201</f>
        <v>0</v>
      </c>
    </row>
    <row r="203" spans="1:74" x14ac:dyDescent="0.2">
      <c r="A203" s="899" t="s">
        <v>903</v>
      </c>
      <c r="B203" s="899">
        <f t="shared" ref="B203:K203" si="524">B200+B202</f>
        <v>0</v>
      </c>
      <c r="C203" s="899">
        <f t="shared" si="524"/>
        <v>0</v>
      </c>
      <c r="D203" s="899">
        <f t="shared" si="524"/>
        <v>0</v>
      </c>
      <c r="E203" s="899">
        <f t="shared" si="524"/>
        <v>0</v>
      </c>
      <c r="F203" s="900">
        <f t="shared" si="524"/>
        <v>0</v>
      </c>
      <c r="G203" s="900">
        <f t="shared" si="524"/>
        <v>0</v>
      </c>
      <c r="H203" s="900">
        <f t="shared" si="524"/>
        <v>0</v>
      </c>
      <c r="I203" s="900">
        <f t="shared" si="524"/>
        <v>0</v>
      </c>
      <c r="J203" s="912">
        <f t="shared" si="524"/>
        <v>1</v>
      </c>
      <c r="K203" s="900">
        <f t="shared" si="524"/>
        <v>0</v>
      </c>
      <c r="L203" s="900">
        <f>O203-K203</f>
        <v>1</v>
      </c>
      <c r="M203" s="900">
        <f>M200+M202</f>
        <v>2</v>
      </c>
      <c r="N203" s="954">
        <f>P203-M203</f>
        <v>6.5</v>
      </c>
      <c r="O203" s="900">
        <f>O200+O202</f>
        <v>1</v>
      </c>
      <c r="P203" s="900">
        <f>R203-O203</f>
        <v>8.5</v>
      </c>
      <c r="Q203" s="900">
        <f>K203+L203+M203</f>
        <v>3</v>
      </c>
      <c r="R203" s="955">
        <f>R200+R202</f>
        <v>9.5</v>
      </c>
      <c r="S203" s="900">
        <f>S200+S202</f>
        <v>3.5</v>
      </c>
      <c r="T203" s="900">
        <f>W203-S203</f>
        <v>6</v>
      </c>
      <c r="U203" s="900">
        <f>U200+U202</f>
        <v>9</v>
      </c>
      <c r="V203" s="954">
        <f>X203-U203</f>
        <v>9</v>
      </c>
      <c r="W203" s="900">
        <f>W200+W202</f>
        <v>9.5</v>
      </c>
      <c r="X203" s="900">
        <f>Z203-W203</f>
        <v>18</v>
      </c>
      <c r="Y203" s="900">
        <f>S203+T203+U203</f>
        <v>18.5</v>
      </c>
      <c r="Z203" s="955">
        <f>Z200+Z202</f>
        <v>27.5</v>
      </c>
      <c r="AA203" s="900">
        <f>AA200+AA202</f>
        <v>3.5</v>
      </c>
      <c r="AB203" s="900">
        <f>AE203-AA203</f>
        <v>9.5</v>
      </c>
      <c r="AC203" s="900">
        <f>AC200+AC202</f>
        <v>7.5</v>
      </c>
      <c r="AD203" s="954">
        <f>AF203-AC203</f>
        <v>13.5</v>
      </c>
      <c r="AE203" s="900">
        <f>AE200+AE202</f>
        <v>13</v>
      </c>
      <c r="AF203" s="900">
        <f>AH203-AE203</f>
        <v>21</v>
      </c>
      <c r="AG203" s="900">
        <f>AA203+AB203+AC203</f>
        <v>20.5</v>
      </c>
      <c r="AH203" s="955">
        <f>AH200+AH202</f>
        <v>34</v>
      </c>
      <c r="AI203" s="900">
        <f>AI200+AI202</f>
        <v>7</v>
      </c>
      <c r="AJ203" s="900">
        <f>AM203-AI203</f>
        <v>11</v>
      </c>
      <c r="AK203" s="913">
        <f>AK200+AK202</f>
        <v>12</v>
      </c>
      <c r="AL203" s="914">
        <f>AN203-AK203</f>
        <v>12.5</v>
      </c>
      <c r="AM203" s="900">
        <f>AM200+AM202</f>
        <v>18</v>
      </c>
      <c r="AN203" s="913">
        <f>AP203-AM203</f>
        <v>24.5</v>
      </c>
      <c r="AO203" s="913">
        <f>AI203+AJ203+AK203</f>
        <v>30</v>
      </c>
      <c r="AP203" s="915">
        <f>AP200+AP202</f>
        <v>42.5</v>
      </c>
      <c r="AQ203" s="913">
        <f>AQ200+AQ202</f>
        <v>12.5</v>
      </c>
      <c r="AR203" s="913">
        <f>AU203-AQ203</f>
        <v>12.5</v>
      </c>
      <c r="AS203" s="913">
        <f>AS200+AS202</f>
        <v>12.5</v>
      </c>
      <c r="AT203" s="914">
        <f>AV203-AS203</f>
        <v>17.5</v>
      </c>
      <c r="AU203" s="913">
        <f>AU200+AU202</f>
        <v>25</v>
      </c>
      <c r="AV203" s="913">
        <f>AX203-AU203</f>
        <v>30</v>
      </c>
      <c r="AW203" s="913">
        <f>AQ203+AR203+AS203</f>
        <v>37.5</v>
      </c>
      <c r="AX203" s="915">
        <f>AX200+AX202</f>
        <v>55</v>
      </c>
      <c r="AY203" s="913">
        <f>AY200+AY202</f>
        <v>17.5</v>
      </c>
      <c r="AZ203" s="913">
        <f>BC203-AY203</f>
        <v>17.5</v>
      </c>
      <c r="BA203" s="913">
        <f>BA200+BA202</f>
        <v>17.5</v>
      </c>
      <c r="BB203" s="914">
        <f>BD203-BA203</f>
        <v>20</v>
      </c>
      <c r="BC203" s="913">
        <f>BC200+BC202</f>
        <v>35</v>
      </c>
      <c r="BD203" s="913">
        <f>BF203-BC203</f>
        <v>37.5</v>
      </c>
      <c r="BE203" s="913">
        <f>AY203+AZ203+BA203</f>
        <v>52.5</v>
      </c>
      <c r="BF203" s="915">
        <f>BF200+BF202</f>
        <v>72.5</v>
      </c>
      <c r="BG203" s="913">
        <f>BG200+BG202</f>
        <v>20</v>
      </c>
      <c r="BH203" s="913">
        <f>BK203-BG203</f>
        <v>20</v>
      </c>
      <c r="BI203" s="913">
        <f>BI200+BI202</f>
        <v>20</v>
      </c>
      <c r="BJ203" s="914">
        <f>BL203-BI203</f>
        <v>20</v>
      </c>
      <c r="BK203" s="913">
        <f>BK200+BK202</f>
        <v>40</v>
      </c>
      <c r="BL203" s="913">
        <f>BN203-BK203</f>
        <v>40</v>
      </c>
      <c r="BM203" s="913">
        <f>BG203+BH203+BI203</f>
        <v>60</v>
      </c>
      <c r="BN203" s="915">
        <f>BN200+BN202</f>
        <v>80</v>
      </c>
      <c r="BO203" s="913">
        <f>BO200+BO202</f>
        <v>20</v>
      </c>
      <c r="BP203" s="913">
        <f>BS203-BO203</f>
        <v>20</v>
      </c>
      <c r="BQ203" s="913">
        <f>BQ200+BQ202</f>
        <v>20</v>
      </c>
      <c r="BR203" s="914">
        <f>BT203-BQ203</f>
        <v>0</v>
      </c>
      <c r="BS203" s="913">
        <f>BS200+BS202</f>
        <v>40</v>
      </c>
      <c r="BT203" s="913">
        <f>BV203-BS203</f>
        <v>20</v>
      </c>
      <c r="BU203" s="913">
        <f>BO203+BP203+BQ203</f>
        <v>60</v>
      </c>
      <c r="BV203" s="915">
        <f>BV200+BV202</f>
        <v>60</v>
      </c>
    </row>
    <row r="204" spans="1:74" x14ac:dyDescent="0.2">
      <c r="A204" s="899" t="s">
        <v>904</v>
      </c>
      <c r="B204" s="893">
        <v>1</v>
      </c>
      <c r="C204" s="893">
        <f>B204</f>
        <v>1</v>
      </c>
      <c r="D204" s="893">
        <f t="shared" ref="D204:J204" si="525">C204</f>
        <v>1</v>
      </c>
      <c r="E204" s="893">
        <f t="shared" si="525"/>
        <v>1</v>
      </c>
      <c r="F204" s="894">
        <f t="shared" si="525"/>
        <v>1</v>
      </c>
      <c r="G204" s="894">
        <f t="shared" si="525"/>
        <v>1</v>
      </c>
      <c r="H204" s="894">
        <f t="shared" si="525"/>
        <v>1</v>
      </c>
      <c r="I204" s="894">
        <f t="shared" si="525"/>
        <v>1</v>
      </c>
      <c r="J204" s="956">
        <f t="shared" si="525"/>
        <v>1</v>
      </c>
      <c r="K204" s="104">
        <f>R204</f>
        <v>1</v>
      </c>
      <c r="L204" s="104">
        <f>R204</f>
        <v>1</v>
      </c>
      <c r="M204" s="104">
        <f>R204</f>
        <v>1</v>
      </c>
      <c r="N204" s="872">
        <f>R204</f>
        <v>1</v>
      </c>
      <c r="O204" s="104">
        <f>R204</f>
        <v>1</v>
      </c>
      <c r="P204" s="104">
        <f>R204</f>
        <v>1</v>
      </c>
      <c r="Q204" s="894">
        <f>R204</f>
        <v>1</v>
      </c>
      <c r="R204" s="1409">
        <f>J204</f>
        <v>1</v>
      </c>
      <c r="S204" s="104">
        <f>Z204</f>
        <v>1</v>
      </c>
      <c r="T204" s="104">
        <f>Z204</f>
        <v>1</v>
      </c>
      <c r="U204" s="104">
        <f>Z204</f>
        <v>1</v>
      </c>
      <c r="V204" s="872">
        <f>Z204</f>
        <v>1</v>
      </c>
      <c r="W204" s="104">
        <f>Z204</f>
        <v>1</v>
      </c>
      <c r="X204" s="104">
        <f>Z204</f>
        <v>1</v>
      </c>
      <c r="Y204" s="894">
        <f>Z204</f>
        <v>1</v>
      </c>
      <c r="Z204" s="1409">
        <f>R204</f>
        <v>1</v>
      </c>
      <c r="AA204" s="104">
        <f>AH204</f>
        <v>1</v>
      </c>
      <c r="AB204" s="104">
        <f>AH204</f>
        <v>1</v>
      </c>
      <c r="AC204" s="104">
        <f>AH204</f>
        <v>1</v>
      </c>
      <c r="AD204" s="872">
        <f>AH204</f>
        <v>1</v>
      </c>
      <c r="AE204" s="104">
        <f>AH204</f>
        <v>1</v>
      </c>
      <c r="AF204" s="104">
        <f>AH204</f>
        <v>1</v>
      </c>
      <c r="AG204" s="894">
        <f>AH204</f>
        <v>1</v>
      </c>
      <c r="AH204" s="1409">
        <f>Z204</f>
        <v>1</v>
      </c>
      <c r="AI204" s="104">
        <f>AP204</f>
        <v>1</v>
      </c>
      <c r="AJ204" s="104">
        <f>AP204</f>
        <v>1</v>
      </c>
      <c r="AK204" s="461">
        <f>AP204</f>
        <v>1</v>
      </c>
      <c r="AL204" s="868">
        <f>AP204</f>
        <v>1</v>
      </c>
      <c r="AM204" s="104">
        <f>AP204</f>
        <v>1</v>
      </c>
      <c r="AN204" s="461">
        <f>AP204</f>
        <v>1</v>
      </c>
      <c r="AO204" s="933">
        <f>AP204</f>
        <v>1</v>
      </c>
      <c r="AP204" s="961">
        <f>AH204</f>
        <v>1</v>
      </c>
      <c r="AQ204" s="461">
        <f>AX204</f>
        <v>1</v>
      </c>
      <c r="AR204" s="461">
        <f>AX204</f>
        <v>1</v>
      </c>
      <c r="AS204" s="461">
        <f>AX204</f>
        <v>1</v>
      </c>
      <c r="AT204" s="868">
        <f>AX204</f>
        <v>1</v>
      </c>
      <c r="AU204" s="461">
        <f>AX204</f>
        <v>1</v>
      </c>
      <c r="AV204" s="461">
        <f>AX204</f>
        <v>1</v>
      </c>
      <c r="AW204" s="933">
        <f>AX204</f>
        <v>1</v>
      </c>
      <c r="AX204" s="961">
        <f>AP204</f>
        <v>1</v>
      </c>
      <c r="AY204" s="461">
        <f>BF204</f>
        <v>1</v>
      </c>
      <c r="AZ204" s="461">
        <f>BF204</f>
        <v>1</v>
      </c>
      <c r="BA204" s="461">
        <f>BF204</f>
        <v>1</v>
      </c>
      <c r="BB204" s="868">
        <f>BF204</f>
        <v>1</v>
      </c>
      <c r="BC204" s="461">
        <f>BF204</f>
        <v>1</v>
      </c>
      <c r="BD204" s="461">
        <f>BF204</f>
        <v>1</v>
      </c>
      <c r="BE204" s="933">
        <f>BF204</f>
        <v>1</v>
      </c>
      <c r="BF204" s="961">
        <f>AX204</f>
        <v>1</v>
      </c>
      <c r="BG204" s="461">
        <f>BN204</f>
        <v>1</v>
      </c>
      <c r="BH204" s="461">
        <f>BN204</f>
        <v>1</v>
      </c>
      <c r="BI204" s="461">
        <f>BN204</f>
        <v>1</v>
      </c>
      <c r="BJ204" s="868">
        <f>BN204</f>
        <v>1</v>
      </c>
      <c r="BK204" s="461">
        <f>BN204</f>
        <v>1</v>
      </c>
      <c r="BL204" s="461">
        <f>BN204</f>
        <v>1</v>
      </c>
      <c r="BM204" s="933">
        <f>BN204</f>
        <v>1</v>
      </c>
      <c r="BN204" s="961">
        <f>BF204</f>
        <v>1</v>
      </c>
      <c r="BO204" s="461">
        <f>BV204</f>
        <v>1</v>
      </c>
      <c r="BP204" s="461">
        <f>BV204</f>
        <v>1</v>
      </c>
      <c r="BQ204" s="461">
        <f>BV204</f>
        <v>1</v>
      </c>
      <c r="BR204" s="868">
        <f>BV204</f>
        <v>1</v>
      </c>
      <c r="BS204" s="461">
        <f>BV204</f>
        <v>1</v>
      </c>
      <c r="BT204" s="461">
        <f>BV204</f>
        <v>1</v>
      </c>
      <c r="BU204" s="933">
        <f>BV204</f>
        <v>1</v>
      </c>
      <c r="BV204" s="961">
        <f>BN204</f>
        <v>1</v>
      </c>
    </row>
    <row r="205" spans="1:74" x14ac:dyDescent="0.2">
      <c r="A205" s="921" t="s">
        <v>916</v>
      </c>
      <c r="B205" s="921">
        <f t="shared" ref="B205:I205" si="526">ROUND(B203*B204,0)</f>
        <v>0</v>
      </c>
      <c r="C205" s="921">
        <f t="shared" si="526"/>
        <v>0</v>
      </c>
      <c r="D205" s="921">
        <f t="shared" si="526"/>
        <v>0</v>
      </c>
      <c r="E205" s="921">
        <f t="shared" si="526"/>
        <v>0</v>
      </c>
      <c r="F205" s="921">
        <f t="shared" si="526"/>
        <v>0</v>
      </c>
      <c r="G205" s="921">
        <f t="shared" si="526"/>
        <v>0</v>
      </c>
      <c r="H205" s="921">
        <f t="shared" si="526"/>
        <v>0</v>
      </c>
      <c r="I205" s="921">
        <f t="shared" si="526"/>
        <v>0</v>
      </c>
      <c r="J205" s="922">
        <v>0</v>
      </c>
      <c r="K205" s="921">
        <f t="shared" ref="K205:BU205" si="527">ROUND(K203*K204,0)</f>
        <v>0</v>
      </c>
      <c r="L205" s="921">
        <f t="shared" si="527"/>
        <v>1</v>
      </c>
      <c r="M205" s="921">
        <f t="shared" si="527"/>
        <v>2</v>
      </c>
      <c r="N205" s="1401">
        <f t="shared" si="527"/>
        <v>7</v>
      </c>
      <c r="O205" s="921">
        <f t="shared" si="527"/>
        <v>1</v>
      </c>
      <c r="P205" s="921">
        <f t="shared" si="527"/>
        <v>9</v>
      </c>
      <c r="Q205" s="921">
        <f t="shared" si="527"/>
        <v>3</v>
      </c>
      <c r="R205" s="1402">
        <f t="shared" si="527"/>
        <v>10</v>
      </c>
      <c r="S205" s="921">
        <f t="shared" si="527"/>
        <v>4</v>
      </c>
      <c r="T205" s="921">
        <f t="shared" ref="T205" si="528">ROUND(T203*T204,0)</f>
        <v>6</v>
      </c>
      <c r="U205" s="921">
        <f t="shared" si="527"/>
        <v>9</v>
      </c>
      <c r="V205" s="1401">
        <f t="shared" si="527"/>
        <v>9</v>
      </c>
      <c r="W205" s="921">
        <f t="shared" si="527"/>
        <v>10</v>
      </c>
      <c r="X205" s="921">
        <f t="shared" si="527"/>
        <v>18</v>
      </c>
      <c r="Y205" s="921">
        <f t="shared" si="527"/>
        <v>19</v>
      </c>
      <c r="Z205" s="1402">
        <f t="shared" si="527"/>
        <v>28</v>
      </c>
      <c r="AA205" s="921">
        <f t="shared" si="527"/>
        <v>4</v>
      </c>
      <c r="AB205" s="921">
        <f t="shared" si="527"/>
        <v>10</v>
      </c>
      <c r="AC205" s="921">
        <f t="shared" si="527"/>
        <v>8</v>
      </c>
      <c r="AD205" s="1401">
        <f t="shared" si="527"/>
        <v>14</v>
      </c>
      <c r="AE205" s="921">
        <f t="shared" si="527"/>
        <v>13</v>
      </c>
      <c r="AF205" s="921">
        <f t="shared" si="527"/>
        <v>21</v>
      </c>
      <c r="AG205" s="921">
        <f t="shared" si="527"/>
        <v>21</v>
      </c>
      <c r="AH205" s="1402">
        <f t="shared" si="527"/>
        <v>34</v>
      </c>
      <c r="AI205" s="921">
        <f t="shared" si="527"/>
        <v>7</v>
      </c>
      <c r="AJ205" s="921">
        <f t="shared" si="527"/>
        <v>11</v>
      </c>
      <c r="AK205" s="924">
        <f t="shared" si="527"/>
        <v>12</v>
      </c>
      <c r="AL205" s="923">
        <f t="shared" si="527"/>
        <v>13</v>
      </c>
      <c r="AM205" s="921">
        <f t="shared" si="527"/>
        <v>18</v>
      </c>
      <c r="AN205" s="924">
        <f t="shared" si="527"/>
        <v>25</v>
      </c>
      <c r="AO205" s="924">
        <f t="shared" si="527"/>
        <v>30</v>
      </c>
      <c r="AP205" s="925">
        <f t="shared" si="527"/>
        <v>43</v>
      </c>
      <c r="AQ205" s="924">
        <f t="shared" si="527"/>
        <v>13</v>
      </c>
      <c r="AR205" s="924">
        <f t="shared" si="527"/>
        <v>13</v>
      </c>
      <c r="AS205" s="924">
        <f t="shared" si="527"/>
        <v>13</v>
      </c>
      <c r="AT205" s="923">
        <f t="shared" si="527"/>
        <v>18</v>
      </c>
      <c r="AU205" s="924">
        <f t="shared" si="527"/>
        <v>25</v>
      </c>
      <c r="AV205" s="924">
        <f t="shared" si="527"/>
        <v>30</v>
      </c>
      <c r="AW205" s="924">
        <f t="shared" si="527"/>
        <v>38</v>
      </c>
      <c r="AX205" s="925">
        <f t="shared" si="527"/>
        <v>55</v>
      </c>
      <c r="AY205" s="924">
        <f t="shared" si="527"/>
        <v>18</v>
      </c>
      <c r="AZ205" s="924">
        <f t="shared" si="527"/>
        <v>18</v>
      </c>
      <c r="BA205" s="924">
        <f t="shared" si="527"/>
        <v>18</v>
      </c>
      <c r="BB205" s="923">
        <f t="shared" si="527"/>
        <v>20</v>
      </c>
      <c r="BC205" s="924">
        <f t="shared" si="527"/>
        <v>35</v>
      </c>
      <c r="BD205" s="924">
        <f t="shared" si="527"/>
        <v>38</v>
      </c>
      <c r="BE205" s="924">
        <f t="shared" si="527"/>
        <v>53</v>
      </c>
      <c r="BF205" s="925">
        <f t="shared" si="527"/>
        <v>73</v>
      </c>
      <c r="BG205" s="924">
        <f t="shared" si="527"/>
        <v>20</v>
      </c>
      <c r="BH205" s="924">
        <f t="shared" si="527"/>
        <v>20</v>
      </c>
      <c r="BI205" s="924">
        <f t="shared" si="527"/>
        <v>20</v>
      </c>
      <c r="BJ205" s="923">
        <f t="shared" si="527"/>
        <v>20</v>
      </c>
      <c r="BK205" s="924">
        <f t="shared" si="527"/>
        <v>40</v>
      </c>
      <c r="BL205" s="924">
        <f t="shared" si="527"/>
        <v>40</v>
      </c>
      <c r="BM205" s="924">
        <f t="shared" si="527"/>
        <v>60</v>
      </c>
      <c r="BN205" s="925">
        <f t="shared" si="527"/>
        <v>80</v>
      </c>
      <c r="BO205" s="924">
        <f t="shared" si="527"/>
        <v>20</v>
      </c>
      <c r="BP205" s="924">
        <f t="shared" si="527"/>
        <v>20</v>
      </c>
      <c r="BQ205" s="924">
        <f t="shared" si="527"/>
        <v>20</v>
      </c>
      <c r="BR205" s="923">
        <f t="shared" si="527"/>
        <v>0</v>
      </c>
      <c r="BS205" s="924">
        <f t="shared" si="527"/>
        <v>40</v>
      </c>
      <c r="BT205" s="924">
        <f t="shared" si="527"/>
        <v>20</v>
      </c>
      <c r="BU205" s="924">
        <f t="shared" si="527"/>
        <v>60</v>
      </c>
      <c r="BV205" s="925">
        <f>BN205</f>
        <v>80</v>
      </c>
    </row>
    <row r="206" spans="1:74" x14ac:dyDescent="0.2">
      <c r="A206" s="931"/>
      <c r="J206" s="180"/>
      <c r="N206" s="179"/>
      <c r="R206" s="314"/>
      <c r="V206" s="179"/>
      <c r="Z206" s="314"/>
      <c r="AD206" s="179"/>
      <c r="AH206" s="314"/>
      <c r="AL206" s="179"/>
      <c r="AP206" s="314"/>
      <c r="AT206" s="179"/>
      <c r="AX206" s="314"/>
      <c r="BB206" s="179"/>
      <c r="BF206" s="314"/>
      <c r="BJ206" s="179"/>
      <c r="BN206" s="314"/>
      <c r="BR206" s="179"/>
      <c r="BV206" s="314"/>
    </row>
    <row r="207" spans="1:74" ht="12" thickBot="1" x14ac:dyDescent="0.25">
      <c r="A207" s="938" t="s">
        <v>917</v>
      </c>
      <c r="B207" s="938">
        <f t="shared" ref="B207:P207" si="529">B50</f>
        <v>0</v>
      </c>
      <c r="C207" s="938">
        <f t="shared" si="529"/>
        <v>0</v>
      </c>
      <c r="D207" s="938">
        <f t="shared" si="529"/>
        <v>77</v>
      </c>
      <c r="E207" s="938">
        <f t="shared" si="529"/>
        <v>461</v>
      </c>
      <c r="F207" s="938">
        <f t="shared" si="529"/>
        <v>1119</v>
      </c>
      <c r="G207" s="938">
        <f t="shared" si="529"/>
        <v>1736</v>
      </c>
      <c r="H207" s="938">
        <f t="shared" si="529"/>
        <v>815</v>
      </c>
      <c r="I207" s="938">
        <f t="shared" si="529"/>
        <v>845</v>
      </c>
      <c r="J207" s="939">
        <f t="shared" si="529"/>
        <v>1136</v>
      </c>
      <c r="K207" s="938">
        <f t="shared" si="529"/>
        <v>366</v>
      </c>
      <c r="L207" s="938">
        <f t="shared" si="529"/>
        <v>419</v>
      </c>
      <c r="M207" s="938">
        <f t="shared" si="529"/>
        <v>389</v>
      </c>
      <c r="N207" s="1411">
        <f t="shared" si="529"/>
        <v>396</v>
      </c>
      <c r="O207" s="938">
        <f t="shared" si="529"/>
        <v>785</v>
      </c>
      <c r="P207" s="938">
        <f t="shared" si="529"/>
        <v>785</v>
      </c>
      <c r="Q207" s="938" t="e">
        <f t="shared" ref="Q207:BV207" si="530">Q205+Q195+Q185</f>
        <v>#DIV/0!</v>
      </c>
      <c r="R207" s="1410">
        <f>R50</f>
        <v>1570</v>
      </c>
      <c r="S207" s="938">
        <f t="shared" ref="S207:V207" si="531">S50</f>
        <v>367</v>
      </c>
      <c r="T207" s="938">
        <f t="shared" si="531"/>
        <v>297</v>
      </c>
      <c r="U207" s="938">
        <f t="shared" si="531"/>
        <v>365</v>
      </c>
      <c r="V207" s="1411">
        <f t="shared" si="531"/>
        <v>378</v>
      </c>
      <c r="W207" s="938">
        <f t="shared" ref="W207:X207" si="532">W50</f>
        <v>664</v>
      </c>
      <c r="X207" s="938">
        <f t="shared" si="532"/>
        <v>743</v>
      </c>
      <c r="Y207" s="938">
        <f t="shared" ref="Y207" si="533">Y50</f>
        <v>1029</v>
      </c>
      <c r="Z207" s="1410">
        <f>Z50</f>
        <v>1407</v>
      </c>
      <c r="AA207" s="938">
        <f t="shared" ref="AA207" si="534">AA50</f>
        <v>319</v>
      </c>
      <c r="AB207" s="938">
        <f>AB50</f>
        <v>410</v>
      </c>
      <c r="AC207" s="938">
        <f>AC50</f>
        <v>511</v>
      </c>
      <c r="AD207" s="1411">
        <f t="shared" ref="AD207:AG207" si="535">AD50</f>
        <v>562</v>
      </c>
      <c r="AE207" s="938">
        <f t="shared" si="535"/>
        <v>729</v>
      </c>
      <c r="AF207" s="938">
        <f t="shared" si="535"/>
        <v>1073</v>
      </c>
      <c r="AG207" s="938">
        <f t="shared" si="535"/>
        <v>1240</v>
      </c>
      <c r="AH207" s="1410">
        <f>AH50</f>
        <v>1802</v>
      </c>
      <c r="AI207" s="938">
        <f>AI50</f>
        <v>520</v>
      </c>
      <c r="AJ207" s="938">
        <f t="shared" ref="AJ207" si="536">AJ50</f>
        <v>510</v>
      </c>
      <c r="AK207" s="941">
        <f t="shared" si="530"/>
        <v>524</v>
      </c>
      <c r="AL207" s="940">
        <f t="shared" si="530"/>
        <v>592</v>
      </c>
      <c r="AM207" s="938">
        <f>AM50</f>
        <v>1030</v>
      </c>
      <c r="AN207" s="941">
        <f t="shared" si="530"/>
        <v>1116</v>
      </c>
      <c r="AO207" s="941">
        <f t="shared" si="530"/>
        <v>1554</v>
      </c>
      <c r="AP207" s="942">
        <f t="shared" si="530"/>
        <v>2146</v>
      </c>
      <c r="AQ207" s="941">
        <f t="shared" si="530"/>
        <v>568</v>
      </c>
      <c r="AR207" s="941">
        <f t="shared" si="530"/>
        <v>580</v>
      </c>
      <c r="AS207" s="941">
        <f t="shared" si="530"/>
        <v>580</v>
      </c>
      <c r="AT207" s="940">
        <f t="shared" si="530"/>
        <v>636</v>
      </c>
      <c r="AU207" s="941">
        <f t="shared" si="530"/>
        <v>1147</v>
      </c>
      <c r="AV207" s="941">
        <f t="shared" si="530"/>
        <v>1215</v>
      </c>
      <c r="AW207" s="941">
        <f t="shared" si="530"/>
        <v>1727</v>
      </c>
      <c r="AX207" s="942">
        <f>AX205+AX195+AX185</f>
        <v>2362</v>
      </c>
      <c r="AY207" s="941">
        <f t="shared" si="530"/>
        <v>632</v>
      </c>
      <c r="AZ207" s="941">
        <f t="shared" si="530"/>
        <v>643</v>
      </c>
      <c r="BA207" s="941">
        <f t="shared" si="530"/>
        <v>643</v>
      </c>
      <c r="BB207" s="940">
        <f t="shared" si="530"/>
        <v>646</v>
      </c>
      <c r="BC207" s="941">
        <f t="shared" si="530"/>
        <v>1273</v>
      </c>
      <c r="BD207" s="941">
        <f t="shared" si="530"/>
        <v>1288</v>
      </c>
      <c r="BE207" s="941">
        <f t="shared" si="530"/>
        <v>1916</v>
      </c>
      <c r="BF207" s="942">
        <f t="shared" si="530"/>
        <v>2561</v>
      </c>
      <c r="BG207" s="941">
        <f t="shared" si="530"/>
        <v>646</v>
      </c>
      <c r="BH207" s="941">
        <f t="shared" si="530"/>
        <v>646</v>
      </c>
      <c r="BI207" s="941">
        <f t="shared" si="530"/>
        <v>646</v>
      </c>
      <c r="BJ207" s="940">
        <f t="shared" si="530"/>
        <v>646</v>
      </c>
      <c r="BK207" s="941">
        <f t="shared" si="530"/>
        <v>1290</v>
      </c>
      <c r="BL207" s="941">
        <f t="shared" si="530"/>
        <v>1291</v>
      </c>
      <c r="BM207" s="941">
        <f t="shared" si="530"/>
        <v>1937</v>
      </c>
      <c r="BN207" s="942">
        <f t="shared" si="530"/>
        <v>2581</v>
      </c>
      <c r="BO207" s="941">
        <f t="shared" si="530"/>
        <v>636</v>
      </c>
      <c r="BP207" s="941">
        <f t="shared" si="530"/>
        <v>636</v>
      </c>
      <c r="BQ207" s="941">
        <f t="shared" si="530"/>
        <v>636</v>
      </c>
      <c r="BR207" s="940">
        <f t="shared" si="530"/>
        <v>274</v>
      </c>
      <c r="BS207" s="941">
        <f t="shared" si="530"/>
        <v>1271</v>
      </c>
      <c r="BT207" s="941">
        <f t="shared" si="530"/>
        <v>910</v>
      </c>
      <c r="BU207" s="941">
        <f t="shared" si="530"/>
        <v>1909</v>
      </c>
      <c r="BV207" s="942">
        <f t="shared" si="530"/>
        <v>2581</v>
      </c>
    </row>
    <row r="208" spans="1:74" x14ac:dyDescent="0.2">
      <c r="A208" s="930" t="s">
        <v>20</v>
      </c>
      <c r="B208" s="899"/>
      <c r="C208" s="943"/>
      <c r="D208" s="943">
        <f>D207/(D195+D205+D185)-1</f>
        <v>-0.3529411764705882</v>
      </c>
      <c r="E208" s="943">
        <f>E207/(E195+E205+E185)-1</f>
        <v>-9.7847358121330719E-2</v>
      </c>
      <c r="F208" s="944">
        <f>F207/(F195+F205+F185)-1</f>
        <v>8.944543828264262E-4</v>
      </c>
      <c r="G208" s="944">
        <f>G207/(G196+G205+G185)-1</f>
        <v>1.487106017191977</v>
      </c>
      <c r="H208" s="944">
        <f>H207/G207-1</f>
        <v>-0.53052995391705071</v>
      </c>
      <c r="I208" s="944">
        <f>I207/H207-1</f>
        <v>3.6809815950920255E-2</v>
      </c>
      <c r="J208" s="962">
        <f>J207/I207-1</f>
        <v>0.34437869822485201</v>
      </c>
      <c r="K208" s="944"/>
      <c r="L208" s="944"/>
      <c r="M208" s="944"/>
      <c r="N208" s="962"/>
      <c r="O208" s="944"/>
      <c r="P208" s="944"/>
      <c r="Q208" s="944"/>
      <c r="R208" s="943">
        <f>R207/J207-1</f>
        <v>0.38204225352112675</v>
      </c>
      <c r="S208" s="944">
        <f t="shared" ref="S208:BV208" si="537">S207/K207-1</f>
        <v>2.732240437158362E-3</v>
      </c>
      <c r="T208" s="944">
        <f t="shared" si="537"/>
        <v>-0.29116945107398573</v>
      </c>
      <c r="U208" s="944">
        <f t="shared" si="537"/>
        <v>-6.169665809768643E-2</v>
      </c>
      <c r="V208" s="962">
        <f t="shared" si="537"/>
        <v>-4.5454545454545414E-2</v>
      </c>
      <c r="W208" s="944">
        <f t="shared" si="537"/>
        <v>-0.154140127388535</v>
      </c>
      <c r="X208" s="944">
        <f t="shared" si="537"/>
        <v>-5.3503184713375784E-2</v>
      </c>
      <c r="Y208" s="944" t="e">
        <f t="shared" si="537"/>
        <v>#DIV/0!</v>
      </c>
      <c r="Z208" s="943">
        <f>Z207/R207-1</f>
        <v>-0.10382165605095539</v>
      </c>
      <c r="AA208" s="944">
        <f t="shared" si="537"/>
        <v>-0.13079019073569487</v>
      </c>
      <c r="AB208" s="944">
        <f t="shared" si="537"/>
        <v>0.3804713804713804</v>
      </c>
      <c r="AC208" s="944">
        <f t="shared" si="537"/>
        <v>0.39999999999999991</v>
      </c>
      <c r="AD208" s="962">
        <f t="shared" si="537"/>
        <v>0.48677248677248675</v>
      </c>
      <c r="AE208" s="944">
        <f t="shared" si="537"/>
        <v>9.7891566265060348E-2</v>
      </c>
      <c r="AF208" s="944">
        <f t="shared" si="537"/>
        <v>0.44414535666218025</v>
      </c>
      <c r="AG208" s="944">
        <f t="shared" si="537"/>
        <v>0.20505344995140917</v>
      </c>
      <c r="AH208" s="943">
        <f>AH207/Z207-1</f>
        <v>0.28073916133617627</v>
      </c>
      <c r="AI208" s="944">
        <f t="shared" si="537"/>
        <v>0.6300940438871474</v>
      </c>
      <c r="AJ208" s="944">
        <f t="shared" si="537"/>
        <v>0.24390243902439024</v>
      </c>
      <c r="AK208" s="948">
        <f t="shared" si="537"/>
        <v>2.5440313111545931E-2</v>
      </c>
      <c r="AL208" s="964">
        <f t="shared" si="537"/>
        <v>5.3380782918149405E-2</v>
      </c>
      <c r="AM208" s="944">
        <f t="shared" si="537"/>
        <v>0.4128943758573389</v>
      </c>
      <c r="AN208" s="948">
        <f t="shared" si="537"/>
        <v>4.0074557315936676E-2</v>
      </c>
      <c r="AO208" s="948">
        <f t="shared" si="537"/>
        <v>0.25322580645161286</v>
      </c>
      <c r="AP208" s="963">
        <f t="shared" si="537"/>
        <v>0.1908990011098779</v>
      </c>
      <c r="AQ208" s="948">
        <f t="shared" si="537"/>
        <v>9.2307692307692202E-2</v>
      </c>
      <c r="AR208" s="948">
        <f t="shared" si="537"/>
        <v>0.13725490196078427</v>
      </c>
      <c r="AS208" s="948">
        <f t="shared" si="537"/>
        <v>0.10687022900763354</v>
      </c>
      <c r="AT208" s="964">
        <f t="shared" si="537"/>
        <v>7.4324324324324342E-2</v>
      </c>
      <c r="AU208" s="948">
        <f t="shared" si="537"/>
        <v>0.11359223300970878</v>
      </c>
      <c r="AV208" s="948">
        <f t="shared" si="537"/>
        <v>8.870967741935476E-2</v>
      </c>
      <c r="AW208" s="948">
        <f t="shared" si="537"/>
        <v>0.11132561132561136</v>
      </c>
      <c r="AX208" s="963">
        <f t="shared" si="537"/>
        <v>0.10065237651444559</v>
      </c>
      <c r="AY208" s="948">
        <f t="shared" si="537"/>
        <v>0.11267605633802824</v>
      </c>
      <c r="AZ208" s="948">
        <f t="shared" si="537"/>
        <v>0.10862068965517246</v>
      </c>
      <c r="BA208" s="948">
        <f t="shared" si="537"/>
        <v>0.10862068965517246</v>
      </c>
      <c r="BB208" s="964">
        <f t="shared" si="537"/>
        <v>1.572327044025168E-2</v>
      </c>
      <c r="BC208" s="948">
        <f t="shared" si="537"/>
        <v>0.1098517872711422</v>
      </c>
      <c r="BD208" s="948">
        <f t="shared" si="537"/>
        <v>6.0082304526748898E-2</v>
      </c>
      <c r="BE208" s="948">
        <f t="shared" si="537"/>
        <v>0.10943833236826861</v>
      </c>
      <c r="BF208" s="963">
        <f t="shared" si="537"/>
        <v>8.4250635055038048E-2</v>
      </c>
      <c r="BG208" s="948">
        <f t="shared" si="537"/>
        <v>2.2151898734177111E-2</v>
      </c>
      <c r="BH208" s="948">
        <f t="shared" si="537"/>
        <v>4.6656298600311619E-3</v>
      </c>
      <c r="BI208" s="948">
        <f t="shared" si="537"/>
        <v>4.6656298600311619E-3</v>
      </c>
      <c r="BJ208" s="964">
        <f t="shared" si="537"/>
        <v>0</v>
      </c>
      <c r="BK208" s="948">
        <f t="shared" si="537"/>
        <v>1.3354281225451681E-2</v>
      </c>
      <c r="BL208" s="948">
        <f t="shared" si="537"/>
        <v>2.3291925465838137E-3</v>
      </c>
      <c r="BM208" s="948">
        <f t="shared" si="537"/>
        <v>1.096033402922747E-2</v>
      </c>
      <c r="BN208" s="963">
        <f t="shared" si="537"/>
        <v>7.8094494338150078E-3</v>
      </c>
      <c r="BO208" s="948">
        <f t="shared" si="537"/>
        <v>-1.5479876160990669E-2</v>
      </c>
      <c r="BP208" s="948">
        <f t="shared" si="537"/>
        <v>-1.5479876160990669E-2</v>
      </c>
      <c r="BQ208" s="948">
        <f t="shared" si="537"/>
        <v>-1.5479876160990669E-2</v>
      </c>
      <c r="BR208" s="964">
        <f t="shared" si="537"/>
        <v>-0.57585139318885448</v>
      </c>
      <c r="BS208" s="948">
        <f t="shared" si="537"/>
        <v>-1.4728682170542684E-2</v>
      </c>
      <c r="BT208" s="948">
        <f t="shared" si="537"/>
        <v>-0.2951200619674671</v>
      </c>
      <c r="BU208" s="948">
        <f t="shared" si="537"/>
        <v>-1.4455343314403679E-2</v>
      </c>
      <c r="BV208" s="963">
        <f t="shared" si="537"/>
        <v>0</v>
      </c>
    </row>
    <row r="209" spans="1:74" s="197" customFormat="1" x14ac:dyDescent="0.2">
      <c r="A209" s="930" t="s">
        <v>909</v>
      </c>
      <c r="B209" s="901"/>
      <c r="C209" s="901"/>
      <c r="D209" s="901">
        <f t="shared" ref="D209:AG209" si="538">D207-D205-D195-D185</f>
        <v>-42</v>
      </c>
      <c r="E209" s="901">
        <f>E207-E205-E195-E185</f>
        <v>-50</v>
      </c>
      <c r="F209" s="901">
        <f t="shared" si="538"/>
        <v>1</v>
      </c>
      <c r="G209" s="901">
        <f t="shared" si="538"/>
        <v>0</v>
      </c>
      <c r="H209" s="901">
        <f t="shared" si="538"/>
        <v>0</v>
      </c>
      <c r="I209" s="901">
        <f t="shared" si="538"/>
        <v>0</v>
      </c>
      <c r="J209" s="901">
        <f>J207-J205-J195-J185</f>
        <v>0</v>
      </c>
      <c r="K209" s="901" t="e">
        <f t="shared" si="538"/>
        <v>#DIV/0!</v>
      </c>
      <c r="L209" s="901" t="e">
        <f>L207-L205-L195-L185</f>
        <v>#DIV/0!</v>
      </c>
      <c r="M209" s="901" t="e">
        <f>M207-M205-M195-M185</f>
        <v>#DIV/0!</v>
      </c>
      <c r="N209" s="901" t="e">
        <f>N207-N205-N195-N185</f>
        <v>#DIV/0!</v>
      </c>
      <c r="O209" s="901" t="e">
        <f t="shared" si="538"/>
        <v>#DIV/0!</v>
      </c>
      <c r="P209" s="901" t="e">
        <f t="shared" si="538"/>
        <v>#DIV/0!</v>
      </c>
      <c r="Q209" s="901" t="e">
        <f t="shared" si="538"/>
        <v>#DIV/0!</v>
      </c>
      <c r="R209" s="901">
        <f>R207-R205-R195-R185</f>
        <v>0</v>
      </c>
      <c r="S209" s="901">
        <f>S207-S205-S195-S185</f>
        <v>0</v>
      </c>
      <c r="T209" s="901">
        <f>T207-T205-T195-T185</f>
        <v>0</v>
      </c>
      <c r="U209" s="901">
        <f>U207-U205-U195-U185</f>
        <v>0</v>
      </c>
      <c r="V209" s="901">
        <f t="shared" si="538"/>
        <v>0</v>
      </c>
      <c r="W209" s="901">
        <f t="shared" si="538"/>
        <v>0</v>
      </c>
      <c r="X209" s="901">
        <f t="shared" si="538"/>
        <v>0</v>
      </c>
      <c r="Y209" s="901">
        <f>Y207-Y205-Y195-Y185</f>
        <v>0</v>
      </c>
      <c r="Z209" s="930">
        <f>Z207-Z205-Z195-Z185</f>
        <v>0</v>
      </c>
      <c r="AA209" s="901">
        <f t="shared" si="538"/>
        <v>0</v>
      </c>
      <c r="AB209" s="901">
        <f t="shared" si="538"/>
        <v>0</v>
      </c>
      <c r="AC209" s="901">
        <f t="shared" si="538"/>
        <v>0</v>
      </c>
      <c r="AD209" s="901">
        <f t="shared" si="538"/>
        <v>-1</v>
      </c>
      <c r="AE209" s="901">
        <f t="shared" si="538"/>
        <v>0</v>
      </c>
      <c r="AF209" s="901">
        <f t="shared" si="538"/>
        <v>0</v>
      </c>
      <c r="AG209" s="901">
        <f t="shared" si="538"/>
        <v>0</v>
      </c>
      <c r="AH209" s="930">
        <f>AH207-AH205-AH195-AH185</f>
        <v>0</v>
      </c>
      <c r="AI209" s="901">
        <f t="shared" ref="AI209:AO209" si="539">AI207-AI205-AI195-AI185</f>
        <v>0</v>
      </c>
      <c r="AJ209" s="901">
        <f t="shared" si="539"/>
        <v>0</v>
      </c>
      <c r="AK209" s="904">
        <f t="shared" si="539"/>
        <v>0</v>
      </c>
      <c r="AL209" s="904">
        <f t="shared" si="539"/>
        <v>0</v>
      </c>
      <c r="AM209" s="901">
        <f t="shared" si="539"/>
        <v>0</v>
      </c>
      <c r="AN209" s="904">
        <f t="shared" si="539"/>
        <v>0</v>
      </c>
      <c r="AO209" s="904">
        <f t="shared" si="539"/>
        <v>0</v>
      </c>
      <c r="AP209" s="965">
        <f>AP207-AP205-AP195-AP185</f>
        <v>0</v>
      </c>
      <c r="AQ209" s="904">
        <f t="shared" ref="AQ209:AW209" si="540">AQ207-AQ205-AQ195-AQ185</f>
        <v>0</v>
      </c>
      <c r="AR209" s="904">
        <f t="shared" si="540"/>
        <v>0</v>
      </c>
      <c r="AS209" s="904">
        <f t="shared" si="540"/>
        <v>0</v>
      </c>
      <c r="AT209" s="904">
        <f t="shared" si="540"/>
        <v>0</v>
      </c>
      <c r="AU209" s="904">
        <f t="shared" si="540"/>
        <v>0</v>
      </c>
      <c r="AV209" s="904">
        <f t="shared" si="540"/>
        <v>0</v>
      </c>
      <c r="AW209" s="904">
        <f t="shared" si="540"/>
        <v>0</v>
      </c>
      <c r="AX209" s="965">
        <f>AX207-AX205-AX195-AX185</f>
        <v>0</v>
      </c>
      <c r="AY209" s="904">
        <f t="shared" ref="AY209:BE209" si="541">AY207-AY205-AY195-AY185</f>
        <v>0</v>
      </c>
      <c r="AZ209" s="904">
        <f t="shared" si="541"/>
        <v>0</v>
      </c>
      <c r="BA209" s="904">
        <f t="shared" si="541"/>
        <v>0</v>
      </c>
      <c r="BB209" s="904">
        <f t="shared" si="541"/>
        <v>0</v>
      </c>
      <c r="BC209" s="904">
        <f t="shared" si="541"/>
        <v>0</v>
      </c>
      <c r="BD209" s="904">
        <f t="shared" si="541"/>
        <v>0</v>
      </c>
      <c r="BE209" s="904">
        <f t="shared" si="541"/>
        <v>0</v>
      </c>
      <c r="BF209" s="965">
        <f>BF207-BF205-BF195-BF185</f>
        <v>0</v>
      </c>
      <c r="BG209" s="904">
        <f t="shared" ref="BG209:BM209" si="542">BG207-BG205-BG195-BG185</f>
        <v>0</v>
      </c>
      <c r="BH209" s="904">
        <f t="shared" si="542"/>
        <v>0</v>
      </c>
      <c r="BI209" s="904">
        <f t="shared" si="542"/>
        <v>0</v>
      </c>
      <c r="BJ209" s="904">
        <f t="shared" si="542"/>
        <v>0</v>
      </c>
      <c r="BK209" s="904">
        <f t="shared" si="542"/>
        <v>0</v>
      </c>
      <c r="BL209" s="904">
        <f t="shared" si="542"/>
        <v>0</v>
      </c>
      <c r="BM209" s="904">
        <f t="shared" si="542"/>
        <v>0</v>
      </c>
      <c r="BN209" s="965">
        <f>BN207-BN205-BN195-BN185</f>
        <v>0</v>
      </c>
      <c r="BO209" s="904">
        <f t="shared" ref="BO209:BU209" si="543">BO207-BO205-BO195-BO185</f>
        <v>0</v>
      </c>
      <c r="BP209" s="904">
        <f t="shared" si="543"/>
        <v>0</v>
      </c>
      <c r="BQ209" s="904">
        <f t="shared" si="543"/>
        <v>0</v>
      </c>
      <c r="BR209" s="904">
        <f t="shared" si="543"/>
        <v>0</v>
      </c>
      <c r="BS209" s="904">
        <f t="shared" si="543"/>
        <v>0</v>
      </c>
      <c r="BT209" s="904">
        <f t="shared" si="543"/>
        <v>0</v>
      </c>
      <c r="BU209" s="904">
        <f t="shared" si="543"/>
        <v>0</v>
      </c>
      <c r="BV209" s="965">
        <f>BV207-BV205-BV195-BV185</f>
        <v>0</v>
      </c>
    </row>
  </sheetData>
  <pageMargins left="0.7" right="0.7" top="0.75" bottom="0.75" header="0.3" footer="0.3"/>
  <pageSetup paperSize="9" scale="5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7B2CE-F894-41A5-8927-3DFEB486D59C}">
  <sheetPr codeName="Sheet11">
    <tabColor theme="8" tint="0.79998168889431442"/>
    <pageSetUpPr fitToPage="1"/>
  </sheetPr>
  <dimension ref="A1:DD192"/>
  <sheetViews>
    <sheetView showGridLines="0" zoomScaleNormal="100" workbookViewId="0">
      <pane xSplit="2" ySplit="2" topLeftCell="AM23" activePane="bottomRight" state="frozen"/>
      <selection pane="topRight" activeCell="C1" sqref="C1"/>
      <selection pane="bottomLeft" activeCell="A4" sqref="A4"/>
      <selection pane="bottomRight" activeCell="BU1" sqref="BU1"/>
    </sheetView>
  </sheetViews>
  <sheetFormatPr defaultColWidth="8.85546875" defaultRowHeight="11.25" outlineLevelRow="1" outlineLevelCol="2" x14ac:dyDescent="0.2"/>
  <cols>
    <col min="1" max="1" width="6.28515625" style="4" customWidth="1"/>
    <col min="2" max="2" width="26.7109375" style="4" customWidth="1"/>
    <col min="3" max="32" width="7.28515625" style="4" hidden="1" customWidth="1" outlineLevel="1"/>
    <col min="33" max="33" width="7.28515625" style="4" customWidth="1" collapsed="1"/>
    <col min="34" max="35" width="8.85546875" style="4"/>
    <col min="36" max="36" width="7.28515625" style="4" customWidth="1"/>
    <col min="37" max="41" width="8.85546875" style="4"/>
    <col min="42" max="45" width="8.85546875" style="4" hidden="1" customWidth="1" outlineLevel="2"/>
    <col min="46" max="46" width="8.85546875" style="4" hidden="1" customWidth="1" outlineLevel="1" collapsed="1"/>
    <col min="47" max="48" width="8.85546875" style="4" hidden="1" customWidth="1" outlineLevel="1"/>
    <col min="49" max="49" width="8.85546875" style="4" collapsed="1"/>
    <col min="50" max="53" width="7.28515625" style="4" hidden="1" customWidth="1" outlineLevel="2"/>
    <col min="54" max="54" width="7.28515625" style="4" hidden="1" customWidth="1" outlineLevel="1" collapsed="1"/>
    <col min="55" max="56" width="7.28515625" style="4" hidden="1" customWidth="1" outlineLevel="1"/>
    <col min="57" max="57" width="8.85546875" style="4" collapsed="1"/>
    <col min="58" max="61" width="7.28515625" style="4" hidden="1" customWidth="1" outlineLevel="2"/>
    <col min="62" max="62" width="7.28515625" style="4" hidden="1" customWidth="1" outlineLevel="1" collapsed="1"/>
    <col min="63" max="64" width="7.28515625" style="4" hidden="1" customWidth="1" outlineLevel="1"/>
    <col min="65" max="65" width="8.85546875" style="4" collapsed="1"/>
    <col min="66" max="69" width="7.28515625" style="4" hidden="1" customWidth="1" outlineLevel="2"/>
    <col min="70" max="70" width="7.28515625" style="4" hidden="1" customWidth="1" outlineLevel="1" collapsed="1"/>
    <col min="71" max="72" width="7.28515625" style="4" hidden="1" customWidth="1" outlineLevel="1"/>
    <col min="73" max="73" width="8.85546875" style="4" collapsed="1"/>
    <col min="74" max="77" width="7.28515625" style="4" hidden="1" customWidth="1" outlineLevel="2"/>
    <col min="78" max="78" width="7.28515625" style="4" hidden="1" customWidth="1" outlineLevel="1" collapsed="1"/>
    <col min="79" max="80" width="7.28515625" style="4" hidden="1" customWidth="1" outlineLevel="1"/>
    <col min="81" max="81" width="8.85546875" style="4" collapsed="1"/>
    <col min="82" max="85" width="7.28515625" style="4" hidden="1" customWidth="1" outlineLevel="2"/>
    <col min="86" max="86" width="7.28515625" style="4" hidden="1" customWidth="1" outlineLevel="1" collapsed="1"/>
    <col min="87" max="88" width="7.28515625" style="4" hidden="1" customWidth="1" outlineLevel="1"/>
    <col min="89" max="89" width="8.85546875" style="4" collapsed="1"/>
    <col min="90" max="93" width="7.28515625" style="4" hidden="1" customWidth="1" outlineLevel="2"/>
    <col min="94" max="94" width="7.28515625" style="4" hidden="1" customWidth="1" outlineLevel="1" collapsed="1"/>
    <col min="95" max="96" width="7.28515625" style="4" hidden="1" customWidth="1" outlineLevel="1"/>
    <col min="97" max="97" width="8.85546875" style="4" collapsed="1"/>
    <col min="98" max="101" width="7.28515625" style="4" hidden="1" customWidth="1" outlineLevel="2"/>
    <col min="102" max="102" width="7.28515625" style="4" hidden="1" customWidth="1" outlineLevel="1" collapsed="1"/>
    <col min="103" max="104" width="7.28515625" style="4" hidden="1" customWidth="1" outlineLevel="1"/>
    <col min="105" max="105" width="8.85546875" style="4" collapsed="1"/>
    <col min="106" max="106" width="7.28515625" style="4" customWidth="1"/>
    <col min="107" max="16384" width="8.85546875" style="4"/>
  </cols>
  <sheetData>
    <row r="1" spans="1:108" ht="12" x14ac:dyDescent="0.2">
      <c r="B1" s="966"/>
      <c r="C1" s="967"/>
      <c r="D1" s="966"/>
      <c r="E1" s="966"/>
      <c r="F1" s="966"/>
      <c r="G1" s="966"/>
      <c r="H1" s="966"/>
      <c r="I1" s="966"/>
      <c r="J1" s="966"/>
      <c r="K1" s="966"/>
      <c r="L1" s="966"/>
      <c r="M1" s="966"/>
      <c r="N1" s="966"/>
      <c r="O1" s="966"/>
      <c r="P1" s="966"/>
      <c r="Q1" s="966"/>
      <c r="R1" s="966"/>
      <c r="S1" s="966"/>
      <c r="T1" s="966"/>
      <c r="U1" s="966"/>
      <c r="V1" s="966"/>
      <c r="W1" s="966"/>
      <c r="X1" s="966"/>
      <c r="Y1" s="966"/>
      <c r="Z1" s="966"/>
      <c r="AA1" s="966"/>
      <c r="AB1" s="966"/>
      <c r="AC1" s="966"/>
      <c r="AD1" s="966"/>
      <c r="AE1" s="966"/>
      <c r="AF1" s="966"/>
      <c r="AG1" s="966"/>
      <c r="AH1" s="966"/>
      <c r="AI1" s="966"/>
      <c r="AJ1" s="968" t="s">
        <v>853</v>
      </c>
      <c r="AK1" s="968" t="s">
        <v>853</v>
      </c>
      <c r="AL1" s="966"/>
      <c r="AM1" s="966"/>
      <c r="AN1" s="969"/>
      <c r="AO1" s="970"/>
      <c r="AP1" s="969"/>
      <c r="AQ1" s="969"/>
      <c r="AR1" s="969"/>
      <c r="AS1" s="969"/>
      <c r="AT1" s="969"/>
      <c r="AU1" s="969"/>
      <c r="AV1" s="969"/>
      <c r="AW1" s="966"/>
      <c r="AX1" s="969"/>
      <c r="AY1" s="969"/>
      <c r="AZ1" s="969"/>
      <c r="BA1" s="969"/>
      <c r="BB1" s="969"/>
      <c r="BC1" s="969"/>
      <c r="BD1" s="969"/>
      <c r="BE1" s="966"/>
      <c r="BF1" s="969"/>
      <c r="BG1" s="969"/>
      <c r="BH1" s="969"/>
      <c r="BI1" s="969"/>
      <c r="BJ1" s="969"/>
      <c r="BK1" s="969"/>
      <c r="BL1" s="969"/>
      <c r="BM1" s="966"/>
      <c r="BN1" s="969"/>
      <c r="BO1" s="969"/>
      <c r="BP1" s="969"/>
      <c r="BQ1" s="969"/>
      <c r="BR1" s="969"/>
      <c r="BS1" s="969"/>
      <c r="BT1" s="969"/>
      <c r="BU1" s="966"/>
      <c r="BV1" s="969"/>
      <c r="BW1" s="969"/>
      <c r="BX1" s="969"/>
      <c r="BY1" s="969"/>
      <c r="BZ1" s="969"/>
      <c r="CA1" s="969"/>
      <c r="CB1" s="969"/>
      <c r="CC1" s="966"/>
      <c r="CD1" s="969"/>
      <c r="CE1" s="969"/>
      <c r="CF1" s="969"/>
      <c r="CG1" s="969"/>
      <c r="CH1" s="969"/>
      <c r="CI1" s="969"/>
      <c r="CJ1" s="969"/>
      <c r="CK1" s="966"/>
      <c r="CL1" s="969"/>
      <c r="CM1" s="969"/>
      <c r="CN1" s="969"/>
      <c r="CO1" s="969"/>
      <c r="CP1" s="969"/>
      <c r="CQ1" s="969"/>
      <c r="CR1" s="969"/>
      <c r="CS1" s="966"/>
      <c r="CT1" s="969"/>
      <c r="CU1" s="969"/>
      <c r="CV1" s="969"/>
      <c r="CW1" s="969"/>
      <c r="CX1" s="969"/>
      <c r="CY1" s="969"/>
      <c r="CZ1" s="969"/>
      <c r="DA1" s="966"/>
    </row>
    <row r="2" spans="1:108" x14ac:dyDescent="0.2">
      <c r="A2" s="971" t="s">
        <v>918</v>
      </c>
      <c r="B2" s="972"/>
      <c r="C2" s="973">
        <v>1984</v>
      </c>
      <c r="D2" s="973">
        <f t="shared" ref="D2:AO2" si="0">C2+1</f>
        <v>1985</v>
      </c>
      <c r="E2" s="973">
        <f t="shared" si="0"/>
        <v>1986</v>
      </c>
      <c r="F2" s="973">
        <f t="shared" si="0"/>
        <v>1987</v>
      </c>
      <c r="G2" s="973">
        <f t="shared" si="0"/>
        <v>1988</v>
      </c>
      <c r="H2" s="973">
        <f t="shared" si="0"/>
        <v>1989</v>
      </c>
      <c r="I2" s="973">
        <f t="shared" si="0"/>
        <v>1990</v>
      </c>
      <c r="J2" s="973">
        <f t="shared" si="0"/>
        <v>1991</v>
      </c>
      <c r="K2" s="973">
        <f t="shared" si="0"/>
        <v>1992</v>
      </c>
      <c r="L2" s="973">
        <f t="shared" si="0"/>
        <v>1993</v>
      </c>
      <c r="M2" s="973">
        <f t="shared" si="0"/>
        <v>1994</v>
      </c>
      <c r="N2" s="973">
        <f t="shared" si="0"/>
        <v>1995</v>
      </c>
      <c r="O2" s="973">
        <f t="shared" si="0"/>
        <v>1996</v>
      </c>
      <c r="P2" s="973">
        <f t="shared" si="0"/>
        <v>1997</v>
      </c>
      <c r="Q2" s="973">
        <f t="shared" si="0"/>
        <v>1998</v>
      </c>
      <c r="R2" s="973">
        <f t="shared" si="0"/>
        <v>1999</v>
      </c>
      <c r="S2" s="973">
        <f t="shared" si="0"/>
        <v>2000</v>
      </c>
      <c r="T2" s="973">
        <f t="shared" si="0"/>
        <v>2001</v>
      </c>
      <c r="U2" s="973">
        <f t="shared" si="0"/>
        <v>2002</v>
      </c>
      <c r="V2" s="973">
        <f t="shared" si="0"/>
        <v>2003</v>
      </c>
      <c r="W2" s="973">
        <f t="shared" si="0"/>
        <v>2004</v>
      </c>
      <c r="X2" s="973">
        <f t="shared" si="0"/>
        <v>2005</v>
      </c>
      <c r="Y2" s="973">
        <f t="shared" si="0"/>
        <v>2006</v>
      </c>
      <c r="Z2" s="973">
        <f t="shared" si="0"/>
        <v>2007</v>
      </c>
      <c r="AA2" s="973">
        <f t="shared" si="0"/>
        <v>2008</v>
      </c>
      <c r="AB2" s="973">
        <f t="shared" si="0"/>
        <v>2009</v>
      </c>
      <c r="AC2" s="973">
        <f t="shared" si="0"/>
        <v>2010</v>
      </c>
      <c r="AD2" s="973">
        <f t="shared" si="0"/>
        <v>2011</v>
      </c>
      <c r="AE2" s="973">
        <f t="shared" si="0"/>
        <v>2012</v>
      </c>
      <c r="AF2" s="973">
        <f t="shared" si="0"/>
        <v>2013</v>
      </c>
      <c r="AG2" s="973">
        <f t="shared" si="0"/>
        <v>2014</v>
      </c>
      <c r="AH2" s="973">
        <f t="shared" si="0"/>
        <v>2015</v>
      </c>
      <c r="AI2" s="973">
        <f t="shared" si="0"/>
        <v>2016</v>
      </c>
      <c r="AJ2" s="973">
        <f t="shared" si="0"/>
        <v>2017</v>
      </c>
      <c r="AK2" s="973">
        <f t="shared" si="0"/>
        <v>2018</v>
      </c>
      <c r="AL2" s="973">
        <f t="shared" si="0"/>
        <v>2019</v>
      </c>
      <c r="AM2" s="973">
        <f t="shared" si="0"/>
        <v>2020</v>
      </c>
      <c r="AN2" s="973">
        <f t="shared" si="0"/>
        <v>2021</v>
      </c>
      <c r="AO2" s="974">
        <f t="shared" si="0"/>
        <v>2022</v>
      </c>
      <c r="AP2" s="975" t="str">
        <f>'Civil OE'!K2</f>
        <v>1Q23</v>
      </c>
      <c r="AQ2" s="975" t="str">
        <f>'Civil OE'!L2</f>
        <v>2Q23</v>
      </c>
      <c r="AR2" s="975" t="str">
        <f>'Civil OE'!M2</f>
        <v>3Q23</v>
      </c>
      <c r="AS2" s="1413" t="str">
        <f>'Civil OE'!N2</f>
        <v>4Q23</v>
      </c>
      <c r="AT2" s="975" t="str">
        <f>'Civil OE'!O2</f>
        <v>1H23</v>
      </c>
      <c r="AU2" s="975" t="str">
        <f>'Civil OE'!P2</f>
        <v>2H23</v>
      </c>
      <c r="AV2" s="975" t="str">
        <f>'Civil OE'!Q2</f>
        <v>9M23</v>
      </c>
      <c r="AW2" s="1348">
        <f>AO2+1</f>
        <v>2023</v>
      </c>
      <c r="AX2" s="975" t="str">
        <f>'Civil OE'!S2</f>
        <v>1Q24</v>
      </c>
      <c r="AY2" s="975" t="str">
        <f>'Civil OE'!T2</f>
        <v>2Q24</v>
      </c>
      <c r="AZ2" s="975" t="str">
        <f>'Civil OE'!U2</f>
        <v>3Q24</v>
      </c>
      <c r="BA2" s="1413" t="str">
        <f>'Civil OE'!V2</f>
        <v>4Q24</v>
      </c>
      <c r="BB2" s="975" t="str">
        <f>'Civil OE'!W2</f>
        <v>1H24</v>
      </c>
      <c r="BC2" s="975" t="str">
        <f>'Civil OE'!X2</f>
        <v>2H24</v>
      </c>
      <c r="BD2" s="975" t="str">
        <f>'Civil OE'!Y2</f>
        <v>9M24</v>
      </c>
      <c r="BE2" s="1348">
        <f>AW2+1</f>
        <v>2024</v>
      </c>
      <c r="BF2" s="975" t="str">
        <f>'Civil OE'!AA2</f>
        <v>1Q25</v>
      </c>
      <c r="BG2" s="975" t="str">
        <f>'Civil OE'!AB2</f>
        <v>2Q25</v>
      </c>
      <c r="BH2" s="975" t="str">
        <f>'Civil OE'!AC2</f>
        <v>3Q25</v>
      </c>
      <c r="BI2" s="1413" t="str">
        <f>'Civil OE'!AD2</f>
        <v>4Q25</v>
      </c>
      <c r="BJ2" s="975" t="str">
        <f>'Civil OE'!AE2</f>
        <v>1H25</v>
      </c>
      <c r="BK2" s="975" t="str">
        <f>'Civil OE'!AF2</f>
        <v>2H25</v>
      </c>
      <c r="BL2" s="975" t="str">
        <f>'Civil OE'!AG2</f>
        <v>9M25</v>
      </c>
      <c r="BM2" s="1348">
        <f>BE2+1</f>
        <v>2025</v>
      </c>
      <c r="BN2" s="975" t="str">
        <f>'Civil OE'!AI2</f>
        <v>1Q26</v>
      </c>
      <c r="BO2" s="975" t="str">
        <f>'Civil OE'!AJ2</f>
        <v>2Q26</v>
      </c>
      <c r="BP2" s="977" t="str">
        <f>'Civil OE'!AK2</f>
        <v>3Q26e</v>
      </c>
      <c r="BQ2" s="976" t="str">
        <f>'Civil OE'!AL2</f>
        <v>4Q26e</v>
      </c>
      <c r="BR2" s="975" t="str">
        <f>'Civil OE'!AM2</f>
        <v>1H26</v>
      </c>
      <c r="BS2" s="977" t="str">
        <f>'Civil OE'!AN2</f>
        <v>2H26e</v>
      </c>
      <c r="BT2" s="977" t="str">
        <f>'Civil OE'!AO2</f>
        <v>9M26e</v>
      </c>
      <c r="BU2" s="978">
        <f>BM2+1</f>
        <v>2026</v>
      </c>
      <c r="BV2" s="977" t="str">
        <f>'Civil OE'!AQ2</f>
        <v>1Q27e</v>
      </c>
      <c r="BW2" s="977" t="str">
        <f>'Civil OE'!AR2</f>
        <v>2Q27e</v>
      </c>
      <c r="BX2" s="977" t="str">
        <f>'Civil OE'!AS2</f>
        <v>3Q27e</v>
      </c>
      <c r="BY2" s="976" t="str">
        <f>'Civil OE'!AT2</f>
        <v>4Q27e</v>
      </c>
      <c r="BZ2" s="977" t="str">
        <f>'Civil OE'!AU2</f>
        <v>1H27e</v>
      </c>
      <c r="CA2" s="977" t="str">
        <f>'Civil OE'!AV2</f>
        <v>2H27e</v>
      </c>
      <c r="CB2" s="977" t="str">
        <f>'Civil OE'!AW2</f>
        <v>9M27e</v>
      </c>
      <c r="CC2" s="978">
        <f>BU2+1</f>
        <v>2027</v>
      </c>
      <c r="CD2" s="977" t="str">
        <f>'Civil OE'!AY2</f>
        <v>1Q28e</v>
      </c>
      <c r="CE2" s="977" t="str">
        <f>'Civil OE'!AZ2</f>
        <v>2Q28e</v>
      </c>
      <c r="CF2" s="977" t="str">
        <f>'Civil OE'!BA2</f>
        <v>3Q28e</v>
      </c>
      <c r="CG2" s="976" t="str">
        <f>'Civil OE'!BB2</f>
        <v>4Q28e</v>
      </c>
      <c r="CH2" s="977" t="str">
        <f>'Civil OE'!BC2</f>
        <v>1H28e</v>
      </c>
      <c r="CI2" s="977" t="str">
        <f>'Civil OE'!BD2</f>
        <v>2H28e</v>
      </c>
      <c r="CJ2" s="977" t="str">
        <f>'Civil OE'!BE2</f>
        <v>9M28e</v>
      </c>
      <c r="CK2" s="978">
        <f>CC2+1</f>
        <v>2028</v>
      </c>
      <c r="CL2" s="977" t="str">
        <f>'Civil OE'!BG2</f>
        <v>1Q29e</v>
      </c>
      <c r="CM2" s="977" t="str">
        <f>'Civil OE'!BH2</f>
        <v>2Q29e</v>
      </c>
      <c r="CN2" s="977" t="str">
        <f>'Civil OE'!BI2</f>
        <v>3Q29e</v>
      </c>
      <c r="CO2" s="976" t="str">
        <f>'Civil OE'!BJ2</f>
        <v>4Q29e</v>
      </c>
      <c r="CP2" s="977" t="str">
        <f>'Civil OE'!BK2</f>
        <v>1H29e</v>
      </c>
      <c r="CQ2" s="977" t="str">
        <f>'Civil OE'!BL2</f>
        <v>2H29e</v>
      </c>
      <c r="CR2" s="977" t="str">
        <f>'Civil OE'!BM2</f>
        <v>9M29e</v>
      </c>
      <c r="CS2" s="978">
        <f>CK2+1</f>
        <v>2029</v>
      </c>
      <c r="CT2" s="977" t="str">
        <f>'Civil OE'!BO2</f>
        <v>1Q30e</v>
      </c>
      <c r="CU2" s="977" t="str">
        <f>'Civil OE'!BP2</f>
        <v>2Q30e</v>
      </c>
      <c r="CV2" s="977" t="str">
        <f>'Civil OE'!BQ2</f>
        <v>3Q30e</v>
      </c>
      <c r="CW2" s="976" t="str">
        <f>'Civil OE'!BR2</f>
        <v>4Q30e</v>
      </c>
      <c r="CX2" s="977" t="str">
        <f>'Civil OE'!BS2</f>
        <v>1H30e</v>
      </c>
      <c r="CY2" s="977" t="str">
        <f>'Civil OE'!BT2</f>
        <v>2H30e</v>
      </c>
      <c r="CZ2" s="977" t="str">
        <f>'Civil OE'!BU2</f>
        <v>9M30e</v>
      </c>
      <c r="DA2" s="978">
        <f>CS2+1</f>
        <v>2030</v>
      </c>
    </row>
    <row r="3" spans="1:108" x14ac:dyDescent="0.2">
      <c r="A3" s="979"/>
      <c r="B3" s="980"/>
      <c r="C3" s="981"/>
      <c r="D3" s="981"/>
      <c r="E3" s="981"/>
      <c r="F3" s="981"/>
      <c r="G3" s="981"/>
      <c r="H3" s="981"/>
      <c r="I3" s="981"/>
      <c r="J3" s="981"/>
      <c r="K3" s="981"/>
      <c r="L3" s="981"/>
      <c r="M3" s="981"/>
      <c r="N3" s="981"/>
      <c r="O3" s="981"/>
      <c r="P3" s="981"/>
      <c r="Q3" s="981"/>
      <c r="R3" s="981"/>
      <c r="S3" s="981"/>
      <c r="T3" s="981"/>
      <c r="U3" s="981"/>
      <c r="V3" s="981"/>
      <c r="W3" s="981"/>
      <c r="X3" s="981"/>
      <c r="Y3" s="981"/>
      <c r="Z3" s="981"/>
      <c r="AA3" s="981"/>
      <c r="AB3" s="981"/>
      <c r="AC3" s="981"/>
      <c r="AD3" s="981"/>
      <c r="AE3" s="981"/>
      <c r="AF3" s="981"/>
      <c r="AG3" s="982"/>
      <c r="AH3" s="982"/>
      <c r="AI3" s="982"/>
      <c r="AJ3" s="982"/>
      <c r="AK3" s="982"/>
      <c r="AL3" s="983"/>
      <c r="AM3" s="983"/>
      <c r="AN3" s="983"/>
      <c r="AO3" s="984"/>
      <c r="AP3" s="983"/>
      <c r="AQ3" s="983"/>
      <c r="AR3" s="983"/>
      <c r="AS3" s="985"/>
      <c r="AT3" s="983"/>
      <c r="AU3" s="983"/>
      <c r="AV3" s="983"/>
      <c r="AW3" s="986"/>
      <c r="AX3" s="983"/>
      <c r="AY3" s="983"/>
      <c r="AZ3" s="983"/>
      <c r="BA3" s="985"/>
      <c r="BB3" s="983"/>
      <c r="BC3" s="983"/>
      <c r="BD3" s="983"/>
      <c r="BE3" s="986"/>
      <c r="BF3" s="983"/>
      <c r="BG3" s="983"/>
      <c r="BH3" s="983"/>
      <c r="BI3" s="985"/>
      <c r="BJ3" s="983"/>
      <c r="BK3" s="983"/>
      <c r="BL3" s="983"/>
      <c r="BM3" s="986"/>
      <c r="BN3" s="983"/>
      <c r="BO3" s="983"/>
      <c r="BP3" s="983"/>
      <c r="BQ3" s="985"/>
      <c r="BR3" s="983"/>
      <c r="BS3" s="983"/>
      <c r="BT3" s="983"/>
      <c r="BU3" s="986"/>
      <c r="BV3" s="983"/>
      <c r="BW3" s="983"/>
      <c r="BX3" s="983"/>
      <c r="BY3" s="985"/>
      <c r="BZ3" s="983"/>
      <c r="CA3" s="983"/>
      <c r="CB3" s="983"/>
      <c r="CC3" s="986"/>
      <c r="CD3" s="983"/>
      <c r="CE3" s="983"/>
      <c r="CF3" s="983"/>
      <c r="CG3" s="985"/>
      <c r="CH3" s="983"/>
      <c r="CI3" s="983"/>
      <c r="CJ3" s="983"/>
      <c r="CK3" s="986"/>
      <c r="CL3" s="983"/>
      <c r="CM3" s="983"/>
      <c r="CN3" s="983"/>
      <c r="CO3" s="985"/>
      <c r="CP3" s="983"/>
      <c r="CQ3" s="983"/>
      <c r="CR3" s="983"/>
      <c r="CS3" s="986"/>
      <c r="CT3" s="983"/>
      <c r="CU3" s="983"/>
      <c r="CV3" s="983"/>
      <c r="CW3" s="985"/>
      <c r="CX3" s="983"/>
      <c r="CY3" s="983"/>
      <c r="CZ3" s="983"/>
      <c r="DA3" s="986"/>
    </row>
    <row r="4" spans="1:108" x14ac:dyDescent="0.2">
      <c r="A4" s="454" t="s">
        <v>919</v>
      </c>
      <c r="B4" s="174"/>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c r="AK4" s="174"/>
      <c r="AL4" s="174"/>
      <c r="AM4" s="174"/>
      <c r="AN4" s="174"/>
      <c r="AO4" s="176"/>
      <c r="AP4" s="174"/>
      <c r="AQ4" s="174"/>
      <c r="AR4" s="174"/>
      <c r="AS4" s="175"/>
      <c r="AT4" s="174"/>
      <c r="AU4" s="174"/>
      <c r="AV4" s="174"/>
      <c r="AW4" s="987"/>
      <c r="AX4" s="178"/>
      <c r="AY4" s="174"/>
      <c r="AZ4" s="174"/>
      <c r="BA4" s="175"/>
      <c r="BB4" s="174"/>
      <c r="BC4" s="174"/>
      <c r="BD4" s="174"/>
      <c r="BE4" s="987"/>
      <c r="BF4" s="178"/>
      <c r="BG4" s="174"/>
      <c r="BH4" s="174"/>
      <c r="BI4" s="175"/>
      <c r="BJ4" s="174"/>
      <c r="BK4" s="174"/>
      <c r="BL4" s="174"/>
      <c r="BM4" s="987"/>
      <c r="BN4" s="178"/>
      <c r="BO4" s="174"/>
      <c r="BP4" s="174"/>
      <c r="BQ4" s="175"/>
      <c r="BR4" s="174"/>
      <c r="BS4" s="174"/>
      <c r="BT4" s="174"/>
      <c r="BU4" s="987"/>
      <c r="BV4" s="174"/>
      <c r="BW4" s="174"/>
      <c r="BX4" s="174"/>
      <c r="BY4" s="175"/>
      <c r="BZ4" s="174"/>
      <c r="CA4" s="174"/>
      <c r="CB4" s="174"/>
      <c r="CC4" s="987"/>
      <c r="CD4" s="174"/>
      <c r="CE4" s="174"/>
      <c r="CF4" s="174"/>
      <c r="CG4" s="175"/>
      <c r="CH4" s="174"/>
      <c r="CI4" s="174"/>
      <c r="CJ4" s="174"/>
      <c r="CK4" s="987"/>
      <c r="CL4" s="174"/>
      <c r="CM4" s="174"/>
      <c r="CN4" s="174"/>
      <c r="CO4" s="175"/>
      <c r="CP4" s="174"/>
      <c r="CQ4" s="174"/>
      <c r="CR4" s="174"/>
      <c r="CS4" s="987"/>
      <c r="CT4" s="174"/>
      <c r="CU4" s="174"/>
      <c r="CV4" s="174"/>
      <c r="CW4" s="175"/>
      <c r="CX4" s="174"/>
      <c r="CY4" s="174"/>
      <c r="CZ4" s="174"/>
      <c r="DA4" s="987"/>
    </row>
    <row r="5" spans="1:108" ht="15" x14ac:dyDescent="0.25">
      <c r="A5" s="988" t="s">
        <v>920</v>
      </c>
      <c r="B5" s="989"/>
      <c r="C5" s="990"/>
      <c r="D5" s="990"/>
      <c r="E5" s="990"/>
      <c r="F5" s="990"/>
      <c r="G5" s="990"/>
      <c r="H5" s="990"/>
      <c r="I5" s="990"/>
      <c r="J5" s="990"/>
      <c r="K5" s="990"/>
      <c r="L5" s="990"/>
      <c r="M5" s="990"/>
      <c r="N5" s="990"/>
      <c r="O5" s="990"/>
      <c r="P5" s="990"/>
      <c r="Q5" s="990"/>
      <c r="R5" s="990"/>
      <c r="S5" s="990"/>
      <c r="T5" s="990"/>
      <c r="U5" s="990"/>
      <c r="V5" s="990"/>
      <c r="W5" s="990"/>
      <c r="X5" s="990"/>
      <c r="Y5" s="990"/>
      <c r="Z5" s="990"/>
      <c r="AA5" s="990"/>
      <c r="AB5" s="990"/>
      <c r="AC5" s="990"/>
      <c r="AD5" s="990"/>
      <c r="AE5" s="990"/>
      <c r="AF5" s="990"/>
      <c r="AG5" s="991">
        <f>Propulsion!N196</f>
        <v>3416.3786963256498</v>
      </c>
      <c r="AH5" s="991">
        <f>Propulsion!O196</f>
        <v>4062.0742699311977</v>
      </c>
      <c r="AI5" s="991">
        <f>Propulsion!P196</f>
        <v>4342.3573945564503</v>
      </c>
      <c r="AJ5" s="991">
        <f>Propulsion!Q196</f>
        <v>4828.7014227467735</v>
      </c>
      <c r="AK5" s="991">
        <f>Propulsion!S196</f>
        <v>5417.8029963218796</v>
      </c>
      <c r="AL5" s="991">
        <f>Propulsion!U196</f>
        <v>5954.1654929577453</v>
      </c>
      <c r="AM5" s="991">
        <f>Propulsion!V196</f>
        <v>3381.9659999999999</v>
      </c>
      <c r="AN5" s="991">
        <f>Propulsion!W196</f>
        <v>3622.0855859999997</v>
      </c>
      <c r="AO5" s="992">
        <f>Propulsion!X196</f>
        <v>4683.3566626979991</v>
      </c>
      <c r="AP5" s="991">
        <f>Propulsion!Y196</f>
        <v>1205</v>
      </c>
      <c r="AQ5" s="991">
        <f>Propulsion!Z196</f>
        <v>1332.0043623261374</v>
      </c>
      <c r="AR5" s="991">
        <f>Propulsion!AA196</f>
        <v>1556.5423113858246</v>
      </c>
      <c r="AS5" s="1000">
        <f>Propulsion!AB196</f>
        <v>2130.6343310136781</v>
      </c>
      <c r="AT5" s="991">
        <f>Propulsion!AC196</f>
        <v>2537.0043623261377</v>
      </c>
      <c r="AU5" s="991">
        <f>Propulsion!AD196</f>
        <v>3687.1766423995032</v>
      </c>
      <c r="AV5" s="991">
        <f t="shared" ref="AV5:BD5" si="1">AV13+AV11+AV9+AV7</f>
        <v>4093.5466737119623</v>
      </c>
      <c r="AW5" s="1414">
        <f>Propulsion!AF196</f>
        <v>6224.1810047256404</v>
      </c>
      <c r="AX5" s="991">
        <f>Propulsion!AG196</f>
        <v>1546.1007099833696</v>
      </c>
      <c r="AY5" s="991">
        <f t="shared" si="1"/>
        <v>1774.8268590177709</v>
      </c>
      <c r="AZ5" s="991">
        <f>Propulsion!AI196</f>
        <v>1875.6899228406571</v>
      </c>
      <c r="BA5" s="1000">
        <f>Propulsion!AJ196</f>
        <v>2577.3845830605269</v>
      </c>
      <c r="BB5" s="991">
        <f>Propulsion!AK196</f>
        <v>3320.9275690011405</v>
      </c>
      <c r="BC5" s="991">
        <f>Propulsion!AL196</f>
        <v>4453.0745059011842</v>
      </c>
      <c r="BD5" s="991">
        <f t="shared" si="1"/>
        <v>5196.6174918417973</v>
      </c>
      <c r="BE5" s="1414">
        <f>Propulsion!AN196</f>
        <v>7774.0020749023251</v>
      </c>
      <c r="BF5" s="991">
        <f>Propulsion!AO196</f>
        <v>1887.8984824729616</v>
      </c>
      <c r="BG5" s="991">
        <f>Propulsion!AP196</f>
        <v>2144.1360476193531</v>
      </c>
      <c r="BH5" s="991">
        <f>Propulsion!AQ196</f>
        <v>2238.6697558936185</v>
      </c>
      <c r="BI5" s="1000">
        <f>Propulsion!AR196</f>
        <v>3257.1126570143592</v>
      </c>
      <c r="BJ5" s="991">
        <f>Propulsion!AS196</f>
        <v>4032.0345300923145</v>
      </c>
      <c r="BK5" s="991">
        <f>Propulsion!AT196</f>
        <v>5495.7824129079781</v>
      </c>
      <c r="BL5" s="991">
        <f>Propulsion!AU196</f>
        <v>6270.704285985933</v>
      </c>
      <c r="BM5" s="1414">
        <f>Propulsion!AV196</f>
        <v>9527.8169430002927</v>
      </c>
      <c r="BN5" s="991">
        <f>Propulsion!AW196</f>
        <v>2541.170182565781</v>
      </c>
      <c r="BO5" s="991">
        <f t="shared" ref="BO5:BT5" si="2">BO13+BO11+BO9+BO7</f>
        <v>2815.866275959097</v>
      </c>
      <c r="BP5" s="994">
        <f t="shared" si="2"/>
        <v>2844.277853851393</v>
      </c>
      <c r="BQ5" s="993">
        <f t="shared" si="2"/>
        <v>3910.5809203215522</v>
      </c>
      <c r="BR5" s="991">
        <f>Propulsion!BA196</f>
        <v>5357.0364585248781</v>
      </c>
      <c r="BS5" s="994">
        <f t="shared" si="2"/>
        <v>6754.8587741729452</v>
      </c>
      <c r="BT5" s="994">
        <f t="shared" si="2"/>
        <v>8201.3143123762711</v>
      </c>
      <c r="BU5" s="995">
        <f>BU13+BU11+BU9+BU7</f>
        <v>12111.895232697821</v>
      </c>
      <c r="BV5" s="994">
        <f t="shared" ref="BV5:CJ5" si="3">BV13+BV11+BV9+BV7</f>
        <v>2801.1737826402959</v>
      </c>
      <c r="BW5" s="994">
        <f t="shared" si="3"/>
        <v>3439.3156929627271</v>
      </c>
      <c r="BX5" s="994">
        <f t="shared" si="3"/>
        <v>3439.3156929627271</v>
      </c>
      <c r="BY5" s="993">
        <f t="shared" si="3"/>
        <v>4077.4576032851578</v>
      </c>
      <c r="BZ5" s="994">
        <f t="shared" si="3"/>
        <v>6240.4894756030235</v>
      </c>
      <c r="CA5" s="994">
        <f t="shared" si="3"/>
        <v>7516.7732962478849</v>
      </c>
      <c r="CB5" s="994">
        <f t="shared" si="3"/>
        <v>9679.805168565752</v>
      </c>
      <c r="CC5" s="995">
        <f t="shared" si="3"/>
        <v>13757.262771850908</v>
      </c>
      <c r="CD5" s="994">
        <f t="shared" si="3"/>
        <v>3116.7900559371674</v>
      </c>
      <c r="CE5" s="994">
        <f t="shared" si="3"/>
        <v>3821.0191948404295</v>
      </c>
      <c r="CF5" s="994">
        <f t="shared" si="3"/>
        <v>3821.0191948404299</v>
      </c>
      <c r="CG5" s="993">
        <f t="shared" si="3"/>
        <v>4525.2483337436915</v>
      </c>
      <c r="CH5" s="994">
        <f t="shared" si="3"/>
        <v>6937.8092507775964</v>
      </c>
      <c r="CI5" s="994">
        <f t="shared" si="3"/>
        <v>8346.2675285841215</v>
      </c>
      <c r="CJ5" s="994">
        <f t="shared" si="3"/>
        <v>10758.828445618026</v>
      </c>
      <c r="CK5" s="995">
        <f>CK13+CK11+CK9+CK7</f>
        <v>15284.07677936172</v>
      </c>
      <c r="CL5" s="994">
        <f t="shared" ref="CL5:CR5" si="4">CL13+CL11+CL9+CL7</f>
        <v>3383.1249919641873</v>
      </c>
      <c r="CM5" s="994">
        <f t="shared" si="4"/>
        <v>4150.0890586075702</v>
      </c>
      <c r="CN5" s="994">
        <f t="shared" si="4"/>
        <v>4150.0890586075702</v>
      </c>
      <c r="CO5" s="993">
        <f t="shared" si="4"/>
        <v>4917.0531252509536</v>
      </c>
      <c r="CP5" s="994">
        <f t="shared" si="4"/>
        <v>7533.214050571758</v>
      </c>
      <c r="CQ5" s="994">
        <f t="shared" si="4"/>
        <v>9067.1421838585229</v>
      </c>
      <c r="CR5" s="994">
        <f t="shared" si="4"/>
        <v>11683.303109179327</v>
      </c>
      <c r="CS5" s="995">
        <f>CS13+CS11+CS9+CS7</f>
        <v>16600.356234430281</v>
      </c>
      <c r="CT5" s="994">
        <f t="shared" ref="CT5:CZ5" si="5">CT13+CT11+CT9+CT7</f>
        <v>3578.543846965651</v>
      </c>
      <c r="CU5" s="994">
        <f t="shared" si="5"/>
        <v>4404.3362781074729</v>
      </c>
      <c r="CV5" s="994">
        <f t="shared" si="5"/>
        <v>4404.3362781074729</v>
      </c>
      <c r="CW5" s="993">
        <f t="shared" si="5"/>
        <v>5230.1287092492958</v>
      </c>
      <c r="CX5" s="994">
        <f t="shared" si="5"/>
        <v>7982.8801250731249</v>
      </c>
      <c r="CY5" s="994">
        <f t="shared" si="5"/>
        <v>9634.4649873567687</v>
      </c>
      <c r="CZ5" s="994">
        <f t="shared" si="5"/>
        <v>12387.216403180599</v>
      </c>
      <c r="DA5" s="995">
        <f>DA13+DA11+DA9+DA7</f>
        <v>17617.345112429892</v>
      </c>
      <c r="DB5" s="461">
        <f>(CK5/BE5)^(1/4)-1</f>
        <v>0.18412797005484816</v>
      </c>
      <c r="DC5" s="461"/>
      <c r="DD5" s="14"/>
    </row>
    <row r="6" spans="1:108" x14ac:dyDescent="0.2">
      <c r="A6" s="996"/>
      <c r="B6" s="1396" t="s">
        <v>20</v>
      </c>
      <c r="C6" s="981"/>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26"/>
      <c r="AH6" s="104">
        <f t="shared" ref="AH6:AO6" si="6">IFERROR(AH5/AG5-1,"")</f>
        <v>0.18900000000000006</v>
      </c>
      <c r="AI6" s="104">
        <f t="shared" si="6"/>
        <v>6.899999999999995E-2</v>
      </c>
      <c r="AJ6" s="104">
        <f t="shared" si="6"/>
        <v>0.1120000000000001</v>
      </c>
      <c r="AK6" s="104">
        <f>IFERROR(AK5/AJ5-1,"")</f>
        <v>0.12199999999999989</v>
      </c>
      <c r="AL6" s="104">
        <f t="shared" si="6"/>
        <v>9.8999999999999977E-2</v>
      </c>
      <c r="AM6" s="104">
        <f>IFERROR(AM5/AL5-1,"")</f>
        <v>-0.43199999999999994</v>
      </c>
      <c r="AN6" s="151">
        <f t="shared" si="6"/>
        <v>7.0999999999999952E-2</v>
      </c>
      <c r="AO6" s="96">
        <f t="shared" si="6"/>
        <v>0.29299999999999993</v>
      </c>
      <c r="AP6" s="151"/>
      <c r="AQ6" s="151"/>
      <c r="AR6" s="151"/>
      <c r="AS6" s="818"/>
      <c r="AT6" s="151"/>
      <c r="AU6" s="151"/>
      <c r="AV6" s="151"/>
      <c r="AW6" s="1415">
        <f>IFERROR(AW5/AO5-1,"")</f>
        <v>0.32899999999999996</v>
      </c>
      <c r="AX6" s="104">
        <f t="shared" ref="AX6:BD6" si="7">IFERROR(AX5/AP5-1,"")</f>
        <v>0.28307112861690431</v>
      </c>
      <c r="AY6" s="104">
        <f t="shared" si="7"/>
        <v>0.33244823306607874</v>
      </c>
      <c r="AZ6" s="104">
        <f t="shared" si="7"/>
        <v>0.20503625832740013</v>
      </c>
      <c r="BA6" s="872">
        <f t="shared" si="7"/>
        <v>0.20967945815193034</v>
      </c>
      <c r="BB6" s="104">
        <f t="shared" si="7"/>
        <v>0.30899560848852325</v>
      </c>
      <c r="BC6" s="104">
        <f t="shared" si="7"/>
        <v>0.20771933047483659</v>
      </c>
      <c r="BD6" s="104">
        <f t="shared" si="7"/>
        <v>0.26946579727881503</v>
      </c>
      <c r="BE6" s="625">
        <f>IFERROR(BE5/AW5-1,"")</f>
        <v>0.24900000000000011</v>
      </c>
      <c r="BF6" s="104">
        <f t="shared" ref="BF6:DA6" si="8">IFERROR(BF5/AX5-1,"")</f>
        <v>0.22107083340856137</v>
      </c>
      <c r="BG6" s="104">
        <f t="shared" si="8"/>
        <v>0.20808181188218344</v>
      </c>
      <c r="BH6" s="104">
        <f t="shared" si="8"/>
        <v>0.19351803762065467</v>
      </c>
      <c r="BI6" s="872">
        <f t="shared" si="8"/>
        <v>0.2637278419453748</v>
      </c>
      <c r="BJ6" s="104">
        <f t="shared" si="8"/>
        <v>0.21412901856967004</v>
      </c>
      <c r="BK6" s="104">
        <f t="shared" si="8"/>
        <v>0.23415460613223615</v>
      </c>
      <c r="BL6" s="104">
        <f t="shared" si="8"/>
        <v>0.2066896006547243</v>
      </c>
      <c r="BM6" s="625">
        <f>IFERROR(BM5/BE5-1,"")</f>
        <v>0.22560000000000047</v>
      </c>
      <c r="BN6" s="104">
        <f t="shared" si="8"/>
        <v>0.34603115906799053</v>
      </c>
      <c r="BO6" s="104">
        <f t="shared" si="8"/>
        <v>0.31328712983747931</v>
      </c>
      <c r="BP6" s="461">
        <f t="shared" si="8"/>
        <v>0.27052140958416238</v>
      </c>
      <c r="BQ6" s="868">
        <f t="shared" si="8"/>
        <v>0.20062808140821153</v>
      </c>
      <c r="BR6" s="104">
        <f t="shared" si="8"/>
        <v>0.32861869573379554</v>
      </c>
      <c r="BS6" s="461">
        <f t="shared" si="8"/>
        <v>0.22909865541761021</v>
      </c>
      <c r="BT6" s="461">
        <f t="shared" si="8"/>
        <v>0.30787770214343491</v>
      </c>
      <c r="BU6" s="867">
        <f t="shared" si="8"/>
        <v>0.27121409921670958</v>
      </c>
      <c r="BV6" s="461">
        <f t="shared" si="8"/>
        <v>0.10231648468816568</v>
      </c>
      <c r="BW6" s="461">
        <f t="shared" si="8"/>
        <v>0.22140590351410783</v>
      </c>
      <c r="BX6" s="461">
        <f t="shared" si="8"/>
        <v>0.20920524283715891</v>
      </c>
      <c r="BY6" s="868">
        <f t="shared" si="8"/>
        <v>4.2673118486417527E-2</v>
      </c>
      <c r="BZ6" s="461">
        <f t="shared" si="8"/>
        <v>0.16491450523400286</v>
      </c>
      <c r="CA6" s="461">
        <f t="shared" si="8"/>
        <v>0.11279503355245613</v>
      </c>
      <c r="CB6" s="461">
        <f t="shared" si="8"/>
        <v>0.18027486813404403</v>
      </c>
      <c r="CC6" s="867">
        <f t="shared" si="8"/>
        <v>0.13584724005134863</v>
      </c>
      <c r="CD6" s="461">
        <f t="shared" si="8"/>
        <v>0.11267286423028766</v>
      </c>
      <c r="CE6" s="461">
        <f t="shared" si="8"/>
        <v>0.11098239764925211</v>
      </c>
      <c r="CF6" s="461">
        <f t="shared" si="8"/>
        <v>0.11098239764925211</v>
      </c>
      <c r="CG6" s="868">
        <f t="shared" si="8"/>
        <v>0.10982106352197363</v>
      </c>
      <c r="CH6" s="461">
        <f t="shared" si="8"/>
        <v>0.11174119881152267</v>
      </c>
      <c r="CI6" s="461">
        <f t="shared" si="8"/>
        <v>0.11035243443490472</v>
      </c>
      <c r="CJ6" s="461">
        <f t="shared" si="8"/>
        <v>0.11147159041550747</v>
      </c>
      <c r="CK6" s="867">
        <f t="shared" si="8"/>
        <v>0.11098239764925211</v>
      </c>
      <c r="CL6" s="461">
        <f t="shared" si="8"/>
        <v>8.5451676643949481E-2</v>
      </c>
      <c r="CM6" s="461">
        <f t="shared" si="8"/>
        <v>8.6120965896085533E-2</v>
      </c>
      <c r="CN6" s="461">
        <f t="shared" si="8"/>
        <v>8.6120965896085311E-2</v>
      </c>
      <c r="CO6" s="868">
        <f t="shared" si="8"/>
        <v>8.6581942605374218E-2</v>
      </c>
      <c r="CP6" s="461">
        <f t="shared" si="8"/>
        <v>8.582028970131006E-2</v>
      </c>
      <c r="CQ6" s="461">
        <f t="shared" si="8"/>
        <v>8.6370902059581089E-2</v>
      </c>
      <c r="CR6" s="461">
        <f t="shared" si="8"/>
        <v>8.5927075446381895E-2</v>
      </c>
      <c r="CS6" s="867">
        <f t="shared" si="8"/>
        <v>8.6120965896085311E-2</v>
      </c>
      <c r="CT6" s="461">
        <f t="shared" si="8"/>
        <v>5.7762824449476335E-2</v>
      </c>
      <c r="CU6" s="461">
        <f t="shared" si="8"/>
        <v>6.1263075541132528E-2</v>
      </c>
      <c r="CV6" s="461">
        <f t="shared" si="8"/>
        <v>6.1263075541132528E-2</v>
      </c>
      <c r="CW6" s="868">
        <f t="shared" si="8"/>
        <v>6.3671385283713633E-2</v>
      </c>
      <c r="CX6" s="461">
        <f t="shared" si="8"/>
        <v>5.9691132029792593E-2</v>
      </c>
      <c r="CY6" s="461">
        <f t="shared" si="8"/>
        <v>6.2569086487714198E-2</v>
      </c>
      <c r="CZ6" s="461">
        <f t="shared" si="8"/>
        <v>6.0249510555642649E-2</v>
      </c>
      <c r="DA6" s="867">
        <f t="shared" si="8"/>
        <v>6.1263075541132528E-2</v>
      </c>
    </row>
    <row r="7" spans="1:108" x14ac:dyDescent="0.2">
      <c r="A7" s="997" t="s">
        <v>921</v>
      </c>
      <c r="C7" s="981"/>
      <c r="D7" s="981"/>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981"/>
      <c r="AF7" s="981"/>
      <c r="AG7" s="931">
        <f t="shared" ref="AG7:AM7" si="9">AG133</f>
        <v>2770.2675000000004</v>
      </c>
      <c r="AH7" s="931">
        <f t="shared" si="9"/>
        <v>3093.0080168587274</v>
      </c>
      <c r="AI7" s="931">
        <f t="shared" si="9"/>
        <v>3425.8200676689339</v>
      </c>
      <c r="AJ7" s="931">
        <f t="shared" si="9"/>
        <v>3739.2817486392978</v>
      </c>
      <c r="AK7" s="931">
        <f t="shared" si="9"/>
        <v>4142.4864263244644</v>
      </c>
      <c r="AL7" s="931">
        <f t="shared" si="9"/>
        <v>4418.9733139982973</v>
      </c>
      <c r="AM7" s="926">
        <f t="shared" si="9"/>
        <v>2034.1899566654527</v>
      </c>
      <c r="AN7" s="926">
        <f>AN133</f>
        <v>2294.7530399617922</v>
      </c>
      <c r="AO7" s="934">
        <f t="shared" ref="AO7:BD7" si="10">AO133</f>
        <v>3382.82425922626</v>
      </c>
      <c r="AP7" s="926">
        <f t="shared" si="10"/>
        <v>950</v>
      </c>
      <c r="AQ7" s="926">
        <f t="shared" si="10"/>
        <v>1089.3282018316529</v>
      </c>
      <c r="AR7" s="926">
        <f t="shared" si="10"/>
        <v>1214</v>
      </c>
      <c r="AS7" s="1001">
        <f t="shared" si="10"/>
        <v>1278.5122466831308</v>
      </c>
      <c r="AT7" s="926">
        <f t="shared" si="10"/>
        <v>2039.3282018316529</v>
      </c>
      <c r="AU7" s="926">
        <f t="shared" si="10"/>
        <v>2492.5122466831308</v>
      </c>
      <c r="AV7" s="926">
        <f t="shared" si="10"/>
        <v>3253.3282018316531</v>
      </c>
      <c r="AW7" s="1032">
        <f>AW133</f>
        <v>4531.8404485147839</v>
      </c>
      <c r="AX7" s="926">
        <f t="shared" si="10"/>
        <v>1090.4858628469358</v>
      </c>
      <c r="AY7" s="926">
        <f t="shared" si="10"/>
        <v>1145.0101559892826</v>
      </c>
      <c r="AZ7" s="926">
        <f t="shared" si="10"/>
        <v>1417.6316217010165</v>
      </c>
      <c r="BA7" s="1001">
        <f t="shared" si="10"/>
        <v>1799.3016736974439</v>
      </c>
      <c r="BB7" s="926">
        <f t="shared" si="10"/>
        <v>2235.4960188362184</v>
      </c>
      <c r="BC7" s="926">
        <f t="shared" si="10"/>
        <v>3216.9332953984604</v>
      </c>
      <c r="BD7" s="926">
        <f t="shared" si="10"/>
        <v>3653.1276405372346</v>
      </c>
      <c r="BE7" s="1032">
        <f>BE133</f>
        <v>5452.4293142346787</v>
      </c>
      <c r="BF7" s="926">
        <f t="shared" ref="BF7:BL7" si="11">BF133</f>
        <v>1280.1969964943389</v>
      </c>
      <c r="BG7" s="926">
        <f t="shared" si="11"/>
        <v>1405.0942644450063</v>
      </c>
      <c r="BH7" s="926">
        <f t="shared" si="11"/>
        <v>1467.54289842034</v>
      </c>
      <c r="BI7" s="1001">
        <f t="shared" si="11"/>
        <v>2092.0292381736763</v>
      </c>
      <c r="BJ7" s="926">
        <f t="shared" si="11"/>
        <v>2685.2912609393452</v>
      </c>
      <c r="BK7" s="926">
        <f t="shared" si="11"/>
        <v>3559.5721365940162</v>
      </c>
      <c r="BL7" s="926">
        <f t="shared" si="11"/>
        <v>4152.8341593596851</v>
      </c>
      <c r="BM7" s="1032">
        <f>BM133</f>
        <v>6244.8633975333614</v>
      </c>
      <c r="BN7" s="926">
        <f t="shared" ref="BN7:CB7" si="12">BN133</f>
        <v>1565.7394974233314</v>
      </c>
      <c r="BO7" s="926">
        <f t="shared" si="12"/>
        <v>1635.3279195310354</v>
      </c>
      <c r="BP7" s="936">
        <f t="shared" si="12"/>
        <v>1565.7394974233314</v>
      </c>
      <c r="BQ7" s="935">
        <f t="shared" si="12"/>
        <v>2192.0352963926634</v>
      </c>
      <c r="BR7" s="926">
        <f t="shared" si="12"/>
        <v>3201.0674169543668</v>
      </c>
      <c r="BS7" s="936">
        <f t="shared" si="12"/>
        <v>3757.7747938159951</v>
      </c>
      <c r="BT7" s="936">
        <f t="shared" si="12"/>
        <v>4766.8069143776984</v>
      </c>
      <c r="BU7" s="937">
        <f t="shared" si="12"/>
        <v>6958.8422107703618</v>
      </c>
      <c r="BV7" s="936">
        <f t="shared" si="12"/>
        <v>1475.6622983945811</v>
      </c>
      <c r="BW7" s="936">
        <f t="shared" si="12"/>
        <v>1844.5778729932265</v>
      </c>
      <c r="BX7" s="936">
        <f t="shared" si="12"/>
        <v>1844.5778729932263</v>
      </c>
      <c r="BY7" s="935">
        <f t="shared" si="12"/>
        <v>2213.4934475918712</v>
      </c>
      <c r="BZ7" s="936">
        <f t="shared" si="12"/>
        <v>3320.2401713878075</v>
      </c>
      <c r="CA7" s="936">
        <f t="shared" si="12"/>
        <v>4058.0713205850975</v>
      </c>
      <c r="CB7" s="936">
        <f t="shared" si="12"/>
        <v>5164.8180443810343</v>
      </c>
      <c r="CC7" s="937">
        <f>CC133</f>
        <v>7378.3114919729051</v>
      </c>
      <c r="CD7" s="936">
        <f t="shared" ref="CD7:CJ7" si="13">CD133</f>
        <v>1446.309629032577</v>
      </c>
      <c r="CE7" s="936">
        <f t="shared" si="13"/>
        <v>1807.887036290721</v>
      </c>
      <c r="CF7" s="936">
        <f t="shared" si="13"/>
        <v>1807.8870362907212</v>
      </c>
      <c r="CG7" s="935">
        <f t="shared" si="13"/>
        <v>2169.4644435488653</v>
      </c>
      <c r="CH7" s="936">
        <f t="shared" si="13"/>
        <v>3254.196665323298</v>
      </c>
      <c r="CI7" s="936">
        <f t="shared" si="13"/>
        <v>3977.3514798395868</v>
      </c>
      <c r="CJ7" s="936">
        <f t="shared" si="13"/>
        <v>5062.0837016140194</v>
      </c>
      <c r="CK7" s="937">
        <f>CK133</f>
        <v>7231.5481451628848</v>
      </c>
      <c r="CL7" s="936">
        <f t="shared" ref="CL7:CR7" si="14">CL133</f>
        <v>1372.9883922482074</v>
      </c>
      <c r="CM7" s="936">
        <f t="shared" si="14"/>
        <v>1716.2354903102589</v>
      </c>
      <c r="CN7" s="936">
        <f t="shared" si="14"/>
        <v>1716.2354903102591</v>
      </c>
      <c r="CO7" s="935">
        <f t="shared" si="14"/>
        <v>2059.4825883723111</v>
      </c>
      <c r="CP7" s="936">
        <f t="shared" si="14"/>
        <v>3089.2238825584664</v>
      </c>
      <c r="CQ7" s="936">
        <f t="shared" si="14"/>
        <v>3775.7180786825702</v>
      </c>
      <c r="CR7" s="936">
        <f t="shared" si="14"/>
        <v>4805.459372868725</v>
      </c>
      <c r="CS7" s="937">
        <f>CS133</f>
        <v>6864.9419612410366</v>
      </c>
      <c r="CT7" s="936">
        <f t="shared" ref="CT7:CZ7" si="15">CT133</f>
        <v>1291.2343776627429</v>
      </c>
      <c r="CU7" s="936">
        <f t="shared" si="15"/>
        <v>1614.0429720784284</v>
      </c>
      <c r="CV7" s="936">
        <f t="shared" si="15"/>
        <v>1614.0429720784284</v>
      </c>
      <c r="CW7" s="935">
        <f t="shared" si="15"/>
        <v>1936.851566494114</v>
      </c>
      <c r="CX7" s="936">
        <f t="shared" si="15"/>
        <v>2905.2773497411713</v>
      </c>
      <c r="CY7" s="936">
        <f t="shared" si="15"/>
        <v>3550.8945385725424</v>
      </c>
      <c r="CZ7" s="936">
        <f t="shared" si="15"/>
        <v>4519.3203218195995</v>
      </c>
      <c r="DA7" s="937">
        <f>DA133</f>
        <v>6456.1718883137137</v>
      </c>
      <c r="DB7" s="461"/>
      <c r="DC7" s="33">
        <f>((DA7+DA9)/(AO7+AO9))^(1/8)-1</f>
        <v>0.20738544593885266</v>
      </c>
    </row>
    <row r="8" spans="1:108" x14ac:dyDescent="0.2">
      <c r="A8" s="979"/>
      <c r="B8" s="1396" t="s">
        <v>20</v>
      </c>
      <c r="C8" s="981"/>
      <c r="D8" s="981"/>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981"/>
      <c r="AF8" s="981"/>
      <c r="AG8" s="900"/>
      <c r="AH8" s="104">
        <f>IFERROR(AH7/AG7-1,"")</f>
        <v>0.11650157136764849</v>
      </c>
      <c r="AI8" s="104">
        <f t="shared" ref="AI8:AO8" si="16">IFERROR(AI7/AH7-1,"")</f>
        <v>0.10760141874711726</v>
      </c>
      <c r="AJ8" s="104">
        <f t="shared" si="16"/>
        <v>9.1499750360110266E-2</v>
      </c>
      <c r="AK8" s="104">
        <f t="shared" si="16"/>
        <v>0.1078294455430886</v>
      </c>
      <c r="AL8" s="104">
        <f t="shared" si="16"/>
        <v>6.6744186756250601E-2</v>
      </c>
      <c r="AM8" s="104">
        <f>IFERROR(AM7/AL7-1,"")</f>
        <v>-0.53966910136759505</v>
      </c>
      <c r="AN8" s="104">
        <f t="shared" si="16"/>
        <v>0.12809181484873111</v>
      </c>
      <c r="AO8" s="105">
        <f t="shared" si="16"/>
        <v>0.47415612935960394</v>
      </c>
      <c r="AP8" s="104"/>
      <c r="AQ8" s="104"/>
      <c r="AR8" s="104"/>
      <c r="AS8" s="872"/>
      <c r="AT8" s="104"/>
      <c r="AU8" s="104"/>
      <c r="AV8" s="104"/>
      <c r="AW8" s="625">
        <f>IFERROR(AW7/AO7-1,"")</f>
        <v>0.33966180364076437</v>
      </c>
      <c r="AX8" s="104">
        <f t="shared" ref="AX8:BD8" si="17">IFERROR(AX7/AP7-1,"")</f>
        <v>0.14787985562835337</v>
      </c>
      <c r="AY8" s="104">
        <f t="shared" si="17"/>
        <v>5.1115865782234593E-2</v>
      </c>
      <c r="AZ8" s="104">
        <f t="shared" si="17"/>
        <v>0.16773609695306124</v>
      </c>
      <c r="BA8" s="872">
        <f t="shared" si="17"/>
        <v>0.40734019432774882</v>
      </c>
      <c r="BB8" s="104">
        <f t="shared" si="17"/>
        <v>9.6192371992097403E-2</v>
      </c>
      <c r="BC8" s="104">
        <f t="shared" si="17"/>
        <v>0.29063891247850071</v>
      </c>
      <c r="BD8" s="104">
        <f t="shared" si="17"/>
        <v>0.1228893655673875</v>
      </c>
      <c r="BE8" s="625">
        <f>IFERROR(BE7/AW7-1,"")</f>
        <v>0.20313796925961913</v>
      </c>
      <c r="BF8" s="104">
        <f t="shared" ref="BF8:DA8" si="18">IFERROR(BF7/AX7-1,"")</f>
        <v>0.17396936550110187</v>
      </c>
      <c r="BG8" s="104">
        <f t="shared" si="18"/>
        <v>0.22714567822414855</v>
      </c>
      <c r="BH8" s="104">
        <f t="shared" si="18"/>
        <v>3.5207508040371538E-2</v>
      </c>
      <c r="BI8" s="872">
        <f t="shared" si="18"/>
        <v>0.16268954159015303</v>
      </c>
      <c r="BJ8" s="104">
        <f t="shared" si="18"/>
        <v>0.20120601348119904</v>
      </c>
      <c r="BK8" s="104">
        <f t="shared" si="18"/>
        <v>0.10651101833092724</v>
      </c>
      <c r="BL8" s="104">
        <f t="shared" si="18"/>
        <v>0.13678868301162428</v>
      </c>
      <c r="BM8" s="625">
        <f>IFERROR(BM7/BE7-1,"")</f>
        <v>0.14533596634253865</v>
      </c>
      <c r="BN8" s="104">
        <f t="shared" si="18"/>
        <v>0.22304575132648741</v>
      </c>
      <c r="BO8" s="104">
        <f t="shared" si="18"/>
        <v>0.16385637669439101</v>
      </c>
      <c r="BP8" s="461">
        <f t="shared" si="18"/>
        <v>6.6912251157148495E-2</v>
      </c>
      <c r="BQ8" s="868">
        <f t="shared" si="18"/>
        <v>4.7803375017020144E-2</v>
      </c>
      <c r="BR8" s="104">
        <f t="shared" si="18"/>
        <v>0.1920745669259718</v>
      </c>
      <c r="BS8" s="461">
        <f t="shared" si="18"/>
        <v>5.5681595881809987E-2</v>
      </c>
      <c r="BT8" s="461">
        <f t="shared" si="18"/>
        <v>0.14784427488736518</v>
      </c>
      <c r="BU8" s="867">
        <f t="shared" si="18"/>
        <v>0.11433057343079955</v>
      </c>
      <c r="BV8" s="461">
        <f t="shared" si="18"/>
        <v>-5.7530131402437235E-2</v>
      </c>
      <c r="BW8" s="461">
        <f t="shared" si="18"/>
        <v>0.12795595975772112</v>
      </c>
      <c r="BX8" s="461">
        <f t="shared" si="18"/>
        <v>0.17808733574695346</v>
      </c>
      <c r="BY8" s="868">
        <f t="shared" si="18"/>
        <v>9.7891449259601693E-3</v>
      </c>
      <c r="BZ8" s="461">
        <f t="shared" si="18"/>
        <v>3.7229067342426259E-2</v>
      </c>
      <c r="CA8" s="461">
        <f t="shared" si="18"/>
        <v>7.9913391101373854E-2</v>
      </c>
      <c r="CB8" s="461">
        <f t="shared" si="18"/>
        <v>8.3496381781869466E-2</v>
      </c>
      <c r="CC8" s="867">
        <f t="shared" si="18"/>
        <v>6.0278602172258111E-2</v>
      </c>
      <c r="CD8" s="461">
        <f t="shared" si="18"/>
        <v>-1.9891183364878051E-2</v>
      </c>
      <c r="CE8" s="461">
        <f t="shared" si="18"/>
        <v>-1.9891183364878384E-2</v>
      </c>
      <c r="CF8" s="461">
        <f t="shared" si="18"/>
        <v>-1.9891183364878051E-2</v>
      </c>
      <c r="CG8" s="868">
        <f t="shared" si="18"/>
        <v>-1.9891183364878051E-2</v>
      </c>
      <c r="CH8" s="461">
        <f t="shared" si="18"/>
        <v>-1.9891183364878162E-2</v>
      </c>
      <c r="CI8" s="461">
        <f t="shared" si="18"/>
        <v>-1.989118336487794E-2</v>
      </c>
      <c r="CJ8" s="461">
        <f t="shared" si="18"/>
        <v>-1.9891183364878162E-2</v>
      </c>
      <c r="CK8" s="867">
        <f t="shared" si="18"/>
        <v>-1.9891183364878051E-2</v>
      </c>
      <c r="CL8" s="461">
        <f t="shared" si="18"/>
        <v>-5.069539420366953E-2</v>
      </c>
      <c r="CM8" s="461">
        <f t="shared" si="18"/>
        <v>-5.0695394203669641E-2</v>
      </c>
      <c r="CN8" s="461">
        <f t="shared" si="18"/>
        <v>-5.0695394203669641E-2</v>
      </c>
      <c r="CO8" s="868">
        <f t="shared" si="18"/>
        <v>-5.069539420366953E-2</v>
      </c>
      <c r="CP8" s="461">
        <f t="shared" si="18"/>
        <v>-5.0695394203669641E-2</v>
      </c>
      <c r="CQ8" s="461">
        <f t="shared" si="18"/>
        <v>-5.0695394203669641E-2</v>
      </c>
      <c r="CR8" s="461">
        <f t="shared" si="18"/>
        <v>-5.0695394203669752E-2</v>
      </c>
      <c r="CS8" s="867">
        <f t="shared" si="18"/>
        <v>-5.0695394203669641E-2</v>
      </c>
      <c r="CT8" s="461">
        <f t="shared" si="18"/>
        <v>-5.954457812392433E-2</v>
      </c>
      <c r="CU8" s="461">
        <f t="shared" si="18"/>
        <v>-5.9544578123924108E-2</v>
      </c>
      <c r="CV8" s="461">
        <f t="shared" si="18"/>
        <v>-5.954457812392433E-2</v>
      </c>
      <c r="CW8" s="868">
        <f t="shared" si="18"/>
        <v>-5.9544578123924441E-2</v>
      </c>
      <c r="CX8" s="461">
        <f t="shared" si="18"/>
        <v>-5.9544578123924219E-2</v>
      </c>
      <c r="CY8" s="461">
        <f t="shared" si="18"/>
        <v>-5.954457812392433E-2</v>
      </c>
      <c r="CZ8" s="461">
        <f t="shared" si="18"/>
        <v>-5.9544578123924219E-2</v>
      </c>
      <c r="DA8" s="867">
        <f t="shared" si="18"/>
        <v>-5.954457812392433E-2</v>
      </c>
    </row>
    <row r="9" spans="1:108" x14ac:dyDescent="0.2">
      <c r="A9" s="997" t="s">
        <v>922</v>
      </c>
      <c r="B9" s="998"/>
      <c r="C9" s="981"/>
      <c r="D9" s="981"/>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981"/>
      <c r="AF9" s="981"/>
      <c r="AG9" s="926">
        <f t="shared" ref="AG9:BE9" si="19">AG144</f>
        <v>0</v>
      </c>
      <c r="AH9" s="926">
        <f t="shared" si="19"/>
        <v>0</v>
      </c>
      <c r="AI9" s="926">
        <f t="shared" si="19"/>
        <v>0</v>
      </c>
      <c r="AJ9" s="926">
        <f t="shared" si="19"/>
        <v>0</v>
      </c>
      <c r="AK9" s="926">
        <f t="shared" si="19"/>
        <v>0</v>
      </c>
      <c r="AL9" s="926">
        <f t="shared" si="19"/>
        <v>0</v>
      </c>
      <c r="AM9" s="926">
        <f t="shared" si="19"/>
        <v>0</v>
      </c>
      <c r="AN9" s="926">
        <f t="shared" si="19"/>
        <v>0</v>
      </c>
      <c r="AO9" s="934">
        <f t="shared" si="19"/>
        <v>0</v>
      </c>
      <c r="AP9" s="926">
        <f t="shared" si="19"/>
        <v>15</v>
      </c>
      <c r="AQ9" s="926">
        <f t="shared" si="19"/>
        <v>15</v>
      </c>
      <c r="AR9" s="926">
        <f t="shared" si="19"/>
        <v>17.5</v>
      </c>
      <c r="AS9" s="1001">
        <f t="shared" si="19"/>
        <v>20.501171731371443</v>
      </c>
      <c r="AT9" s="926">
        <f t="shared" si="19"/>
        <v>30</v>
      </c>
      <c r="AU9" s="926">
        <f t="shared" si="19"/>
        <v>38.001171731371443</v>
      </c>
      <c r="AV9" s="926">
        <f t="shared" si="19"/>
        <v>47.5</v>
      </c>
      <c r="AW9" s="1032">
        <f>AW144</f>
        <v>68.001171731371443</v>
      </c>
      <c r="AX9" s="926">
        <f t="shared" si="19"/>
        <v>119.68206224721376</v>
      </c>
      <c r="AY9" s="926">
        <f t="shared" si="19"/>
        <v>134.64232002811545</v>
      </c>
      <c r="AZ9" s="926">
        <f t="shared" ref="AZ9" si="20">AZ144</f>
        <v>134.64232002811548</v>
      </c>
      <c r="BA9" s="1001">
        <f t="shared" si="19"/>
        <v>209.4436089326241</v>
      </c>
      <c r="BB9" s="926">
        <f t="shared" si="19"/>
        <v>254.32438227532921</v>
      </c>
      <c r="BC9" s="926">
        <f t="shared" si="19"/>
        <v>344.08592896073958</v>
      </c>
      <c r="BD9" s="926">
        <f t="shared" si="19"/>
        <v>388.96670230344466</v>
      </c>
      <c r="BE9" s="1032">
        <f t="shared" si="19"/>
        <v>598.41031123606876</v>
      </c>
      <c r="BF9" s="926">
        <f t="shared" ref="BF9:BM9" si="21">BF144</f>
        <v>289.63059063825733</v>
      </c>
      <c r="BG9" s="926">
        <f t="shared" si="21"/>
        <v>347.55670876590875</v>
      </c>
      <c r="BH9" s="926">
        <f t="shared" si="21"/>
        <v>362.03823829782164</v>
      </c>
      <c r="BI9" s="1001">
        <f t="shared" si="21"/>
        <v>448.92741548929882</v>
      </c>
      <c r="BJ9" s="926">
        <f t="shared" si="21"/>
        <v>637.18729940416608</v>
      </c>
      <c r="BK9" s="926">
        <f t="shared" si="21"/>
        <v>810.96565378712046</v>
      </c>
      <c r="BL9" s="926">
        <f t="shared" si="21"/>
        <v>999.22553770198772</v>
      </c>
      <c r="BM9" s="1032">
        <f t="shared" si="21"/>
        <v>1448.1529531912865</v>
      </c>
      <c r="BN9" s="926">
        <f t="shared" ref="BN9:BT9" si="22">BN144</f>
        <v>648.77252302969657</v>
      </c>
      <c r="BO9" s="926">
        <f t="shared" si="22"/>
        <v>810.96565378712069</v>
      </c>
      <c r="BP9" s="936">
        <f t="shared" si="22"/>
        <v>810.96565378712069</v>
      </c>
      <c r="BQ9" s="935">
        <f t="shared" si="22"/>
        <v>973.1587845445448</v>
      </c>
      <c r="BR9" s="926">
        <f t="shared" si="22"/>
        <v>1459.7381768168173</v>
      </c>
      <c r="BS9" s="936">
        <f t="shared" si="22"/>
        <v>1784.1244383316655</v>
      </c>
      <c r="BT9" s="936">
        <f t="shared" si="22"/>
        <v>2270.7038306039381</v>
      </c>
      <c r="BU9" s="937">
        <f>BU144</f>
        <v>3243.8626151484827</v>
      </c>
      <c r="BV9" s="936">
        <f t="shared" ref="BV9:CJ9" si="23">BV144</f>
        <v>892.06221916583297</v>
      </c>
      <c r="BW9" s="936">
        <f t="shared" si="23"/>
        <v>1115.0777739572909</v>
      </c>
      <c r="BX9" s="936">
        <f t="shared" si="23"/>
        <v>1115.0777739572911</v>
      </c>
      <c r="BY9" s="935">
        <f t="shared" si="23"/>
        <v>1338.0933287487494</v>
      </c>
      <c r="BZ9" s="936">
        <f t="shared" si="23"/>
        <v>2007.139993123124</v>
      </c>
      <c r="CA9" s="936">
        <f t="shared" si="23"/>
        <v>2453.1711027060405</v>
      </c>
      <c r="CB9" s="936">
        <f t="shared" si="23"/>
        <v>3122.2177670804149</v>
      </c>
      <c r="CC9" s="937">
        <f t="shared" si="23"/>
        <v>4460.3110958291645</v>
      </c>
      <c r="CD9" s="936">
        <f t="shared" si="23"/>
        <v>1166.8173826689094</v>
      </c>
      <c r="CE9" s="936">
        <f t="shared" si="23"/>
        <v>1458.5217283361367</v>
      </c>
      <c r="CF9" s="936">
        <f t="shared" si="23"/>
        <v>1458.5217283361367</v>
      </c>
      <c r="CG9" s="935">
        <f t="shared" si="23"/>
        <v>1750.2260740033639</v>
      </c>
      <c r="CH9" s="936">
        <f t="shared" si="23"/>
        <v>2625.3391110050461</v>
      </c>
      <c r="CI9" s="936">
        <f t="shared" si="23"/>
        <v>3208.7478023395006</v>
      </c>
      <c r="CJ9" s="936">
        <f t="shared" si="23"/>
        <v>4083.8608393411828</v>
      </c>
      <c r="CK9" s="937">
        <f>CK144</f>
        <v>5834.0869133445467</v>
      </c>
      <c r="CL9" s="936">
        <f t="shared" ref="CL9:CR9" si="24">CL144</f>
        <v>1470.189902162826</v>
      </c>
      <c r="CM9" s="936">
        <f t="shared" si="24"/>
        <v>1837.7373777035327</v>
      </c>
      <c r="CN9" s="936">
        <f t="shared" si="24"/>
        <v>1837.7373777035325</v>
      </c>
      <c r="CO9" s="935">
        <f t="shared" si="24"/>
        <v>2205.2848532442385</v>
      </c>
      <c r="CP9" s="936">
        <f t="shared" si="24"/>
        <v>3307.9272798663587</v>
      </c>
      <c r="CQ9" s="936">
        <f t="shared" si="24"/>
        <v>4043.0222309477713</v>
      </c>
      <c r="CR9" s="936">
        <f t="shared" si="24"/>
        <v>5145.6646575698915</v>
      </c>
      <c r="CS9" s="937">
        <f>CS144</f>
        <v>7350.94951081413</v>
      </c>
      <c r="CT9" s="936">
        <f t="shared" ref="CT9:CZ9" si="25">CT144</f>
        <v>1764.2278825953913</v>
      </c>
      <c r="CU9" s="936">
        <f t="shared" si="25"/>
        <v>2205.284853244239</v>
      </c>
      <c r="CV9" s="936">
        <f t="shared" si="25"/>
        <v>2205.284853244239</v>
      </c>
      <c r="CW9" s="935">
        <f t="shared" si="25"/>
        <v>2646.3418238930867</v>
      </c>
      <c r="CX9" s="936">
        <f t="shared" si="25"/>
        <v>3969.5127358396303</v>
      </c>
      <c r="CY9" s="936">
        <f t="shared" si="25"/>
        <v>4851.6266771373257</v>
      </c>
      <c r="CZ9" s="936">
        <f t="shared" si="25"/>
        <v>6174.7975890838698</v>
      </c>
      <c r="DA9" s="937">
        <f>DA144</f>
        <v>8821.139412976956</v>
      </c>
    </row>
    <row r="10" spans="1:108" x14ac:dyDescent="0.2">
      <c r="A10" s="979"/>
      <c r="B10" s="1396" t="s">
        <v>20</v>
      </c>
      <c r="C10" s="981"/>
      <c r="D10" s="981"/>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981"/>
      <c r="AF10" s="981"/>
      <c r="AG10" s="900"/>
      <c r="AH10" s="104" t="str">
        <f t="shared" ref="AH10:AO10" si="26">IFERROR(AH9/AG9-1,"")</f>
        <v/>
      </c>
      <c r="AI10" s="104" t="str">
        <f t="shared" si="26"/>
        <v/>
      </c>
      <c r="AJ10" s="104" t="str">
        <f t="shared" si="26"/>
        <v/>
      </c>
      <c r="AK10" s="104" t="str">
        <f t="shared" si="26"/>
        <v/>
      </c>
      <c r="AL10" s="104" t="str">
        <f t="shared" si="26"/>
        <v/>
      </c>
      <c r="AM10" s="104" t="str">
        <f t="shared" si="26"/>
        <v/>
      </c>
      <c r="AN10" s="104" t="str">
        <f t="shared" si="26"/>
        <v/>
      </c>
      <c r="AO10" s="105" t="str">
        <f t="shared" si="26"/>
        <v/>
      </c>
      <c r="AP10" s="104"/>
      <c r="AQ10" s="104"/>
      <c r="AR10" s="104"/>
      <c r="AS10" s="872"/>
      <c r="AT10" s="104"/>
      <c r="AU10" s="104"/>
      <c r="AV10" s="104"/>
      <c r="AW10" s="867" t="str">
        <f>IFERROR(AW9/AO9-1,"")</f>
        <v/>
      </c>
      <c r="AX10" s="104">
        <f t="shared" ref="AX10:BD10" si="27">IFERROR(AX9/AP9-1,"")</f>
        <v>6.978804149814251</v>
      </c>
      <c r="AY10" s="104">
        <f t="shared" si="27"/>
        <v>7.9761546685410298</v>
      </c>
      <c r="AZ10" s="104">
        <f t="shared" si="27"/>
        <v>6.6938468587494562</v>
      </c>
      <c r="BA10" s="872">
        <f t="shared" si="27"/>
        <v>9.2161774788768724</v>
      </c>
      <c r="BB10" s="104">
        <f t="shared" si="27"/>
        <v>7.47747940917764</v>
      </c>
      <c r="BC10" s="104">
        <f t="shared" si="27"/>
        <v>8.0546136680486438</v>
      </c>
      <c r="BD10" s="104">
        <f t="shared" si="27"/>
        <v>7.1887726800725193</v>
      </c>
      <c r="BE10" s="625">
        <f>IFERROR(BE9/AW9-1,"")</f>
        <v>7.8000000000000007</v>
      </c>
      <c r="BF10" s="104">
        <f t="shared" ref="BF10:DA10" si="28">IFERROR(BF9/AX9-1,"")</f>
        <v>1.4200000000000004</v>
      </c>
      <c r="BG10" s="104">
        <f t="shared" si="28"/>
        <v>1.5813333333333337</v>
      </c>
      <c r="BH10" s="104">
        <f t="shared" si="28"/>
        <v>1.6888888888888891</v>
      </c>
      <c r="BI10" s="872">
        <f t="shared" si="28"/>
        <v>1.1434285714285712</v>
      </c>
      <c r="BJ10" s="104">
        <f t="shared" si="28"/>
        <v>1.5054117647058827</v>
      </c>
      <c r="BK10" s="104">
        <f t="shared" si="28"/>
        <v>1.3568695652173912</v>
      </c>
      <c r="BL10" s="104">
        <f t="shared" si="28"/>
        <v>1.5689230769230775</v>
      </c>
      <c r="BM10" s="625">
        <f>IFERROR(BM9/BE9-1,"")</f>
        <v>1.4200000000000004</v>
      </c>
      <c r="BN10" s="104">
        <f t="shared" si="28"/>
        <v>1.2400000000000007</v>
      </c>
      <c r="BO10" s="104">
        <f t="shared" si="28"/>
        <v>1.3333333333333339</v>
      </c>
      <c r="BP10" s="461">
        <f t="shared" si="28"/>
        <v>1.2400000000000007</v>
      </c>
      <c r="BQ10" s="868">
        <f t="shared" si="28"/>
        <v>1.1677419354838716</v>
      </c>
      <c r="BR10" s="104">
        <f t="shared" si="28"/>
        <v>1.2909090909090915</v>
      </c>
      <c r="BS10" s="461">
        <f t="shared" si="28"/>
        <v>1.2000000000000006</v>
      </c>
      <c r="BT10" s="461">
        <f t="shared" si="28"/>
        <v>1.272463768115943</v>
      </c>
      <c r="BU10" s="867">
        <f t="shared" si="28"/>
        <v>1.2400000000000007</v>
      </c>
      <c r="BV10" s="461">
        <f t="shared" si="28"/>
        <v>0.37500000000000022</v>
      </c>
      <c r="BW10" s="461">
        <f t="shared" si="28"/>
        <v>0.375</v>
      </c>
      <c r="BX10" s="461">
        <f t="shared" si="28"/>
        <v>0.37500000000000022</v>
      </c>
      <c r="BY10" s="868">
        <f t="shared" si="28"/>
        <v>0.37500000000000022</v>
      </c>
      <c r="BZ10" s="461">
        <f t="shared" si="28"/>
        <v>0.37500000000000022</v>
      </c>
      <c r="CA10" s="461">
        <f t="shared" si="28"/>
        <v>0.37500000000000022</v>
      </c>
      <c r="CB10" s="461">
        <f t="shared" si="28"/>
        <v>0.375</v>
      </c>
      <c r="CC10" s="867">
        <f t="shared" si="28"/>
        <v>0.37500000000000022</v>
      </c>
      <c r="CD10" s="461">
        <f t="shared" si="28"/>
        <v>0.30799999999999983</v>
      </c>
      <c r="CE10" s="461">
        <f t="shared" si="28"/>
        <v>0.30800000000000005</v>
      </c>
      <c r="CF10" s="461">
        <f t="shared" si="28"/>
        <v>0.30799999999999983</v>
      </c>
      <c r="CG10" s="868">
        <f t="shared" si="28"/>
        <v>0.30799999999999983</v>
      </c>
      <c r="CH10" s="461">
        <f t="shared" si="28"/>
        <v>0.30800000000000005</v>
      </c>
      <c r="CI10" s="461">
        <f t="shared" si="28"/>
        <v>0.30799999999999983</v>
      </c>
      <c r="CJ10" s="461">
        <f t="shared" si="28"/>
        <v>0.30800000000000005</v>
      </c>
      <c r="CK10" s="867">
        <f t="shared" si="28"/>
        <v>0.30799999999999983</v>
      </c>
      <c r="CL10" s="461">
        <f t="shared" si="28"/>
        <v>0.26</v>
      </c>
      <c r="CM10" s="461">
        <f t="shared" si="28"/>
        <v>0.26000000000000045</v>
      </c>
      <c r="CN10" s="461">
        <f t="shared" si="28"/>
        <v>0.26000000000000023</v>
      </c>
      <c r="CO10" s="868">
        <f t="shared" si="28"/>
        <v>0.26</v>
      </c>
      <c r="CP10" s="461">
        <f t="shared" si="28"/>
        <v>0.26000000000000023</v>
      </c>
      <c r="CQ10" s="461">
        <f t="shared" si="28"/>
        <v>0.26000000000000023</v>
      </c>
      <c r="CR10" s="461">
        <f t="shared" si="28"/>
        <v>0.26000000000000023</v>
      </c>
      <c r="CS10" s="867">
        <f t="shared" si="28"/>
        <v>0.26000000000000023</v>
      </c>
      <c r="CT10" s="461">
        <f t="shared" si="28"/>
        <v>0.19999999999999996</v>
      </c>
      <c r="CU10" s="461">
        <f t="shared" si="28"/>
        <v>0.19999999999999996</v>
      </c>
      <c r="CV10" s="461">
        <f t="shared" si="28"/>
        <v>0.19999999999999996</v>
      </c>
      <c r="CW10" s="868">
        <f t="shared" si="28"/>
        <v>0.20000000000000018</v>
      </c>
      <c r="CX10" s="461">
        <f t="shared" si="28"/>
        <v>0.19999999999999996</v>
      </c>
      <c r="CY10" s="461">
        <f t="shared" si="28"/>
        <v>0.19999999999999996</v>
      </c>
      <c r="CZ10" s="461">
        <f t="shared" si="28"/>
        <v>0.19999999999999996</v>
      </c>
      <c r="DA10" s="867">
        <f t="shared" si="28"/>
        <v>0.19999999999999996</v>
      </c>
    </row>
    <row r="11" spans="1:108" x14ac:dyDescent="0.2">
      <c r="A11" s="997" t="s">
        <v>923</v>
      </c>
      <c r="B11" s="998"/>
      <c r="C11" s="981"/>
      <c r="D11" s="981"/>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981"/>
      <c r="AF11" s="981"/>
      <c r="AG11" s="926">
        <f>AG170</f>
        <v>550</v>
      </c>
      <c r="AH11" s="926">
        <f t="shared" ref="AH11:BQ11" si="29">AH170</f>
        <v>600.6</v>
      </c>
      <c r="AI11" s="926">
        <f t="shared" si="29"/>
        <v>655.8552000000002</v>
      </c>
      <c r="AJ11" s="926">
        <f t="shared" si="29"/>
        <v>658.89836812800013</v>
      </c>
      <c r="AK11" s="926">
        <f t="shared" si="29"/>
        <v>712.66447496724504</v>
      </c>
      <c r="AL11" s="926">
        <f t="shared" si="29"/>
        <v>778.22960666423171</v>
      </c>
      <c r="AM11" s="926">
        <f t="shared" si="29"/>
        <v>517.52268843171396</v>
      </c>
      <c r="AN11" s="926">
        <f t="shared" si="29"/>
        <v>491.64655401012828</v>
      </c>
      <c r="AO11" s="934">
        <f t="shared" si="29"/>
        <v>526.5534593448474</v>
      </c>
      <c r="AP11" s="926">
        <f t="shared" si="29"/>
        <v>130</v>
      </c>
      <c r="AQ11" s="926">
        <f t="shared" si="29"/>
        <v>143.67616049448446</v>
      </c>
      <c r="AR11" s="926">
        <f t="shared" si="29"/>
        <v>152.04231138582469</v>
      </c>
      <c r="AS11" s="1001">
        <f t="shared" si="29"/>
        <v>182.4507736629896</v>
      </c>
      <c r="AT11" s="926">
        <f t="shared" si="29"/>
        <v>273.67616049448446</v>
      </c>
      <c r="AU11" s="926">
        <f t="shared" si="29"/>
        <v>334.49308504881429</v>
      </c>
      <c r="AV11" s="926">
        <f t="shared" si="29"/>
        <v>425.71847188030915</v>
      </c>
      <c r="AW11" s="1032">
        <f t="shared" si="29"/>
        <v>608.16924554329876</v>
      </c>
      <c r="AX11" s="926">
        <f t="shared" si="29"/>
        <v>137.93278488922019</v>
      </c>
      <c r="AY11" s="926">
        <f t="shared" si="29"/>
        <v>155.17438300037273</v>
      </c>
      <c r="AZ11" s="926">
        <f t="shared" ref="AZ11" si="30">AZ170</f>
        <v>172.41598111152524</v>
      </c>
      <c r="BA11" s="1001">
        <f t="shared" si="29"/>
        <v>224.14077544498281</v>
      </c>
      <c r="BB11" s="926">
        <f>BB170</f>
        <v>293.10716788959292</v>
      </c>
      <c r="BC11" s="926">
        <f>BC170</f>
        <v>396.55675655650805</v>
      </c>
      <c r="BD11" s="926">
        <f>BD170</f>
        <v>465.52314900111816</v>
      </c>
      <c r="BE11" s="1032">
        <f t="shared" si="29"/>
        <v>689.66392444610096</v>
      </c>
      <c r="BF11" s="926">
        <f>BF170</f>
        <v>152.0708953403653</v>
      </c>
      <c r="BG11" s="926">
        <f t="shared" ref="BG11:BH11" si="31">BG170</f>
        <v>182.48507440843835</v>
      </c>
      <c r="BH11" s="926">
        <f t="shared" si="31"/>
        <v>190.08861917545661</v>
      </c>
      <c r="BI11" s="1001">
        <f t="shared" si="29"/>
        <v>235.70988777756619</v>
      </c>
      <c r="BJ11" s="926">
        <f>BJ170</f>
        <v>334.55596974880365</v>
      </c>
      <c r="BK11" s="926">
        <f>BK170</f>
        <v>425.79850695302281</v>
      </c>
      <c r="BL11" s="926">
        <f>BL170</f>
        <v>524.64458892426023</v>
      </c>
      <c r="BM11" s="1032">
        <f t="shared" ref="BM11" si="32">BM170</f>
        <v>760.35447670182646</v>
      </c>
      <c r="BN11" s="926">
        <f t="shared" si="29"/>
        <v>167.65816211275276</v>
      </c>
      <c r="BO11" s="926">
        <f t="shared" si="29"/>
        <v>209.57270264094095</v>
      </c>
      <c r="BP11" s="936">
        <f t="shared" si="29"/>
        <v>209.57270264094095</v>
      </c>
      <c r="BQ11" s="935">
        <f t="shared" si="29"/>
        <v>251.48724316912913</v>
      </c>
      <c r="BR11" s="926">
        <f>BR170</f>
        <v>377.23086475369371</v>
      </c>
      <c r="BS11" s="936">
        <f>BS170</f>
        <v>461.05994581007008</v>
      </c>
      <c r="BT11" s="936">
        <f>BT170</f>
        <v>586.80356739463468</v>
      </c>
      <c r="BU11" s="937">
        <f>BU170</f>
        <v>838.29081056376378</v>
      </c>
      <c r="BV11" s="936">
        <f t="shared" ref="BV11:CB11" si="33">BV170</f>
        <v>184.84312372930995</v>
      </c>
      <c r="BW11" s="936">
        <f t="shared" si="33"/>
        <v>231.05390466163746</v>
      </c>
      <c r="BX11" s="936">
        <f t="shared" si="33"/>
        <v>231.05390466163743</v>
      </c>
      <c r="BY11" s="935">
        <f t="shared" si="33"/>
        <v>277.26468559396488</v>
      </c>
      <c r="BZ11" s="936">
        <f t="shared" si="33"/>
        <v>415.89702839094741</v>
      </c>
      <c r="CA11" s="936">
        <f t="shared" si="33"/>
        <v>508.31859025560232</v>
      </c>
      <c r="CB11" s="936">
        <f t="shared" si="33"/>
        <v>646.95093305258479</v>
      </c>
      <c r="CC11" s="937">
        <f>CC170</f>
        <v>924.21561864654973</v>
      </c>
      <c r="CD11" s="936">
        <f t="shared" ref="CD11:CJ11" si="34">CD170</f>
        <v>203.78954391156421</v>
      </c>
      <c r="CE11" s="936">
        <f t="shared" si="34"/>
        <v>254.73692988945524</v>
      </c>
      <c r="CF11" s="936">
        <f t="shared" si="34"/>
        <v>254.73692988945524</v>
      </c>
      <c r="CG11" s="935">
        <f t="shared" si="34"/>
        <v>305.68431586734619</v>
      </c>
      <c r="CH11" s="936">
        <f t="shared" si="34"/>
        <v>458.52647380101945</v>
      </c>
      <c r="CI11" s="936">
        <f t="shared" si="34"/>
        <v>560.42124575680145</v>
      </c>
      <c r="CJ11" s="936">
        <f t="shared" si="34"/>
        <v>713.26340369047466</v>
      </c>
      <c r="CK11" s="937">
        <f>CK170</f>
        <v>1018.947719557821</v>
      </c>
      <c r="CL11" s="936">
        <f t="shared" ref="CL11:CR11" si="35">CL170</f>
        <v>224.67797216249957</v>
      </c>
      <c r="CM11" s="936">
        <f t="shared" si="35"/>
        <v>280.84746520312444</v>
      </c>
      <c r="CN11" s="936">
        <f t="shared" si="35"/>
        <v>280.84746520312444</v>
      </c>
      <c r="CO11" s="935">
        <f t="shared" si="35"/>
        <v>337.0169582437494</v>
      </c>
      <c r="CP11" s="936">
        <f t="shared" si="35"/>
        <v>505.52543736562399</v>
      </c>
      <c r="CQ11" s="936">
        <f t="shared" si="35"/>
        <v>617.86442344687384</v>
      </c>
      <c r="CR11" s="936">
        <f t="shared" si="35"/>
        <v>786.37290256874849</v>
      </c>
      <c r="CS11" s="937">
        <f>CS170</f>
        <v>1123.3898608124978</v>
      </c>
      <c r="CT11" s="936">
        <f t="shared" ref="CT11:CZ11" si="36">CT170</f>
        <v>247.70746430915585</v>
      </c>
      <c r="CU11" s="936">
        <f t="shared" si="36"/>
        <v>309.63433038644473</v>
      </c>
      <c r="CV11" s="936">
        <f t="shared" si="36"/>
        <v>309.63433038644479</v>
      </c>
      <c r="CW11" s="935">
        <f t="shared" si="36"/>
        <v>371.56119646373378</v>
      </c>
      <c r="CX11" s="936">
        <f t="shared" si="36"/>
        <v>557.34179469560058</v>
      </c>
      <c r="CY11" s="936">
        <f t="shared" si="36"/>
        <v>681.19552685017857</v>
      </c>
      <c r="CZ11" s="936">
        <f t="shared" si="36"/>
        <v>866.97612508204543</v>
      </c>
      <c r="DA11" s="937">
        <f>DA170</f>
        <v>1238.5373215457792</v>
      </c>
    </row>
    <row r="12" spans="1:108" x14ac:dyDescent="0.2">
      <c r="A12" s="979"/>
      <c r="B12" s="1396" t="s">
        <v>20</v>
      </c>
      <c r="C12" s="981"/>
      <c r="D12" s="981"/>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981"/>
      <c r="AF12" s="981"/>
      <c r="AG12" s="982"/>
      <c r="AH12" s="104">
        <f>AH11/AG11-1</f>
        <v>9.2000000000000082E-2</v>
      </c>
      <c r="AI12" s="104">
        <f t="shared" ref="AI12:AO12" si="37">AI11/AH11-1</f>
        <v>9.2000000000000304E-2</v>
      </c>
      <c r="AJ12" s="104">
        <f t="shared" si="37"/>
        <v>4.6399999999999775E-3</v>
      </c>
      <c r="AK12" s="104">
        <f t="shared" si="37"/>
        <v>8.1600000000000117E-2</v>
      </c>
      <c r="AL12" s="104">
        <f t="shared" si="37"/>
        <v>9.2000000000000082E-2</v>
      </c>
      <c r="AM12" s="104">
        <f t="shared" si="37"/>
        <v>-0.33500000000000019</v>
      </c>
      <c r="AN12" s="104">
        <f t="shared" si="37"/>
        <v>-4.9999999999999933E-2</v>
      </c>
      <c r="AO12" s="105">
        <f t="shared" si="37"/>
        <v>7.0999999999999952E-2</v>
      </c>
      <c r="AP12" s="104"/>
      <c r="AQ12" s="104"/>
      <c r="AR12" s="104"/>
      <c r="AS12" s="872"/>
      <c r="AT12" s="104"/>
      <c r="AU12" s="104"/>
      <c r="AV12" s="104"/>
      <c r="AW12" s="625">
        <f>AW11/AO11-1</f>
        <v>0.15500000000000003</v>
      </c>
      <c r="AX12" s="104">
        <f t="shared" ref="AX12:BD12" si="38">AX11/AP11-1</f>
        <v>6.1021422224770694E-2</v>
      </c>
      <c r="AY12" s="104">
        <f t="shared" si="38"/>
        <v>8.0028742877839232E-2</v>
      </c>
      <c r="AZ12" s="104">
        <f t="shared" si="38"/>
        <v>0.13400000000000034</v>
      </c>
      <c r="BA12" s="872">
        <f t="shared" si="38"/>
        <v>0.22850000000000037</v>
      </c>
      <c r="BB12" s="104">
        <f t="shared" si="38"/>
        <v>7.1000000000000174E-2</v>
      </c>
      <c r="BC12" s="104">
        <f t="shared" si="38"/>
        <v>0.1855454545454549</v>
      </c>
      <c r="BD12" s="104">
        <f t="shared" si="38"/>
        <v>9.3500000000000139E-2</v>
      </c>
      <c r="BE12" s="625">
        <f>BE11/AW11-1</f>
        <v>0.13400000000000034</v>
      </c>
      <c r="BF12" s="104">
        <f t="shared" ref="BF12:DA12" si="39">BF11/AX11-1</f>
        <v>0.10250000000000026</v>
      </c>
      <c r="BG12" s="104">
        <f t="shared" si="39"/>
        <v>0.17600000000000016</v>
      </c>
      <c r="BH12" s="104">
        <f t="shared" si="39"/>
        <v>0.10250000000000026</v>
      </c>
      <c r="BI12" s="872">
        <f t="shared" si="39"/>
        <v>5.1615384615384841E-2</v>
      </c>
      <c r="BJ12" s="104">
        <f t="shared" si="39"/>
        <v>0.14141176470588257</v>
      </c>
      <c r="BK12" s="104">
        <f t="shared" si="39"/>
        <v>7.3739130434782751E-2</v>
      </c>
      <c r="BL12" s="104">
        <f t="shared" si="39"/>
        <v>0.12700000000000022</v>
      </c>
      <c r="BM12" s="625">
        <f>BM11/BE11-1</f>
        <v>0.10250000000000026</v>
      </c>
      <c r="BN12" s="104">
        <f t="shared" si="39"/>
        <v>0.10250000000000026</v>
      </c>
      <c r="BO12" s="104">
        <f t="shared" si="39"/>
        <v>0.14843750000000022</v>
      </c>
      <c r="BP12" s="461">
        <f t="shared" si="39"/>
        <v>0.10250000000000026</v>
      </c>
      <c r="BQ12" s="868">
        <f t="shared" si="39"/>
        <v>6.6935483870967927E-2</v>
      </c>
      <c r="BR12" s="104">
        <f t="shared" si="39"/>
        <v>0.1275568181818183</v>
      </c>
      <c r="BS12" s="461">
        <f t="shared" si="39"/>
        <v>8.2812500000000178E-2</v>
      </c>
      <c r="BT12" s="461">
        <f t="shared" si="39"/>
        <v>0.11847826086956559</v>
      </c>
      <c r="BU12" s="867">
        <f t="shared" si="39"/>
        <v>0.10250000000000026</v>
      </c>
      <c r="BV12" s="461">
        <f t="shared" si="39"/>
        <v>0.10250000000000026</v>
      </c>
      <c r="BW12" s="461">
        <f t="shared" si="39"/>
        <v>0.10250000000000026</v>
      </c>
      <c r="BX12" s="461">
        <f t="shared" si="39"/>
        <v>0.10250000000000026</v>
      </c>
      <c r="BY12" s="868">
        <f t="shared" si="39"/>
        <v>0.10250000000000004</v>
      </c>
      <c r="BZ12" s="461">
        <f t="shared" si="39"/>
        <v>0.10250000000000026</v>
      </c>
      <c r="CA12" s="461">
        <f t="shared" si="39"/>
        <v>0.10250000000000004</v>
      </c>
      <c r="CB12" s="461">
        <f t="shared" si="39"/>
        <v>0.10250000000000004</v>
      </c>
      <c r="CC12" s="867">
        <f t="shared" si="39"/>
        <v>0.10250000000000026</v>
      </c>
      <c r="CD12" s="461">
        <f t="shared" si="39"/>
        <v>0.10250000000000004</v>
      </c>
      <c r="CE12" s="461">
        <f t="shared" si="39"/>
        <v>0.10249999999999981</v>
      </c>
      <c r="CF12" s="461">
        <f t="shared" si="39"/>
        <v>0.10249999999999981</v>
      </c>
      <c r="CG12" s="868">
        <f t="shared" si="39"/>
        <v>0.10249999999999959</v>
      </c>
      <c r="CH12" s="461">
        <f t="shared" si="39"/>
        <v>0.10249999999999981</v>
      </c>
      <c r="CI12" s="461">
        <f t="shared" si="39"/>
        <v>0.10249999999999981</v>
      </c>
      <c r="CJ12" s="461">
        <f t="shared" si="39"/>
        <v>0.10249999999999981</v>
      </c>
      <c r="CK12" s="867">
        <f t="shared" si="39"/>
        <v>0.10249999999999981</v>
      </c>
      <c r="CL12" s="461">
        <f t="shared" si="39"/>
        <v>0.10250000000000026</v>
      </c>
      <c r="CM12" s="461">
        <f t="shared" si="39"/>
        <v>0.10250000000000026</v>
      </c>
      <c r="CN12" s="461">
        <f t="shared" si="39"/>
        <v>0.10250000000000026</v>
      </c>
      <c r="CO12" s="868">
        <f t="shared" si="39"/>
        <v>0.1025000000000007</v>
      </c>
      <c r="CP12" s="461">
        <f t="shared" si="39"/>
        <v>0.10250000000000004</v>
      </c>
      <c r="CQ12" s="461">
        <f t="shared" si="39"/>
        <v>0.10250000000000048</v>
      </c>
      <c r="CR12" s="461">
        <f t="shared" si="39"/>
        <v>0.10250000000000026</v>
      </c>
      <c r="CS12" s="867">
        <f t="shared" si="39"/>
        <v>0.10250000000000026</v>
      </c>
      <c r="CT12" s="461">
        <f t="shared" si="39"/>
        <v>0.10250000000000026</v>
      </c>
      <c r="CU12" s="461">
        <f t="shared" si="39"/>
        <v>0.10250000000000004</v>
      </c>
      <c r="CV12" s="461">
        <f t="shared" si="39"/>
        <v>0.10250000000000026</v>
      </c>
      <c r="CW12" s="868">
        <f t="shared" si="39"/>
        <v>0.10250000000000026</v>
      </c>
      <c r="CX12" s="461">
        <f t="shared" si="39"/>
        <v>0.10250000000000026</v>
      </c>
      <c r="CY12" s="461">
        <f t="shared" si="39"/>
        <v>0.10250000000000026</v>
      </c>
      <c r="CZ12" s="461">
        <f t="shared" si="39"/>
        <v>0.10250000000000026</v>
      </c>
      <c r="DA12" s="867">
        <f t="shared" si="39"/>
        <v>0.10250000000000026</v>
      </c>
    </row>
    <row r="13" spans="1:108" x14ac:dyDescent="0.2">
      <c r="A13" s="997" t="s">
        <v>924</v>
      </c>
      <c r="B13" s="980"/>
      <c r="C13" s="981"/>
      <c r="D13" s="981"/>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981"/>
      <c r="AF13" s="981"/>
      <c r="AG13" s="926">
        <f t="shared" ref="AG13:AL13" si="40">AG5-AG11-AG7</f>
        <v>96.111196325649416</v>
      </c>
      <c r="AH13" s="926">
        <f t="shared" si="40"/>
        <v>368.46625307247041</v>
      </c>
      <c r="AI13" s="926">
        <f t="shared" si="40"/>
        <v>260.68212688751646</v>
      </c>
      <c r="AJ13" s="926">
        <f t="shared" si="40"/>
        <v>430.52130597947507</v>
      </c>
      <c r="AK13" s="926">
        <f t="shared" si="40"/>
        <v>562.65209503017013</v>
      </c>
      <c r="AL13" s="926">
        <f t="shared" si="40"/>
        <v>756.96257229521598</v>
      </c>
      <c r="AM13" s="926">
        <f>AM5-AM11-AM7</f>
        <v>830.25335490283328</v>
      </c>
      <c r="AN13" s="926">
        <f>AN5-AN11-AN7</f>
        <v>835.685992028079</v>
      </c>
      <c r="AO13" s="934">
        <f>AO5-AO11-AO7</f>
        <v>773.97894412689175</v>
      </c>
      <c r="AP13" s="926">
        <v>110</v>
      </c>
      <c r="AQ13" s="926">
        <f>AT13-AP13</f>
        <v>84</v>
      </c>
      <c r="AR13" s="926">
        <v>173</v>
      </c>
      <c r="AS13" s="1001">
        <f>AU13-AR13</f>
        <v>649.1701389361865</v>
      </c>
      <c r="AT13" s="926">
        <v>194</v>
      </c>
      <c r="AU13" s="926">
        <f>AW13-AT13</f>
        <v>822.1701389361865</v>
      </c>
      <c r="AV13" s="926">
        <f>AP13+AQ13+AR13</f>
        <v>367</v>
      </c>
      <c r="AW13" s="1032">
        <f>AW5-AW11-AW7-AW9</f>
        <v>1016.1701389361865</v>
      </c>
      <c r="AX13" s="926">
        <v>198</v>
      </c>
      <c r="AY13" s="926">
        <f>BB13-AX13</f>
        <v>340</v>
      </c>
      <c r="AZ13" s="926">
        <v>151</v>
      </c>
      <c r="BA13" s="1001">
        <f>BC13-AZ13</f>
        <v>344.49852498547648</v>
      </c>
      <c r="BB13" s="926">
        <v>538</v>
      </c>
      <c r="BC13" s="926">
        <f>BE13-BB13</f>
        <v>495.49852498547648</v>
      </c>
      <c r="BD13" s="926">
        <f>AX13+AY13+AZ13</f>
        <v>689</v>
      </c>
      <c r="BE13" s="1032">
        <f>BE5-BE11-BE7-BE9</f>
        <v>1033.4985249854765</v>
      </c>
      <c r="BF13" s="926">
        <v>166</v>
      </c>
      <c r="BG13" s="926">
        <f>BJ13-BF13</f>
        <v>209</v>
      </c>
      <c r="BH13" s="926">
        <v>219</v>
      </c>
      <c r="BI13" s="1001">
        <f>BK13-BH13</f>
        <v>480.44611557381813</v>
      </c>
      <c r="BJ13" s="926">
        <v>375</v>
      </c>
      <c r="BK13" s="926">
        <f>BM13-BJ13</f>
        <v>699.44611557381813</v>
      </c>
      <c r="BL13" s="926">
        <f>BF13+BG13+BH13</f>
        <v>594</v>
      </c>
      <c r="BM13" s="1032">
        <f>BM5-BM11-BM7-BM9</f>
        <v>1074.4461155738181</v>
      </c>
      <c r="BN13" s="926">
        <v>159</v>
      </c>
      <c r="BO13" s="926">
        <f>BR13-BN13</f>
        <v>160</v>
      </c>
      <c r="BP13" s="959">
        <v>258</v>
      </c>
      <c r="BQ13" s="935">
        <f>BS13-BP13</f>
        <v>493.89959621521461</v>
      </c>
      <c r="BR13" s="926">
        <v>319</v>
      </c>
      <c r="BS13" s="936">
        <f>BU13-BR13</f>
        <v>751.89959621521461</v>
      </c>
      <c r="BT13" s="936">
        <f>BN13+BO13+BP13</f>
        <v>577</v>
      </c>
      <c r="BU13" s="937">
        <f>BM13*(1+BU14)</f>
        <v>1070.8995962152146</v>
      </c>
      <c r="BV13" s="936">
        <f>BZ13/2</f>
        <v>248.60614135057227</v>
      </c>
      <c r="BW13" s="936">
        <f>BZ13-BV13</f>
        <v>248.60614135057227</v>
      </c>
      <c r="BX13" s="936">
        <f>CA13/2</f>
        <v>248.60614135057227</v>
      </c>
      <c r="BY13" s="935">
        <f>CA13-BX13</f>
        <v>248.60614135057227</v>
      </c>
      <c r="BZ13" s="936">
        <f>CC13/2</f>
        <v>497.21228270114455</v>
      </c>
      <c r="CA13" s="936">
        <f>CC13-BZ13</f>
        <v>497.21228270114455</v>
      </c>
      <c r="CB13" s="936">
        <f>BV13+BW13+BX13</f>
        <v>745.81842405171687</v>
      </c>
      <c r="CC13" s="937">
        <f>BU13*(1+CC14)</f>
        <v>994.42456540228909</v>
      </c>
      <c r="CD13" s="936">
        <f>CH13/2</f>
        <v>299.87350032411655</v>
      </c>
      <c r="CE13" s="936">
        <f>CH13-CD13</f>
        <v>299.87350032411655</v>
      </c>
      <c r="CF13" s="936">
        <f>CI13/2</f>
        <v>299.87350032411655</v>
      </c>
      <c r="CG13" s="935">
        <f>CI13-CF13</f>
        <v>299.87350032411655</v>
      </c>
      <c r="CH13" s="936">
        <f>CK13/2</f>
        <v>599.7470006482331</v>
      </c>
      <c r="CI13" s="936">
        <f>CK13-CH13</f>
        <v>599.7470006482331</v>
      </c>
      <c r="CJ13" s="936">
        <f>CD13+CE13+CF13</f>
        <v>899.62050097234965</v>
      </c>
      <c r="CK13" s="937">
        <f>CC13*(1+CK14)</f>
        <v>1199.4940012964662</v>
      </c>
      <c r="CL13" s="936">
        <f>CP13/2</f>
        <v>315.26872539065425</v>
      </c>
      <c r="CM13" s="936">
        <f>CP13-CL13</f>
        <v>315.26872539065425</v>
      </c>
      <c r="CN13" s="936">
        <f>CQ13/2</f>
        <v>315.26872539065425</v>
      </c>
      <c r="CO13" s="935">
        <f>CQ13-CN13</f>
        <v>315.26872539065425</v>
      </c>
      <c r="CP13" s="936">
        <f>CS13/2</f>
        <v>630.53745078130851</v>
      </c>
      <c r="CQ13" s="936">
        <f>CS13-CP13</f>
        <v>630.53745078130851</v>
      </c>
      <c r="CR13" s="936">
        <f>CL13+CM13+CN13</f>
        <v>945.80617617196276</v>
      </c>
      <c r="CS13" s="937">
        <f>CK13*(1+CS14)</f>
        <v>1261.074901562617</v>
      </c>
      <c r="CT13" s="936">
        <f>CX13/2</f>
        <v>275.37412239836101</v>
      </c>
      <c r="CU13" s="936">
        <f>CX13-CT13</f>
        <v>275.37412239836101</v>
      </c>
      <c r="CV13" s="936">
        <f>CY13/2</f>
        <v>275.37412239836101</v>
      </c>
      <c r="CW13" s="935">
        <f>CY13-CV13</f>
        <v>275.37412239836101</v>
      </c>
      <c r="CX13" s="936">
        <f>DA13/2</f>
        <v>550.74824479672202</v>
      </c>
      <c r="CY13" s="936">
        <f>DA13-CX13</f>
        <v>550.74824479672202</v>
      </c>
      <c r="CZ13" s="936">
        <f>CT13+CU13+CV13</f>
        <v>826.12236719508303</v>
      </c>
      <c r="DA13" s="937">
        <f>CS13*(1+DA14)</f>
        <v>1101.496489593444</v>
      </c>
    </row>
    <row r="14" spans="1:108" x14ac:dyDescent="0.2">
      <c r="A14" s="997"/>
      <c r="B14" s="1396" t="s">
        <v>20</v>
      </c>
      <c r="C14" s="981"/>
      <c r="D14" s="981"/>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981"/>
      <c r="AF14" s="981"/>
      <c r="AG14" s="982"/>
      <c r="AH14" s="104">
        <f t="shared" ref="AH14:AO14" si="41">AH13/AG13-1</f>
        <v>2.8337495230421657</v>
      </c>
      <c r="AI14" s="104">
        <f t="shared" si="41"/>
        <v>-0.29252102542957936</v>
      </c>
      <c r="AJ14" s="104">
        <f t="shared" si="41"/>
        <v>0.65151831128508353</v>
      </c>
      <c r="AK14" s="104">
        <f t="shared" si="41"/>
        <v>0.306908827079035</v>
      </c>
      <c r="AL14" s="104">
        <f t="shared" si="41"/>
        <v>0.34534746956665408</v>
      </c>
      <c r="AM14" s="104">
        <f t="shared" si="41"/>
        <v>9.6822201374355155E-2</v>
      </c>
      <c r="AN14" s="104">
        <f t="shared" si="41"/>
        <v>6.54334859734651E-3</v>
      </c>
      <c r="AO14" s="105">
        <f t="shared" si="41"/>
        <v>-7.3839993119226399E-2</v>
      </c>
      <c r="AP14" s="104"/>
      <c r="AQ14" s="104"/>
      <c r="AR14" s="104"/>
      <c r="AS14" s="872"/>
      <c r="AT14" s="104"/>
      <c r="AU14" s="104"/>
      <c r="AV14" s="104"/>
      <c r="AW14" s="1397">
        <f>AW13/AO13-1</f>
        <v>0.31291703301115659</v>
      </c>
      <c r="AX14" s="104">
        <f t="shared" ref="AX14:BD14" si="42">AX13/AP13-1</f>
        <v>0.8</v>
      </c>
      <c r="AY14" s="104">
        <f t="shared" si="42"/>
        <v>3.0476190476190474</v>
      </c>
      <c r="AZ14" s="104">
        <f t="shared" si="42"/>
        <v>-0.12716763005780352</v>
      </c>
      <c r="BA14" s="872">
        <f t="shared" si="42"/>
        <v>-0.46932475121234629</v>
      </c>
      <c r="BB14" s="104">
        <f t="shared" si="42"/>
        <v>1.7731958762886597</v>
      </c>
      <c r="BC14" s="104">
        <f t="shared" si="42"/>
        <v>-0.39732848285318834</v>
      </c>
      <c r="BD14" s="104">
        <f t="shared" si="42"/>
        <v>0.87738419618528618</v>
      </c>
      <c r="BE14" s="1397">
        <f>BE13/AW13-1</f>
        <v>1.7052642451618194E-2</v>
      </c>
      <c r="BF14" s="104">
        <f t="shared" ref="BF14:BL14" si="43">BF13/AX13-1</f>
        <v>-0.16161616161616166</v>
      </c>
      <c r="BG14" s="104">
        <f t="shared" si="43"/>
        <v>-0.38529411764705879</v>
      </c>
      <c r="BH14" s="104">
        <f t="shared" si="43"/>
        <v>0.45033112582781465</v>
      </c>
      <c r="BI14" s="872">
        <f t="shared" si="43"/>
        <v>0.39462459409390216</v>
      </c>
      <c r="BJ14" s="104">
        <f t="shared" si="43"/>
        <v>-0.30297397769516732</v>
      </c>
      <c r="BK14" s="104">
        <f t="shared" si="43"/>
        <v>0.41160080263471932</v>
      </c>
      <c r="BL14" s="104">
        <f t="shared" si="43"/>
        <v>-0.13788098693759077</v>
      </c>
      <c r="BM14" s="1397">
        <f>BM13/BE13-1</f>
        <v>3.9620366743065238E-2</v>
      </c>
      <c r="BN14" s="104">
        <f t="shared" ref="BN14:BT14" si="44">BN13/BF13-1</f>
        <v>-4.216867469879515E-2</v>
      </c>
      <c r="BO14" s="104">
        <f t="shared" si="44"/>
        <v>-0.23444976076555024</v>
      </c>
      <c r="BP14" s="461">
        <f t="shared" si="44"/>
        <v>0.17808219178082196</v>
      </c>
      <c r="BQ14" s="868">
        <f t="shared" si="44"/>
        <v>2.8002059347130626E-2</v>
      </c>
      <c r="BR14" s="104">
        <f t="shared" si="44"/>
        <v>-0.14933333333333332</v>
      </c>
      <c r="BS14" s="461">
        <f t="shared" si="44"/>
        <v>7.4992882901871782E-2</v>
      </c>
      <c r="BT14" s="461">
        <f t="shared" si="44"/>
        <v>-2.8619528619528656E-2</v>
      </c>
      <c r="BU14" s="898">
        <v>-3.3007884780796616E-3</v>
      </c>
      <c r="BV14" s="461">
        <f t="shared" ref="BV14:CB14" si="45">BV13/BN13-1</f>
        <v>0.56356063742498286</v>
      </c>
      <c r="BW14" s="461">
        <f t="shared" si="45"/>
        <v>0.55378838344107661</v>
      </c>
      <c r="BX14" s="461">
        <f t="shared" si="45"/>
        <v>-3.6410304842743102E-2</v>
      </c>
      <c r="BY14" s="868">
        <f t="shared" si="45"/>
        <v>-0.4966463968473398</v>
      </c>
      <c r="BZ14" s="461">
        <f t="shared" si="45"/>
        <v>0.55865919342051584</v>
      </c>
      <c r="CA14" s="461">
        <f t="shared" si="45"/>
        <v>-0.33872516330115365</v>
      </c>
      <c r="CB14" s="461">
        <f t="shared" si="45"/>
        <v>0.29257959107749887</v>
      </c>
      <c r="CC14" s="898">
        <v>-7.1411952234555279E-2</v>
      </c>
      <c r="CD14" s="461">
        <f t="shared" ref="CD14:CJ14" si="46">CD13/BV13-1</f>
        <v>0.20621919754286977</v>
      </c>
      <c r="CE14" s="461">
        <f t="shared" si="46"/>
        <v>0.20621919754286977</v>
      </c>
      <c r="CF14" s="461">
        <f t="shared" si="46"/>
        <v>0.20621919754286977</v>
      </c>
      <c r="CG14" s="868">
        <f t="shared" si="46"/>
        <v>0.20621919754286977</v>
      </c>
      <c r="CH14" s="461">
        <f t="shared" si="46"/>
        <v>0.20621919754286977</v>
      </c>
      <c r="CI14" s="461">
        <f t="shared" si="46"/>
        <v>0.20621919754286977</v>
      </c>
      <c r="CJ14" s="461">
        <f t="shared" si="46"/>
        <v>0.20621919754286977</v>
      </c>
      <c r="CK14" s="898">
        <v>0.20621919754286977</v>
      </c>
      <c r="CL14" s="461">
        <f t="shared" ref="CL14:CR14" si="47">CL13/CD13-1</f>
        <v>5.1339064805319135E-2</v>
      </c>
      <c r="CM14" s="461">
        <f t="shared" si="47"/>
        <v>5.1339064805319135E-2</v>
      </c>
      <c r="CN14" s="461">
        <f t="shared" si="47"/>
        <v>5.1339064805319135E-2</v>
      </c>
      <c r="CO14" s="868">
        <f t="shared" si="47"/>
        <v>5.1339064805319135E-2</v>
      </c>
      <c r="CP14" s="461">
        <f t="shared" si="47"/>
        <v>5.1339064805319135E-2</v>
      </c>
      <c r="CQ14" s="461">
        <f t="shared" si="47"/>
        <v>5.1339064805319135E-2</v>
      </c>
      <c r="CR14" s="461">
        <f t="shared" si="47"/>
        <v>5.1339064805319135E-2</v>
      </c>
      <c r="CS14" s="898">
        <v>5.1339064805319141E-2</v>
      </c>
      <c r="CT14" s="461">
        <f t="shared" ref="CT14:CZ14" si="48">CT13/CL13-1</f>
        <v>-0.12654158113164959</v>
      </c>
      <c r="CU14" s="461">
        <f t="shared" si="48"/>
        <v>-0.12654158113164959</v>
      </c>
      <c r="CV14" s="461">
        <f t="shared" si="48"/>
        <v>-0.12654158113164959</v>
      </c>
      <c r="CW14" s="868">
        <f t="shared" si="48"/>
        <v>-0.12654158113164959</v>
      </c>
      <c r="CX14" s="461">
        <f t="shared" si="48"/>
        <v>-0.12654158113164959</v>
      </c>
      <c r="CY14" s="461">
        <f t="shared" si="48"/>
        <v>-0.12654158113164959</v>
      </c>
      <c r="CZ14" s="461">
        <f t="shared" si="48"/>
        <v>-0.12654158113164959</v>
      </c>
      <c r="DA14" s="898">
        <v>-0.12654158113164959</v>
      </c>
    </row>
    <row r="15" spans="1:108" ht="15" x14ac:dyDescent="0.25">
      <c r="A15" s="997"/>
      <c r="B15" s="892"/>
      <c r="C15" s="981"/>
      <c r="D15" s="981"/>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981"/>
      <c r="AF15" s="981"/>
      <c r="AG15" s="931"/>
      <c r="AH15" s="104"/>
      <c r="AI15" s="104"/>
      <c r="AJ15" s="104"/>
      <c r="AK15" s="104"/>
      <c r="AL15" s="104"/>
      <c r="AM15" s="104"/>
      <c r="AN15" s="104"/>
      <c r="AO15" s="105"/>
      <c r="AP15" s="104"/>
      <c r="AQ15" s="104"/>
      <c r="AR15" s="104"/>
      <c r="AS15" s="872"/>
      <c r="AT15" s="104"/>
      <c r="AU15" s="104"/>
      <c r="AV15" s="104"/>
      <c r="AW15" s="625"/>
      <c r="AX15" s="104"/>
      <c r="AY15" s="104"/>
      <c r="AZ15" s="104"/>
      <c r="BA15" s="872"/>
      <c r="BB15" s="104"/>
      <c r="BC15" s="104"/>
      <c r="BD15" s="104"/>
      <c r="BE15" s="625"/>
      <c r="BF15" s="104"/>
      <c r="BG15" s="104"/>
      <c r="BH15" s="104"/>
      <c r="BI15" s="872"/>
      <c r="BJ15" s="104"/>
      <c r="BK15" s="104"/>
      <c r="BL15" s="104"/>
      <c r="BM15" s="625"/>
      <c r="BN15" s="104"/>
      <c r="BO15" s="104"/>
      <c r="BP15" s="104"/>
      <c r="BQ15" s="872"/>
      <c r="BR15" s="104"/>
      <c r="BS15" s="104"/>
      <c r="BT15" s="104"/>
      <c r="BU15" s="625"/>
      <c r="BV15" s="104"/>
      <c r="BW15" s="104"/>
      <c r="BX15" s="104"/>
      <c r="BY15" s="872"/>
      <c r="BZ15" s="104"/>
      <c r="CA15" s="104"/>
      <c r="CB15" s="104"/>
      <c r="CC15" s="625"/>
      <c r="CD15" s="104"/>
      <c r="CE15" s="104"/>
      <c r="CF15" s="104"/>
      <c r="CG15" s="872"/>
      <c r="CH15" s="104"/>
      <c r="CI15" s="104"/>
      <c r="CJ15" s="104"/>
      <c r="CK15" s="625"/>
      <c r="CL15" s="104"/>
      <c r="CM15" s="104"/>
      <c r="CN15" s="104"/>
      <c r="CO15" s="872"/>
      <c r="CP15" s="104"/>
      <c r="CQ15" s="104"/>
      <c r="CR15" s="104"/>
      <c r="CS15" s="625"/>
      <c r="CT15" s="104"/>
      <c r="CU15" s="104"/>
      <c r="CV15" s="104"/>
      <c r="CW15" s="872"/>
      <c r="CX15" s="104"/>
      <c r="CY15" s="104"/>
      <c r="CZ15" s="104"/>
      <c r="DA15" s="625"/>
    </row>
    <row r="16" spans="1:108" s="663" customFormat="1" x14ac:dyDescent="0.2">
      <c r="A16" s="1549" t="s">
        <v>1162</v>
      </c>
      <c r="B16" s="1558"/>
      <c r="C16" s="1551"/>
      <c r="D16" s="1551"/>
      <c r="E16" s="1551"/>
      <c r="F16" s="1551"/>
      <c r="G16" s="1551"/>
      <c r="H16" s="1551"/>
      <c r="I16" s="1551"/>
      <c r="J16" s="1551"/>
      <c r="K16" s="1551"/>
      <c r="L16" s="1551"/>
      <c r="M16" s="1551"/>
      <c r="N16" s="1551"/>
      <c r="O16" s="1551"/>
      <c r="P16" s="1551"/>
      <c r="Q16" s="1551"/>
      <c r="R16" s="1551"/>
      <c r="S16" s="1551"/>
      <c r="T16" s="1551"/>
      <c r="U16" s="1551"/>
      <c r="V16" s="1551"/>
      <c r="W16" s="1551"/>
      <c r="X16" s="1551"/>
      <c r="Y16" s="1551"/>
      <c r="Z16" s="1551"/>
      <c r="AA16" s="1551"/>
      <c r="AB16" s="1551"/>
      <c r="AC16" s="1551"/>
      <c r="AD16" s="1551"/>
      <c r="AE16" s="1551"/>
      <c r="AF16" s="1551"/>
      <c r="AG16" s="1552"/>
      <c r="AH16" s="1519"/>
      <c r="AI16" s="1519"/>
      <c r="AJ16" s="1519"/>
      <c r="AK16" s="1519">
        <f>AK7+AK9</f>
        <v>4142.4864263244644</v>
      </c>
      <c r="AL16" s="1519">
        <f>AL7+AL9</f>
        <v>4418.9733139982973</v>
      </c>
      <c r="AM16" s="1519">
        <f>AM7+AM9</f>
        <v>2034.1899566654527</v>
      </c>
      <c r="AN16" s="1519">
        <f>AN7+AN9</f>
        <v>2294.7530399617922</v>
      </c>
      <c r="AO16" s="1559">
        <f>AO7+AO9</f>
        <v>3382.82425922626</v>
      </c>
      <c r="AP16" s="1519"/>
      <c r="AQ16" s="1519"/>
      <c r="AR16" s="1519"/>
      <c r="AS16" s="1560"/>
      <c r="AT16" s="1519"/>
      <c r="AU16" s="1519"/>
      <c r="AV16" s="1519"/>
      <c r="AW16" s="1570">
        <f>AW7+AW9</f>
        <v>4599.8416202461558</v>
      </c>
      <c r="AX16" s="1519"/>
      <c r="AY16" s="1519"/>
      <c r="AZ16" s="1519"/>
      <c r="BA16" s="1560"/>
      <c r="BB16" s="1519"/>
      <c r="BC16" s="1519"/>
      <c r="BD16" s="1519"/>
      <c r="BE16" s="1570">
        <f>BE7+BE9</f>
        <v>6050.8396254707477</v>
      </c>
      <c r="BF16" s="1519"/>
      <c r="BG16" s="1519"/>
      <c r="BH16" s="1519"/>
      <c r="BI16" s="1560"/>
      <c r="BJ16" s="1519"/>
      <c r="BK16" s="1519"/>
      <c r="BL16" s="1519"/>
      <c r="BM16" s="1570">
        <f>BM7+BM9</f>
        <v>7693.016350724648</v>
      </c>
      <c r="BN16" s="1519"/>
      <c r="BO16" s="1519"/>
      <c r="BP16" s="1519"/>
      <c r="BQ16" s="1560"/>
      <c r="BR16" s="1519"/>
      <c r="BS16" s="1519"/>
      <c r="BT16" s="1519"/>
      <c r="BU16" s="1569">
        <f>BU7+BU9</f>
        <v>10202.704825918845</v>
      </c>
      <c r="BV16" s="1519"/>
      <c r="BW16" s="1519"/>
      <c r="BX16" s="1519"/>
      <c r="BY16" s="1560"/>
      <c r="BZ16" s="1519"/>
      <c r="CA16" s="1519"/>
      <c r="CB16" s="1519"/>
      <c r="CC16" s="1569">
        <f>CC7+CC9</f>
        <v>11838.62258780207</v>
      </c>
      <c r="CD16" s="1519"/>
      <c r="CE16" s="1519"/>
      <c r="CF16" s="1519"/>
      <c r="CG16" s="1560"/>
      <c r="CH16" s="1519"/>
      <c r="CI16" s="1519"/>
      <c r="CJ16" s="1519"/>
      <c r="CK16" s="1569">
        <f>CK7+CK9</f>
        <v>13065.635058507432</v>
      </c>
      <c r="CL16" s="1519"/>
      <c r="CM16" s="1519"/>
      <c r="CN16" s="1519"/>
      <c r="CO16" s="1560"/>
      <c r="CP16" s="1519"/>
      <c r="CQ16" s="1519"/>
      <c r="CR16" s="1519"/>
      <c r="CS16" s="1569">
        <f>CS7+CS9</f>
        <v>14215.891472055166</v>
      </c>
      <c r="CT16" s="1519"/>
      <c r="CU16" s="1519"/>
      <c r="CV16" s="1519"/>
      <c r="CW16" s="1560"/>
      <c r="CX16" s="1519"/>
      <c r="CY16" s="1519"/>
      <c r="CZ16" s="1519"/>
      <c r="DA16" s="1569">
        <f>DA7+DA9</f>
        <v>15277.311301290669</v>
      </c>
      <c r="DB16" s="1538">
        <f>(CC16/BE16)^(1/3)-1</f>
        <v>0.25072503926356116</v>
      </c>
      <c r="DC16" s="1538">
        <f>(CK16/BE16)^(1/4)-1</f>
        <v>0.2122123947430048</v>
      </c>
      <c r="DD16" s="1538">
        <f>(CK16/BM16)^(1/3)-1</f>
        <v>0.19310305029580332</v>
      </c>
    </row>
    <row r="17" spans="1:105" x14ac:dyDescent="0.2">
      <c r="A17" s="997"/>
      <c r="B17" s="1541" t="s">
        <v>1159</v>
      </c>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31"/>
      <c r="AH17" s="104"/>
      <c r="AI17" s="104"/>
      <c r="AJ17" s="104"/>
      <c r="AK17" s="104">
        <f>AK16/AK5</f>
        <v>0.76460632273576179</v>
      </c>
      <c r="AL17" s="104">
        <f>AL16/AL5</f>
        <v>0.74216501359003417</v>
      </c>
      <c r="AM17" s="104">
        <f>AM16/AM5</f>
        <v>0.60148149232294257</v>
      </c>
      <c r="AN17" s="104">
        <f>AN16/AN5</f>
        <v>0.63354467625818056</v>
      </c>
      <c r="AO17" s="105">
        <f>AO16/AO5</f>
        <v>0.72230763165440293</v>
      </c>
      <c r="AP17" s="104"/>
      <c r="AQ17" s="104"/>
      <c r="AR17" s="104"/>
      <c r="AS17" s="872"/>
      <c r="AT17" s="104"/>
      <c r="AU17" s="104"/>
      <c r="AV17" s="104"/>
      <c r="AW17" s="625">
        <f>AW16/AW5</f>
        <v>0.73902761130400563</v>
      </c>
      <c r="AX17" s="104"/>
      <c r="AY17" s="104"/>
      <c r="AZ17" s="104"/>
      <c r="BA17" s="872"/>
      <c r="BB17" s="104"/>
      <c r="BC17" s="104"/>
      <c r="BD17" s="104"/>
      <c r="BE17" s="625">
        <f>BE16/BE5</f>
        <v>0.77834293934720522</v>
      </c>
      <c r="BF17" s="104"/>
      <c r="BG17" s="104"/>
      <c r="BH17" s="104"/>
      <c r="BI17" s="872"/>
      <c r="BJ17" s="104"/>
      <c r="BK17" s="104"/>
      <c r="BL17" s="104"/>
      <c r="BM17" s="625">
        <f>BM16/BM5</f>
        <v>0.80742696850157269</v>
      </c>
      <c r="BN17" s="104"/>
      <c r="BO17" s="104"/>
      <c r="BP17" s="104"/>
      <c r="BQ17" s="872"/>
      <c r="BR17" s="104"/>
      <c r="BS17" s="104"/>
      <c r="BT17" s="104"/>
      <c r="BU17" s="867">
        <f>BU16/BU5</f>
        <v>0.84237063068174178</v>
      </c>
      <c r="BV17" s="104"/>
      <c r="BW17" s="104"/>
      <c r="BX17" s="104"/>
      <c r="BY17" s="872"/>
      <c r="BZ17" s="104"/>
      <c r="CA17" s="104"/>
      <c r="CB17" s="104"/>
      <c r="CC17" s="867">
        <f>CC16/CC5</f>
        <v>0.86053619707151208</v>
      </c>
      <c r="CD17" s="104"/>
      <c r="CE17" s="104"/>
      <c r="CF17" s="104"/>
      <c r="CG17" s="872"/>
      <c r="CH17" s="104"/>
      <c r="CI17" s="104"/>
      <c r="CJ17" s="104"/>
      <c r="CK17" s="867">
        <f>CK16/CK5</f>
        <v>0.85485274950660561</v>
      </c>
      <c r="CL17" s="104"/>
      <c r="CM17" s="104"/>
      <c r="CN17" s="104"/>
      <c r="CO17" s="872"/>
      <c r="CP17" s="104"/>
      <c r="CQ17" s="104"/>
      <c r="CR17" s="104"/>
      <c r="CS17" s="867">
        <f>CS16/CS5</f>
        <v>0.85636062692259751</v>
      </c>
      <c r="CT17" s="104"/>
      <c r="CU17" s="104"/>
      <c r="CV17" s="104"/>
      <c r="CW17" s="872"/>
      <c r="CX17" s="104"/>
      <c r="CY17" s="104"/>
      <c r="CZ17" s="104"/>
      <c r="DA17" s="867">
        <f>DA16/DA5</f>
        <v>0.86717443540978167</v>
      </c>
    </row>
    <row r="18" spans="1:105" x14ac:dyDescent="0.2">
      <c r="A18" s="997"/>
      <c r="B18" s="1541" t="s">
        <v>1160</v>
      </c>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31"/>
      <c r="AH18" s="104"/>
      <c r="AI18" s="104"/>
      <c r="AJ18" s="104"/>
      <c r="AK18" s="104"/>
      <c r="AL18" s="104">
        <f>(AL16/Propulsion!U114)/Propulsion!U9</f>
        <v>0.31818907731438567</v>
      </c>
      <c r="AM18" s="104">
        <f>(AM16/Propulsion!V114)/Propulsion!V9</f>
        <v>0.23063082714081476</v>
      </c>
      <c r="AN18" s="104">
        <f>(AN16/Propulsion!W114)/Propulsion!W9</f>
        <v>0.26388024825602291</v>
      </c>
      <c r="AO18" s="105">
        <f>(AO16/Propulsion!X114)/Propulsion!X9</f>
        <v>0.32204706712752601</v>
      </c>
      <c r="AP18" s="104"/>
      <c r="AQ18" s="104"/>
      <c r="AR18" s="104"/>
      <c r="AS18" s="872"/>
      <c r="AT18" s="104"/>
      <c r="AU18" s="104"/>
      <c r="AV18" s="104"/>
      <c r="AW18" s="625">
        <f>(AW16/Propulsion!AF114)/Propulsion!AF9</f>
        <v>0.34972683266942423</v>
      </c>
      <c r="AX18" s="104"/>
      <c r="AY18" s="104"/>
      <c r="AZ18" s="104"/>
      <c r="BA18" s="872"/>
      <c r="BB18" s="104"/>
      <c r="BC18" s="104"/>
      <c r="BD18" s="104"/>
      <c r="BE18" s="625">
        <f>(BE16/Propulsion!AN114)/Propulsion!AN9</f>
        <v>0.40219601958766782</v>
      </c>
      <c r="BF18" s="104"/>
      <c r="BG18" s="104"/>
      <c r="BH18" s="104"/>
      <c r="BI18" s="872"/>
      <c r="BJ18" s="104"/>
      <c r="BK18" s="104"/>
      <c r="BL18" s="104"/>
      <c r="BM18" s="625">
        <f>(BM16/Propulsion!AV114)/Propulsion!AV9</f>
        <v>0.43664011513270345</v>
      </c>
      <c r="BN18" s="104"/>
      <c r="BO18" s="104"/>
      <c r="BP18" s="104"/>
      <c r="BQ18" s="872"/>
      <c r="BR18" s="104"/>
      <c r="BS18" s="104"/>
      <c r="BT18" s="104"/>
      <c r="BU18" s="867">
        <f>(BU16/Propulsion!BD114)/Propulsion!BD9</f>
        <v>0.46638831515043094</v>
      </c>
      <c r="BV18" s="104"/>
      <c r="BW18" s="104"/>
      <c r="BX18" s="104"/>
      <c r="BY18" s="872"/>
      <c r="BZ18" s="104"/>
      <c r="CA18" s="104"/>
      <c r="CB18" s="104"/>
      <c r="CC18" s="867">
        <f>(CC16/Propulsion!BL114)/Propulsion!BL9</f>
        <v>0.48654585170442077</v>
      </c>
      <c r="CD18" s="104"/>
      <c r="CE18" s="104"/>
      <c r="CF18" s="104"/>
      <c r="CG18" s="872"/>
      <c r="CH18" s="104"/>
      <c r="CI18" s="104"/>
      <c r="CJ18" s="104"/>
      <c r="CK18" s="867">
        <f>(CK16/Propulsion!BT114)/Propulsion!BT9</f>
        <v>0.48556560534822513</v>
      </c>
      <c r="CL18" s="104"/>
      <c r="CM18" s="104"/>
      <c r="CN18" s="104"/>
      <c r="CO18" s="872"/>
      <c r="CP18" s="104"/>
      <c r="CQ18" s="104"/>
      <c r="CR18" s="104"/>
      <c r="CS18" s="867">
        <f>(CS16/Propulsion!CB114)/Propulsion!CB9</f>
        <v>0.49103452744887405</v>
      </c>
      <c r="CT18" s="104"/>
      <c r="CU18" s="104"/>
      <c r="CV18" s="104"/>
      <c r="CW18" s="872"/>
      <c r="CX18" s="104"/>
      <c r="CY18" s="104"/>
      <c r="CZ18" s="104"/>
      <c r="DA18" s="867">
        <f>(DA16/Propulsion!CJ114)/Propulsion!CJ9</f>
        <v>0.49645763861441417</v>
      </c>
    </row>
    <row r="19" spans="1:105" x14ac:dyDescent="0.2">
      <c r="A19" s="997"/>
      <c r="B19" s="1541" t="s">
        <v>1161</v>
      </c>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31"/>
      <c r="AH19" s="104"/>
      <c r="AI19" s="104"/>
      <c r="AJ19" s="104"/>
      <c r="AK19" s="104"/>
      <c r="AL19" s="104">
        <f>(AL16/Propulsion!U114)/Quarterlies!BV11</f>
        <v>0.15554332127645193</v>
      </c>
      <c r="AM19" s="104">
        <f>(AM16/Propulsion!V114)/Quarterlies!CD11</f>
        <v>0.10712353184507598</v>
      </c>
      <c r="AN19" s="104">
        <f>(AN16/Propulsion!W114)/Quarterlies!CL11</f>
        <v>0.12866259204145994</v>
      </c>
      <c r="AO19" s="105">
        <f>(AO16/Propulsion!X114)/Quarterlies!CT11</f>
        <v>0.16082896874779418</v>
      </c>
      <c r="AP19" s="104"/>
      <c r="AQ19" s="104"/>
      <c r="AR19" s="104"/>
      <c r="AS19" s="872"/>
      <c r="AT19" s="104"/>
      <c r="AU19" s="104"/>
      <c r="AV19" s="104"/>
      <c r="AW19" s="625">
        <f>(AW16/Propulsion!AF114)/Quarterlies!DB11</f>
        <v>0.17903167657149369</v>
      </c>
      <c r="AX19" s="104"/>
      <c r="AY19" s="104"/>
      <c r="AZ19" s="104"/>
      <c r="BA19" s="872"/>
      <c r="BB19" s="104"/>
      <c r="BC19" s="104"/>
      <c r="BD19" s="104"/>
      <c r="BE19" s="625">
        <f>(BE16/Propulsion!AN114)/Quarterlies!DJ11</f>
        <v>0.20100230843104444</v>
      </c>
      <c r="BF19" s="104"/>
      <c r="BG19" s="104"/>
      <c r="BH19" s="104"/>
      <c r="BI19" s="872"/>
      <c r="BJ19" s="104"/>
      <c r="BK19" s="104"/>
      <c r="BL19" s="104"/>
      <c r="BM19" s="625">
        <f>(BM16/Propulsion!AV114)/Quarterlies!DR11</f>
        <v>0.21836883794245579</v>
      </c>
      <c r="BN19" s="104"/>
      <c r="BO19" s="104"/>
      <c r="BP19" s="104"/>
      <c r="BQ19" s="872"/>
      <c r="BR19" s="104"/>
      <c r="BS19" s="104"/>
      <c r="BT19" s="104"/>
      <c r="BU19" s="867">
        <f>(BU16/Propulsion!BD114)/Quarterlies!DZ11</f>
        <v>0.2413645070619492</v>
      </c>
      <c r="BV19" s="104"/>
      <c r="BW19" s="104"/>
      <c r="BX19" s="104"/>
      <c r="BY19" s="872"/>
      <c r="BZ19" s="104"/>
      <c r="CA19" s="104"/>
      <c r="CB19" s="104"/>
      <c r="CC19" s="867">
        <f>(CC16/Propulsion!BL114)/Quarterlies!EH11</f>
        <v>0.25395077382797954</v>
      </c>
      <c r="CD19" s="104"/>
      <c r="CE19" s="104"/>
      <c r="CF19" s="104"/>
      <c r="CG19" s="872"/>
      <c r="CH19" s="104"/>
      <c r="CI19" s="104"/>
      <c r="CJ19" s="104"/>
      <c r="CK19" s="867">
        <f>(CK16/Propulsion!BT114)/Quarterlies!EP11</f>
        <v>0.25509796656009914</v>
      </c>
      <c r="CL19" s="104"/>
      <c r="CM19" s="104"/>
      <c r="CN19" s="104"/>
      <c r="CO19" s="872"/>
      <c r="CP19" s="104"/>
      <c r="CQ19" s="104"/>
      <c r="CR19" s="104"/>
      <c r="CS19" s="867">
        <f>(CS16/Propulsion!CB114)/Quarterlies!EX11</f>
        <v>0.25618136780077416</v>
      </c>
      <c r="CT19" s="104"/>
      <c r="CU19" s="104"/>
      <c r="CV19" s="104"/>
      <c r="CW19" s="872"/>
      <c r="CX19" s="104"/>
      <c r="CY19" s="104"/>
      <c r="CZ19" s="104"/>
      <c r="DA19" s="867">
        <f>(DA16/Propulsion!CJ114)/Quarterlies!FF11</f>
        <v>0.25530897447636558</v>
      </c>
    </row>
    <row r="20" spans="1:105" x14ac:dyDescent="0.2">
      <c r="A20" s="997"/>
      <c r="B20" s="154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31"/>
      <c r="AH20" s="104"/>
      <c r="AI20" s="104"/>
      <c r="AJ20" s="104"/>
      <c r="AK20" s="104"/>
      <c r="AL20" s="104"/>
      <c r="AM20" s="104"/>
      <c r="AN20" s="104"/>
      <c r="AO20" s="105"/>
      <c r="AP20" s="104"/>
      <c r="AQ20" s="104"/>
      <c r="AR20" s="104"/>
      <c r="AS20" s="872"/>
      <c r="AT20" s="104"/>
      <c r="AU20" s="104"/>
      <c r="AV20" s="104"/>
      <c r="AW20" s="625"/>
      <c r="AX20" s="104"/>
      <c r="AY20" s="104"/>
      <c r="AZ20" s="104"/>
      <c r="BA20" s="872"/>
      <c r="BB20" s="104"/>
      <c r="BC20" s="104"/>
      <c r="BD20" s="104"/>
      <c r="BE20" s="867"/>
      <c r="BF20" s="104"/>
      <c r="BG20" s="104"/>
      <c r="BH20" s="104"/>
      <c r="BI20" s="872"/>
      <c r="BJ20" s="104"/>
      <c r="BK20" s="104"/>
      <c r="BL20" s="104"/>
      <c r="BM20" s="867"/>
      <c r="BN20" s="104"/>
      <c r="BO20" s="104"/>
      <c r="BP20" s="104"/>
      <c r="BQ20" s="872"/>
      <c r="BR20" s="104"/>
      <c r="BS20" s="104"/>
      <c r="BT20" s="104"/>
      <c r="BU20" s="867"/>
      <c r="BV20" s="104"/>
      <c r="BW20" s="104"/>
      <c r="BX20" s="104"/>
      <c r="BY20" s="872"/>
      <c r="BZ20" s="104"/>
      <c r="CA20" s="104"/>
      <c r="CB20" s="104"/>
      <c r="CC20" s="867"/>
      <c r="CD20" s="104"/>
      <c r="CE20" s="104"/>
      <c r="CF20" s="104"/>
      <c r="CG20" s="872"/>
      <c r="CH20" s="104"/>
      <c r="CI20" s="104"/>
      <c r="CJ20" s="104"/>
      <c r="CK20" s="867"/>
      <c r="CL20" s="104"/>
      <c r="CM20" s="104"/>
      <c r="CN20" s="104"/>
      <c r="CO20" s="872"/>
      <c r="CP20" s="104"/>
      <c r="CQ20" s="104"/>
      <c r="CR20" s="104"/>
      <c r="CS20" s="867"/>
      <c r="CT20" s="104"/>
      <c r="CU20" s="104"/>
      <c r="CV20" s="104"/>
      <c r="CW20" s="872"/>
      <c r="CX20" s="104"/>
      <c r="CY20" s="104"/>
      <c r="CZ20" s="104"/>
      <c r="DA20" s="867"/>
    </row>
    <row r="21" spans="1:105" x14ac:dyDescent="0.2">
      <c r="A21" s="997" t="s">
        <v>1163</v>
      </c>
      <c r="B21" s="154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31"/>
      <c r="AH21" s="104"/>
      <c r="AI21" s="104"/>
      <c r="AJ21" s="104"/>
      <c r="AK21" s="104"/>
      <c r="AL21" s="104"/>
      <c r="AM21" s="104"/>
      <c r="AN21" s="104"/>
      <c r="AO21" s="105"/>
      <c r="AP21" s="104"/>
      <c r="AQ21" s="104"/>
      <c r="AR21" s="104"/>
      <c r="AS21" s="872"/>
      <c r="AT21" s="104"/>
      <c r="AU21" s="104"/>
      <c r="AV21" s="104"/>
      <c r="AW21" s="625"/>
      <c r="AX21" s="104"/>
      <c r="AY21" s="104"/>
      <c r="AZ21" s="104"/>
      <c r="BA21" s="872"/>
      <c r="BB21" s="104"/>
      <c r="BC21" s="104"/>
      <c r="BD21" s="104"/>
      <c r="BE21" s="867"/>
      <c r="BF21" s="104"/>
      <c r="BG21" s="104"/>
      <c r="BH21" s="104"/>
      <c r="BI21" s="872"/>
      <c r="BJ21" s="104"/>
      <c r="BK21" s="104"/>
      <c r="BL21" s="104"/>
      <c r="BM21" s="867"/>
      <c r="BN21" s="104"/>
      <c r="BO21" s="104"/>
      <c r="BP21" s="104"/>
      <c r="BQ21" s="872"/>
      <c r="BR21" s="104"/>
      <c r="BS21" s="104"/>
      <c r="BT21" s="104"/>
      <c r="BU21" s="867"/>
      <c r="BV21" s="104"/>
      <c r="BW21" s="104"/>
      <c r="BX21" s="104"/>
      <c r="BY21" s="872"/>
      <c r="BZ21" s="104"/>
      <c r="CA21" s="104"/>
      <c r="CB21" s="104"/>
      <c r="CC21" s="867"/>
      <c r="CD21" s="104"/>
      <c r="CE21" s="104"/>
      <c r="CF21" s="104"/>
      <c r="CG21" s="872"/>
      <c r="CH21" s="104"/>
      <c r="CI21" s="104"/>
      <c r="CJ21" s="104"/>
      <c r="CK21" s="867"/>
      <c r="CL21" s="104"/>
      <c r="CM21" s="104"/>
      <c r="CN21" s="104"/>
      <c r="CO21" s="872"/>
      <c r="CP21" s="104"/>
      <c r="CQ21" s="104"/>
      <c r="CR21" s="104"/>
      <c r="CS21" s="867"/>
      <c r="CT21" s="104"/>
      <c r="CU21" s="104"/>
      <c r="CV21" s="104"/>
      <c r="CW21" s="872"/>
      <c r="CX21" s="104"/>
      <c r="CY21" s="104"/>
      <c r="CZ21" s="104"/>
      <c r="DA21" s="867"/>
    </row>
    <row r="22" spans="1:105" x14ac:dyDescent="0.2">
      <c r="A22" s="997"/>
      <c r="B22" s="1541" t="s">
        <v>790</v>
      </c>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31"/>
      <c r="AH22" s="104"/>
      <c r="AI22" s="104"/>
      <c r="AJ22" s="104"/>
      <c r="AK22" s="104"/>
      <c r="AL22" s="104"/>
      <c r="AM22" s="104"/>
      <c r="AN22" s="104"/>
      <c r="AO22" s="105"/>
      <c r="AP22" s="104"/>
      <c r="AQ22" s="104"/>
      <c r="AR22" s="104"/>
      <c r="AS22" s="872"/>
      <c r="AT22" s="104"/>
      <c r="AU22" s="104"/>
      <c r="AV22" s="104"/>
      <c r="AW22" s="1540"/>
      <c r="AX22" s="104"/>
      <c r="AY22" s="104"/>
      <c r="AZ22" s="104"/>
      <c r="BA22" s="872"/>
      <c r="BB22" s="104"/>
      <c r="BC22" s="104"/>
      <c r="BD22" s="104"/>
      <c r="BE22" s="625">
        <f>BE7/BE16</f>
        <v>0.90110292979554663</v>
      </c>
      <c r="BF22" s="104"/>
      <c r="BG22" s="104"/>
      <c r="BH22" s="104"/>
      <c r="BI22" s="872"/>
      <c r="BJ22" s="104"/>
      <c r="BK22" s="104"/>
      <c r="BL22" s="104"/>
      <c r="BM22" s="625">
        <f>BM7/BM16</f>
        <v>0.81175745804116517</v>
      </c>
      <c r="BN22" s="104"/>
      <c r="BO22" s="104"/>
      <c r="BP22" s="104"/>
      <c r="BQ22" s="872"/>
      <c r="BR22" s="104"/>
      <c r="BS22" s="104"/>
      <c r="BT22" s="104"/>
      <c r="BU22" s="867">
        <f>BU7/BU16</f>
        <v>0.68205856481236149</v>
      </c>
      <c r="BV22" s="104"/>
      <c r="BW22" s="104"/>
      <c r="BX22" s="104"/>
      <c r="BY22" s="872"/>
      <c r="BZ22" s="104"/>
      <c r="CA22" s="104"/>
      <c r="CB22" s="104"/>
      <c r="CC22" s="867">
        <f>CC7/CC16</f>
        <v>0.62324070534820086</v>
      </c>
      <c r="CD22" s="104"/>
      <c r="CE22" s="104"/>
      <c r="CF22" s="104"/>
      <c r="CG22" s="872"/>
      <c r="CH22" s="104"/>
      <c r="CI22" s="104"/>
      <c r="CJ22" s="104"/>
      <c r="CK22" s="867">
        <f>CK7/CK16</f>
        <v>0.55347850393649289</v>
      </c>
      <c r="CL22" s="104"/>
      <c r="CM22" s="104"/>
      <c r="CN22" s="104"/>
      <c r="CO22" s="872"/>
      <c r="CP22" s="104"/>
      <c r="CQ22" s="104"/>
      <c r="CR22" s="104"/>
      <c r="CS22" s="867">
        <f>CS7/CS16</f>
        <v>0.48290618810194003</v>
      </c>
      <c r="CT22" s="104"/>
      <c r="CU22" s="104"/>
      <c r="CV22" s="104"/>
      <c r="CW22" s="872"/>
      <c r="CX22" s="104"/>
      <c r="CY22" s="104"/>
      <c r="CZ22" s="104"/>
      <c r="DA22" s="867">
        <f>DA7/DA16</f>
        <v>0.42259869953479828</v>
      </c>
    </row>
    <row r="23" spans="1:105" x14ac:dyDescent="0.2">
      <c r="A23" s="997"/>
      <c r="B23" s="1541" t="s">
        <v>791</v>
      </c>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31"/>
      <c r="AH23" s="104"/>
      <c r="AI23" s="104"/>
      <c r="AJ23" s="104"/>
      <c r="AK23" s="104"/>
      <c r="AL23" s="104"/>
      <c r="AM23" s="104"/>
      <c r="AN23" s="104"/>
      <c r="AO23" s="105"/>
      <c r="AP23" s="104"/>
      <c r="AQ23" s="104"/>
      <c r="AR23" s="104"/>
      <c r="AS23" s="872"/>
      <c r="AT23" s="104"/>
      <c r="AU23" s="104"/>
      <c r="AV23" s="104"/>
      <c r="AW23" s="625"/>
      <c r="AX23" s="104"/>
      <c r="AY23" s="104"/>
      <c r="AZ23" s="104"/>
      <c r="BA23" s="872"/>
      <c r="BB23" s="104"/>
      <c r="BC23" s="104"/>
      <c r="BD23" s="104"/>
      <c r="BE23" s="625">
        <f>BE9/BE16</f>
        <v>9.8897070204453347E-2</v>
      </c>
      <c r="BF23" s="104"/>
      <c r="BG23" s="104"/>
      <c r="BH23" s="104"/>
      <c r="BI23" s="872"/>
      <c r="BJ23" s="104"/>
      <c r="BK23" s="104"/>
      <c r="BL23" s="104"/>
      <c r="BM23" s="625">
        <f>BM9/BM16</f>
        <v>0.18824254195883477</v>
      </c>
      <c r="BN23" s="104"/>
      <c r="BO23" s="104"/>
      <c r="BP23" s="104"/>
      <c r="BQ23" s="872"/>
      <c r="BR23" s="104"/>
      <c r="BS23" s="104"/>
      <c r="BT23" s="104"/>
      <c r="BU23" s="867">
        <f>BU9/BU16</f>
        <v>0.31794143518763845</v>
      </c>
      <c r="BV23" s="104"/>
      <c r="BW23" s="104"/>
      <c r="BX23" s="104"/>
      <c r="BY23" s="872"/>
      <c r="BZ23" s="104"/>
      <c r="CA23" s="104"/>
      <c r="CB23" s="104"/>
      <c r="CC23" s="867">
        <f>CC9/CC16</f>
        <v>0.37675929465179908</v>
      </c>
      <c r="CD23" s="104"/>
      <c r="CE23" s="104"/>
      <c r="CF23" s="104"/>
      <c r="CG23" s="872"/>
      <c r="CH23" s="104"/>
      <c r="CI23" s="104"/>
      <c r="CJ23" s="104"/>
      <c r="CK23" s="867">
        <f>CK9/CK16</f>
        <v>0.44652149606350711</v>
      </c>
      <c r="CL23" s="104"/>
      <c r="CM23" s="104"/>
      <c r="CN23" s="104"/>
      <c r="CO23" s="872"/>
      <c r="CP23" s="104"/>
      <c r="CQ23" s="104"/>
      <c r="CR23" s="104"/>
      <c r="CS23" s="867">
        <f>CS9/CS16</f>
        <v>0.51709381189806003</v>
      </c>
      <c r="CT23" s="104"/>
      <c r="CU23" s="104"/>
      <c r="CV23" s="104"/>
      <c r="CW23" s="872"/>
      <c r="CX23" s="104"/>
      <c r="CY23" s="104"/>
      <c r="CZ23" s="104"/>
      <c r="DA23" s="867">
        <f>DA9/DA16</f>
        <v>0.57740130046520177</v>
      </c>
    </row>
    <row r="24" spans="1:105" x14ac:dyDescent="0.2">
      <c r="A24" s="997"/>
      <c r="B24" s="154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31"/>
      <c r="AH24" s="104"/>
      <c r="AI24" s="104"/>
      <c r="AJ24" s="104"/>
      <c r="AK24" s="104"/>
      <c r="AL24" s="104"/>
      <c r="AM24" s="104"/>
      <c r="AN24" s="104"/>
      <c r="AO24" s="105"/>
      <c r="AP24" s="104"/>
      <c r="AQ24" s="104"/>
      <c r="AR24" s="104"/>
      <c r="AS24" s="872"/>
      <c r="AT24" s="104"/>
      <c r="AU24" s="104"/>
      <c r="AV24" s="104"/>
      <c r="AW24" s="625"/>
      <c r="AX24" s="104"/>
      <c r="AY24" s="104"/>
      <c r="AZ24" s="104"/>
      <c r="BA24" s="872"/>
      <c r="BB24" s="104"/>
      <c r="BC24" s="104"/>
      <c r="BD24" s="104"/>
      <c r="BE24" s="867"/>
      <c r="BF24" s="104"/>
      <c r="BG24" s="104"/>
      <c r="BH24" s="104"/>
      <c r="BI24" s="872"/>
      <c r="BJ24" s="104"/>
      <c r="BK24" s="104"/>
      <c r="BL24" s="104"/>
      <c r="BM24" s="867"/>
      <c r="BN24" s="104"/>
      <c r="BO24" s="104"/>
      <c r="BP24" s="104"/>
      <c r="BQ24" s="872"/>
      <c r="BR24" s="104"/>
      <c r="BS24" s="104"/>
      <c r="BT24" s="104"/>
      <c r="BU24" s="867"/>
      <c r="BV24" s="104"/>
      <c r="BW24" s="104"/>
      <c r="BX24" s="104"/>
      <c r="BY24" s="872"/>
      <c r="BZ24" s="104"/>
      <c r="CA24" s="104"/>
      <c r="CB24" s="104"/>
      <c r="CC24" s="867"/>
      <c r="CD24" s="104"/>
      <c r="CE24" s="104"/>
      <c r="CF24" s="104"/>
      <c r="CG24" s="872"/>
      <c r="CH24" s="104"/>
      <c r="CI24" s="104"/>
      <c r="CJ24" s="104"/>
      <c r="CK24" s="867"/>
      <c r="CL24" s="104"/>
      <c r="CM24" s="104"/>
      <c r="CN24" s="104"/>
      <c r="CO24" s="872"/>
      <c r="CP24" s="104"/>
      <c r="CQ24" s="104"/>
      <c r="CR24" s="104"/>
      <c r="CS24" s="867"/>
      <c r="CT24" s="104"/>
      <c r="CU24" s="104"/>
      <c r="CV24" s="104"/>
      <c r="CW24" s="872"/>
      <c r="CX24" s="104"/>
      <c r="CY24" s="104"/>
      <c r="CZ24" s="104"/>
      <c r="DA24" s="867"/>
    </row>
    <row r="25" spans="1:105" x14ac:dyDescent="0.2">
      <c r="A25" s="997" t="s">
        <v>1167</v>
      </c>
      <c r="B25" s="154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31"/>
      <c r="AH25" s="104"/>
      <c r="AI25" s="104"/>
      <c r="AJ25" s="104"/>
      <c r="AK25" s="104"/>
      <c r="AL25" s="104"/>
      <c r="AM25" s="104"/>
      <c r="AN25" s="104"/>
      <c r="AO25" s="105"/>
      <c r="AP25" s="104"/>
      <c r="AQ25" s="104"/>
      <c r="AR25" s="104"/>
      <c r="AS25" s="872"/>
      <c r="AT25" s="104"/>
      <c r="AU25" s="104"/>
      <c r="AV25" s="104"/>
      <c r="AW25" s="625"/>
      <c r="AX25" s="104"/>
      <c r="AY25" s="104"/>
      <c r="AZ25" s="104"/>
      <c r="BA25" s="872"/>
      <c r="BB25" s="104"/>
      <c r="BC25" s="104"/>
      <c r="BD25" s="104"/>
      <c r="BE25" s="867"/>
      <c r="BF25" s="104"/>
      <c r="BG25" s="104"/>
      <c r="BH25" s="104"/>
      <c r="BI25" s="872"/>
      <c r="BJ25" s="104"/>
      <c r="BK25" s="104"/>
      <c r="BL25" s="104"/>
      <c r="BM25" s="867"/>
      <c r="BN25" s="104"/>
      <c r="BO25" s="104"/>
      <c r="BP25" s="104"/>
      <c r="BQ25" s="872"/>
      <c r="BR25" s="104"/>
      <c r="BS25" s="104"/>
      <c r="BT25" s="104"/>
      <c r="BU25" s="867"/>
      <c r="BV25" s="104"/>
      <c r="BW25" s="104"/>
      <c r="BX25" s="104"/>
      <c r="BY25" s="872"/>
      <c r="BZ25" s="104"/>
      <c r="CA25" s="104"/>
      <c r="CB25" s="104"/>
      <c r="CC25" s="867"/>
      <c r="CD25" s="104"/>
      <c r="CE25" s="104"/>
      <c r="CF25" s="104"/>
      <c r="CG25" s="872"/>
      <c r="CH25" s="104"/>
      <c r="CI25" s="104"/>
      <c r="CJ25" s="104"/>
      <c r="CK25" s="867"/>
      <c r="CL25" s="104"/>
      <c r="CM25" s="104"/>
      <c r="CN25" s="104"/>
      <c r="CO25" s="872"/>
      <c r="CP25" s="104"/>
      <c r="CQ25" s="104"/>
      <c r="CR25" s="104"/>
      <c r="CS25" s="867"/>
      <c r="CT25" s="104"/>
      <c r="CU25" s="104"/>
      <c r="CV25" s="104"/>
      <c r="CW25" s="872"/>
      <c r="CX25" s="104"/>
      <c r="CY25" s="104"/>
      <c r="CZ25" s="104"/>
      <c r="DA25" s="867"/>
    </row>
    <row r="26" spans="1:105" s="663" customFormat="1" x14ac:dyDescent="0.2">
      <c r="A26" s="1549"/>
      <c r="B26" s="1558" t="s">
        <v>1165</v>
      </c>
      <c r="C26" s="1551"/>
      <c r="D26" s="1551"/>
      <c r="E26" s="1551"/>
      <c r="F26" s="1551"/>
      <c r="G26" s="1551"/>
      <c r="H26" s="1551"/>
      <c r="I26" s="1551"/>
      <c r="J26" s="1551"/>
      <c r="K26" s="1551"/>
      <c r="L26" s="1551"/>
      <c r="M26" s="1551"/>
      <c r="N26" s="1551"/>
      <c r="O26" s="1551"/>
      <c r="P26" s="1551"/>
      <c r="Q26" s="1551"/>
      <c r="R26" s="1551"/>
      <c r="S26" s="1551"/>
      <c r="T26" s="1551"/>
      <c r="U26" s="1551"/>
      <c r="V26" s="1551"/>
      <c r="W26" s="1551"/>
      <c r="X26" s="1551"/>
      <c r="Y26" s="1551"/>
      <c r="Z26" s="1551"/>
      <c r="AA26" s="1551"/>
      <c r="AB26" s="1551"/>
      <c r="AC26" s="1551"/>
      <c r="AD26" s="1551"/>
      <c r="AE26" s="1551"/>
      <c r="AF26" s="1551"/>
      <c r="AG26" s="1552"/>
      <c r="AH26" s="1519"/>
      <c r="AI26" s="1519"/>
      <c r="AJ26" s="1519"/>
      <c r="AK26" s="1519">
        <f>AK27+AK28</f>
        <v>5424.6345710458936</v>
      </c>
      <c r="AL26" s="1519">
        <f>AL27+AL28</f>
        <v>5959.4927480636861</v>
      </c>
      <c r="AM26" s="1519">
        <f>AM27+AM28</f>
        <v>3411.9400057077719</v>
      </c>
      <c r="AN26" s="1519">
        <f>AN27+AN28</f>
        <v>3661.6914754233758</v>
      </c>
      <c r="AO26" s="1559">
        <f>AO27+AO28</f>
        <v>4703.423147735637</v>
      </c>
      <c r="AP26" s="1519"/>
      <c r="AQ26" s="1519"/>
      <c r="AR26" s="1519"/>
      <c r="AS26" s="1560"/>
      <c r="AT26" s="1519"/>
      <c r="AU26" s="1519"/>
      <c r="AV26" s="1519"/>
      <c r="AW26" s="1561">
        <f>AW27+AW28</f>
        <v>6257.1118274078553</v>
      </c>
      <c r="AX26" s="1519"/>
      <c r="AY26" s="1519"/>
      <c r="AZ26" s="1519"/>
      <c r="BA26" s="1560"/>
      <c r="BB26" s="1519"/>
      <c r="BC26" s="1519"/>
      <c r="BD26" s="1519"/>
      <c r="BE26" s="1561">
        <f>BE5</f>
        <v>7774.0020749023251</v>
      </c>
      <c r="BF26" s="1519">
        <f>BF27+BF28</f>
        <v>1887.7889668896942</v>
      </c>
      <c r="BG26" s="1519">
        <f>BJ26-BF26</f>
        <v>2143.8171018776902</v>
      </c>
      <c r="BH26" s="1519">
        <f>BH27+BH28</f>
        <v>2238.4483539180405</v>
      </c>
      <c r="BI26" s="1694">
        <f>BK26-BH26</f>
        <v>3257.7625203148641</v>
      </c>
      <c r="BJ26" s="1519">
        <f>BJ27+BJ28</f>
        <v>4031.6060687673844</v>
      </c>
      <c r="BK26" s="1519">
        <f>BM26-BJ26</f>
        <v>5496.2108742329046</v>
      </c>
      <c r="BL26" s="1519"/>
      <c r="BM26" s="1561">
        <f>BM27+BM28</f>
        <v>9527.816943000289</v>
      </c>
      <c r="BN26" s="1519">
        <f>BN27+BN28</f>
        <v>2541.2765709970872</v>
      </c>
      <c r="BO26" s="1519">
        <f>BR26-BN26</f>
        <v>2816.2297552594164</v>
      </c>
      <c r="BP26" s="1521">
        <f>BP27+BP28</f>
        <v>2844.6525800809122</v>
      </c>
      <c r="BQ26" s="1721">
        <f>BS26-BP26</f>
        <v>3909.7363263604075</v>
      </c>
      <c r="BR26" s="1519">
        <f>BR27+BR28</f>
        <v>5357.5063262565036</v>
      </c>
      <c r="BS26" s="1521">
        <f>BU26-BR26</f>
        <v>6754.3889064413197</v>
      </c>
      <c r="BT26" s="1519"/>
      <c r="BU26" s="1562">
        <f>BU27+BU28</f>
        <v>12111.895232697823</v>
      </c>
      <c r="BV26" s="1519"/>
      <c r="BW26" s="1519"/>
      <c r="BX26" s="1519"/>
      <c r="BY26" s="1560"/>
      <c r="BZ26" s="1519"/>
      <c r="CA26" s="1519"/>
      <c r="CB26" s="1519"/>
      <c r="CC26" s="1562">
        <f>CC27+CC28</f>
        <v>13757.262771850899</v>
      </c>
      <c r="CD26" s="1519"/>
      <c r="CE26" s="1519"/>
      <c r="CF26" s="1519"/>
      <c r="CG26" s="1560"/>
      <c r="CH26" s="1519"/>
      <c r="CI26" s="1519"/>
      <c r="CJ26" s="1519"/>
      <c r="CK26" s="1562">
        <f>CK27+CK28</f>
        <v>15284.076779361718</v>
      </c>
      <c r="CL26" s="1519"/>
      <c r="CM26" s="1519"/>
      <c r="CN26" s="1519"/>
      <c r="CO26" s="1560"/>
      <c r="CP26" s="1519"/>
      <c r="CQ26" s="1519"/>
      <c r="CR26" s="1519"/>
      <c r="CS26" s="1562">
        <f>CS27+CS28</f>
        <v>16600.356234430288</v>
      </c>
      <c r="CT26" s="1519"/>
      <c r="CU26" s="1519"/>
      <c r="CV26" s="1519"/>
      <c r="CW26" s="1560"/>
      <c r="CX26" s="1519"/>
      <c r="CY26" s="1519"/>
      <c r="CZ26" s="1519"/>
      <c r="DA26" s="1562">
        <f>DA27+DA28</f>
        <v>17617.345112429892</v>
      </c>
    </row>
    <row r="27" spans="1:105" s="477" customFormat="1" x14ac:dyDescent="0.2">
      <c r="A27" s="1549"/>
      <c r="B27" s="1550" t="s">
        <v>1166</v>
      </c>
      <c r="C27" s="1551"/>
      <c r="D27" s="1551"/>
      <c r="E27" s="1551"/>
      <c r="F27" s="1551"/>
      <c r="G27" s="1551"/>
      <c r="H27" s="1551"/>
      <c r="I27" s="1551"/>
      <c r="J27" s="1551"/>
      <c r="K27" s="1551"/>
      <c r="L27" s="1551"/>
      <c r="M27" s="1551"/>
      <c r="N27" s="1551"/>
      <c r="O27" s="1551"/>
      <c r="P27" s="1551"/>
      <c r="Q27" s="1551"/>
      <c r="R27" s="1551"/>
      <c r="S27" s="1551"/>
      <c r="T27" s="1551"/>
      <c r="U27" s="1551"/>
      <c r="V27" s="1551"/>
      <c r="W27" s="1551"/>
      <c r="X27" s="1551"/>
      <c r="Y27" s="1551"/>
      <c r="Z27" s="1551"/>
      <c r="AA27" s="1551"/>
      <c r="AB27" s="1551"/>
      <c r="AC27" s="1551"/>
      <c r="AD27" s="1551"/>
      <c r="AE27" s="1551"/>
      <c r="AF27" s="1551"/>
      <c r="AG27" s="1552"/>
      <c r="AH27" s="1518"/>
      <c r="AI27" s="1518"/>
      <c r="AJ27" s="1518"/>
      <c r="AK27" s="1518">
        <f t="shared" ref="AK27:AN28" si="49">AL27/(1+AL33)</f>
        <v>3607.11219756221</v>
      </c>
      <c r="AL27" s="1518">
        <f t="shared" si="49"/>
        <v>4011.108763689178</v>
      </c>
      <c r="AM27" s="1518">
        <f t="shared" si="49"/>
        <v>2061.7099045362374</v>
      </c>
      <c r="AN27" s="1518">
        <f t="shared" si="49"/>
        <v>2135.931461099542</v>
      </c>
      <c r="AO27" s="1553">
        <f>AW27/(1+AW33)</f>
        <v>3058.6538522945439</v>
      </c>
      <c r="AP27" s="1518"/>
      <c r="AQ27" s="1518"/>
      <c r="AR27" s="1518"/>
      <c r="AS27" s="1554"/>
      <c r="AT27" s="1518"/>
      <c r="AU27" s="1518"/>
      <c r="AV27" s="1518"/>
      <c r="AW27" s="1555">
        <f>BE27/(1+BE33)</f>
        <v>4003.777892653558</v>
      </c>
      <c r="AX27" s="1518"/>
      <c r="AY27" s="1518"/>
      <c r="AZ27" s="1518"/>
      <c r="BA27" s="1554"/>
      <c r="BB27" s="1518"/>
      <c r="BC27" s="1518"/>
      <c r="BD27" s="1518"/>
      <c r="BE27" s="1555">
        <f>BE5*0.6</f>
        <v>4664.4012449413949</v>
      </c>
      <c r="BF27" s="1518">
        <f>(AX5*0.6)*(1+BF33)</f>
        <v>1160.5031929135171</v>
      </c>
      <c r="BG27" s="1518">
        <f>BJ27-BF27</f>
        <v>1262.4455614297149</v>
      </c>
      <c r="BH27" s="1518">
        <f>(AZ5*0.6)*(1+BH33)</f>
        <v>1306.6056002508019</v>
      </c>
      <c r="BI27" s="1695">
        <f>BK27-BH27</f>
        <v>1755.7815094570467</v>
      </c>
      <c r="BJ27" s="1518">
        <f>(BB5*0.6)*(1+BJ33)</f>
        <v>2422.9487543432319</v>
      </c>
      <c r="BK27" s="1518">
        <f>BM27-BJ27</f>
        <v>3062.3871097078486</v>
      </c>
      <c r="BL27" s="1518"/>
      <c r="BM27" s="1555">
        <f>BE27*(1+BM33)</f>
        <v>5485.3358640510805</v>
      </c>
      <c r="BN27" s="1518">
        <f>BF27*(1+BN33)</f>
        <v>1500.5306284371775</v>
      </c>
      <c r="BO27" s="1518">
        <f>BR27-BN27</f>
        <v>1598.4208283678161</v>
      </c>
      <c r="BP27" s="1486">
        <f>(BH27)*(1+BP33)</f>
        <v>1633.2570003135024</v>
      </c>
      <c r="BQ27" s="1722">
        <f>BS27-BP27</f>
        <v>2124.4613729453549</v>
      </c>
      <c r="BR27" s="1518">
        <f>BJ27*(1+BR33)</f>
        <v>3098.9514568049935</v>
      </c>
      <c r="BS27" s="1486">
        <f>BU27-BR27</f>
        <v>3757.7183732588574</v>
      </c>
      <c r="BT27" s="1518"/>
      <c r="BU27" s="1556">
        <f>BM27*(1+BU33)</f>
        <v>6856.6698300638509</v>
      </c>
      <c r="BV27" s="1518"/>
      <c r="BW27" s="1518"/>
      <c r="BX27" s="1518"/>
      <c r="BY27" s="1554"/>
      <c r="BZ27" s="1518"/>
      <c r="CA27" s="1518"/>
      <c r="CB27" s="1518"/>
      <c r="CC27" s="1556">
        <f>BU27*(1+CC33)</f>
        <v>7713.7535588218325</v>
      </c>
      <c r="CD27" s="1518"/>
      <c r="CE27" s="1518"/>
      <c r="CF27" s="1518"/>
      <c r="CG27" s="1554"/>
      <c r="CH27" s="1518"/>
      <c r="CI27" s="1518"/>
      <c r="CJ27" s="1518"/>
      <c r="CK27" s="1556">
        <f>CC27*(1+CK33)</f>
        <v>8485.128914704017</v>
      </c>
      <c r="CL27" s="1518"/>
      <c r="CM27" s="1518"/>
      <c r="CN27" s="1518"/>
      <c r="CO27" s="1554"/>
      <c r="CP27" s="1518"/>
      <c r="CQ27" s="1518"/>
      <c r="CR27" s="1518"/>
      <c r="CS27" s="1556">
        <f>CK27*(1+CS33)</f>
        <v>9121.513583306818</v>
      </c>
      <c r="CT27" s="1518"/>
      <c r="CU27" s="1518"/>
      <c r="CV27" s="1518"/>
      <c r="CW27" s="1554"/>
      <c r="CX27" s="1518"/>
      <c r="CY27" s="1518"/>
      <c r="CZ27" s="1518"/>
      <c r="DA27" s="1556">
        <f>CS27*(1+DA33)</f>
        <v>9577.58926247216</v>
      </c>
    </row>
    <row r="28" spans="1:105" s="477" customFormat="1" x14ac:dyDescent="0.2">
      <c r="A28" s="1549"/>
      <c r="B28" s="1550" t="s">
        <v>324</v>
      </c>
      <c r="C28" s="1551"/>
      <c r="D28" s="1551"/>
      <c r="E28" s="1551"/>
      <c r="F28" s="1551"/>
      <c r="G28" s="1551"/>
      <c r="H28" s="1551"/>
      <c r="I28" s="1551"/>
      <c r="J28" s="1551"/>
      <c r="K28" s="1551"/>
      <c r="L28" s="1551"/>
      <c r="M28" s="1551"/>
      <c r="N28" s="1551"/>
      <c r="O28" s="1551"/>
      <c r="P28" s="1551"/>
      <c r="Q28" s="1551"/>
      <c r="R28" s="1551"/>
      <c r="S28" s="1551"/>
      <c r="T28" s="1551"/>
      <c r="U28" s="1551"/>
      <c r="V28" s="1551"/>
      <c r="W28" s="1551"/>
      <c r="X28" s="1551"/>
      <c r="Y28" s="1551"/>
      <c r="Z28" s="1551"/>
      <c r="AA28" s="1551"/>
      <c r="AB28" s="1551"/>
      <c r="AC28" s="1551"/>
      <c r="AD28" s="1551"/>
      <c r="AE28" s="1551"/>
      <c r="AF28" s="1551"/>
      <c r="AG28" s="1552"/>
      <c r="AH28" s="1518"/>
      <c r="AI28" s="1518"/>
      <c r="AJ28" s="1518"/>
      <c r="AK28" s="1518">
        <f t="shared" si="49"/>
        <v>1817.5223734836832</v>
      </c>
      <c r="AL28" s="1518">
        <f t="shared" si="49"/>
        <v>1948.3839843745084</v>
      </c>
      <c r="AM28" s="1518">
        <f t="shared" si="49"/>
        <v>1350.2301011715344</v>
      </c>
      <c r="AN28" s="1518">
        <f t="shared" si="49"/>
        <v>1525.7600143238337</v>
      </c>
      <c r="AO28" s="1553">
        <f>AW28/(1+AW34)</f>
        <v>1644.7692954410929</v>
      </c>
      <c r="AP28" s="1518"/>
      <c r="AQ28" s="1518"/>
      <c r="AR28" s="1518"/>
      <c r="AS28" s="1554"/>
      <c r="AT28" s="1518"/>
      <c r="AU28" s="1518"/>
      <c r="AV28" s="1518"/>
      <c r="AW28" s="1555">
        <f>BE28/(1+BE34)</f>
        <v>2253.3339347542974</v>
      </c>
      <c r="AX28" s="1518"/>
      <c r="AY28" s="1518"/>
      <c r="AZ28" s="1518"/>
      <c r="BA28" s="1554"/>
      <c r="BB28" s="1518"/>
      <c r="BC28" s="1518"/>
      <c r="BD28" s="1518"/>
      <c r="BE28" s="1555">
        <f>BE26-BE27</f>
        <v>3109.6008299609302</v>
      </c>
      <c r="BF28" s="1518">
        <f>(AX5*0.4)*(1+BF34)</f>
        <v>727.2857739761771</v>
      </c>
      <c r="BG28" s="1518">
        <f>BJ28-BF28</f>
        <v>881.37154044797558</v>
      </c>
      <c r="BH28" s="1518">
        <f>(AZ5*0.4)*(1+BH34)</f>
        <v>931.84275366723853</v>
      </c>
      <c r="BI28" s="1695">
        <f>BK28-BH28</f>
        <v>1501.9810108578181</v>
      </c>
      <c r="BJ28" s="1518">
        <f>(BB5*0.4)*(1+BJ34)</f>
        <v>1608.6573144241527</v>
      </c>
      <c r="BK28" s="1518">
        <f>BM28-BJ28</f>
        <v>2433.8237645250565</v>
      </c>
      <c r="BL28" s="1518"/>
      <c r="BM28" s="1555">
        <f>BE28*(1+BM34)</f>
        <v>4042.4810789492094</v>
      </c>
      <c r="BN28" s="1518">
        <f>BF28*(1+BN34)</f>
        <v>1040.7459425599095</v>
      </c>
      <c r="BO28" s="1518">
        <f>BR28-BN28</f>
        <v>1217.8089268916005</v>
      </c>
      <c r="BP28" s="1486">
        <f>(BH28)*(1+BP34)</f>
        <v>1211.39557976741</v>
      </c>
      <c r="BQ28" s="1722">
        <f>BS28-BP28</f>
        <v>1785.2749534150523</v>
      </c>
      <c r="BR28" s="1518">
        <f>BJ28*(1+BR34)</f>
        <v>2258.5548694515101</v>
      </c>
      <c r="BS28" s="1486">
        <f>BU28-BR28</f>
        <v>2996.6705331824623</v>
      </c>
      <c r="BT28" s="1518"/>
      <c r="BU28" s="1556">
        <f>BM28*(1+BU34)</f>
        <v>5255.2254026339724</v>
      </c>
      <c r="BV28" s="1518"/>
      <c r="BW28" s="1518"/>
      <c r="BX28" s="1518"/>
      <c r="BY28" s="1554"/>
      <c r="BZ28" s="1518"/>
      <c r="CA28" s="1518"/>
      <c r="CB28" s="1518"/>
      <c r="CC28" s="1556">
        <f>BU28*(1+CC34)</f>
        <v>6043.5092130290677</v>
      </c>
      <c r="CD28" s="1518"/>
      <c r="CE28" s="1518"/>
      <c r="CF28" s="1518"/>
      <c r="CG28" s="1554"/>
      <c r="CH28" s="1518"/>
      <c r="CI28" s="1518"/>
      <c r="CJ28" s="1518"/>
      <c r="CK28" s="1556">
        <f>CC28*(1+CK34)</f>
        <v>6798.9478646577008</v>
      </c>
      <c r="CL28" s="1518"/>
      <c r="CM28" s="1518"/>
      <c r="CN28" s="1518"/>
      <c r="CO28" s="1554"/>
      <c r="CP28" s="1518"/>
      <c r="CQ28" s="1518"/>
      <c r="CR28" s="1518"/>
      <c r="CS28" s="1556">
        <f>CK28*(1+CS34)</f>
        <v>7478.8426511234711</v>
      </c>
      <c r="CT28" s="1518"/>
      <c r="CU28" s="1518"/>
      <c r="CV28" s="1518"/>
      <c r="CW28" s="1554"/>
      <c r="CX28" s="1518"/>
      <c r="CY28" s="1518"/>
      <c r="CZ28" s="1518"/>
      <c r="DA28" s="1556">
        <f>CS28*(1+DA34)</f>
        <v>8039.7558499577308</v>
      </c>
    </row>
    <row r="29" spans="1:105" s="477" customFormat="1" x14ac:dyDescent="0.2">
      <c r="A29" s="1557" t="s">
        <v>1168</v>
      </c>
      <c r="B29" s="1550"/>
      <c r="C29" s="1551"/>
      <c r="D29" s="1551"/>
      <c r="E29" s="1551"/>
      <c r="F29" s="1551"/>
      <c r="G29" s="1551"/>
      <c r="H29" s="1551"/>
      <c r="I29" s="1551"/>
      <c r="J29" s="1551"/>
      <c r="K29" s="1551"/>
      <c r="L29" s="1551"/>
      <c r="M29" s="1551"/>
      <c r="N29" s="1551"/>
      <c r="O29" s="1551"/>
      <c r="P29" s="1551"/>
      <c r="Q29" s="1551"/>
      <c r="R29" s="1551"/>
      <c r="S29" s="1551"/>
      <c r="T29" s="1551"/>
      <c r="U29" s="1551"/>
      <c r="V29" s="1551"/>
      <c r="W29" s="1551"/>
      <c r="X29" s="1551"/>
      <c r="Y29" s="1551"/>
      <c r="Z29" s="1551"/>
      <c r="AA29" s="1551"/>
      <c r="AB29" s="1551"/>
      <c r="AC29" s="1551"/>
      <c r="AD29" s="1551"/>
      <c r="AE29" s="1551"/>
      <c r="AF29" s="1551"/>
      <c r="AG29" s="1552"/>
      <c r="AH29" s="1518"/>
      <c r="AI29" s="1518"/>
      <c r="AJ29" s="1518"/>
      <c r="AK29" s="1487">
        <f>AK26-AK5</f>
        <v>6.8315747240139899</v>
      </c>
      <c r="AL29" s="1487">
        <f>AL26-AL5</f>
        <v>5.3272551059408215</v>
      </c>
      <c r="AM29" s="1487">
        <f>AM26-AM5</f>
        <v>29.974005707771994</v>
      </c>
      <c r="AN29" s="1487">
        <f>AN26-AN5</f>
        <v>39.605889423376084</v>
      </c>
      <c r="AO29" s="1571">
        <f>AO26-AO5</f>
        <v>20.066485037637904</v>
      </c>
      <c r="AP29" s="1487"/>
      <c r="AQ29" s="1487"/>
      <c r="AR29" s="1487"/>
      <c r="AS29" s="1568"/>
      <c r="AT29" s="1487"/>
      <c r="AU29" s="1487"/>
      <c r="AV29" s="1487"/>
      <c r="AW29" s="1563">
        <f>AW26-AW5</f>
        <v>32.930822682214966</v>
      </c>
      <c r="AX29" s="1518"/>
      <c r="AY29" s="1518"/>
      <c r="AZ29" s="1518"/>
      <c r="BA29" s="1554"/>
      <c r="BB29" s="1518"/>
      <c r="BC29" s="1518"/>
      <c r="BD29" s="1518"/>
      <c r="BE29" s="1563">
        <f t="shared" ref="BE29:BK29" si="50">BE26-BE5</f>
        <v>0</v>
      </c>
      <c r="BF29" s="1487">
        <f t="shared" si="50"/>
        <v>-0.10951558326746635</v>
      </c>
      <c r="BG29" s="1487">
        <f t="shared" si="50"/>
        <v>-0.31894574166290113</v>
      </c>
      <c r="BH29" s="1487">
        <f t="shared" si="50"/>
        <v>-0.22140197557791907</v>
      </c>
      <c r="BI29" s="1568">
        <f t="shared" si="50"/>
        <v>0.64986330050487595</v>
      </c>
      <c r="BJ29" s="1487">
        <f t="shared" si="50"/>
        <v>-0.42846132493014011</v>
      </c>
      <c r="BK29" s="1487">
        <f t="shared" si="50"/>
        <v>0.42846132492650213</v>
      </c>
      <c r="BL29" s="1518"/>
      <c r="BM29" s="1563">
        <f t="shared" ref="BM29" si="51">BM26-BM5</f>
        <v>0</v>
      </c>
      <c r="BN29" s="1487">
        <f t="shared" ref="BN29:BQ29" si="52">BN26-BN5</f>
        <v>0.10638843130618625</v>
      </c>
      <c r="BO29" s="1487">
        <f t="shared" si="52"/>
        <v>0.36347930031934084</v>
      </c>
      <c r="BP29" s="1487">
        <f t="shared" si="52"/>
        <v>0.37472622951918311</v>
      </c>
      <c r="BQ29" s="1568">
        <f t="shared" si="52"/>
        <v>-0.84459396114471019</v>
      </c>
      <c r="BR29" s="1487">
        <f t="shared" ref="BR29:BS29" si="53">BR26-BR5</f>
        <v>0.46986773162552709</v>
      </c>
      <c r="BS29" s="1487">
        <f t="shared" si="53"/>
        <v>-0.46986773162552709</v>
      </c>
      <c r="BT29" s="1518"/>
      <c r="BU29" s="1563">
        <f>BU26-BU5</f>
        <v>0</v>
      </c>
      <c r="BV29" s="1518"/>
      <c r="BW29" s="1518"/>
      <c r="BX29" s="1518"/>
      <c r="BY29" s="1554"/>
      <c r="BZ29" s="1518"/>
      <c r="CA29" s="1518"/>
      <c r="CB29" s="1518"/>
      <c r="CC29" s="1563">
        <f>CC26-CC5</f>
        <v>0</v>
      </c>
      <c r="CD29" s="1518"/>
      <c r="CE29" s="1518"/>
      <c r="CF29" s="1518"/>
      <c r="CG29" s="1554"/>
      <c r="CH29" s="1518"/>
      <c r="CI29" s="1518"/>
      <c r="CJ29" s="1518"/>
      <c r="CK29" s="1563">
        <f>CK26-CK5</f>
        <v>0</v>
      </c>
      <c r="CL29" s="1518"/>
      <c r="CM29" s="1518"/>
      <c r="CN29" s="1518"/>
      <c r="CO29" s="1554"/>
      <c r="CP29" s="1518"/>
      <c r="CQ29" s="1518"/>
      <c r="CR29" s="1518"/>
      <c r="CS29" s="1563">
        <f>CS26-CS5</f>
        <v>0</v>
      </c>
      <c r="CT29" s="1518"/>
      <c r="CU29" s="1518"/>
      <c r="CV29" s="1518"/>
      <c r="CW29" s="1554"/>
      <c r="CX29" s="1518"/>
      <c r="CY29" s="1518"/>
      <c r="CZ29" s="1518"/>
      <c r="DA29" s="1563">
        <f>DA26-DA5</f>
        <v>0</v>
      </c>
    </row>
    <row r="30" spans="1:105" x14ac:dyDescent="0.2">
      <c r="A30" s="997"/>
      <c r="B30" s="1541" t="s">
        <v>272</v>
      </c>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31"/>
      <c r="AH30" s="104"/>
      <c r="AI30" s="104"/>
      <c r="AJ30" s="104"/>
      <c r="AK30" s="104"/>
      <c r="AL30" s="104"/>
      <c r="AM30" s="104"/>
      <c r="AN30" s="104"/>
      <c r="AO30" s="105"/>
      <c r="AP30" s="104"/>
      <c r="AQ30" s="104"/>
      <c r="AR30" s="104"/>
      <c r="AS30" s="872"/>
      <c r="AT30" s="104"/>
      <c r="AU30" s="104"/>
      <c r="AV30" s="104"/>
      <c r="AW30" s="625"/>
      <c r="AX30" s="104"/>
      <c r="AY30" s="104"/>
      <c r="AZ30" s="104"/>
      <c r="BA30" s="872"/>
      <c r="BB30" s="104"/>
      <c r="BC30" s="104"/>
      <c r="BD30" s="104"/>
      <c r="BE30" s="867"/>
      <c r="BF30" s="104"/>
      <c r="BG30" s="104"/>
      <c r="BH30" s="104"/>
      <c r="BI30" s="872"/>
      <c r="BJ30" s="104"/>
      <c r="BK30" s="104"/>
      <c r="BL30" s="104"/>
      <c r="BM30" s="1719"/>
      <c r="BN30" s="104"/>
      <c r="BO30" s="104"/>
      <c r="BP30" s="104"/>
      <c r="BQ30" s="872"/>
      <c r="BR30" s="104"/>
      <c r="BS30" s="104"/>
      <c r="BT30" s="104"/>
      <c r="BU30" s="867"/>
      <c r="BV30" s="104"/>
      <c r="BW30" s="104"/>
      <c r="BX30" s="104"/>
      <c r="BY30" s="872"/>
      <c r="BZ30" s="104"/>
      <c r="CA30" s="104"/>
      <c r="CB30" s="104"/>
      <c r="CC30" s="867"/>
      <c r="CD30" s="104"/>
      <c r="CE30" s="104"/>
      <c r="CF30" s="104"/>
      <c r="CG30" s="872"/>
      <c r="CH30" s="104"/>
      <c r="CI30" s="104"/>
      <c r="CJ30" s="104"/>
      <c r="CK30" s="867"/>
      <c r="CL30" s="104"/>
      <c r="CM30" s="104"/>
      <c r="CN30" s="104"/>
      <c r="CO30" s="872"/>
      <c r="CP30" s="104"/>
      <c r="CQ30" s="104"/>
      <c r="CR30" s="104"/>
      <c r="CS30" s="867"/>
      <c r="CT30" s="104"/>
      <c r="CU30" s="104"/>
      <c r="CV30" s="104"/>
      <c r="CW30" s="872"/>
      <c r="CX30" s="104"/>
      <c r="CY30" s="104"/>
      <c r="CZ30" s="104"/>
      <c r="DA30" s="867"/>
    </row>
    <row r="31" spans="1:105" x14ac:dyDescent="0.2">
      <c r="A31" s="997" t="s">
        <v>1167</v>
      </c>
      <c r="B31" s="154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31"/>
      <c r="AH31" s="104"/>
      <c r="AI31" s="104"/>
      <c r="AJ31" s="104"/>
      <c r="AK31" s="104"/>
      <c r="AL31" s="104"/>
      <c r="AM31" s="104"/>
      <c r="AN31" s="104"/>
      <c r="AO31" s="105"/>
      <c r="AP31" s="104"/>
      <c r="AQ31" s="104"/>
      <c r="AR31" s="104"/>
      <c r="AS31" s="872"/>
      <c r="AT31" s="104"/>
      <c r="AU31" s="104"/>
      <c r="AV31" s="104"/>
      <c r="AW31" s="625"/>
      <c r="AX31" s="104"/>
      <c r="AY31" s="104"/>
      <c r="AZ31" s="104"/>
      <c r="BA31" s="872"/>
      <c r="BB31" s="104"/>
      <c r="BC31" s="104"/>
      <c r="BD31" s="104"/>
      <c r="BE31" s="867"/>
      <c r="BF31" s="104"/>
      <c r="BG31" s="104"/>
      <c r="BH31" s="104"/>
      <c r="BI31" s="872"/>
      <c r="BJ31" s="1589"/>
      <c r="BK31" s="104"/>
      <c r="BL31" s="104"/>
      <c r="BM31" s="867"/>
      <c r="BN31" s="104"/>
      <c r="BO31" s="104"/>
      <c r="BP31" s="104"/>
      <c r="BQ31" s="872"/>
      <c r="BR31" s="104"/>
      <c r="BS31" s="104"/>
      <c r="BT31" s="104"/>
      <c r="BU31" s="867"/>
      <c r="BV31" s="104"/>
      <c r="BW31" s="104"/>
      <c r="BX31" s="104"/>
      <c r="BY31" s="872"/>
      <c r="BZ31" s="104"/>
      <c r="CA31" s="104"/>
      <c r="CB31" s="104"/>
      <c r="CC31" s="867"/>
      <c r="CD31" s="104"/>
      <c r="CE31" s="104"/>
      <c r="CF31" s="104"/>
      <c r="CG31" s="872"/>
      <c r="CH31" s="104"/>
      <c r="CI31" s="104"/>
      <c r="CJ31" s="104"/>
      <c r="CK31" s="867"/>
      <c r="CL31" s="104"/>
      <c r="CM31" s="104"/>
      <c r="CN31" s="104"/>
      <c r="CO31" s="872"/>
      <c r="CP31" s="104"/>
      <c r="CQ31" s="104"/>
      <c r="CR31" s="104"/>
      <c r="CS31" s="867"/>
      <c r="CT31" s="104"/>
      <c r="CU31" s="104"/>
      <c r="CV31" s="104"/>
      <c r="CW31" s="872"/>
      <c r="CX31" s="104"/>
      <c r="CY31" s="104"/>
      <c r="CZ31" s="104"/>
      <c r="DA31" s="867"/>
    </row>
    <row r="32" spans="1:105" s="593" customFormat="1" x14ac:dyDescent="0.2">
      <c r="A32" s="1042"/>
      <c r="B32" s="1564" t="str">
        <f>B26</f>
        <v xml:space="preserve">Civil aftermarket </v>
      </c>
      <c r="C32" s="1565"/>
      <c r="D32" s="1565"/>
      <c r="E32" s="1565"/>
      <c r="F32" s="1565"/>
      <c r="G32" s="1565"/>
      <c r="H32" s="1565"/>
      <c r="I32" s="1565"/>
      <c r="J32" s="1565"/>
      <c r="K32" s="1565"/>
      <c r="L32" s="1565"/>
      <c r="M32" s="1565"/>
      <c r="N32" s="1565"/>
      <c r="O32" s="1565"/>
      <c r="P32" s="1565"/>
      <c r="Q32" s="1565"/>
      <c r="R32" s="1565"/>
      <c r="S32" s="1565"/>
      <c r="T32" s="1565"/>
      <c r="U32" s="1565"/>
      <c r="V32" s="1565"/>
      <c r="W32" s="1565"/>
      <c r="X32" s="1565"/>
      <c r="Y32" s="1565"/>
      <c r="Z32" s="1565"/>
      <c r="AA32" s="1565"/>
      <c r="AB32" s="1565"/>
      <c r="AC32" s="1565"/>
      <c r="AD32" s="1565"/>
      <c r="AE32" s="1565"/>
      <c r="AF32" s="1565"/>
      <c r="AG32" s="1566"/>
      <c r="AH32" s="653"/>
      <c r="AI32" s="653"/>
      <c r="AJ32" s="653"/>
      <c r="AK32" s="653"/>
      <c r="AL32" s="653">
        <f>AL6</f>
        <v>9.8999999999999977E-2</v>
      </c>
      <c r="AM32" s="653">
        <f>AM6</f>
        <v>-0.43199999999999994</v>
      </c>
      <c r="AN32" s="653">
        <f>AN6</f>
        <v>7.0999999999999952E-2</v>
      </c>
      <c r="AO32" s="100">
        <f>AO6</f>
        <v>0.29299999999999993</v>
      </c>
      <c r="AP32" s="653"/>
      <c r="AQ32" s="653"/>
      <c r="AR32" s="653"/>
      <c r="AS32" s="654"/>
      <c r="AT32" s="653"/>
      <c r="AU32" s="653"/>
      <c r="AV32" s="653"/>
      <c r="AW32" s="1434">
        <f>AW6</f>
        <v>0.32899999999999996</v>
      </c>
      <c r="AX32" s="653">
        <f t="shared" ref="AX32:BD32" si="54">AX6</f>
        <v>0.28307112861690431</v>
      </c>
      <c r="AY32" s="653">
        <f t="shared" si="54"/>
        <v>0.33244823306607874</v>
      </c>
      <c r="AZ32" s="653">
        <f t="shared" si="54"/>
        <v>0.20503625832740013</v>
      </c>
      <c r="BA32" s="654">
        <f t="shared" si="54"/>
        <v>0.20967945815193034</v>
      </c>
      <c r="BB32" s="653">
        <f t="shared" si="54"/>
        <v>0.30899560848852325</v>
      </c>
      <c r="BC32" s="653">
        <f t="shared" si="54"/>
        <v>0.20771933047483659</v>
      </c>
      <c r="BD32" s="653">
        <f t="shared" si="54"/>
        <v>0.26946579727881503</v>
      </c>
      <c r="BE32" s="1434">
        <f>BE6</f>
        <v>0.24900000000000011</v>
      </c>
      <c r="BF32" s="653">
        <f t="shared" ref="BF32:BK32" si="55">BF6</f>
        <v>0.22107083340856137</v>
      </c>
      <c r="BG32" s="653">
        <f t="shared" si="55"/>
        <v>0.20808181188218344</v>
      </c>
      <c r="BH32" s="653">
        <f t="shared" si="55"/>
        <v>0.19351803762065467</v>
      </c>
      <c r="BI32" s="654">
        <f t="shared" si="55"/>
        <v>0.2637278419453748</v>
      </c>
      <c r="BJ32" s="653">
        <f t="shared" ref="BJ32" si="56">BJ6</f>
        <v>0.21412901856967004</v>
      </c>
      <c r="BK32" s="653">
        <f t="shared" si="55"/>
        <v>0.23415460613223615</v>
      </c>
      <c r="BL32" s="653"/>
      <c r="BM32" s="1434">
        <f>BM6</f>
        <v>0.22560000000000047</v>
      </c>
      <c r="BN32" s="653">
        <f t="shared" ref="BN32:BQ32" si="57">BN6</f>
        <v>0.34603115906799053</v>
      </c>
      <c r="BO32" s="653">
        <f t="shared" si="57"/>
        <v>0.31328712983747931</v>
      </c>
      <c r="BP32" s="655">
        <f t="shared" si="57"/>
        <v>0.27052140958416238</v>
      </c>
      <c r="BQ32" s="1131">
        <f t="shared" si="57"/>
        <v>0.20062808140821153</v>
      </c>
      <c r="BR32" s="653">
        <f>BR6</f>
        <v>0.32861869573379554</v>
      </c>
      <c r="BS32" s="655">
        <f t="shared" ref="BS32" si="58">BS6</f>
        <v>0.22909865541761021</v>
      </c>
      <c r="BT32" s="653"/>
      <c r="BU32" s="656">
        <f>BU26/BM26-1</f>
        <v>0.27121409921671025</v>
      </c>
      <c r="BV32" s="653"/>
      <c r="BW32" s="653"/>
      <c r="BX32" s="653"/>
      <c r="BY32" s="654"/>
      <c r="BZ32" s="653"/>
      <c r="CA32" s="653"/>
      <c r="CB32" s="653"/>
      <c r="CC32" s="656">
        <f>CC26/BU26-1</f>
        <v>0.13584724005134774</v>
      </c>
      <c r="CD32" s="653"/>
      <c r="CE32" s="653"/>
      <c r="CF32" s="653"/>
      <c r="CG32" s="654"/>
      <c r="CH32" s="653"/>
      <c r="CI32" s="653"/>
      <c r="CJ32" s="653"/>
      <c r="CK32" s="656">
        <f>CK26/CC26-1</f>
        <v>0.11098239764925277</v>
      </c>
      <c r="CL32" s="653"/>
      <c r="CM32" s="653"/>
      <c r="CN32" s="653"/>
      <c r="CO32" s="654"/>
      <c r="CP32" s="653"/>
      <c r="CQ32" s="653"/>
      <c r="CR32" s="653"/>
      <c r="CS32" s="656">
        <f>CS26/CK26-1</f>
        <v>8.6120965896085977E-2</v>
      </c>
      <c r="CT32" s="653"/>
      <c r="CU32" s="653"/>
      <c r="CV32" s="653"/>
      <c r="CW32" s="654"/>
      <c r="CX32" s="653"/>
      <c r="CY32" s="653"/>
      <c r="CZ32" s="653"/>
      <c r="DA32" s="656">
        <f>DA26/CS26-1</f>
        <v>6.1263075541131862E-2</v>
      </c>
    </row>
    <row r="33" spans="1:105" s="237" customFormat="1" x14ac:dyDescent="0.2">
      <c r="A33" s="1042"/>
      <c r="B33" s="1567" t="str">
        <f t="shared" ref="B33:B34" si="59">B27</f>
        <v>Spare parts</v>
      </c>
      <c r="C33" s="1565"/>
      <c r="D33" s="1565"/>
      <c r="E33" s="1565"/>
      <c r="F33" s="1565"/>
      <c r="G33" s="1565"/>
      <c r="H33" s="1565"/>
      <c r="I33" s="1565"/>
      <c r="J33" s="1565"/>
      <c r="K33" s="1565"/>
      <c r="L33" s="1565"/>
      <c r="M33" s="1565"/>
      <c r="N33" s="1565"/>
      <c r="O33" s="1565"/>
      <c r="P33" s="1565"/>
      <c r="Q33" s="1565"/>
      <c r="R33" s="1565"/>
      <c r="S33" s="1565"/>
      <c r="T33" s="1565"/>
      <c r="U33" s="1565"/>
      <c r="V33" s="1565"/>
      <c r="W33" s="1565"/>
      <c r="X33" s="1565"/>
      <c r="Y33" s="1565"/>
      <c r="Z33" s="1565"/>
      <c r="AA33" s="1565"/>
      <c r="AB33" s="1565"/>
      <c r="AC33" s="1565"/>
      <c r="AD33" s="1565"/>
      <c r="AE33" s="1565"/>
      <c r="AF33" s="1565"/>
      <c r="AG33" s="1566"/>
      <c r="AH33" s="151"/>
      <c r="AI33" s="151"/>
      <c r="AJ33" s="151"/>
      <c r="AK33" s="151"/>
      <c r="AL33" s="151">
        <v>0.112</v>
      </c>
      <c r="AM33" s="151">
        <v>-0.48599999999999999</v>
      </c>
      <c r="AN33" s="151">
        <v>3.5999999999999997E-2</v>
      </c>
      <c r="AO33" s="96">
        <v>0.432</v>
      </c>
      <c r="AP33" s="151"/>
      <c r="AQ33" s="151"/>
      <c r="AR33" s="151"/>
      <c r="AS33" s="818"/>
      <c r="AT33" s="151"/>
      <c r="AU33" s="151"/>
      <c r="AV33" s="151"/>
      <c r="AW33" s="1415">
        <v>0.309</v>
      </c>
      <c r="AX33" s="151">
        <v>0.13400000000000001</v>
      </c>
      <c r="AY33" s="151">
        <v>0.22800000000000001</v>
      </c>
      <c r="AZ33" s="151">
        <v>0.114</v>
      </c>
      <c r="BA33" s="818">
        <v>0.26</v>
      </c>
      <c r="BB33" s="151"/>
      <c r="BC33" s="151"/>
      <c r="BD33" s="151"/>
      <c r="BE33" s="1415">
        <v>0.16500000000000001</v>
      </c>
      <c r="BF33" s="151">
        <v>0.251</v>
      </c>
      <c r="BG33" s="151">
        <v>0.186</v>
      </c>
      <c r="BH33" s="151">
        <v>0.161</v>
      </c>
      <c r="BI33" s="818">
        <f>BI27/(BA5*0.6)-1</f>
        <v>0.13537674392654786</v>
      </c>
      <c r="BJ33" s="151">
        <v>0.216</v>
      </c>
      <c r="BK33" s="151">
        <f>BK27/(BC5*0.6)-1</f>
        <v>0.14616957551821574</v>
      </c>
      <c r="BL33" s="151"/>
      <c r="BM33" s="1415">
        <v>0.17599999999999999</v>
      </c>
      <c r="BN33" s="151">
        <v>0.29299999999999998</v>
      </c>
      <c r="BO33" s="151">
        <v>0.26700000000000002</v>
      </c>
      <c r="BP33" s="1138">
        <v>0.25</v>
      </c>
      <c r="BQ33" s="1133">
        <f>BQ27/(BI27)-1</f>
        <v>0.20998049102494409</v>
      </c>
      <c r="BR33" s="151">
        <v>0.27900000000000003</v>
      </c>
      <c r="BS33" s="155">
        <f>BS27/(BK27)-1</f>
        <v>0.227055312944203</v>
      </c>
      <c r="BT33" s="151"/>
      <c r="BU33" s="1134">
        <v>0.25</v>
      </c>
      <c r="BV33" s="151"/>
      <c r="BW33" s="151"/>
      <c r="BX33" s="151"/>
      <c r="BY33" s="818"/>
      <c r="BZ33" s="151"/>
      <c r="CA33" s="151"/>
      <c r="CB33" s="151"/>
      <c r="CC33" s="1134">
        <v>0.125</v>
      </c>
      <c r="CD33" s="151"/>
      <c r="CE33" s="151"/>
      <c r="CF33" s="151"/>
      <c r="CG33" s="818"/>
      <c r="CH33" s="151"/>
      <c r="CI33" s="151"/>
      <c r="CJ33" s="151"/>
      <c r="CK33" s="1134">
        <v>0.1</v>
      </c>
      <c r="CL33" s="151"/>
      <c r="CM33" s="151"/>
      <c r="CN33" s="151"/>
      <c r="CO33" s="818"/>
      <c r="CP33" s="151"/>
      <c r="CQ33" s="151"/>
      <c r="CR33" s="151"/>
      <c r="CS33" s="1134">
        <v>7.4999999999999997E-2</v>
      </c>
      <c r="CT33" s="151"/>
      <c r="CU33" s="151"/>
      <c r="CV33" s="151"/>
      <c r="CW33" s="818"/>
      <c r="CX33" s="151"/>
      <c r="CY33" s="151"/>
      <c r="CZ33" s="151"/>
      <c r="DA33" s="1134">
        <v>0.05</v>
      </c>
    </row>
    <row r="34" spans="1:105" s="237" customFormat="1" x14ac:dyDescent="0.2">
      <c r="A34" s="1042"/>
      <c r="B34" s="1567" t="str">
        <f t="shared" si="59"/>
        <v>Services</v>
      </c>
      <c r="C34" s="1565"/>
      <c r="D34" s="1565"/>
      <c r="E34" s="1565"/>
      <c r="F34" s="1565"/>
      <c r="G34" s="1565"/>
      <c r="H34" s="1565"/>
      <c r="I34" s="1565"/>
      <c r="J34" s="1565"/>
      <c r="K34" s="1565"/>
      <c r="L34" s="1565"/>
      <c r="M34" s="1565"/>
      <c r="N34" s="1565"/>
      <c r="O34" s="1565"/>
      <c r="P34" s="1565"/>
      <c r="Q34" s="1565"/>
      <c r="R34" s="1565"/>
      <c r="S34" s="1565"/>
      <c r="T34" s="1565"/>
      <c r="U34" s="1565"/>
      <c r="V34" s="1565"/>
      <c r="W34" s="1565"/>
      <c r="X34" s="1565"/>
      <c r="Y34" s="1565"/>
      <c r="Z34" s="1565"/>
      <c r="AA34" s="1565"/>
      <c r="AB34" s="1565"/>
      <c r="AC34" s="1565"/>
      <c r="AD34" s="1565"/>
      <c r="AE34" s="1565"/>
      <c r="AF34" s="1565"/>
      <c r="AG34" s="1566"/>
      <c r="AH34" s="151"/>
      <c r="AI34" s="151"/>
      <c r="AJ34" s="151"/>
      <c r="AK34" s="151"/>
      <c r="AL34" s="151">
        <v>7.1999999999999995E-2</v>
      </c>
      <c r="AM34" s="151">
        <v>-0.307</v>
      </c>
      <c r="AN34" s="151">
        <v>0.13</v>
      </c>
      <c r="AO34" s="96">
        <v>7.8E-2</v>
      </c>
      <c r="AP34" s="151"/>
      <c r="AQ34" s="151"/>
      <c r="AR34" s="151"/>
      <c r="AS34" s="818"/>
      <c r="AT34" s="151"/>
      <c r="AU34" s="151"/>
      <c r="AV34" s="151"/>
      <c r="AW34" s="1415">
        <v>0.37</v>
      </c>
      <c r="AX34" s="151">
        <v>0.55600000000000005</v>
      </c>
      <c r="AY34" s="151">
        <v>0.53400000000000003</v>
      </c>
      <c r="AZ34" s="151">
        <v>0.39100000000000001</v>
      </c>
      <c r="BA34" s="818">
        <v>0.11799999999999999</v>
      </c>
      <c r="BB34" s="151"/>
      <c r="BC34" s="151"/>
      <c r="BD34" s="151"/>
      <c r="BE34" s="1415">
        <v>0.38</v>
      </c>
      <c r="BF34" s="151">
        <v>0.17599999999999999</v>
      </c>
      <c r="BG34" s="151">
        <v>0.246</v>
      </c>
      <c r="BH34" s="151">
        <v>0.24199999999999999</v>
      </c>
      <c r="BI34" s="818">
        <f>BI28/(BA5*0.4)-1</f>
        <v>0.45688484047875777</v>
      </c>
      <c r="BJ34" s="151">
        <v>0.21099999999999999</v>
      </c>
      <c r="BK34" s="151">
        <f>BK28/(BC5*0.4)-1</f>
        <v>0.36637269447197074</v>
      </c>
      <c r="BL34" s="151"/>
      <c r="BM34" s="1415">
        <v>0.3</v>
      </c>
      <c r="BN34" s="151">
        <v>0.43099999999999999</v>
      </c>
      <c r="BO34" s="151">
        <v>0.377</v>
      </c>
      <c r="BP34" s="1138">
        <v>0.3</v>
      </c>
      <c r="BQ34" s="1133">
        <f>BQ28/(BI28)-1</f>
        <v>0.18861353140239645</v>
      </c>
      <c r="BR34" s="151">
        <v>0.40400000000000003</v>
      </c>
      <c r="BS34" s="155">
        <f>BS28/(BK28)-1</f>
        <v>0.23126028139808286</v>
      </c>
      <c r="BT34" s="151"/>
      <c r="BU34" s="1134">
        <v>0.3</v>
      </c>
      <c r="BV34" s="151"/>
      <c r="BW34" s="151"/>
      <c r="BX34" s="151"/>
      <c r="BY34" s="818"/>
      <c r="BZ34" s="151"/>
      <c r="CA34" s="151"/>
      <c r="CB34" s="151"/>
      <c r="CC34" s="1134">
        <v>0.15</v>
      </c>
      <c r="CD34" s="151"/>
      <c r="CE34" s="151"/>
      <c r="CF34" s="151"/>
      <c r="CG34" s="818"/>
      <c r="CH34" s="151"/>
      <c r="CI34" s="151"/>
      <c r="CJ34" s="151"/>
      <c r="CK34" s="1134">
        <v>0.125</v>
      </c>
      <c r="CL34" s="151"/>
      <c r="CM34" s="151"/>
      <c r="CN34" s="151"/>
      <c r="CO34" s="818"/>
      <c r="CP34" s="151"/>
      <c r="CQ34" s="151"/>
      <c r="CR34" s="151"/>
      <c r="CS34" s="1134">
        <v>0.1</v>
      </c>
      <c r="CT34" s="151"/>
      <c r="CU34" s="151"/>
      <c r="CV34" s="151"/>
      <c r="CW34" s="818"/>
      <c r="CX34" s="151"/>
      <c r="CY34" s="151"/>
      <c r="CZ34" s="151"/>
      <c r="DA34" s="1134">
        <v>7.4999999999999997E-2</v>
      </c>
    </row>
    <row r="35" spans="1:105" s="237" customFormat="1" x14ac:dyDescent="0.2">
      <c r="A35" s="1042"/>
      <c r="B35" s="1567"/>
      <c r="C35" s="1565"/>
      <c r="D35" s="1565"/>
      <c r="E35" s="1565"/>
      <c r="F35" s="1565"/>
      <c r="G35" s="1565"/>
      <c r="H35" s="1565"/>
      <c r="I35" s="1565"/>
      <c r="J35" s="1565"/>
      <c r="K35" s="1565"/>
      <c r="L35" s="1565"/>
      <c r="M35" s="1565"/>
      <c r="N35" s="1565"/>
      <c r="O35" s="1565"/>
      <c r="P35" s="1565"/>
      <c r="Q35" s="1565"/>
      <c r="R35" s="1565"/>
      <c r="S35" s="1565"/>
      <c r="T35" s="1565"/>
      <c r="U35" s="1565"/>
      <c r="V35" s="1565"/>
      <c r="W35" s="1565"/>
      <c r="X35" s="1565"/>
      <c r="Y35" s="1565"/>
      <c r="Z35" s="1565"/>
      <c r="AA35" s="1565"/>
      <c r="AB35" s="1565"/>
      <c r="AC35" s="1565"/>
      <c r="AD35" s="1565"/>
      <c r="AE35" s="1565"/>
      <c r="AF35" s="1565"/>
      <c r="AG35" s="1566"/>
      <c r="AH35" s="151"/>
      <c r="AI35" s="151"/>
      <c r="AJ35" s="151"/>
      <c r="AK35" s="151"/>
      <c r="AL35" s="151"/>
      <c r="AM35" s="151"/>
      <c r="AN35" s="151"/>
      <c r="AO35" s="96"/>
      <c r="AP35" s="151"/>
      <c r="AQ35" s="151"/>
      <c r="AR35" s="151"/>
      <c r="AS35" s="818"/>
      <c r="AT35" s="151"/>
      <c r="AU35" s="151"/>
      <c r="AV35" s="151"/>
      <c r="AW35" s="1415"/>
      <c r="AX35" s="151"/>
      <c r="AY35" s="151"/>
      <c r="AZ35" s="151"/>
      <c r="BA35" s="818"/>
      <c r="BB35" s="151"/>
      <c r="BC35" s="151"/>
      <c r="BD35" s="151"/>
      <c r="BE35" s="1134"/>
      <c r="BF35" s="151"/>
      <c r="BG35" s="151"/>
      <c r="BH35" s="151"/>
      <c r="BI35" s="818"/>
      <c r="BJ35" s="151"/>
      <c r="BK35" s="151"/>
      <c r="BL35" s="151"/>
      <c r="BM35" s="1134"/>
      <c r="BN35" s="151"/>
      <c r="BO35" s="151"/>
      <c r="BP35" s="151"/>
      <c r="BQ35" s="818"/>
      <c r="BR35" s="151"/>
      <c r="BS35" s="151"/>
      <c r="BT35" s="151"/>
      <c r="BU35" s="1134"/>
      <c r="BV35" s="151"/>
      <c r="BW35" s="151"/>
      <c r="BX35" s="151"/>
      <c r="BY35" s="818"/>
      <c r="BZ35" s="151"/>
      <c r="CA35" s="151"/>
      <c r="CB35" s="151"/>
      <c r="CC35" s="1134"/>
      <c r="CD35" s="151"/>
      <c r="CE35" s="151"/>
      <c r="CF35" s="151"/>
      <c r="CG35" s="818"/>
      <c r="CH35" s="151"/>
      <c r="CI35" s="151"/>
      <c r="CJ35" s="151"/>
      <c r="CK35" s="1134"/>
      <c r="CL35" s="151"/>
      <c r="CM35" s="151"/>
      <c r="CN35" s="151"/>
      <c r="CO35" s="818"/>
      <c r="CP35" s="151"/>
      <c r="CQ35" s="151"/>
      <c r="CR35" s="151"/>
      <c r="CS35" s="1134"/>
      <c r="CT35" s="151"/>
      <c r="CU35" s="151"/>
      <c r="CV35" s="151"/>
      <c r="CW35" s="818"/>
      <c r="CX35" s="151"/>
      <c r="CY35" s="151"/>
      <c r="CZ35" s="151"/>
      <c r="DA35" s="1134"/>
    </row>
    <row r="36" spans="1:105" s="237" customFormat="1" x14ac:dyDescent="0.2">
      <c r="A36" s="997" t="s">
        <v>1169</v>
      </c>
      <c r="B36" s="1567"/>
      <c r="C36" s="1565"/>
      <c r="D36" s="1565"/>
      <c r="E36" s="1565"/>
      <c r="F36" s="1565"/>
      <c r="G36" s="1565"/>
      <c r="H36" s="1565"/>
      <c r="I36" s="1565"/>
      <c r="J36" s="1565"/>
      <c r="K36" s="1565"/>
      <c r="L36" s="1565"/>
      <c r="M36" s="1565"/>
      <c r="N36" s="1565"/>
      <c r="O36" s="1565"/>
      <c r="P36" s="1565"/>
      <c r="Q36" s="1565"/>
      <c r="R36" s="1565"/>
      <c r="S36" s="1565"/>
      <c r="T36" s="1565"/>
      <c r="U36" s="1565"/>
      <c r="V36" s="1565"/>
      <c r="W36" s="1565"/>
      <c r="X36" s="1565"/>
      <c r="Y36" s="1565"/>
      <c r="Z36" s="1565"/>
      <c r="AA36" s="1565"/>
      <c r="AB36" s="1565"/>
      <c r="AC36" s="1565"/>
      <c r="AD36" s="1565"/>
      <c r="AE36" s="1565"/>
      <c r="AF36" s="1565"/>
      <c r="AG36" s="1566"/>
      <c r="AH36" s="151"/>
      <c r="AI36" s="151"/>
      <c r="AJ36" s="151"/>
      <c r="AK36" s="151"/>
      <c r="AL36" s="151"/>
      <c r="AM36" s="151"/>
      <c r="AN36" s="151"/>
      <c r="AO36" s="96"/>
      <c r="AP36" s="151"/>
      <c r="AQ36" s="151"/>
      <c r="AR36" s="151"/>
      <c r="AS36" s="818"/>
      <c r="AT36" s="151"/>
      <c r="AU36" s="151"/>
      <c r="AV36" s="151"/>
      <c r="AW36" s="1415"/>
      <c r="AX36" s="151"/>
      <c r="AY36" s="151"/>
      <c r="AZ36" s="151"/>
      <c r="BA36" s="818"/>
      <c r="BB36" s="151"/>
      <c r="BC36" s="151"/>
      <c r="BD36" s="151"/>
      <c r="BE36" s="1134"/>
      <c r="BF36" s="151"/>
      <c r="BG36" s="151"/>
      <c r="BH36" s="151"/>
      <c r="BI36" s="818"/>
      <c r="BJ36" s="151"/>
      <c r="BK36" s="151"/>
      <c r="BL36" s="151"/>
      <c r="BM36" s="1134"/>
      <c r="BN36" s="151"/>
      <c r="BO36" s="151"/>
      <c r="BP36" s="151"/>
      <c r="BQ36" s="818"/>
      <c r="BR36" s="151"/>
      <c r="BS36" s="151"/>
      <c r="BT36" s="151"/>
      <c r="BU36" s="1134"/>
      <c r="BV36" s="151"/>
      <c r="BW36" s="151"/>
      <c r="BX36" s="151"/>
      <c r="BY36" s="818"/>
      <c r="BZ36" s="151"/>
      <c r="CA36" s="151"/>
      <c r="CB36" s="151"/>
      <c r="CC36" s="1134"/>
      <c r="CD36" s="151"/>
      <c r="CE36" s="151"/>
      <c r="CF36" s="151"/>
      <c r="CG36" s="818"/>
      <c r="CH36" s="151"/>
      <c r="CI36" s="151"/>
      <c r="CJ36" s="151"/>
      <c r="CK36" s="1134"/>
      <c r="CL36" s="151"/>
      <c r="CM36" s="151"/>
      <c r="CN36" s="151"/>
      <c r="CO36" s="818"/>
      <c r="CP36" s="151"/>
      <c r="CQ36" s="151"/>
      <c r="CR36" s="151"/>
      <c r="CS36" s="1134"/>
      <c r="CT36" s="151"/>
      <c r="CU36" s="151"/>
      <c r="CV36" s="151"/>
      <c r="CW36" s="818"/>
      <c r="CX36" s="151"/>
      <c r="CY36" s="151"/>
      <c r="CZ36" s="151"/>
      <c r="DA36" s="1134"/>
    </row>
    <row r="37" spans="1:105" s="237" customFormat="1" x14ac:dyDescent="0.2">
      <c r="A37" s="1042"/>
      <c r="B37" s="1567" t="str">
        <f>B33</f>
        <v>Spare parts</v>
      </c>
      <c r="C37" s="1565"/>
      <c r="D37" s="1565"/>
      <c r="E37" s="1565"/>
      <c r="F37" s="1565"/>
      <c r="G37" s="1565"/>
      <c r="H37" s="1565"/>
      <c r="I37" s="1565"/>
      <c r="J37" s="1565"/>
      <c r="K37" s="1565"/>
      <c r="L37" s="1565"/>
      <c r="M37" s="1565"/>
      <c r="N37" s="1565"/>
      <c r="O37" s="1565"/>
      <c r="P37" s="1565"/>
      <c r="Q37" s="1565"/>
      <c r="R37" s="1565"/>
      <c r="S37" s="1565"/>
      <c r="T37" s="1565"/>
      <c r="U37" s="1565"/>
      <c r="V37" s="1565"/>
      <c r="W37" s="1565"/>
      <c r="X37" s="1565"/>
      <c r="Y37" s="1565"/>
      <c r="Z37" s="1565"/>
      <c r="AA37" s="1565"/>
      <c r="AB37" s="1565"/>
      <c r="AC37" s="1565"/>
      <c r="AD37" s="1565"/>
      <c r="AE37" s="1565"/>
      <c r="AF37" s="1565"/>
      <c r="AG37" s="1566"/>
      <c r="AH37" s="151"/>
      <c r="AI37" s="151"/>
      <c r="AJ37" s="151"/>
      <c r="AK37" s="151"/>
      <c r="AL37" s="151"/>
      <c r="AM37" s="151"/>
      <c r="AN37" s="151"/>
      <c r="AO37" s="96"/>
      <c r="AP37" s="151"/>
      <c r="AQ37" s="151"/>
      <c r="AR37" s="151"/>
      <c r="AS37" s="818"/>
      <c r="AT37" s="151"/>
      <c r="AU37" s="151"/>
      <c r="AV37" s="151"/>
      <c r="AW37" s="1415"/>
      <c r="AX37" s="151"/>
      <c r="AY37" s="151"/>
      <c r="AZ37" s="151"/>
      <c r="BA37" s="818"/>
      <c r="BB37" s="151"/>
      <c r="BC37" s="151"/>
      <c r="BD37" s="151"/>
      <c r="BE37" s="625">
        <f>BE27/BE26</f>
        <v>0.6</v>
      </c>
      <c r="BF37" s="151"/>
      <c r="BG37" s="151"/>
      <c r="BH37" s="151"/>
      <c r="BI37" s="818"/>
      <c r="BJ37" s="151"/>
      <c r="BK37" s="151"/>
      <c r="BL37" s="151"/>
      <c r="BM37" s="625">
        <f>BM27/BM26</f>
        <v>0.57571801566579639</v>
      </c>
      <c r="BN37" s="151"/>
      <c r="BO37" s="151"/>
      <c r="BP37" s="151"/>
      <c r="BQ37" s="818"/>
      <c r="BR37" s="151"/>
      <c r="BS37" s="151"/>
      <c r="BT37" s="151"/>
      <c r="BU37" s="867">
        <f>BU27/BU26</f>
        <v>0.56611039794608475</v>
      </c>
      <c r="BV37" s="151"/>
      <c r="BW37" s="151"/>
      <c r="BX37" s="151"/>
      <c r="BY37" s="818"/>
      <c r="BZ37" s="151"/>
      <c r="CA37" s="151"/>
      <c r="CB37" s="151"/>
      <c r="CC37" s="867">
        <f>CC27/CC26</f>
        <v>0.56070409402989296</v>
      </c>
      <c r="CD37" s="151"/>
      <c r="CE37" s="151"/>
      <c r="CF37" s="151"/>
      <c r="CG37" s="818"/>
      <c r="CH37" s="151"/>
      <c r="CI37" s="151"/>
      <c r="CJ37" s="151"/>
      <c r="CK37" s="867">
        <f>CK27/CK26</f>
        <v>0.55516136415655759</v>
      </c>
      <c r="CL37" s="151"/>
      <c r="CM37" s="151"/>
      <c r="CN37" s="151"/>
      <c r="CO37" s="818"/>
      <c r="CP37" s="151"/>
      <c r="CQ37" s="151"/>
      <c r="CR37" s="151"/>
      <c r="CS37" s="867">
        <f>CS27/CS26</f>
        <v>0.54947697835472753</v>
      </c>
      <c r="CT37" s="151"/>
      <c r="CU37" s="151"/>
      <c r="CV37" s="151"/>
      <c r="CW37" s="818"/>
      <c r="CX37" s="151"/>
      <c r="CY37" s="151"/>
      <c r="CZ37" s="151"/>
      <c r="DA37" s="867">
        <f>DA27/DA26</f>
        <v>0.54364543586733205</v>
      </c>
    </row>
    <row r="38" spans="1:105" s="237" customFormat="1" x14ac:dyDescent="0.2">
      <c r="A38" s="1042"/>
      <c r="B38" s="1567" t="str">
        <f>B34</f>
        <v>Services</v>
      </c>
      <c r="C38" s="1565"/>
      <c r="D38" s="1565"/>
      <c r="E38" s="1565"/>
      <c r="F38" s="1565"/>
      <c r="G38" s="1565"/>
      <c r="H38" s="1565"/>
      <c r="I38" s="1565"/>
      <c r="J38" s="1565"/>
      <c r="K38" s="1565"/>
      <c r="L38" s="1565"/>
      <c r="M38" s="1565"/>
      <c r="N38" s="1565"/>
      <c r="O38" s="1565"/>
      <c r="P38" s="1565"/>
      <c r="Q38" s="1565"/>
      <c r="R38" s="1565"/>
      <c r="S38" s="1565"/>
      <c r="T38" s="1565"/>
      <c r="U38" s="1565"/>
      <c r="V38" s="1565"/>
      <c r="W38" s="1565"/>
      <c r="X38" s="1565"/>
      <c r="Y38" s="1565"/>
      <c r="Z38" s="1565"/>
      <c r="AA38" s="1565"/>
      <c r="AB38" s="1565"/>
      <c r="AC38" s="1565"/>
      <c r="AD38" s="1565"/>
      <c r="AE38" s="1565"/>
      <c r="AF38" s="1565"/>
      <c r="AG38" s="1566"/>
      <c r="AH38" s="151"/>
      <c r="AI38" s="151"/>
      <c r="AJ38" s="151"/>
      <c r="AK38" s="151"/>
      <c r="AL38" s="151"/>
      <c r="AM38" s="151"/>
      <c r="AN38" s="151"/>
      <c r="AO38" s="96"/>
      <c r="AP38" s="151"/>
      <c r="AQ38" s="151"/>
      <c r="AR38" s="151"/>
      <c r="AS38" s="818"/>
      <c r="AT38" s="151"/>
      <c r="AU38" s="151"/>
      <c r="AV38" s="151"/>
      <c r="AW38" s="1415"/>
      <c r="AX38" s="151"/>
      <c r="AY38" s="151"/>
      <c r="AZ38" s="151"/>
      <c r="BA38" s="818"/>
      <c r="BB38" s="151"/>
      <c r="BC38" s="151"/>
      <c r="BD38" s="151"/>
      <c r="BE38" s="625">
        <f>BE28/BE26</f>
        <v>0.4</v>
      </c>
      <c r="BF38" s="151"/>
      <c r="BG38" s="151"/>
      <c r="BH38" s="151"/>
      <c r="BI38" s="818"/>
      <c r="BJ38" s="151"/>
      <c r="BK38" s="151"/>
      <c r="BL38" s="151"/>
      <c r="BM38" s="625">
        <f>BM28/BM26</f>
        <v>0.42428198433420372</v>
      </c>
      <c r="BN38" s="151"/>
      <c r="BO38" s="151"/>
      <c r="BP38" s="151"/>
      <c r="BQ38" s="818"/>
      <c r="BR38" s="151"/>
      <c r="BS38" s="151"/>
      <c r="BT38" s="151"/>
      <c r="BU38" s="867">
        <f>BU28/BU26</f>
        <v>0.4338896020539153</v>
      </c>
      <c r="BV38" s="151"/>
      <c r="BW38" s="151"/>
      <c r="BX38" s="151"/>
      <c r="BY38" s="818"/>
      <c r="BZ38" s="151"/>
      <c r="CA38" s="151"/>
      <c r="CB38" s="151"/>
      <c r="CC38" s="867">
        <f>CC28/CC26</f>
        <v>0.43929590597010709</v>
      </c>
      <c r="CD38" s="151"/>
      <c r="CE38" s="151"/>
      <c r="CF38" s="151"/>
      <c r="CG38" s="818"/>
      <c r="CH38" s="151"/>
      <c r="CI38" s="151"/>
      <c r="CJ38" s="151"/>
      <c r="CK38" s="867">
        <f>CK28/CK26</f>
        <v>0.44483863584344235</v>
      </c>
      <c r="CL38" s="151"/>
      <c r="CM38" s="151"/>
      <c r="CN38" s="151"/>
      <c r="CO38" s="818"/>
      <c r="CP38" s="151"/>
      <c r="CQ38" s="151"/>
      <c r="CR38" s="151"/>
      <c r="CS38" s="867">
        <f>CS28/CS26</f>
        <v>0.45052302164527253</v>
      </c>
      <c r="CT38" s="151"/>
      <c r="CU38" s="151"/>
      <c r="CV38" s="151"/>
      <c r="CW38" s="818"/>
      <c r="CX38" s="151"/>
      <c r="CY38" s="151"/>
      <c r="CZ38" s="151"/>
      <c r="DA38" s="867">
        <f>DA28/DA26</f>
        <v>0.45635456413266789</v>
      </c>
    </row>
    <row r="39" spans="1:105" ht="15" x14ac:dyDescent="0.25">
      <c r="A39" s="997"/>
      <c r="B39" s="892"/>
      <c r="C39" s="981"/>
      <c r="D39" s="981"/>
      <c r="E39" s="981"/>
      <c r="F39" s="981"/>
      <c r="G39" s="981"/>
      <c r="H39" s="981"/>
      <c r="I39" s="981"/>
      <c r="J39" s="981"/>
      <c r="K39" s="981"/>
      <c r="L39" s="981"/>
      <c r="M39" s="981"/>
      <c r="N39" s="981"/>
      <c r="O39" s="981"/>
      <c r="P39" s="981"/>
      <c r="Q39" s="981"/>
      <c r="R39" s="981"/>
      <c r="S39" s="981"/>
      <c r="T39" s="981"/>
      <c r="U39" s="981"/>
      <c r="V39" s="981"/>
      <c r="W39" s="981"/>
      <c r="X39" s="981"/>
      <c r="Y39" s="981"/>
      <c r="Z39" s="981"/>
      <c r="AA39" s="981"/>
      <c r="AB39" s="981"/>
      <c r="AC39" s="981"/>
      <c r="AD39" s="981"/>
      <c r="AE39" s="981"/>
      <c r="AF39" s="981"/>
      <c r="AG39" s="931"/>
      <c r="AH39" s="104"/>
      <c r="AI39" s="104"/>
      <c r="AJ39" s="104"/>
      <c r="AK39" s="104"/>
      <c r="AL39" s="104"/>
      <c r="AM39" s="104"/>
      <c r="AN39" s="104"/>
      <c r="AO39" s="105"/>
      <c r="AP39" s="104"/>
      <c r="AQ39" s="104"/>
      <c r="AR39" s="104"/>
      <c r="AS39" s="872"/>
      <c r="AT39" s="104"/>
      <c r="AU39" s="104"/>
      <c r="AV39" s="104"/>
      <c r="AW39" s="625"/>
      <c r="AX39" s="104"/>
      <c r="AY39" s="104"/>
      <c r="AZ39" s="104"/>
      <c r="BA39" s="872"/>
      <c r="BB39" s="104"/>
      <c r="BC39" s="104"/>
      <c r="BD39" s="104"/>
      <c r="BE39" s="625"/>
      <c r="BF39" s="104"/>
      <c r="BG39" s="104"/>
      <c r="BH39" s="104"/>
      <c r="BI39" s="872"/>
      <c r="BJ39" s="104"/>
      <c r="BK39" s="104"/>
      <c r="BL39" s="104"/>
      <c r="BM39" s="625"/>
      <c r="BN39" s="104"/>
      <c r="BO39" s="104"/>
      <c r="BP39" s="104"/>
      <c r="BQ39" s="872"/>
      <c r="BR39" s="104"/>
      <c r="BS39" s="104"/>
      <c r="BT39" s="104"/>
      <c r="BU39" s="625"/>
      <c r="BV39" s="104"/>
      <c r="BW39" s="104"/>
      <c r="BX39" s="104"/>
      <c r="BY39" s="872"/>
      <c r="BZ39" s="104"/>
      <c r="CA39" s="104"/>
      <c r="CB39" s="104"/>
      <c r="CC39" s="625"/>
      <c r="CD39" s="104"/>
      <c r="CE39" s="104"/>
      <c r="CF39" s="104"/>
      <c r="CG39" s="872"/>
      <c r="CH39" s="104"/>
      <c r="CI39" s="104"/>
      <c r="CJ39" s="104"/>
      <c r="CK39" s="625"/>
      <c r="CL39" s="104"/>
      <c r="CM39" s="104"/>
      <c r="CN39" s="104"/>
      <c r="CO39" s="872"/>
      <c r="CP39" s="104"/>
      <c r="CQ39" s="104"/>
      <c r="CR39" s="104"/>
      <c r="CS39" s="625"/>
      <c r="CT39" s="104"/>
      <c r="CU39" s="104"/>
      <c r="CV39" s="104"/>
      <c r="CW39" s="872"/>
      <c r="CX39" s="104"/>
      <c r="CY39" s="104"/>
      <c r="CZ39" s="104"/>
      <c r="DA39" s="625"/>
    </row>
    <row r="40" spans="1:105" x14ac:dyDescent="0.2">
      <c r="A40" s="454" t="s">
        <v>925</v>
      </c>
      <c r="B40" s="174"/>
      <c r="C40" s="174"/>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6"/>
      <c r="AP40" s="174"/>
      <c r="AQ40" s="174"/>
      <c r="AR40" s="174"/>
      <c r="AS40" s="175"/>
      <c r="AT40" s="174"/>
      <c r="AU40" s="174"/>
      <c r="AV40" s="174"/>
      <c r="AW40" s="987"/>
      <c r="AX40" s="174"/>
      <c r="AY40" s="174"/>
      <c r="AZ40" s="174"/>
      <c r="BA40" s="175"/>
      <c r="BB40" s="174"/>
      <c r="BC40" s="174"/>
      <c r="BD40" s="174"/>
      <c r="BE40" s="987"/>
      <c r="BF40" s="174"/>
      <c r="BG40" s="174"/>
      <c r="BH40" s="174"/>
      <c r="BI40" s="175"/>
      <c r="BJ40" s="174"/>
      <c r="BK40" s="174"/>
      <c r="BL40" s="174"/>
      <c r="BM40" s="987"/>
      <c r="BN40" s="174"/>
      <c r="BO40" s="174"/>
      <c r="BP40" s="174"/>
      <c r="BQ40" s="175"/>
      <c r="BR40" s="174"/>
      <c r="BS40" s="174"/>
      <c r="BT40" s="174"/>
      <c r="BU40" s="987"/>
      <c r="BV40" s="174"/>
      <c r="BW40" s="174"/>
      <c r="BX40" s="174"/>
      <c r="BY40" s="175"/>
      <c r="BZ40" s="174"/>
      <c r="CA40" s="174"/>
      <c r="CB40" s="174"/>
      <c r="CC40" s="987"/>
      <c r="CD40" s="174"/>
      <c r="CE40" s="174"/>
      <c r="CF40" s="174"/>
      <c r="CG40" s="175"/>
      <c r="CH40" s="174"/>
      <c r="CI40" s="174"/>
      <c r="CJ40" s="174"/>
      <c r="CK40" s="987"/>
      <c r="CL40" s="174"/>
      <c r="CM40" s="174"/>
      <c r="CN40" s="174"/>
      <c r="CO40" s="175"/>
      <c r="CP40" s="174"/>
      <c r="CQ40" s="174"/>
      <c r="CR40" s="174"/>
      <c r="CS40" s="987"/>
      <c r="CT40" s="174"/>
      <c r="CU40" s="174"/>
      <c r="CV40" s="174"/>
      <c r="CW40" s="175"/>
      <c r="CX40" s="174"/>
      <c r="CY40" s="174"/>
      <c r="CZ40" s="174"/>
      <c r="DA40" s="987"/>
    </row>
    <row r="41" spans="1:105" x14ac:dyDescent="0.2">
      <c r="A41" s="988" t="s">
        <v>926</v>
      </c>
      <c r="B41" s="989"/>
      <c r="C41" s="990"/>
      <c r="D41" s="990"/>
      <c r="E41" s="990"/>
      <c r="F41" s="990"/>
      <c r="G41" s="990"/>
      <c r="H41" s="990"/>
      <c r="I41" s="990"/>
      <c r="J41" s="990"/>
      <c r="K41" s="990"/>
      <c r="L41" s="990"/>
      <c r="M41" s="990"/>
      <c r="N41" s="990"/>
      <c r="O41" s="990"/>
      <c r="P41" s="990"/>
      <c r="Q41" s="990"/>
      <c r="R41" s="990"/>
      <c r="S41" s="990"/>
      <c r="T41" s="990"/>
      <c r="U41" s="990"/>
      <c r="V41" s="990"/>
      <c r="W41" s="990"/>
      <c r="X41" s="990"/>
      <c r="Y41" s="990"/>
      <c r="Z41" s="990"/>
      <c r="AA41" s="990"/>
      <c r="AB41" s="990"/>
      <c r="AC41" s="990"/>
      <c r="AD41" s="990"/>
      <c r="AE41" s="990"/>
      <c r="AF41" s="990"/>
      <c r="AG41" s="991">
        <f>+Propulsion!N125</f>
        <v>1711.4842969890128</v>
      </c>
      <c r="AH41" s="991">
        <f>+Propulsion!O125</f>
        <v>1867.690257203624</v>
      </c>
      <c r="AI41" s="991">
        <f>+Propulsion!P125</f>
        <v>1918.8609765667043</v>
      </c>
      <c r="AJ41" s="991">
        <f>+Propulsion!Q125</f>
        <v>2354.1973699568757</v>
      </c>
      <c r="AK41" s="991">
        <f>+Propulsion!S125</f>
        <v>2906.5192909541374</v>
      </c>
      <c r="AL41" s="991">
        <f>+Propulsion!U125</f>
        <v>3908.1392570846001</v>
      </c>
      <c r="AM41" s="991">
        <f>+Propulsion!V125</f>
        <v>1724.371360766567</v>
      </c>
      <c r="AN41" s="991">
        <f>+Propulsion!W125</f>
        <v>1739.3026772139235</v>
      </c>
      <c r="AO41" s="992">
        <f>+Propulsion!X125</f>
        <v>2072.1659425820794</v>
      </c>
      <c r="AP41" s="991"/>
      <c r="AQ41" s="991"/>
      <c r="AR41" s="991"/>
      <c r="AS41" s="1000"/>
      <c r="AT41" s="991">
        <f>+Propulsion!AC125</f>
        <v>1157.4287286338736</v>
      </c>
      <c r="AU41" s="991">
        <f>+Propulsion!AD125</f>
        <v>1615.3488333245564</v>
      </c>
      <c r="AV41" s="991"/>
      <c r="AW41" s="1414">
        <f>+Propulsion!AF125</f>
        <v>2772.7775619584299</v>
      </c>
      <c r="AX41" s="991"/>
      <c r="AY41" s="991"/>
      <c r="AZ41" s="991"/>
      <c r="BA41" s="1000"/>
      <c r="BB41" s="991">
        <f>+Propulsion!AK125</f>
        <v>1637.9822811774716</v>
      </c>
      <c r="BC41" s="991">
        <f>+Propulsion!AL125</f>
        <v>1539.5328811050395</v>
      </c>
      <c r="BD41" s="991"/>
      <c r="BE41" s="1414">
        <f>+Propulsion!AN125</f>
        <v>3177.515162282511</v>
      </c>
      <c r="BF41" s="991"/>
      <c r="BG41" s="991"/>
      <c r="BH41" s="991"/>
      <c r="BI41" s="1000"/>
      <c r="BJ41" s="991">
        <f>+Propulsion!AS125</f>
        <v>1871.9508071018463</v>
      </c>
      <c r="BK41" s="991">
        <f>+Propulsion!AT125</f>
        <v>2120.6621967581605</v>
      </c>
      <c r="BL41" s="991"/>
      <c r="BM41" s="1414">
        <f>+Propulsion!AV125</f>
        <v>3992.6130038600068</v>
      </c>
      <c r="BN41" s="991"/>
      <c r="BO41" s="991"/>
      <c r="BP41" s="991"/>
      <c r="BQ41" s="1000"/>
      <c r="BR41" s="991">
        <f>+Propulsion!BA125</f>
        <v>2434.0909929704981</v>
      </c>
      <c r="BS41" s="994">
        <f>BS44+BS46+BS48+BS50</f>
        <v>2767.2177212751085</v>
      </c>
      <c r="BT41" s="991"/>
      <c r="BU41" s="995">
        <f>BU44+BU46+BU48+BU50</f>
        <v>5201.308714245607</v>
      </c>
      <c r="BV41" s="991"/>
      <c r="BW41" s="991"/>
      <c r="BX41" s="991"/>
      <c r="BY41" s="1000"/>
      <c r="BZ41" s="994">
        <f>BZ44+BZ46+BZ48+BZ50</f>
        <v>2594.6329035566105</v>
      </c>
      <c r="CA41" s="994">
        <f>CA44+CA46+CA48+CA50</f>
        <v>3251.8210165796413</v>
      </c>
      <c r="CB41" s="991"/>
      <c r="CC41" s="995">
        <f>CC44+CC46+CC48+CC50</f>
        <v>5846.4539201362522</v>
      </c>
      <c r="CD41" s="991"/>
      <c r="CE41" s="991"/>
      <c r="CF41" s="991"/>
      <c r="CG41" s="1000"/>
      <c r="CH41" s="994">
        <f>CH44+CH46+CH48+CH50</f>
        <v>2892.087444299988</v>
      </c>
      <c r="CI41" s="994">
        <f>CI44+CI46+CI48+CI50</f>
        <v>3363.889644934899</v>
      </c>
      <c r="CJ41" s="991"/>
      <c r="CK41" s="995">
        <f>CK44+CK46+CK48+CK50</f>
        <v>6255.9770892348861</v>
      </c>
      <c r="CL41" s="991"/>
      <c r="CM41" s="991"/>
      <c r="CN41" s="991"/>
      <c r="CO41" s="1000"/>
      <c r="CP41" s="994">
        <f>CP44+CP46+CP48+CP50</f>
        <v>3224.4542222999494</v>
      </c>
      <c r="CQ41" s="994">
        <f>CQ44+CQ46+CQ48+CQ50</f>
        <v>3433.6976960235088</v>
      </c>
      <c r="CR41" s="991"/>
      <c r="CS41" s="995">
        <f>CS44+CS46+CS48+CS50</f>
        <v>6658.1519183234595</v>
      </c>
      <c r="CT41" s="991"/>
      <c r="CU41" s="991"/>
      <c r="CV41" s="991"/>
      <c r="CW41" s="1000"/>
      <c r="CX41" s="994">
        <f>CX44+CX46+CX48+CX50</f>
        <v>3408.6443545717366</v>
      </c>
      <c r="CY41" s="994">
        <f>CY44+CY46+CY48+CY50</f>
        <v>3786.9907732383408</v>
      </c>
      <c r="CZ41" s="991"/>
      <c r="DA41" s="995">
        <f>DA44+DA46+DA48+DA50</f>
        <v>7195.6351278100783</v>
      </c>
    </row>
    <row r="42" spans="1:105" x14ac:dyDescent="0.2">
      <c r="A42" s="996"/>
      <c r="B42" s="197" t="s">
        <v>927</v>
      </c>
      <c r="C42" s="981"/>
      <c r="D42" s="981"/>
      <c r="E42" s="981"/>
      <c r="F42" s="981"/>
      <c r="G42" s="981"/>
      <c r="H42" s="981"/>
      <c r="I42" s="981"/>
      <c r="J42" s="981"/>
      <c r="K42" s="981"/>
      <c r="L42" s="981"/>
      <c r="M42" s="981"/>
      <c r="N42" s="981"/>
      <c r="O42" s="981"/>
      <c r="P42" s="981"/>
      <c r="Q42" s="981"/>
      <c r="R42" s="981"/>
      <c r="S42" s="981"/>
      <c r="T42" s="981"/>
      <c r="U42" s="981"/>
      <c r="V42" s="981"/>
      <c r="W42" s="981"/>
      <c r="X42" s="981"/>
      <c r="Y42" s="981"/>
      <c r="Z42" s="981"/>
      <c r="AA42" s="981"/>
      <c r="AB42" s="981"/>
      <c r="AC42" s="981"/>
      <c r="AD42" s="981"/>
      <c r="AE42" s="981"/>
      <c r="AF42" s="981"/>
      <c r="AG42" s="104">
        <f t="shared" ref="AG42:AO42" si="60">AG41/AG5</f>
        <v>0.50096445655445976</v>
      </c>
      <c r="AH42" s="104">
        <f t="shared" si="60"/>
        <v>0.45978732369047953</v>
      </c>
      <c r="AI42" s="104">
        <f t="shared" si="60"/>
        <v>0.44189383834968887</v>
      </c>
      <c r="AJ42" s="104">
        <f t="shared" si="60"/>
        <v>0.48754254277699921</v>
      </c>
      <c r="AK42" s="104">
        <f t="shared" si="60"/>
        <v>0.53647563282152555</v>
      </c>
      <c r="AL42" s="104">
        <f t="shared" si="60"/>
        <v>0.65637061343137493</v>
      </c>
      <c r="AM42" s="104">
        <f t="shared" si="60"/>
        <v>0.50987247085469434</v>
      </c>
      <c r="AN42" s="104">
        <f t="shared" si="60"/>
        <v>0.48019369943566087</v>
      </c>
      <c r="AO42" s="105">
        <f t="shared" si="60"/>
        <v>0.44245315738740709</v>
      </c>
      <c r="AP42" s="104"/>
      <c r="AQ42" s="104"/>
      <c r="AR42" s="104"/>
      <c r="AS42" s="872"/>
      <c r="AT42" s="104">
        <f t="shared" ref="AT42:AU42" si="61">AT41/AT5</f>
        <v>0.45621865922715488</v>
      </c>
      <c r="AU42" s="104">
        <f t="shared" si="61"/>
        <v>0.43809911756040421</v>
      </c>
      <c r="AV42" s="104"/>
      <c r="AW42" s="625">
        <f t="shared" ref="AW42" si="62">AW41/AW5</f>
        <v>0.44548472479402984</v>
      </c>
      <c r="AX42" s="104"/>
      <c r="AY42" s="104"/>
      <c r="AZ42" s="104"/>
      <c r="BA42" s="872"/>
      <c r="BB42" s="104">
        <f t="shared" ref="BB42:BC42" si="63">BB41/BB5</f>
        <v>0.49323035421400035</v>
      </c>
      <c r="BC42" s="104">
        <f t="shared" si="63"/>
        <v>0.34572358469746262</v>
      </c>
      <c r="BD42" s="104"/>
      <c r="BE42" s="625">
        <f>BE41/BE5</f>
        <v>0.40873608363713154</v>
      </c>
      <c r="BF42" s="104"/>
      <c r="BG42" s="104"/>
      <c r="BH42" s="104"/>
      <c r="BI42" s="872"/>
      <c r="BJ42" s="104">
        <f t="shared" ref="BJ42:BK42" si="64">BJ41/BJ5</f>
        <v>0.46426953765670936</v>
      </c>
      <c r="BK42" s="104">
        <f t="shared" si="64"/>
        <v>0.38587084375417557</v>
      </c>
      <c r="BL42" s="104"/>
      <c r="BM42" s="625">
        <f>BM41/BM5</f>
        <v>0.41904803878429048</v>
      </c>
      <c r="BN42" s="104"/>
      <c r="BO42" s="104"/>
      <c r="BP42" s="104"/>
      <c r="BQ42" s="872"/>
      <c r="BR42" s="104"/>
      <c r="BS42" s="104"/>
      <c r="BT42" s="104"/>
      <c r="BU42" s="867">
        <f>BU41/BU5</f>
        <v>0.42943805360897758</v>
      </c>
      <c r="BV42" s="104"/>
      <c r="BW42" s="104"/>
      <c r="BX42" s="104"/>
      <c r="BY42" s="872"/>
      <c r="BZ42" s="104"/>
      <c r="CA42" s="104"/>
      <c r="CB42" s="104"/>
      <c r="CC42" s="867">
        <f>CC41/CC5</f>
        <v>0.42497217775754292</v>
      </c>
      <c r="CD42" s="104"/>
      <c r="CE42" s="104"/>
      <c r="CF42" s="104"/>
      <c r="CG42" s="872"/>
      <c r="CH42" s="104"/>
      <c r="CI42" s="104"/>
      <c r="CJ42" s="104"/>
      <c r="CK42" s="867">
        <f>CK41/CK5</f>
        <v>0.40931337754612762</v>
      </c>
      <c r="CL42" s="104"/>
      <c r="CM42" s="104"/>
      <c r="CN42" s="104"/>
      <c r="CO42" s="872"/>
      <c r="CP42" s="104"/>
      <c r="CQ42" s="104"/>
      <c r="CR42" s="104"/>
      <c r="CS42" s="867">
        <f>CS41/CS5</f>
        <v>0.40108488181199353</v>
      </c>
      <c r="CT42" s="104"/>
      <c r="CU42" s="104"/>
      <c r="CV42" s="104"/>
      <c r="CW42" s="872"/>
      <c r="CX42" s="104"/>
      <c r="CY42" s="104"/>
      <c r="CZ42" s="104"/>
      <c r="DA42" s="867">
        <f>DA41/DA5</f>
        <v>0.4084403797444604</v>
      </c>
    </row>
    <row r="43" spans="1:105" x14ac:dyDescent="0.2">
      <c r="A43" s="996"/>
      <c r="B43" s="197"/>
      <c r="C43" s="981"/>
      <c r="D43" s="981"/>
      <c r="E43" s="981"/>
      <c r="F43" s="981"/>
      <c r="G43" s="981"/>
      <c r="H43" s="981"/>
      <c r="I43" s="981"/>
      <c r="J43" s="981"/>
      <c r="K43" s="981"/>
      <c r="L43" s="981"/>
      <c r="M43" s="981"/>
      <c r="N43" s="981"/>
      <c r="O43" s="981"/>
      <c r="P43" s="981"/>
      <c r="Q43" s="981"/>
      <c r="R43" s="981"/>
      <c r="S43" s="981"/>
      <c r="T43" s="981"/>
      <c r="U43" s="981"/>
      <c r="V43" s="981"/>
      <c r="W43" s="981"/>
      <c r="X43" s="981"/>
      <c r="Y43" s="981"/>
      <c r="Z43" s="981"/>
      <c r="AA43" s="981"/>
      <c r="AB43" s="981"/>
      <c r="AC43" s="981"/>
      <c r="AD43" s="981"/>
      <c r="AE43" s="981"/>
      <c r="AF43" s="981"/>
      <c r="AG43" s="104"/>
      <c r="AH43" s="104"/>
      <c r="AI43" s="104"/>
      <c r="AJ43" s="104"/>
      <c r="AK43" s="104"/>
      <c r="AL43" s="104"/>
      <c r="AM43" s="104"/>
      <c r="AN43" s="104"/>
      <c r="AO43" s="105"/>
      <c r="AP43" s="104"/>
      <c r="AQ43" s="104"/>
      <c r="AR43" s="104"/>
      <c r="AS43" s="872"/>
      <c r="AT43" s="104"/>
      <c r="AU43" s="104"/>
      <c r="AV43" s="104"/>
      <c r="AW43" s="625"/>
      <c r="AX43" s="104"/>
      <c r="AY43" s="104"/>
      <c r="AZ43" s="104"/>
      <c r="BA43" s="872"/>
      <c r="BB43" s="104"/>
      <c r="BC43" s="104"/>
      <c r="BD43" s="104"/>
      <c r="BE43" s="625"/>
      <c r="BF43" s="104"/>
      <c r="BG43" s="104"/>
      <c r="BH43" s="104"/>
      <c r="BI43" s="872"/>
      <c r="BJ43" s="104"/>
      <c r="BK43" s="104"/>
      <c r="BL43" s="104"/>
      <c r="BM43" s="625"/>
      <c r="BN43" s="104"/>
      <c r="BO43" s="104"/>
      <c r="BP43" s="104"/>
      <c r="BQ43" s="872"/>
      <c r="BR43" s="104"/>
      <c r="BS43" s="104"/>
      <c r="BT43" s="104"/>
      <c r="BU43" s="625"/>
      <c r="BV43" s="104"/>
      <c r="BW43" s="104"/>
      <c r="BX43" s="104"/>
      <c r="BY43" s="872"/>
      <c r="BZ43" s="104"/>
      <c r="CA43" s="104"/>
      <c r="CB43" s="104"/>
      <c r="CC43" s="625"/>
      <c r="CD43" s="104"/>
      <c r="CE43" s="104"/>
      <c r="CF43" s="104"/>
      <c r="CG43" s="872"/>
      <c r="CH43" s="104"/>
      <c r="CI43" s="104"/>
      <c r="CJ43" s="104"/>
      <c r="CK43" s="625"/>
      <c r="CL43" s="104"/>
      <c r="CM43" s="104"/>
      <c r="CN43" s="104"/>
      <c r="CO43" s="872"/>
      <c r="CP43" s="104"/>
      <c r="CQ43" s="104"/>
      <c r="CR43" s="104"/>
      <c r="CS43" s="625"/>
      <c r="CT43" s="104"/>
      <c r="CU43" s="104"/>
      <c r="CV43" s="104"/>
      <c r="CW43" s="872"/>
      <c r="CX43" s="104"/>
      <c r="CY43" s="104"/>
      <c r="CZ43" s="104"/>
      <c r="DA43" s="625"/>
    </row>
    <row r="44" spans="1:105" x14ac:dyDescent="0.2">
      <c r="A44" s="997" t="s">
        <v>921</v>
      </c>
      <c r="C44" s="981"/>
      <c r="D44" s="981"/>
      <c r="E44" s="981"/>
      <c r="F44" s="981"/>
      <c r="G44" s="981"/>
      <c r="H44" s="981"/>
      <c r="I44" s="981"/>
      <c r="J44" s="981"/>
      <c r="K44" s="981"/>
      <c r="L44" s="981"/>
      <c r="M44" s="981"/>
      <c r="N44" s="981"/>
      <c r="O44" s="981"/>
      <c r="P44" s="981"/>
      <c r="Q44" s="981"/>
      <c r="R44" s="981"/>
      <c r="S44" s="981"/>
      <c r="T44" s="981"/>
      <c r="U44" s="981"/>
      <c r="V44" s="981"/>
      <c r="W44" s="981"/>
      <c r="X44" s="981"/>
      <c r="Y44" s="981"/>
      <c r="Z44" s="981"/>
      <c r="AA44" s="981"/>
      <c r="AB44" s="981"/>
      <c r="AC44" s="981"/>
      <c r="AD44" s="981"/>
      <c r="AE44" s="981"/>
      <c r="AF44" s="981"/>
      <c r="AG44" s="931">
        <f t="shared" ref="AG44:AM44" si="65">+AG41-AG46-AG48-AG50</f>
        <v>1399.0009304220096</v>
      </c>
      <c r="AH44" s="931">
        <f t="shared" si="65"/>
        <v>1420.0037559746359</v>
      </c>
      <c r="AI44" s="931">
        <f t="shared" si="65"/>
        <v>1486.6605258116977</v>
      </c>
      <c r="AJ44" s="931">
        <f t="shared" si="65"/>
        <v>1852.5396635010857</v>
      </c>
      <c r="AK44" s="931">
        <f t="shared" si="65"/>
        <v>2396.3926629551715</v>
      </c>
      <c r="AL44" s="931">
        <f t="shared" si="65"/>
        <v>3596.8474144189076</v>
      </c>
      <c r="AM44" s="931">
        <f t="shared" si="65"/>
        <v>1491.4861509722957</v>
      </c>
      <c r="AN44" s="931">
        <f>+AN41-AN46-AN48-AN50</f>
        <v>1518.0617279093658</v>
      </c>
      <c r="AO44" s="934">
        <f>+AO41-AO46-AO48-AO50</f>
        <v>1861.5445588441405</v>
      </c>
      <c r="AP44" s="926"/>
      <c r="AQ44" s="926"/>
      <c r="AR44" s="926"/>
      <c r="AS44" s="1001"/>
      <c r="AT44" s="926">
        <f>+AT41-AT46-AT48-AT50</f>
        <v>1034.2744564113555</v>
      </c>
      <c r="AU44" s="926">
        <f>AW44-AT44</f>
        <v>1495.2354073297552</v>
      </c>
      <c r="AV44" s="926"/>
      <c r="AW44" s="1032">
        <f>+AW41-AW46-AW48-AW50</f>
        <v>2529.5098637411106</v>
      </c>
      <c r="AX44" s="926"/>
      <c r="AY44" s="926"/>
      <c r="AZ44" s="926"/>
      <c r="BA44" s="1001"/>
      <c r="BB44" s="926">
        <f>+BB41-BB46-BB48-BB50</f>
        <v>1506.0840556271548</v>
      </c>
      <c r="BC44" s="926">
        <f>BE44-BB44</f>
        <v>1361.0823406546108</v>
      </c>
      <c r="BD44" s="926"/>
      <c r="BE44" s="1032">
        <f>+BE41-BE46-BE48-BE50</f>
        <v>2867.1663962817656</v>
      </c>
      <c r="BF44" s="926"/>
      <c r="BG44" s="926"/>
      <c r="BH44" s="926"/>
      <c r="BI44" s="1001"/>
      <c r="BJ44" s="926">
        <f>+BJ41-BJ46-BJ48-BJ50</f>
        <v>1657.681890774468</v>
      </c>
      <c r="BK44" s="926">
        <f>BM44-BJ44</f>
        <v>1847.9563032505878</v>
      </c>
      <c r="BL44" s="926"/>
      <c r="BM44" s="1032">
        <f>+BM41-BM46-BM48-BM50</f>
        <v>3505.6381940250558</v>
      </c>
      <c r="BN44" s="926"/>
      <c r="BO44" s="926"/>
      <c r="BP44" s="926"/>
      <c r="BQ44" s="1001"/>
      <c r="BR44" s="926">
        <f>+BR41-BR46-BR48-BR50</f>
        <v>1972.3894684679724</v>
      </c>
      <c r="BS44" s="936">
        <f>BU44-BR44</f>
        <v>2202.9158579942441</v>
      </c>
      <c r="BT44" s="926"/>
      <c r="BU44" s="937">
        <f>BU7*BU45</f>
        <v>4175.3053264622167</v>
      </c>
      <c r="BV44" s="926"/>
      <c r="BW44" s="926"/>
      <c r="BX44" s="926"/>
      <c r="BY44" s="1001"/>
      <c r="BZ44" s="936">
        <f>BZ7*BZ45</f>
        <v>1826.1320942632942</v>
      </c>
      <c r="CA44" s="936">
        <f>CC44-BZ44</f>
        <v>2600.8548009204483</v>
      </c>
      <c r="CB44" s="926"/>
      <c r="CC44" s="937">
        <f>CC7*CC45</f>
        <v>4426.9868951837425</v>
      </c>
      <c r="CD44" s="926"/>
      <c r="CE44" s="926"/>
      <c r="CF44" s="926"/>
      <c r="CG44" s="1001"/>
      <c r="CH44" s="936">
        <f>CH7*CH45</f>
        <v>1789.8081659278141</v>
      </c>
      <c r="CI44" s="936">
        <f>CK44-CH44</f>
        <v>2549.1207211699166</v>
      </c>
      <c r="CJ44" s="926"/>
      <c r="CK44" s="937">
        <f>CK7*CK45</f>
        <v>4338.9288870977307</v>
      </c>
      <c r="CL44" s="926"/>
      <c r="CM44" s="926"/>
      <c r="CN44" s="926"/>
      <c r="CO44" s="1001"/>
      <c r="CP44" s="936">
        <f>CP7*CP45</f>
        <v>1699.0731354071565</v>
      </c>
      <c r="CQ44" s="936">
        <f>CS44-CP44</f>
        <v>2248.2684923064389</v>
      </c>
      <c r="CR44" s="926"/>
      <c r="CS44" s="937">
        <f>CS7*CS45</f>
        <v>3947.3416277135957</v>
      </c>
      <c r="CT44" s="926"/>
      <c r="CU44" s="926"/>
      <c r="CV44" s="926"/>
      <c r="CW44" s="1001"/>
      <c r="CX44" s="936">
        <f>CX7*CX45</f>
        <v>1597.9025423576443</v>
      </c>
      <c r="CY44" s="936">
        <f>DA44-CX44</f>
        <v>1952.9919962148986</v>
      </c>
      <c r="CZ44" s="926"/>
      <c r="DA44" s="937">
        <f>DA7*DA45</f>
        <v>3550.8945385725428</v>
      </c>
    </row>
    <row r="45" spans="1:105" x14ac:dyDescent="0.2">
      <c r="A45" s="979"/>
      <c r="B45" s="998" t="s">
        <v>778</v>
      </c>
      <c r="C45" s="981"/>
      <c r="D45" s="981"/>
      <c r="E45" s="981"/>
      <c r="F45" s="981"/>
      <c r="G45" s="981"/>
      <c r="H45" s="981"/>
      <c r="I45" s="981"/>
      <c r="J45" s="981"/>
      <c r="K45" s="981"/>
      <c r="L45" s="981"/>
      <c r="M45" s="981"/>
      <c r="N45" s="981"/>
      <c r="O45" s="981"/>
      <c r="P45" s="981"/>
      <c r="Q45" s="981"/>
      <c r="R45" s="981"/>
      <c r="S45" s="981"/>
      <c r="T45" s="981"/>
      <c r="U45" s="981"/>
      <c r="V45" s="981"/>
      <c r="W45" s="981"/>
      <c r="X45" s="981"/>
      <c r="Y45" s="981"/>
      <c r="Z45" s="981"/>
      <c r="AA45" s="981"/>
      <c r="AB45" s="981"/>
      <c r="AC45" s="981"/>
      <c r="AD45" s="981"/>
      <c r="AE45" s="981"/>
      <c r="AF45" s="981"/>
      <c r="AG45" s="1002">
        <f t="shared" ref="AG45:AL45" si="66">+AG44/AG7</f>
        <v>0.50500571891415158</v>
      </c>
      <c r="AH45" s="1002">
        <f t="shared" si="66"/>
        <v>0.45910122063530828</v>
      </c>
      <c r="AI45" s="1002">
        <f>+AI44/AI7</f>
        <v>0.43395756240732203</v>
      </c>
      <c r="AJ45" s="1002">
        <f t="shared" si="66"/>
        <v>0.49542660543705053</v>
      </c>
      <c r="AK45" s="1002">
        <f t="shared" si="66"/>
        <v>0.57849137361723046</v>
      </c>
      <c r="AL45" s="1002">
        <f t="shared" si="66"/>
        <v>0.81395545047192686</v>
      </c>
      <c r="AM45" s="1002">
        <f>+AM44/AM7</f>
        <v>0.73320888547558039</v>
      </c>
      <c r="AN45" s="1002">
        <f>+AN44/AN7</f>
        <v>0.6615359916614999</v>
      </c>
      <c r="AO45" s="896">
        <f>+AO44/AO7</f>
        <v>0.55029301441450706</v>
      </c>
      <c r="AP45" s="895"/>
      <c r="AQ45" s="895"/>
      <c r="AR45" s="895"/>
      <c r="AS45" s="1003"/>
      <c r="AT45" s="895">
        <f>+AT44/AT7</f>
        <v>0.50716429826371567</v>
      </c>
      <c r="AU45" s="895">
        <f>+AU44/AU7</f>
        <v>0.59989089695327069</v>
      </c>
      <c r="AV45" s="895"/>
      <c r="AW45" s="1397">
        <f>+AW44/AW7</f>
        <v>0.55816392754297095</v>
      </c>
      <c r="AX45" s="895"/>
      <c r="AY45" s="895"/>
      <c r="AZ45" s="895"/>
      <c r="BA45" s="1003"/>
      <c r="BB45" s="895">
        <f>+BB44/BB7</f>
        <v>0.67371359328620517</v>
      </c>
      <c r="BC45" s="895">
        <f>+BC44/BC7</f>
        <v>0.4230993358182214</v>
      </c>
      <c r="BD45" s="895"/>
      <c r="BE45" s="1397">
        <f>+BE44/BE7</f>
        <v>0.52585118138009479</v>
      </c>
      <c r="BF45" s="895"/>
      <c r="BG45" s="895"/>
      <c r="BH45" s="895"/>
      <c r="BI45" s="1003"/>
      <c r="BJ45" s="895">
        <f>+BJ44/BJ7</f>
        <v>0.61731921407832391</v>
      </c>
      <c r="BK45" s="895">
        <f>+BK44/BK7</f>
        <v>0.5191512441208197</v>
      </c>
      <c r="BL45" s="895"/>
      <c r="BM45" s="1397">
        <f>+BM44/BM7</f>
        <v>0.56136347120254648</v>
      </c>
      <c r="BN45" s="895"/>
      <c r="BO45" s="895"/>
      <c r="BP45" s="895"/>
      <c r="BQ45" s="1003"/>
      <c r="BR45" s="895">
        <f>+BR44/BR7</f>
        <v>0.61616617570166288</v>
      </c>
      <c r="BS45" s="897">
        <f>+BS44/BS7</f>
        <v>0.58622881329117593</v>
      </c>
      <c r="BT45" s="895"/>
      <c r="BU45" s="898">
        <v>0.6</v>
      </c>
      <c r="BV45" s="897"/>
      <c r="BW45" s="897"/>
      <c r="BX45" s="897"/>
      <c r="BY45" s="1005"/>
      <c r="BZ45" s="897">
        <v>0.55000000000000004</v>
      </c>
      <c r="CA45" s="897">
        <f>+CA44/CA7</f>
        <v>0.64090909090909076</v>
      </c>
      <c r="CB45" s="897"/>
      <c r="CC45" s="898">
        <v>0.6</v>
      </c>
      <c r="CD45" s="897"/>
      <c r="CE45" s="897"/>
      <c r="CF45" s="897"/>
      <c r="CG45" s="1005"/>
      <c r="CH45" s="897">
        <v>0.55000000000000004</v>
      </c>
      <c r="CI45" s="897">
        <f>+CI44/CI7</f>
        <v>0.64090909090909076</v>
      </c>
      <c r="CJ45" s="897"/>
      <c r="CK45" s="898">
        <v>0.6</v>
      </c>
      <c r="CL45" s="897"/>
      <c r="CM45" s="897"/>
      <c r="CN45" s="897"/>
      <c r="CO45" s="1005"/>
      <c r="CP45" s="897">
        <v>0.55000000000000004</v>
      </c>
      <c r="CQ45" s="897">
        <f>+CQ44/CQ7</f>
        <v>0.59545454545454535</v>
      </c>
      <c r="CR45" s="897"/>
      <c r="CS45" s="898">
        <v>0.57499999999999996</v>
      </c>
      <c r="CT45" s="897"/>
      <c r="CU45" s="897"/>
      <c r="CV45" s="897"/>
      <c r="CW45" s="1005"/>
      <c r="CX45" s="897">
        <v>0.55000000000000004</v>
      </c>
      <c r="CY45" s="897">
        <f>+CY44/CY7</f>
        <v>0.55000000000000004</v>
      </c>
      <c r="CZ45" s="897"/>
      <c r="DA45" s="898">
        <v>0.55000000000000004</v>
      </c>
    </row>
    <row r="46" spans="1:105" x14ac:dyDescent="0.2">
      <c r="A46" s="997" t="s">
        <v>922</v>
      </c>
      <c r="B46" s="998"/>
      <c r="C46" s="981"/>
      <c r="D46" s="981"/>
      <c r="E46" s="981"/>
      <c r="F46" s="981"/>
      <c r="G46" s="981"/>
      <c r="H46" s="981"/>
      <c r="I46" s="981"/>
      <c r="J46" s="981"/>
      <c r="K46" s="981"/>
      <c r="L46" s="981"/>
      <c r="M46" s="981"/>
      <c r="N46" s="981"/>
      <c r="O46" s="981"/>
      <c r="P46" s="981"/>
      <c r="Q46" s="981"/>
      <c r="R46" s="981"/>
      <c r="S46" s="981"/>
      <c r="T46" s="981"/>
      <c r="U46" s="981"/>
      <c r="V46" s="981"/>
      <c r="W46" s="981"/>
      <c r="X46" s="981"/>
      <c r="Y46" s="981"/>
      <c r="Z46" s="981"/>
      <c r="AA46" s="981"/>
      <c r="AB46" s="981"/>
      <c r="AC46" s="981"/>
      <c r="AD46" s="981"/>
      <c r="AE46" s="981"/>
      <c r="AF46" s="981"/>
      <c r="AG46" s="926">
        <f t="shared" ref="AG46:AO46" si="67">AG47*AG9</f>
        <v>0</v>
      </c>
      <c r="AH46" s="926">
        <f t="shared" si="67"/>
        <v>0</v>
      </c>
      <c r="AI46" s="926">
        <f t="shared" si="67"/>
        <v>0</v>
      </c>
      <c r="AJ46" s="926">
        <f t="shared" si="67"/>
        <v>0</v>
      </c>
      <c r="AK46" s="926">
        <f t="shared" si="67"/>
        <v>0</v>
      </c>
      <c r="AL46" s="926">
        <f t="shared" si="67"/>
        <v>0</v>
      </c>
      <c r="AM46" s="926">
        <f t="shared" si="67"/>
        <v>0</v>
      </c>
      <c r="AN46" s="926">
        <f t="shared" si="67"/>
        <v>0</v>
      </c>
      <c r="AO46" s="934">
        <f t="shared" si="67"/>
        <v>0</v>
      </c>
      <c r="AP46" s="926"/>
      <c r="AQ46" s="926"/>
      <c r="AR46" s="926"/>
      <c r="AS46" s="1001"/>
      <c r="AT46" s="926">
        <f t="shared" ref="AT46" si="68">AT47*AT9</f>
        <v>0</v>
      </c>
      <c r="AU46" s="926">
        <f>AW46-AT46</f>
        <v>0</v>
      </c>
      <c r="AV46" s="926"/>
      <c r="AW46" s="1032">
        <f t="shared" ref="AW46" si="69">AW47*AW9</f>
        <v>0</v>
      </c>
      <c r="AX46" s="926"/>
      <c r="AY46" s="926"/>
      <c r="AZ46" s="926"/>
      <c r="BA46" s="1001"/>
      <c r="BB46" s="926">
        <f>BB47*BB9</f>
        <v>0</v>
      </c>
      <c r="BC46" s="926">
        <f>BE46-BB46</f>
        <v>0</v>
      </c>
      <c r="BD46" s="926"/>
      <c r="BE46" s="1032">
        <f>BE47*BE9</f>
        <v>0</v>
      </c>
      <c r="BF46" s="926"/>
      <c r="BG46" s="926"/>
      <c r="BH46" s="926"/>
      <c r="BI46" s="1001"/>
      <c r="BJ46" s="926">
        <f>BJ47*BJ9</f>
        <v>63.718729940416608</v>
      </c>
      <c r="BK46" s="926">
        <f>BM46-BJ46</f>
        <v>81.096565378712057</v>
      </c>
      <c r="BL46" s="926"/>
      <c r="BM46" s="1032">
        <f>BM47*BM9</f>
        <v>144.81529531912867</v>
      </c>
      <c r="BN46" s="926"/>
      <c r="BO46" s="926"/>
      <c r="BP46" s="926"/>
      <c r="BQ46" s="1001"/>
      <c r="BR46" s="926">
        <f>BR47*BR9</f>
        <v>291.94763536336347</v>
      </c>
      <c r="BS46" s="936">
        <f>BU46-BR46</f>
        <v>356.8248876663331</v>
      </c>
      <c r="BT46" s="926"/>
      <c r="BU46" s="937">
        <f>BU47*BU9</f>
        <v>648.77252302969657</v>
      </c>
      <c r="BV46" s="926"/>
      <c r="BW46" s="926"/>
      <c r="BX46" s="926"/>
      <c r="BY46" s="1001"/>
      <c r="BZ46" s="936">
        <f>BZ47*BZ9</f>
        <v>602.14199793693717</v>
      </c>
      <c r="CA46" s="936">
        <f>CC46-BZ46</f>
        <v>401.42799862462482</v>
      </c>
      <c r="CB46" s="926"/>
      <c r="CC46" s="937">
        <f>CC47*CC9</f>
        <v>1003.569996561562</v>
      </c>
      <c r="CD46" s="926"/>
      <c r="CE46" s="926"/>
      <c r="CF46" s="926"/>
      <c r="CG46" s="1001"/>
      <c r="CH46" s="936">
        <f>CH47*CH9</f>
        <v>918.86868885176602</v>
      </c>
      <c r="CI46" s="936">
        <f>CK46-CH46</f>
        <v>539.65303948437065</v>
      </c>
      <c r="CJ46" s="926"/>
      <c r="CK46" s="937">
        <f>CK47*CK9</f>
        <v>1458.5217283361367</v>
      </c>
      <c r="CL46" s="926"/>
      <c r="CM46" s="926"/>
      <c r="CN46" s="926"/>
      <c r="CO46" s="1001"/>
      <c r="CP46" s="936">
        <f>CP47*CP9</f>
        <v>1323.1709119465436</v>
      </c>
      <c r="CQ46" s="936">
        <f>CS46-CP46</f>
        <v>882.11394129769542</v>
      </c>
      <c r="CR46" s="926"/>
      <c r="CS46" s="937">
        <f>CS47*CS9</f>
        <v>2205.284853244239</v>
      </c>
      <c r="CT46" s="926"/>
      <c r="CU46" s="926"/>
      <c r="CV46" s="926"/>
      <c r="CW46" s="1001"/>
      <c r="CX46" s="936">
        <f>CX47*CX9</f>
        <v>1587.8050943358521</v>
      </c>
      <c r="CY46" s="936">
        <f>DA46-CX46</f>
        <v>1499.5937002060823</v>
      </c>
      <c r="CZ46" s="926"/>
      <c r="DA46" s="937">
        <f>DA47*DA9</f>
        <v>3087.3987945419344</v>
      </c>
    </row>
    <row r="47" spans="1:105" x14ac:dyDescent="0.2">
      <c r="A47" s="979"/>
      <c r="B47" s="998" t="s">
        <v>778</v>
      </c>
      <c r="C47" s="981"/>
      <c r="D47" s="981"/>
      <c r="E47" s="981"/>
      <c r="F47" s="981"/>
      <c r="G47" s="981"/>
      <c r="H47" s="981"/>
      <c r="I47" s="981"/>
      <c r="J47" s="981"/>
      <c r="K47" s="981"/>
      <c r="L47" s="981"/>
      <c r="M47" s="981"/>
      <c r="N47" s="981"/>
      <c r="O47" s="981"/>
      <c r="P47" s="981"/>
      <c r="Q47" s="981"/>
      <c r="R47" s="981"/>
      <c r="S47" s="981"/>
      <c r="T47" s="981"/>
      <c r="U47" s="981"/>
      <c r="V47" s="981"/>
      <c r="W47" s="981"/>
      <c r="X47" s="981"/>
      <c r="Y47" s="981"/>
      <c r="Z47" s="981"/>
      <c r="AA47" s="981"/>
      <c r="AB47" s="981"/>
      <c r="AC47" s="981"/>
      <c r="AD47" s="981"/>
      <c r="AE47" s="981"/>
      <c r="AF47" s="981"/>
      <c r="AG47" s="1002">
        <v>0</v>
      </c>
      <c r="AH47" s="1002">
        <v>0</v>
      </c>
      <c r="AI47" s="1002">
        <v>0</v>
      </c>
      <c r="AJ47" s="1002">
        <v>0</v>
      </c>
      <c r="AK47" s="1002">
        <v>0</v>
      </c>
      <c r="AL47" s="1002">
        <v>0</v>
      </c>
      <c r="AM47" s="1002">
        <v>0</v>
      </c>
      <c r="AN47" s="895">
        <v>0</v>
      </c>
      <c r="AO47" s="896">
        <v>0</v>
      </c>
      <c r="AP47" s="895"/>
      <c r="AQ47" s="895"/>
      <c r="AR47" s="895"/>
      <c r="AS47" s="1003"/>
      <c r="AT47" s="895">
        <v>0</v>
      </c>
      <c r="AU47" s="895">
        <f>AU46/AU9</f>
        <v>0</v>
      </c>
      <c r="AV47" s="895"/>
      <c r="AW47" s="1397">
        <v>0</v>
      </c>
      <c r="AX47" s="895"/>
      <c r="AY47" s="895"/>
      <c r="AZ47" s="895"/>
      <c r="BA47" s="1003"/>
      <c r="BB47" s="895">
        <v>0</v>
      </c>
      <c r="BC47" s="895">
        <f>BC46/BC9</f>
        <v>0</v>
      </c>
      <c r="BD47" s="895"/>
      <c r="BE47" s="1397">
        <v>0</v>
      </c>
      <c r="BF47" s="895"/>
      <c r="BG47" s="895"/>
      <c r="BH47" s="895"/>
      <c r="BI47" s="1003"/>
      <c r="BJ47" s="895">
        <v>0.1</v>
      </c>
      <c r="BK47" s="895">
        <f>BK46/BK9</f>
        <v>0.10000000000000002</v>
      </c>
      <c r="BL47" s="895"/>
      <c r="BM47" s="1397">
        <v>0.1</v>
      </c>
      <c r="BN47" s="895"/>
      <c r="BO47" s="895"/>
      <c r="BP47" s="895"/>
      <c r="BQ47" s="1003"/>
      <c r="BR47" s="895">
        <v>0.2</v>
      </c>
      <c r="BS47" s="897">
        <f>BS46/BS9</f>
        <v>0.2</v>
      </c>
      <c r="BT47" s="895"/>
      <c r="BU47" s="898">
        <v>0.2</v>
      </c>
      <c r="BV47" s="895"/>
      <c r="BW47" s="895"/>
      <c r="BX47" s="895"/>
      <c r="BY47" s="1003"/>
      <c r="BZ47" s="1004">
        <v>0.3</v>
      </c>
      <c r="CA47" s="897">
        <f>CA46/CA9</f>
        <v>0.16363636363636364</v>
      </c>
      <c r="CB47" s="895"/>
      <c r="CC47" s="898">
        <v>0.22500000000000001</v>
      </c>
      <c r="CD47" s="895"/>
      <c r="CE47" s="895"/>
      <c r="CF47" s="895"/>
      <c r="CG47" s="1003"/>
      <c r="CH47" s="1004">
        <v>0.35</v>
      </c>
      <c r="CI47" s="897">
        <f>CI46/CI9</f>
        <v>0.16818181818181821</v>
      </c>
      <c r="CJ47" s="895"/>
      <c r="CK47" s="898">
        <v>0.25</v>
      </c>
      <c r="CL47" s="895"/>
      <c r="CM47" s="895"/>
      <c r="CN47" s="895"/>
      <c r="CO47" s="1003"/>
      <c r="CP47" s="1004">
        <v>0.4</v>
      </c>
      <c r="CQ47" s="897">
        <f>CQ46/CQ9</f>
        <v>0.21818181818181814</v>
      </c>
      <c r="CR47" s="895"/>
      <c r="CS47" s="898">
        <v>0.3</v>
      </c>
      <c r="CT47" s="895"/>
      <c r="CU47" s="895"/>
      <c r="CV47" s="895"/>
      <c r="CW47" s="1003"/>
      <c r="CX47" s="1004">
        <v>0.4</v>
      </c>
      <c r="CY47" s="897">
        <f>CY46/CY9</f>
        <v>0.30909090909090903</v>
      </c>
      <c r="CZ47" s="895"/>
      <c r="DA47" s="898">
        <v>0.35</v>
      </c>
    </row>
    <row r="48" spans="1:105" x14ac:dyDescent="0.2">
      <c r="A48" s="997" t="s">
        <v>923</v>
      </c>
      <c r="B48" s="998"/>
      <c r="C48" s="981"/>
      <c r="D48" s="981"/>
      <c r="E48" s="981"/>
      <c r="F48" s="981"/>
      <c r="G48" s="981"/>
      <c r="H48" s="981"/>
      <c r="I48" s="981"/>
      <c r="J48" s="981"/>
      <c r="K48" s="981"/>
      <c r="L48" s="981"/>
      <c r="M48" s="981"/>
      <c r="N48" s="981"/>
      <c r="O48" s="981"/>
      <c r="P48" s="981"/>
      <c r="Q48" s="981"/>
      <c r="R48" s="981"/>
      <c r="S48" s="981"/>
      <c r="T48" s="981"/>
      <c r="U48" s="981"/>
      <c r="V48" s="981"/>
      <c r="W48" s="981"/>
      <c r="X48" s="981"/>
      <c r="Y48" s="981"/>
      <c r="Z48" s="981"/>
      <c r="AA48" s="981"/>
      <c r="AB48" s="981"/>
      <c r="AC48" s="981"/>
      <c r="AD48" s="981"/>
      <c r="AE48" s="981"/>
      <c r="AF48" s="981"/>
      <c r="AG48" s="926">
        <f t="shared" ref="AG48:AO48" si="70">AG49*AG11</f>
        <v>275</v>
      </c>
      <c r="AH48" s="926">
        <f t="shared" si="70"/>
        <v>300.3</v>
      </c>
      <c r="AI48" s="926">
        <f t="shared" si="70"/>
        <v>327.9276000000001</v>
      </c>
      <c r="AJ48" s="926">
        <f t="shared" si="70"/>
        <v>329.44918406400006</v>
      </c>
      <c r="AK48" s="926">
        <f t="shared" si="70"/>
        <v>285.06578998689804</v>
      </c>
      <c r="AL48" s="926">
        <f t="shared" si="70"/>
        <v>311.29184266569268</v>
      </c>
      <c r="AM48" s="926">
        <f t="shared" si="70"/>
        <v>232.88520979427128</v>
      </c>
      <c r="AN48" s="926">
        <f t="shared" si="70"/>
        <v>221.24094930455774</v>
      </c>
      <c r="AO48" s="934">
        <f t="shared" si="70"/>
        <v>210.62138373793897</v>
      </c>
      <c r="AP48" s="926"/>
      <c r="AQ48" s="926"/>
      <c r="AR48" s="926"/>
      <c r="AS48" s="1001"/>
      <c r="AT48" s="926">
        <f t="shared" ref="AT48" si="71">AT49*AT11</f>
        <v>123.15427222251802</v>
      </c>
      <c r="AU48" s="926">
        <f>AW48-AT48</f>
        <v>120.1134259948015</v>
      </c>
      <c r="AV48" s="926"/>
      <c r="AW48" s="1032">
        <f t="shared" ref="AW48" si="72">AW49*AW11</f>
        <v>243.26769821731952</v>
      </c>
      <c r="AX48" s="926"/>
      <c r="AY48" s="926"/>
      <c r="AZ48" s="926"/>
      <c r="BA48" s="1001"/>
      <c r="BB48" s="926">
        <f>BB49*BB11</f>
        <v>131.89822555031682</v>
      </c>
      <c r="BC48" s="926">
        <f>BE48-BB48</f>
        <v>178.45054045042863</v>
      </c>
      <c r="BD48" s="926"/>
      <c r="BE48" s="1032">
        <f>BE49*BE11</f>
        <v>310.34876600074546</v>
      </c>
      <c r="BF48" s="926"/>
      <c r="BG48" s="926"/>
      <c r="BH48" s="926"/>
      <c r="BI48" s="1001"/>
      <c r="BJ48" s="926">
        <f>BJ49*BJ11</f>
        <v>150.55018638696166</v>
      </c>
      <c r="BK48" s="926">
        <f>BM48-BJ48</f>
        <v>191.60932812886026</v>
      </c>
      <c r="BL48" s="926"/>
      <c r="BM48" s="1032">
        <f>BM49*BM11</f>
        <v>342.15951451582191</v>
      </c>
      <c r="BN48" s="926"/>
      <c r="BO48" s="926"/>
      <c r="BP48" s="926"/>
      <c r="BQ48" s="1001"/>
      <c r="BR48" s="926">
        <f>BR49*BR11</f>
        <v>169.75388913916217</v>
      </c>
      <c r="BS48" s="936">
        <f>BU48-BR48</f>
        <v>207.47697561453154</v>
      </c>
      <c r="BT48" s="926"/>
      <c r="BU48" s="937">
        <f>BU49*BU11</f>
        <v>377.23086475369371</v>
      </c>
      <c r="BV48" s="926"/>
      <c r="BW48" s="926"/>
      <c r="BX48" s="926"/>
      <c r="BY48" s="1001"/>
      <c r="BZ48" s="936">
        <f>BZ49*BZ11</f>
        <v>166.35881135637896</v>
      </c>
      <c r="CA48" s="936">
        <f>CC48-BZ48</f>
        <v>249.53821703456845</v>
      </c>
      <c r="CB48" s="926"/>
      <c r="CC48" s="937">
        <f>CC49*CC11</f>
        <v>415.89702839094741</v>
      </c>
      <c r="CD48" s="926"/>
      <c r="CE48" s="926"/>
      <c r="CF48" s="926"/>
      <c r="CG48" s="1001"/>
      <c r="CH48" s="936">
        <f>CH49*CH11</f>
        <v>183.4105895204078</v>
      </c>
      <c r="CI48" s="936">
        <f>CK48-CH48</f>
        <v>275.11588428061168</v>
      </c>
      <c r="CJ48" s="926"/>
      <c r="CK48" s="937">
        <f>CK49*CK11</f>
        <v>458.52647380101945</v>
      </c>
      <c r="CL48" s="926"/>
      <c r="CM48" s="926"/>
      <c r="CN48" s="926"/>
      <c r="CO48" s="1001"/>
      <c r="CP48" s="936">
        <f>CP49*CP11</f>
        <v>202.21017494624959</v>
      </c>
      <c r="CQ48" s="936">
        <f>CS48-CP48</f>
        <v>303.31526241937439</v>
      </c>
      <c r="CR48" s="926"/>
      <c r="CS48" s="937">
        <f>CS49*CS11</f>
        <v>505.52543736562399</v>
      </c>
      <c r="CT48" s="926"/>
      <c r="CU48" s="926"/>
      <c r="CV48" s="926"/>
      <c r="CW48" s="1001"/>
      <c r="CX48" s="936">
        <f>CX49*CX11</f>
        <v>222.93671787824024</v>
      </c>
      <c r="CY48" s="936">
        <f>DA48-CX48</f>
        <v>334.40507681736034</v>
      </c>
      <c r="CZ48" s="926"/>
      <c r="DA48" s="937">
        <f>DA49*DA11</f>
        <v>557.34179469560058</v>
      </c>
    </row>
    <row r="49" spans="1:105" x14ac:dyDescent="0.2">
      <c r="A49" s="979"/>
      <c r="B49" s="998" t="s">
        <v>778</v>
      </c>
      <c r="C49" s="981"/>
      <c r="D49" s="981"/>
      <c r="E49" s="981"/>
      <c r="F49" s="981"/>
      <c r="G49" s="981"/>
      <c r="H49" s="981"/>
      <c r="I49" s="981"/>
      <c r="J49" s="981"/>
      <c r="K49" s="981"/>
      <c r="L49" s="981"/>
      <c r="M49" s="981"/>
      <c r="N49" s="981"/>
      <c r="O49" s="981"/>
      <c r="P49" s="981"/>
      <c r="Q49" s="981"/>
      <c r="R49" s="981"/>
      <c r="S49" s="981"/>
      <c r="T49" s="981"/>
      <c r="U49" s="981"/>
      <c r="V49" s="981"/>
      <c r="W49" s="981"/>
      <c r="X49" s="981"/>
      <c r="Y49" s="981"/>
      <c r="Z49" s="981"/>
      <c r="AA49" s="981"/>
      <c r="AB49" s="981"/>
      <c r="AC49" s="981"/>
      <c r="AD49" s="981"/>
      <c r="AE49" s="981"/>
      <c r="AF49" s="981"/>
      <c r="AG49" s="1002">
        <v>0.5</v>
      </c>
      <c r="AH49" s="1002">
        <v>0.5</v>
      </c>
      <c r="AI49" s="1002">
        <v>0.5</v>
      </c>
      <c r="AJ49" s="1002">
        <v>0.5</v>
      </c>
      <c r="AK49" s="1002">
        <v>0.4</v>
      </c>
      <c r="AL49" s="1002">
        <v>0.4</v>
      </c>
      <c r="AM49" s="895">
        <v>0.45</v>
      </c>
      <c r="AN49" s="895">
        <f>+AM49</f>
        <v>0.45</v>
      </c>
      <c r="AO49" s="896">
        <v>0.4</v>
      </c>
      <c r="AP49" s="895"/>
      <c r="AQ49" s="895"/>
      <c r="AR49" s="895"/>
      <c r="AS49" s="1003"/>
      <c r="AT49" s="895">
        <v>0.45</v>
      </c>
      <c r="AU49" s="895">
        <f>AU48/AU11</f>
        <v>0.35909090909090913</v>
      </c>
      <c r="AV49" s="895"/>
      <c r="AW49" s="1397">
        <v>0.4</v>
      </c>
      <c r="AX49" s="895"/>
      <c r="AY49" s="895"/>
      <c r="AZ49" s="895"/>
      <c r="BA49" s="1003"/>
      <c r="BB49" s="895">
        <v>0.45</v>
      </c>
      <c r="BC49" s="895">
        <f>BC48/BC11</f>
        <v>0.45</v>
      </c>
      <c r="BD49" s="895"/>
      <c r="BE49" s="1397">
        <v>0.45</v>
      </c>
      <c r="BF49" s="895"/>
      <c r="BG49" s="895"/>
      <c r="BH49" s="895"/>
      <c r="BI49" s="1003"/>
      <c r="BJ49" s="895">
        <v>0.45</v>
      </c>
      <c r="BK49" s="895">
        <f>BK48/BK11</f>
        <v>0.44999999999999996</v>
      </c>
      <c r="BL49" s="895"/>
      <c r="BM49" s="1397">
        <v>0.45</v>
      </c>
      <c r="BN49" s="895"/>
      <c r="BO49" s="895"/>
      <c r="BP49" s="895"/>
      <c r="BQ49" s="1003"/>
      <c r="BR49" s="895">
        <v>0.45</v>
      </c>
      <c r="BS49" s="897">
        <f>BS48/BS11</f>
        <v>0.45</v>
      </c>
      <c r="BT49" s="895"/>
      <c r="BU49" s="898">
        <v>0.45</v>
      </c>
      <c r="BV49" s="895"/>
      <c r="BW49" s="895"/>
      <c r="BX49" s="895"/>
      <c r="BY49" s="1003"/>
      <c r="BZ49" s="1004">
        <v>0.4</v>
      </c>
      <c r="CA49" s="897">
        <f>CA48/CA11</f>
        <v>0.49090909090909096</v>
      </c>
      <c r="CB49" s="895"/>
      <c r="CC49" s="999">
        <f>+BU49</f>
        <v>0.45</v>
      </c>
      <c r="CD49" s="895"/>
      <c r="CE49" s="895"/>
      <c r="CF49" s="895"/>
      <c r="CG49" s="1003"/>
      <c r="CH49" s="1004">
        <v>0.4</v>
      </c>
      <c r="CI49" s="897">
        <f>CI48/CI11</f>
        <v>0.49090909090909102</v>
      </c>
      <c r="CJ49" s="895"/>
      <c r="CK49" s="999">
        <f>+CC49</f>
        <v>0.45</v>
      </c>
      <c r="CL49" s="895"/>
      <c r="CM49" s="895"/>
      <c r="CN49" s="895"/>
      <c r="CO49" s="1003"/>
      <c r="CP49" s="1004">
        <v>0.4</v>
      </c>
      <c r="CQ49" s="897">
        <f>CQ48/CQ11</f>
        <v>0.49090909090909085</v>
      </c>
      <c r="CR49" s="895"/>
      <c r="CS49" s="999">
        <f>+CK49</f>
        <v>0.45</v>
      </c>
      <c r="CT49" s="895"/>
      <c r="CU49" s="895"/>
      <c r="CV49" s="895"/>
      <c r="CW49" s="1003"/>
      <c r="CX49" s="1004">
        <v>0.4</v>
      </c>
      <c r="CY49" s="897">
        <f>CY48/CY11</f>
        <v>0.49090909090909085</v>
      </c>
      <c r="CZ49" s="895"/>
      <c r="DA49" s="999">
        <f>+CS49</f>
        <v>0.45</v>
      </c>
    </row>
    <row r="50" spans="1:105" x14ac:dyDescent="0.2">
      <c r="A50" s="997" t="s">
        <v>928</v>
      </c>
      <c r="B50" s="980"/>
      <c r="C50" s="981"/>
      <c r="D50" s="981"/>
      <c r="E50" s="981"/>
      <c r="F50" s="981"/>
      <c r="G50" s="981"/>
      <c r="H50" s="981"/>
      <c r="I50" s="981"/>
      <c r="J50" s="981"/>
      <c r="K50" s="981"/>
      <c r="L50" s="981"/>
      <c r="M50" s="981"/>
      <c r="N50" s="981"/>
      <c r="O50" s="981"/>
      <c r="P50" s="981"/>
      <c r="Q50" s="981"/>
      <c r="R50" s="981"/>
      <c r="S50" s="981"/>
      <c r="T50" s="981"/>
      <c r="U50" s="981"/>
      <c r="V50" s="981"/>
      <c r="W50" s="981"/>
      <c r="X50" s="981"/>
      <c r="Y50" s="981"/>
      <c r="Z50" s="981"/>
      <c r="AA50" s="981"/>
      <c r="AB50" s="981"/>
      <c r="AC50" s="981"/>
      <c r="AD50" s="981"/>
      <c r="AE50" s="981"/>
      <c r="AF50" s="981"/>
      <c r="AG50" s="926">
        <f t="shared" ref="AG50:AO50" si="73">AG51*AG13</f>
        <v>37.483366567003273</v>
      </c>
      <c r="AH50" s="926">
        <f t="shared" si="73"/>
        <v>147.38650122898818</v>
      </c>
      <c r="AI50" s="926">
        <f t="shared" si="73"/>
        <v>104.27285075500659</v>
      </c>
      <c r="AJ50" s="926">
        <f t="shared" si="73"/>
        <v>172.20852239179004</v>
      </c>
      <c r="AK50" s="926">
        <f t="shared" si="73"/>
        <v>225.06083801206807</v>
      </c>
      <c r="AL50" s="926">
        <f t="shared" si="73"/>
        <v>0</v>
      </c>
      <c r="AM50" s="926">
        <f t="shared" si="73"/>
        <v>0</v>
      </c>
      <c r="AN50" s="926">
        <f t="shared" si="73"/>
        <v>0</v>
      </c>
      <c r="AO50" s="934">
        <f t="shared" si="73"/>
        <v>0</v>
      </c>
      <c r="AP50" s="926"/>
      <c r="AQ50" s="926"/>
      <c r="AR50" s="926"/>
      <c r="AS50" s="1001"/>
      <c r="AT50" s="926">
        <f t="shared" ref="AT50" si="74">AT51*AT13</f>
        <v>0</v>
      </c>
      <c r="AU50" s="926">
        <f>AW50-AT50</f>
        <v>0</v>
      </c>
      <c r="AV50" s="926"/>
      <c r="AW50" s="1032">
        <f t="shared" ref="AW50" si="75">AW51*AW13</f>
        <v>0</v>
      </c>
      <c r="AX50" s="926"/>
      <c r="AY50" s="926"/>
      <c r="AZ50" s="926"/>
      <c r="BA50" s="1001"/>
      <c r="BB50" s="926">
        <f>BB51*BB13</f>
        <v>0</v>
      </c>
      <c r="BC50" s="926">
        <f>BE50-BB50</f>
        <v>0</v>
      </c>
      <c r="BD50" s="926"/>
      <c r="BE50" s="1032">
        <f>BE51*BE13</f>
        <v>0</v>
      </c>
      <c r="BF50" s="926"/>
      <c r="BG50" s="926"/>
      <c r="BH50" s="926"/>
      <c r="BI50" s="1001"/>
      <c r="BJ50" s="926">
        <f>BJ51*BJ13</f>
        <v>0</v>
      </c>
      <c r="BK50" s="926">
        <f>BM50-BJ50</f>
        <v>0</v>
      </c>
      <c r="BL50" s="926"/>
      <c r="BM50" s="1032">
        <f>BM51*BM13</f>
        <v>0</v>
      </c>
      <c r="BN50" s="926"/>
      <c r="BO50" s="926"/>
      <c r="BP50" s="926"/>
      <c r="BQ50" s="1001"/>
      <c r="BR50" s="926">
        <f>BR51*BR13</f>
        <v>0</v>
      </c>
      <c r="BS50" s="936">
        <f>BU50-BR50</f>
        <v>0</v>
      </c>
      <c r="BT50" s="926"/>
      <c r="BU50" s="937">
        <f>BU51*BU13</f>
        <v>0</v>
      </c>
      <c r="BV50" s="926"/>
      <c r="BW50" s="926"/>
      <c r="BX50" s="926"/>
      <c r="BY50" s="1001"/>
      <c r="BZ50" s="936">
        <f>BZ51*BZ13</f>
        <v>0</v>
      </c>
      <c r="CA50" s="936">
        <f>CC50-BZ50</f>
        <v>0</v>
      </c>
      <c r="CB50" s="926"/>
      <c r="CC50" s="937">
        <f>CC51*CC13</f>
        <v>0</v>
      </c>
      <c r="CD50" s="926"/>
      <c r="CE50" s="926"/>
      <c r="CF50" s="926"/>
      <c r="CG50" s="1001"/>
      <c r="CH50" s="936">
        <f>CH51*CH13</f>
        <v>0</v>
      </c>
      <c r="CI50" s="936">
        <f>CK50-CH50</f>
        <v>0</v>
      </c>
      <c r="CJ50" s="926"/>
      <c r="CK50" s="937">
        <f>CK51*CK13</f>
        <v>0</v>
      </c>
      <c r="CL50" s="926"/>
      <c r="CM50" s="926"/>
      <c r="CN50" s="926"/>
      <c r="CO50" s="1001"/>
      <c r="CP50" s="936">
        <f>CP51*CP13</f>
        <v>0</v>
      </c>
      <c r="CQ50" s="936">
        <f>CS50-CP50</f>
        <v>0</v>
      </c>
      <c r="CR50" s="926"/>
      <c r="CS50" s="937">
        <f>CS51*CS13</f>
        <v>0</v>
      </c>
      <c r="CT50" s="926"/>
      <c r="CU50" s="926"/>
      <c r="CV50" s="926"/>
      <c r="CW50" s="1001"/>
      <c r="CX50" s="936">
        <f>CX51*CX13</f>
        <v>0</v>
      </c>
      <c r="CY50" s="936">
        <f>DA50-CX50</f>
        <v>0</v>
      </c>
      <c r="CZ50" s="926"/>
      <c r="DA50" s="937">
        <f>DA51*DA13</f>
        <v>0</v>
      </c>
    </row>
    <row r="51" spans="1:105" x14ac:dyDescent="0.2">
      <c r="A51" s="997"/>
      <c r="B51" s="998" t="s">
        <v>778</v>
      </c>
      <c r="C51" s="981"/>
      <c r="D51" s="981"/>
      <c r="E51" s="981"/>
      <c r="F51" s="981"/>
      <c r="G51" s="981"/>
      <c r="H51" s="981"/>
      <c r="I51" s="981"/>
      <c r="J51" s="981"/>
      <c r="K51" s="981"/>
      <c r="L51" s="981"/>
      <c r="M51" s="981"/>
      <c r="N51" s="981"/>
      <c r="O51" s="981"/>
      <c r="P51" s="981"/>
      <c r="Q51" s="981"/>
      <c r="R51" s="981"/>
      <c r="S51" s="981"/>
      <c r="T51" s="981"/>
      <c r="U51" s="981"/>
      <c r="V51" s="981"/>
      <c r="W51" s="981"/>
      <c r="X51" s="981"/>
      <c r="Y51" s="981"/>
      <c r="Z51" s="981"/>
      <c r="AA51" s="981"/>
      <c r="AB51" s="981"/>
      <c r="AC51" s="981"/>
      <c r="AD51" s="981"/>
      <c r="AE51" s="981"/>
      <c r="AF51" s="981"/>
      <c r="AG51" s="1002">
        <v>0.39</v>
      </c>
      <c r="AH51" s="1002">
        <v>0.4</v>
      </c>
      <c r="AI51" s="1002">
        <f>AH51</f>
        <v>0.4</v>
      </c>
      <c r="AJ51" s="1002">
        <v>0.4</v>
      </c>
      <c r="AK51" s="1002">
        <f>+AJ51</f>
        <v>0.4</v>
      </c>
      <c r="AL51" s="1002">
        <v>0</v>
      </c>
      <c r="AM51" s="895">
        <f>+AL51</f>
        <v>0</v>
      </c>
      <c r="AN51" s="895">
        <f>+AM51</f>
        <v>0</v>
      </c>
      <c r="AO51" s="896">
        <v>0</v>
      </c>
      <c r="AP51" s="895"/>
      <c r="AQ51" s="895"/>
      <c r="AR51" s="895"/>
      <c r="AS51" s="1003"/>
      <c r="AT51" s="895">
        <v>0</v>
      </c>
      <c r="AU51" s="895">
        <f>AU50/AU13</f>
        <v>0</v>
      </c>
      <c r="AV51" s="895"/>
      <c r="AW51" s="1397">
        <v>0</v>
      </c>
      <c r="AX51" s="895"/>
      <c r="AY51" s="895"/>
      <c r="AZ51" s="895"/>
      <c r="BA51" s="1003"/>
      <c r="BB51" s="895">
        <v>0</v>
      </c>
      <c r="BC51" s="895">
        <f>BC50/BC13</f>
        <v>0</v>
      </c>
      <c r="BD51" s="895"/>
      <c r="BE51" s="1397">
        <v>0</v>
      </c>
      <c r="BF51" s="895"/>
      <c r="BG51" s="895"/>
      <c r="BH51" s="895"/>
      <c r="BI51" s="1003"/>
      <c r="BJ51" s="895">
        <v>0</v>
      </c>
      <c r="BK51" s="895">
        <f>BK50/BK13</f>
        <v>0</v>
      </c>
      <c r="BL51" s="895"/>
      <c r="BM51" s="1397">
        <v>0</v>
      </c>
      <c r="BN51" s="895"/>
      <c r="BO51" s="895"/>
      <c r="BP51" s="895"/>
      <c r="BQ51" s="1003"/>
      <c r="BR51" s="895">
        <v>0</v>
      </c>
      <c r="BS51" s="897">
        <f>BS50/BS13</f>
        <v>0</v>
      </c>
      <c r="BT51" s="895"/>
      <c r="BU51" s="999">
        <f>+BM51</f>
        <v>0</v>
      </c>
      <c r="BV51" s="895"/>
      <c r="BW51" s="895"/>
      <c r="BX51" s="895"/>
      <c r="BY51" s="1003"/>
      <c r="BZ51" s="1004">
        <v>0</v>
      </c>
      <c r="CA51" s="897">
        <f>CA50/CA13</f>
        <v>0</v>
      </c>
      <c r="CB51" s="895"/>
      <c r="CC51" s="999">
        <f>+BU51</f>
        <v>0</v>
      </c>
      <c r="CD51" s="895"/>
      <c r="CE51" s="895"/>
      <c r="CF51" s="895"/>
      <c r="CG51" s="1003"/>
      <c r="CH51" s="1004">
        <v>0</v>
      </c>
      <c r="CI51" s="897">
        <f>CI50/CI13</f>
        <v>0</v>
      </c>
      <c r="CJ51" s="895"/>
      <c r="CK51" s="999">
        <f>+CC51</f>
        <v>0</v>
      </c>
      <c r="CL51" s="895"/>
      <c r="CM51" s="895"/>
      <c r="CN51" s="895"/>
      <c r="CO51" s="1003"/>
      <c r="CP51" s="1004">
        <v>0</v>
      </c>
      <c r="CQ51" s="897">
        <f>CQ50/CQ13</f>
        <v>0</v>
      </c>
      <c r="CR51" s="895"/>
      <c r="CS51" s="999">
        <f>+CK51</f>
        <v>0</v>
      </c>
      <c r="CT51" s="895"/>
      <c r="CU51" s="895"/>
      <c r="CV51" s="895"/>
      <c r="CW51" s="1003"/>
      <c r="CX51" s="1004">
        <v>0</v>
      </c>
      <c r="CY51" s="897">
        <f>CY50/CY13</f>
        <v>0</v>
      </c>
      <c r="CZ51" s="895"/>
      <c r="DA51" s="999">
        <f>+CS51</f>
        <v>0</v>
      </c>
    </row>
    <row r="52" spans="1:105" x14ac:dyDescent="0.2">
      <c r="A52" s="979"/>
      <c r="B52" s="980"/>
      <c r="C52" s="981"/>
      <c r="D52" s="981"/>
      <c r="E52" s="981"/>
      <c r="F52" s="981"/>
      <c r="G52" s="981"/>
      <c r="H52" s="981"/>
      <c r="I52" s="981"/>
      <c r="J52" s="981"/>
      <c r="K52" s="981"/>
      <c r="L52" s="981"/>
      <c r="M52" s="981"/>
      <c r="N52" s="981"/>
      <c r="O52" s="981"/>
      <c r="P52" s="981"/>
      <c r="Q52" s="981"/>
      <c r="R52" s="981"/>
      <c r="S52" s="981"/>
      <c r="T52" s="981"/>
      <c r="U52" s="981"/>
      <c r="V52" s="981"/>
      <c r="W52" s="981"/>
      <c r="X52" s="981"/>
      <c r="Y52" s="981"/>
      <c r="Z52" s="981"/>
      <c r="AA52" s="981"/>
      <c r="AB52" s="981"/>
      <c r="AC52" s="981"/>
      <c r="AD52" s="981"/>
      <c r="AE52" s="981"/>
      <c r="AF52" s="981"/>
      <c r="AG52" s="1006"/>
      <c r="AH52" s="1007"/>
      <c r="AI52" s="1007"/>
      <c r="AJ52" s="1007"/>
      <c r="AK52" s="1007"/>
      <c r="AL52" s="1007"/>
      <c r="AM52" s="1007"/>
      <c r="AN52" s="1007"/>
      <c r="AO52" s="1008"/>
      <c r="AP52" s="1007"/>
      <c r="AQ52" s="1007"/>
      <c r="AR52" s="1007"/>
      <c r="AS52" s="1009"/>
      <c r="AT52" s="1007"/>
      <c r="AU52" s="1007"/>
      <c r="AV52" s="1007"/>
      <c r="AW52" s="1010"/>
      <c r="AX52" s="1007"/>
      <c r="AY52" s="1007"/>
      <c r="AZ52" s="1007"/>
      <c r="BA52" s="1009"/>
      <c r="BB52" s="1007"/>
      <c r="BC52" s="1007"/>
      <c r="BD52" s="1007"/>
      <c r="BE52" s="1620"/>
      <c r="BF52" s="1007"/>
      <c r="BG52" s="1007"/>
      <c r="BH52" s="1007"/>
      <c r="BI52" s="1009"/>
      <c r="BJ52" s="1007"/>
      <c r="BK52" s="1007"/>
      <c r="BL52" s="1007"/>
      <c r="BM52" s="1620"/>
      <c r="BN52" s="1007"/>
      <c r="BO52" s="1007"/>
      <c r="BP52" s="1007"/>
      <c r="BQ52" s="1009"/>
      <c r="BR52" s="1007"/>
      <c r="BS52" s="1007"/>
      <c r="BT52" s="1007"/>
      <c r="BU52" s="1010"/>
      <c r="BV52" s="1007"/>
      <c r="BW52" s="1007"/>
      <c r="BX52" s="1007"/>
      <c r="BY52" s="1009"/>
      <c r="BZ52" s="1007"/>
      <c r="CA52" s="1007"/>
      <c r="CB52" s="1007"/>
      <c r="CC52" s="1010"/>
      <c r="CD52" s="1007"/>
      <c r="CE52" s="1007"/>
      <c r="CF52" s="1007"/>
      <c r="CG52" s="1009"/>
      <c r="CH52" s="1007"/>
      <c r="CI52" s="1007"/>
      <c r="CJ52" s="1007"/>
      <c r="CK52" s="1010"/>
      <c r="CL52" s="1007"/>
      <c r="CM52" s="1007"/>
      <c r="CN52" s="1007"/>
      <c r="CO52" s="1009"/>
      <c r="CP52" s="1007"/>
      <c r="CQ52" s="1007"/>
      <c r="CR52" s="1007"/>
      <c r="CS52" s="1010"/>
      <c r="CT52" s="1007"/>
      <c r="CU52" s="1007"/>
      <c r="CV52" s="1007"/>
      <c r="CW52" s="1009"/>
      <c r="CX52" s="1007"/>
      <c r="CY52" s="1007"/>
      <c r="CZ52" s="1007"/>
      <c r="DA52" s="1010"/>
    </row>
    <row r="53" spans="1:105" x14ac:dyDescent="0.2">
      <c r="A53" s="997" t="s">
        <v>1164</v>
      </c>
      <c r="B53" s="1541"/>
      <c r="C53" s="981"/>
      <c r="D53" s="981"/>
      <c r="E53" s="981"/>
      <c r="F53" s="981"/>
      <c r="G53" s="981"/>
      <c r="H53" s="981"/>
      <c r="I53" s="981"/>
      <c r="J53" s="981"/>
      <c r="K53" s="981"/>
      <c r="L53" s="981"/>
      <c r="M53" s="981"/>
      <c r="N53" s="981"/>
      <c r="O53" s="981"/>
      <c r="P53" s="981"/>
      <c r="Q53" s="981"/>
      <c r="R53" s="981"/>
      <c r="S53" s="981"/>
      <c r="T53" s="981"/>
      <c r="U53" s="981"/>
      <c r="V53" s="981"/>
      <c r="W53" s="981"/>
      <c r="X53" s="981"/>
      <c r="Y53" s="981"/>
      <c r="Z53" s="981"/>
      <c r="AA53" s="981"/>
      <c r="AB53" s="981"/>
      <c r="AC53" s="981"/>
      <c r="AD53" s="981"/>
      <c r="AE53" s="981"/>
      <c r="AF53" s="981"/>
      <c r="AG53" s="1006"/>
      <c r="AH53" s="1007"/>
      <c r="AI53" s="1007"/>
      <c r="AJ53" s="1007"/>
      <c r="AK53" s="1007"/>
      <c r="AL53" s="1007"/>
      <c r="AM53" s="1007"/>
      <c r="AN53" s="1007"/>
      <c r="AO53" s="1008"/>
      <c r="AP53" s="1007"/>
      <c r="AQ53" s="1007"/>
      <c r="AR53" s="1007"/>
      <c r="AS53" s="1009"/>
      <c r="AT53" s="1007"/>
      <c r="AU53" s="1007"/>
      <c r="AV53" s="1007"/>
      <c r="AW53" s="1010"/>
      <c r="AX53" s="1007"/>
      <c r="AY53" s="1007"/>
      <c r="AZ53" s="1007"/>
      <c r="BA53" s="1009"/>
      <c r="BB53" s="1007"/>
      <c r="BC53" s="1007"/>
      <c r="BD53" s="1007"/>
      <c r="BE53" s="1620"/>
      <c r="BF53" s="1007"/>
      <c r="BG53" s="1007"/>
      <c r="BH53" s="1007"/>
      <c r="BI53" s="1009"/>
      <c r="BJ53" s="1007"/>
      <c r="BK53" s="1007"/>
      <c r="BL53" s="1007"/>
      <c r="BM53" s="1620"/>
      <c r="BN53" s="1007"/>
      <c r="BO53" s="1007"/>
      <c r="BP53" s="1007"/>
      <c r="BQ53" s="1009"/>
      <c r="BR53" s="1007"/>
      <c r="BS53" s="1007"/>
      <c r="BT53" s="1007"/>
      <c r="BU53" s="1010"/>
      <c r="BV53" s="1007"/>
      <c r="BW53" s="1007"/>
      <c r="BX53" s="1007"/>
      <c r="BY53" s="1009"/>
      <c r="BZ53" s="1007"/>
      <c r="CA53" s="1007"/>
      <c r="CB53" s="1007"/>
      <c r="CC53" s="1010"/>
      <c r="CD53" s="1007"/>
      <c r="CE53" s="1007"/>
      <c r="CF53" s="1007"/>
      <c r="CG53" s="1009"/>
      <c r="CH53" s="1007"/>
      <c r="CI53" s="1007"/>
      <c r="CJ53" s="1007"/>
      <c r="CK53" s="1010"/>
      <c r="CL53" s="1007"/>
      <c r="CM53" s="1007"/>
      <c r="CN53" s="1007"/>
      <c r="CO53" s="1009"/>
      <c r="CP53" s="1007"/>
      <c r="CQ53" s="1007"/>
      <c r="CR53" s="1007"/>
      <c r="CS53" s="1010"/>
      <c r="CT53" s="1007"/>
      <c r="CU53" s="1007"/>
      <c r="CV53" s="1007"/>
      <c r="CW53" s="1009"/>
      <c r="CX53" s="1007"/>
      <c r="CY53" s="1007"/>
      <c r="CZ53" s="1007"/>
      <c r="DA53" s="1010"/>
    </row>
    <row r="54" spans="1:105" x14ac:dyDescent="0.2">
      <c r="A54" s="980"/>
      <c r="B54" s="1541" t="s">
        <v>790</v>
      </c>
      <c r="C54" s="1542"/>
      <c r="D54" s="1542"/>
      <c r="E54" s="1542"/>
      <c r="F54" s="1542"/>
      <c r="G54" s="1542"/>
      <c r="H54" s="1542"/>
      <c r="I54" s="1542"/>
      <c r="J54" s="1542"/>
      <c r="K54" s="1542"/>
      <c r="L54" s="1542"/>
      <c r="M54" s="1542"/>
      <c r="N54" s="1542"/>
      <c r="O54" s="1542"/>
      <c r="P54" s="1542"/>
      <c r="Q54" s="1542"/>
      <c r="R54" s="1542"/>
      <c r="S54" s="1542"/>
      <c r="T54" s="1542"/>
      <c r="U54" s="1542"/>
      <c r="V54" s="1542"/>
      <c r="W54" s="1542"/>
      <c r="X54" s="1542"/>
      <c r="Y54" s="1542"/>
      <c r="Z54" s="1542"/>
      <c r="AA54" s="1542"/>
      <c r="AB54" s="1542"/>
      <c r="AC54" s="1542"/>
      <c r="AD54" s="1542"/>
      <c r="AE54" s="1542"/>
      <c r="AF54" s="1542"/>
      <c r="AG54" s="1543"/>
      <c r="AH54" s="1544"/>
      <c r="AI54" s="1544"/>
      <c r="AJ54" s="1544"/>
      <c r="AK54" s="1544"/>
      <c r="AL54" s="1544"/>
      <c r="AM54" s="1544"/>
      <c r="AN54" s="1544"/>
      <c r="AO54" s="1545"/>
      <c r="AP54" s="1544"/>
      <c r="AQ54" s="1544"/>
      <c r="AR54" s="1544"/>
      <c r="AS54" s="1546"/>
      <c r="AT54" s="1544"/>
      <c r="AU54" s="1544"/>
      <c r="AV54" s="1544"/>
      <c r="AW54" s="1547"/>
      <c r="AX54" s="1544"/>
      <c r="AY54" s="1544"/>
      <c r="AZ54" s="1544"/>
      <c r="BA54" s="1546"/>
      <c r="BB54" s="1544"/>
      <c r="BC54" s="1544"/>
      <c r="BD54" s="1544"/>
      <c r="BE54" s="1619">
        <f>BE44/(BE44+BE46)</f>
        <v>1</v>
      </c>
      <c r="BF54" s="1544"/>
      <c r="BG54" s="1544"/>
      <c r="BH54" s="1544"/>
      <c r="BI54" s="1546"/>
      <c r="BJ54" s="1544"/>
      <c r="BK54" s="1544"/>
      <c r="BL54" s="1544"/>
      <c r="BM54" s="1619">
        <f>BM44/(BM44+BM46)</f>
        <v>0.96032950543217432</v>
      </c>
      <c r="BN54" s="1544"/>
      <c r="BO54" s="1544"/>
      <c r="BP54" s="1544"/>
      <c r="BQ54" s="1546"/>
      <c r="BR54" s="1544"/>
      <c r="BS54" s="1544"/>
      <c r="BT54" s="1544"/>
      <c r="BU54" s="1548">
        <f>BU44/(BU44+BU46)</f>
        <v>0.86551367053539008</v>
      </c>
      <c r="BV54" s="1544"/>
      <c r="BW54" s="1544"/>
      <c r="BX54" s="1544"/>
      <c r="BY54" s="1546"/>
      <c r="BZ54" s="1544"/>
      <c r="CA54" s="1544"/>
      <c r="CB54" s="1544"/>
      <c r="CC54" s="1548">
        <f>CC44/(CC44+CC46)</f>
        <v>0.8151994322926559</v>
      </c>
      <c r="CD54" s="1544"/>
      <c r="CE54" s="1544"/>
      <c r="CF54" s="1544"/>
      <c r="CG54" s="1546"/>
      <c r="CH54" s="1544"/>
      <c r="CI54" s="1544"/>
      <c r="CJ54" s="1544"/>
      <c r="CK54" s="1548">
        <f>CK44/(CK44+CK46)</f>
        <v>0.7484201548085142</v>
      </c>
      <c r="CL54" s="1544"/>
      <c r="CM54" s="1544"/>
      <c r="CN54" s="1544"/>
      <c r="CO54" s="1546"/>
      <c r="CP54" s="1544"/>
      <c r="CQ54" s="1544"/>
      <c r="CR54" s="1544"/>
      <c r="CS54" s="1548">
        <f>CS44/(CS44+CS46)</f>
        <v>0.64157017168691788</v>
      </c>
      <c r="CT54" s="1544"/>
      <c r="CU54" s="1544"/>
      <c r="CV54" s="1544"/>
      <c r="CW54" s="1546"/>
      <c r="CX54" s="1544"/>
      <c r="CY54" s="1544"/>
      <c r="CZ54" s="1544"/>
      <c r="DA54" s="1548">
        <f>DA44/(DA44+DA46)</f>
        <v>0.53491076100226731</v>
      </c>
    </row>
    <row r="55" spans="1:105" x14ac:dyDescent="0.2">
      <c r="A55" s="980"/>
      <c r="B55" s="1541" t="s">
        <v>791</v>
      </c>
      <c r="C55" s="1542"/>
      <c r="D55" s="1542"/>
      <c r="E55" s="1542"/>
      <c r="F55" s="1542"/>
      <c r="G55" s="1542"/>
      <c r="H55" s="1542"/>
      <c r="I55" s="1542"/>
      <c r="J55" s="1542"/>
      <c r="K55" s="1542"/>
      <c r="L55" s="1542"/>
      <c r="M55" s="1542"/>
      <c r="N55" s="1542"/>
      <c r="O55" s="1542"/>
      <c r="P55" s="1542"/>
      <c r="Q55" s="1542"/>
      <c r="R55" s="1542"/>
      <c r="S55" s="1542"/>
      <c r="T55" s="1542"/>
      <c r="U55" s="1542"/>
      <c r="V55" s="1542"/>
      <c r="W55" s="1542"/>
      <c r="X55" s="1542"/>
      <c r="Y55" s="1542"/>
      <c r="Z55" s="1542"/>
      <c r="AA55" s="1542"/>
      <c r="AB55" s="1542"/>
      <c r="AC55" s="1542"/>
      <c r="AD55" s="1542"/>
      <c r="AE55" s="1542"/>
      <c r="AF55" s="1542"/>
      <c r="AG55" s="1543"/>
      <c r="AH55" s="1544"/>
      <c r="AI55" s="1544"/>
      <c r="AJ55" s="1544"/>
      <c r="AK55" s="1544"/>
      <c r="AL55" s="1544"/>
      <c r="AM55" s="1544"/>
      <c r="AN55" s="1544"/>
      <c r="AO55" s="1545"/>
      <c r="AP55" s="1544"/>
      <c r="AQ55" s="1544"/>
      <c r="AR55" s="1544"/>
      <c r="AS55" s="1546"/>
      <c r="AT55" s="1544"/>
      <c r="AU55" s="1544"/>
      <c r="AV55" s="1544"/>
      <c r="AW55" s="1547"/>
      <c r="AX55" s="1544"/>
      <c r="AY55" s="1544"/>
      <c r="AZ55" s="1544"/>
      <c r="BA55" s="1546"/>
      <c r="BB55" s="1544"/>
      <c r="BC55" s="1544"/>
      <c r="BD55" s="1544"/>
      <c r="BE55" s="1577">
        <f>BE46/(BE44+BE46)</f>
        <v>0</v>
      </c>
      <c r="BF55" s="1544"/>
      <c r="BG55" s="1544"/>
      <c r="BH55" s="1544"/>
      <c r="BI55" s="1546"/>
      <c r="BJ55" s="1544"/>
      <c r="BK55" s="1544"/>
      <c r="BL55" s="1544"/>
      <c r="BM55" s="1619">
        <f>BM46/(BM44+BM46)</f>
        <v>3.9670494567825648E-2</v>
      </c>
      <c r="BN55" s="1544"/>
      <c r="BO55" s="1544"/>
      <c r="BP55" s="1544"/>
      <c r="BQ55" s="1546"/>
      <c r="BR55" s="1544"/>
      <c r="BS55" s="1544"/>
      <c r="BT55" s="1544"/>
      <c r="BU55" s="1548">
        <f>BU46/(BU44+BU46)</f>
        <v>0.13448632946460998</v>
      </c>
      <c r="BV55" s="1544"/>
      <c r="BW55" s="1544"/>
      <c r="BX55" s="1544"/>
      <c r="BY55" s="1546"/>
      <c r="BZ55" s="1544"/>
      <c r="CA55" s="1544"/>
      <c r="CB55" s="1544"/>
      <c r="CC55" s="1548">
        <f>CC46/(CC44+CC46)</f>
        <v>0.18480056770734404</v>
      </c>
      <c r="CD55" s="1544"/>
      <c r="CE55" s="1544"/>
      <c r="CF55" s="1544"/>
      <c r="CG55" s="1546"/>
      <c r="CH55" s="1544"/>
      <c r="CI55" s="1544"/>
      <c r="CJ55" s="1544"/>
      <c r="CK55" s="1548">
        <f>CK46/(CK44+CK46)</f>
        <v>0.25157984519148585</v>
      </c>
      <c r="CL55" s="1544"/>
      <c r="CM55" s="1544"/>
      <c r="CN55" s="1544"/>
      <c r="CO55" s="1546"/>
      <c r="CP55" s="1544"/>
      <c r="CQ55" s="1544"/>
      <c r="CR55" s="1544"/>
      <c r="CS55" s="1548">
        <f>CS46/(CS44+CS46)</f>
        <v>0.35842982831308207</v>
      </c>
      <c r="CT55" s="1544"/>
      <c r="CU55" s="1544"/>
      <c r="CV55" s="1544"/>
      <c r="CW55" s="1546"/>
      <c r="CX55" s="1544"/>
      <c r="CY55" s="1544"/>
      <c r="CZ55" s="1544"/>
      <c r="DA55" s="1548">
        <f>DA46/(DA44+DA46)</f>
        <v>0.46508923899773263</v>
      </c>
    </row>
    <row r="56" spans="1:105" x14ac:dyDescent="0.2">
      <c r="A56" s="979"/>
      <c r="B56" s="980"/>
      <c r="C56" s="981"/>
      <c r="D56" s="981"/>
      <c r="E56" s="981"/>
      <c r="F56" s="981"/>
      <c r="G56" s="981"/>
      <c r="H56" s="981"/>
      <c r="I56" s="981"/>
      <c r="J56" s="981"/>
      <c r="K56" s="981"/>
      <c r="L56" s="981"/>
      <c r="M56" s="981"/>
      <c r="N56" s="981"/>
      <c r="O56" s="981"/>
      <c r="P56" s="981"/>
      <c r="Q56" s="981"/>
      <c r="R56" s="981"/>
      <c r="S56" s="981"/>
      <c r="T56" s="981"/>
      <c r="U56" s="981"/>
      <c r="V56" s="981"/>
      <c r="W56" s="981"/>
      <c r="X56" s="981"/>
      <c r="Y56" s="981"/>
      <c r="Z56" s="981"/>
      <c r="AA56" s="981"/>
      <c r="AB56" s="981"/>
      <c r="AC56" s="981"/>
      <c r="AD56" s="981"/>
      <c r="AE56" s="981"/>
      <c r="AF56" s="981"/>
      <c r="AG56" s="1006"/>
      <c r="AH56" s="1007"/>
      <c r="AI56" s="1007"/>
      <c r="AJ56" s="1007"/>
      <c r="AK56" s="1007"/>
      <c r="AL56" s="1007"/>
      <c r="AM56" s="1007"/>
      <c r="AN56" s="1007"/>
      <c r="AO56" s="1008"/>
      <c r="AP56" s="1007"/>
      <c r="AQ56" s="1007"/>
      <c r="AR56" s="1007"/>
      <c r="AS56" s="1009"/>
      <c r="AT56" s="1007"/>
      <c r="AU56" s="1007"/>
      <c r="AV56" s="1007"/>
      <c r="AW56" s="1010"/>
      <c r="AX56" s="1007"/>
      <c r="AY56" s="1007"/>
      <c r="AZ56" s="1007"/>
      <c r="BA56" s="1009"/>
      <c r="BB56" s="1007"/>
      <c r="BC56" s="1007"/>
      <c r="BD56" s="1007"/>
      <c r="BE56" s="1010"/>
      <c r="BF56" s="1007"/>
      <c r="BG56" s="1007"/>
      <c r="BH56" s="1007"/>
      <c r="BI56" s="1009"/>
      <c r="BJ56" s="1007"/>
      <c r="BK56" s="1007"/>
      <c r="BL56" s="1007"/>
      <c r="BM56" s="1010"/>
      <c r="BN56" s="1007"/>
      <c r="BO56" s="1007"/>
      <c r="BP56" s="1007"/>
      <c r="BQ56" s="1009"/>
      <c r="BR56" s="1007"/>
      <c r="BS56" s="1007"/>
      <c r="BT56" s="1007"/>
      <c r="BU56" s="1010"/>
      <c r="BV56" s="1007"/>
      <c r="BW56" s="1007"/>
      <c r="BX56" s="1007"/>
      <c r="BY56" s="1009"/>
      <c r="BZ56" s="1007"/>
      <c r="CA56" s="1007"/>
      <c r="CB56" s="1007"/>
      <c r="CC56" s="1010"/>
      <c r="CD56" s="1007"/>
      <c r="CE56" s="1007"/>
      <c r="CF56" s="1007"/>
      <c r="CG56" s="1009"/>
      <c r="CH56" s="1007"/>
      <c r="CI56" s="1007"/>
      <c r="CJ56" s="1007"/>
      <c r="CK56" s="1010"/>
      <c r="CL56" s="1007"/>
      <c r="CM56" s="1007"/>
      <c r="CN56" s="1007"/>
      <c r="CO56" s="1009"/>
      <c r="CP56" s="1007"/>
      <c r="CQ56" s="1007"/>
      <c r="CR56" s="1007"/>
      <c r="CS56" s="1010"/>
      <c r="CT56" s="1007"/>
      <c r="CU56" s="1007"/>
      <c r="CV56" s="1007"/>
      <c r="CW56" s="1009"/>
      <c r="CX56" s="1007"/>
      <c r="CY56" s="1007"/>
      <c r="CZ56" s="1007"/>
      <c r="DA56" s="1010"/>
    </row>
    <row r="57" spans="1:105" x14ac:dyDescent="0.2">
      <c r="A57" s="454" t="s">
        <v>929</v>
      </c>
      <c r="B57" s="174"/>
      <c r="C57" s="174"/>
      <c r="D57" s="174"/>
      <c r="E57" s="174"/>
      <c r="F57" s="174"/>
      <c r="G57" s="174"/>
      <c r="H57" s="174"/>
      <c r="I57" s="174"/>
      <c r="J57" s="174"/>
      <c r="K57" s="174"/>
      <c r="L57" s="174"/>
      <c r="M57" s="174"/>
      <c r="N57" s="174"/>
      <c r="O57" s="174"/>
      <c r="P57" s="174"/>
      <c r="Q57" s="174"/>
      <c r="R57" s="174"/>
      <c r="S57" s="174"/>
      <c r="T57" s="174"/>
      <c r="U57" s="174"/>
      <c r="V57" s="174"/>
      <c r="W57" s="174"/>
      <c r="X57" s="174"/>
      <c r="Y57" s="174"/>
      <c r="Z57" s="174"/>
      <c r="AA57" s="174"/>
      <c r="AB57" s="174"/>
      <c r="AC57" s="174"/>
      <c r="AD57" s="174"/>
      <c r="AE57" s="174"/>
      <c r="AF57" s="174"/>
      <c r="AG57" s="174"/>
      <c r="AH57" s="174"/>
      <c r="AI57" s="174"/>
      <c r="AJ57" s="174"/>
      <c r="AK57" s="174"/>
      <c r="AL57" s="174"/>
      <c r="AM57" s="174"/>
      <c r="AN57" s="174"/>
      <c r="AO57" s="176"/>
      <c r="AP57" s="174"/>
      <c r="AQ57" s="174"/>
      <c r="AR57" s="174"/>
      <c r="AS57" s="175"/>
      <c r="AT57" s="174"/>
      <c r="AU57" s="174"/>
      <c r="AV57" s="174"/>
      <c r="AW57" s="987"/>
      <c r="AX57" s="174"/>
      <c r="AY57" s="174"/>
      <c r="AZ57" s="174"/>
      <c r="BA57" s="175"/>
      <c r="BB57" s="1011"/>
      <c r="BC57" s="1011"/>
      <c r="BD57" s="174"/>
      <c r="BE57" s="1012"/>
      <c r="BF57" s="174"/>
      <c r="BG57" s="174"/>
      <c r="BH57" s="174"/>
      <c r="BI57" s="175"/>
      <c r="BJ57" s="1011"/>
      <c r="BK57" s="1011"/>
      <c r="BL57" s="174"/>
      <c r="BM57" s="1012"/>
      <c r="BN57" s="174"/>
      <c r="BO57" s="174"/>
      <c r="BP57" s="174"/>
      <c r="BQ57" s="175"/>
      <c r="BR57" s="1011"/>
      <c r="BS57" s="1011"/>
      <c r="BT57" s="174"/>
      <c r="BU57" s="1012"/>
      <c r="BV57" s="174"/>
      <c r="BW57" s="174"/>
      <c r="BX57" s="174"/>
      <c r="BY57" s="175"/>
      <c r="BZ57" s="1011"/>
      <c r="CA57" s="1011"/>
      <c r="CB57" s="174"/>
      <c r="CC57" s="1012"/>
      <c r="CD57" s="174"/>
      <c r="CE57" s="174"/>
      <c r="CF57" s="174"/>
      <c r="CG57" s="175"/>
      <c r="CH57" s="1011"/>
      <c r="CI57" s="1011"/>
      <c r="CJ57" s="174"/>
      <c r="CK57" s="1012"/>
      <c r="CL57" s="174"/>
      <c r="CM57" s="174"/>
      <c r="CN57" s="174"/>
      <c r="CO57" s="175"/>
      <c r="CP57" s="1011"/>
      <c r="CQ57" s="1011"/>
      <c r="CR57" s="174"/>
      <c r="CS57" s="1012"/>
      <c r="CT57" s="174"/>
      <c r="CU57" s="174"/>
      <c r="CV57" s="174"/>
      <c r="CW57" s="175"/>
      <c r="CX57" s="1011"/>
      <c r="CY57" s="1011"/>
      <c r="CZ57" s="174"/>
      <c r="DA57" s="1012"/>
    </row>
    <row r="58" spans="1:105" outlineLevel="1" x14ac:dyDescent="0.2">
      <c r="A58" s="338" t="s">
        <v>646</v>
      </c>
      <c r="B58" s="1013"/>
      <c r="C58" s="981"/>
      <c r="D58" s="981"/>
      <c r="E58" s="981"/>
      <c r="F58" s="981"/>
      <c r="G58" s="981"/>
      <c r="H58" s="981"/>
      <c r="I58" s="981"/>
      <c r="J58" s="981"/>
      <c r="K58" s="981"/>
      <c r="L58" s="981"/>
      <c r="M58" s="981"/>
      <c r="N58" s="981"/>
      <c r="O58" s="981"/>
      <c r="P58" s="981"/>
      <c r="Q58" s="981"/>
      <c r="R58" s="981"/>
      <c r="S58" s="981"/>
      <c r="T58" s="981"/>
      <c r="U58" s="981"/>
      <c r="V58" s="981"/>
      <c r="W58" s="981"/>
      <c r="X58" s="981"/>
      <c r="Y58" s="981"/>
      <c r="Z58" s="981"/>
      <c r="AA58" s="981"/>
      <c r="AB58" s="981"/>
      <c r="AC58" s="981"/>
      <c r="AD58" s="981"/>
      <c r="AE58" s="981"/>
      <c r="AF58" s="981"/>
      <c r="AG58" s="982"/>
      <c r="AH58" s="982"/>
      <c r="AI58" s="982"/>
      <c r="AJ58" s="982"/>
      <c r="AK58" s="982"/>
      <c r="AL58" s="982"/>
      <c r="AM58" s="982"/>
      <c r="AN58" s="982"/>
      <c r="AO58" s="1014"/>
      <c r="AP58" s="982"/>
      <c r="AQ58" s="982"/>
      <c r="AR58" s="982"/>
      <c r="AS58" s="1015"/>
      <c r="AT58" s="982"/>
      <c r="AU58" s="982"/>
      <c r="AV58" s="982"/>
      <c r="AW58" s="1016"/>
      <c r="AX58" s="982"/>
      <c r="AY58" s="982"/>
      <c r="AZ58" s="982"/>
      <c r="BA58" s="1015"/>
      <c r="BB58" s="982"/>
      <c r="BC58" s="982"/>
      <c r="BD58" s="982"/>
      <c r="BE58" s="1016"/>
      <c r="BF58" s="982"/>
      <c r="BG58" s="982"/>
      <c r="BH58" s="982"/>
      <c r="BI58" s="1015"/>
      <c r="BJ58" s="982"/>
      <c r="BK58" s="982"/>
      <c r="BL58" s="982"/>
      <c r="BM58" s="1016"/>
      <c r="BN58" s="982"/>
      <c r="BO58" s="982"/>
      <c r="BP58" s="982"/>
      <c r="BQ58" s="1015"/>
      <c r="BR58" s="982"/>
      <c r="BS58" s="982"/>
      <c r="BT58" s="982"/>
      <c r="BU58" s="1016"/>
      <c r="BV58" s="982"/>
      <c r="BW58" s="982"/>
      <c r="BX58" s="982"/>
      <c r="BY58" s="1015"/>
      <c r="BZ58" s="982"/>
      <c r="CA58" s="982"/>
      <c r="CB58" s="982"/>
      <c r="CC58" s="1016"/>
      <c r="CD58" s="982"/>
      <c r="CE58" s="982"/>
      <c r="CF58" s="982"/>
      <c r="CG58" s="1015"/>
      <c r="CH58" s="982"/>
      <c r="CI58" s="982"/>
      <c r="CJ58" s="982"/>
      <c r="CK58" s="1016"/>
      <c r="CL58" s="982"/>
      <c r="CM58" s="982"/>
      <c r="CN58" s="982"/>
      <c r="CO58" s="1015"/>
      <c r="CP58" s="982"/>
      <c r="CQ58" s="982"/>
      <c r="CR58" s="982"/>
      <c r="CS58" s="1016"/>
      <c r="CT58" s="982"/>
      <c r="CU58" s="982"/>
      <c r="CV58" s="982"/>
      <c r="CW58" s="1015"/>
      <c r="CX58" s="982"/>
      <c r="CY58" s="982"/>
      <c r="CZ58" s="982"/>
      <c r="DA58" s="1016"/>
    </row>
    <row r="59" spans="1:105" outlineLevel="1" x14ac:dyDescent="0.2">
      <c r="A59" s="199"/>
      <c r="B59" s="1013" t="s">
        <v>930</v>
      </c>
      <c r="C59" s="1017">
        <v>0</v>
      </c>
      <c r="D59" s="1017">
        <v>179</v>
      </c>
      <c r="E59" s="1017">
        <v>268</v>
      </c>
      <c r="F59" s="1017">
        <v>315</v>
      </c>
      <c r="G59" s="1017">
        <v>376</v>
      </c>
      <c r="H59" s="1017">
        <v>391</v>
      </c>
      <c r="I59" s="1017">
        <v>480</v>
      </c>
      <c r="J59" s="1017">
        <v>700</v>
      </c>
      <c r="K59" s="1017">
        <v>652</v>
      </c>
      <c r="L59" s="1017">
        <v>454</v>
      </c>
      <c r="M59" s="1017">
        <v>343</v>
      </c>
      <c r="N59" s="1017">
        <v>257</v>
      </c>
      <c r="O59" s="1017">
        <v>264</v>
      </c>
      <c r="P59" s="1017">
        <v>449</v>
      </c>
      <c r="Q59" s="1017">
        <v>384</v>
      </c>
      <c r="R59" s="1017">
        <v>181</v>
      </c>
      <c r="S59" s="1017">
        <v>76</v>
      </c>
      <c r="T59" s="1017">
        <v>95</v>
      </c>
      <c r="U59" s="1017">
        <v>76</v>
      </c>
      <c r="V59" s="1017">
        <v>63</v>
      </c>
      <c r="W59" s="1017">
        <v>13</v>
      </c>
      <c r="X59" s="1017">
        <v>22</v>
      </c>
      <c r="Y59" s="1017">
        <v>4</v>
      </c>
      <c r="Z59" s="1017">
        <v>4</v>
      </c>
      <c r="AA59" s="1017">
        <v>6</v>
      </c>
      <c r="AB59" s="1017">
        <v>0</v>
      </c>
      <c r="AC59" s="1017">
        <v>0</v>
      </c>
      <c r="AD59" s="1017">
        <v>0</v>
      </c>
      <c r="AE59" s="1017">
        <v>0</v>
      </c>
      <c r="AF59" s="1017">
        <v>0</v>
      </c>
      <c r="AG59" s="900">
        <v>0</v>
      </c>
      <c r="AH59" s="900">
        <v>0</v>
      </c>
      <c r="AI59" s="900">
        <v>0</v>
      </c>
      <c r="AJ59" s="900">
        <v>0</v>
      </c>
      <c r="AK59" s="900">
        <v>0</v>
      </c>
      <c r="AL59" s="900">
        <v>0</v>
      </c>
      <c r="AM59" s="900">
        <v>0</v>
      </c>
      <c r="AN59" s="900">
        <v>0</v>
      </c>
      <c r="AO59" s="912">
        <v>0</v>
      </c>
      <c r="AP59" s="900"/>
      <c r="AQ59" s="900"/>
      <c r="AR59" s="900"/>
      <c r="AS59" s="954"/>
      <c r="AT59" s="1018"/>
      <c r="AU59" s="900"/>
      <c r="AV59" s="900"/>
      <c r="AW59" s="955">
        <v>0</v>
      </c>
      <c r="AX59" s="900"/>
      <c r="AY59" s="900"/>
      <c r="AZ59" s="900"/>
      <c r="BA59" s="954"/>
      <c r="BB59" s="1018"/>
      <c r="BC59" s="900"/>
      <c r="BD59" s="900"/>
      <c r="BE59" s="955">
        <v>0</v>
      </c>
      <c r="BF59" s="900"/>
      <c r="BG59" s="900"/>
      <c r="BH59" s="900"/>
      <c r="BI59" s="954"/>
      <c r="BJ59" s="1018"/>
      <c r="BK59" s="900"/>
      <c r="BL59" s="900"/>
      <c r="BM59" s="955">
        <v>0</v>
      </c>
      <c r="BN59" s="900"/>
      <c r="BO59" s="900"/>
      <c r="BP59" s="900"/>
      <c r="BQ59" s="954"/>
      <c r="BR59" s="1018"/>
      <c r="BS59" s="900"/>
      <c r="BT59" s="900"/>
      <c r="BU59" s="929">
        <v>0</v>
      </c>
      <c r="BV59" s="900"/>
      <c r="BW59" s="900"/>
      <c r="BX59" s="900"/>
      <c r="BY59" s="954"/>
      <c r="BZ59" s="1018"/>
      <c r="CA59" s="900"/>
      <c r="CB59" s="900"/>
      <c r="CC59" s="929">
        <v>0</v>
      </c>
      <c r="CD59" s="900"/>
      <c r="CE59" s="900"/>
      <c r="CF59" s="900"/>
      <c r="CG59" s="954"/>
      <c r="CH59" s="1018"/>
      <c r="CI59" s="900"/>
      <c r="CJ59" s="900"/>
      <c r="CK59" s="929">
        <v>0</v>
      </c>
      <c r="CL59" s="900"/>
      <c r="CM59" s="900"/>
      <c r="CN59" s="900"/>
      <c r="CO59" s="954"/>
      <c r="CP59" s="1018"/>
      <c r="CQ59" s="900"/>
      <c r="CR59" s="900"/>
      <c r="CS59" s="929">
        <v>0</v>
      </c>
      <c r="CT59" s="900"/>
      <c r="CU59" s="900"/>
      <c r="CV59" s="900"/>
      <c r="CW59" s="954"/>
      <c r="CX59" s="1018"/>
      <c r="CY59" s="900"/>
      <c r="CZ59" s="900"/>
      <c r="DA59" s="929">
        <v>0</v>
      </c>
    </row>
    <row r="60" spans="1:105" outlineLevel="1" x14ac:dyDescent="0.2">
      <c r="A60" s="199"/>
      <c r="B60" s="1013" t="s">
        <v>931</v>
      </c>
      <c r="C60" s="1017">
        <v>0</v>
      </c>
      <c r="D60" s="1017">
        <v>0</v>
      </c>
      <c r="E60" s="1017">
        <v>0</v>
      </c>
      <c r="F60" s="1017">
        <v>0</v>
      </c>
      <c r="G60" s="1017">
        <v>0</v>
      </c>
      <c r="H60" s="1017">
        <v>0</v>
      </c>
      <c r="I60" s="1017">
        <v>0</v>
      </c>
      <c r="J60" s="1017">
        <v>0</v>
      </c>
      <c r="K60" s="1017">
        <v>4</v>
      </c>
      <c r="L60" s="1017">
        <v>24</v>
      </c>
      <c r="M60" s="1017">
        <v>78</v>
      </c>
      <c r="N60" s="1017">
        <v>92</v>
      </c>
      <c r="O60" s="1017">
        <v>124</v>
      </c>
      <c r="P60" s="1017">
        <v>196</v>
      </c>
      <c r="Q60" s="1017">
        <v>490</v>
      </c>
      <c r="R60" s="1017">
        <v>776</v>
      </c>
      <c r="S60" s="1017">
        <v>852</v>
      </c>
      <c r="T60" s="1017">
        <v>850</v>
      </c>
      <c r="U60" s="1017">
        <v>618</v>
      </c>
      <c r="V60" s="1017">
        <v>552</v>
      </c>
      <c r="W60" s="1017">
        <v>638</v>
      </c>
      <c r="X60" s="1017">
        <v>686</v>
      </c>
      <c r="Y60" s="1017">
        <v>958</v>
      </c>
      <c r="Z60" s="1017">
        <v>1060</v>
      </c>
      <c r="AA60" s="1017">
        <v>988</v>
      </c>
      <c r="AB60" s="1017">
        <v>1200</v>
      </c>
      <c r="AC60" s="1017">
        <v>1140</v>
      </c>
      <c r="AD60" s="1017">
        <v>1182</v>
      </c>
      <c r="AE60" s="1017">
        <v>1266</v>
      </c>
      <c r="AF60" s="1017">
        <v>1380</v>
      </c>
      <c r="AG60" s="900">
        <f>'Civil OE'!B49</f>
        <v>1560</v>
      </c>
      <c r="AH60" s="899">
        <f>'Civil OE'!C49</f>
        <v>1612</v>
      </c>
      <c r="AI60" s="899">
        <f>'Civil OE'!D49</f>
        <v>1693</v>
      </c>
      <c r="AJ60" s="899">
        <f>'Civil OE'!E49</f>
        <v>1444</v>
      </c>
      <c r="AK60" s="899">
        <f>'Civil OE'!F49</f>
        <v>1044</v>
      </c>
      <c r="AL60" s="899">
        <f>'Civil OE'!G49</f>
        <v>391</v>
      </c>
      <c r="AM60" s="900">
        <f>'Civil OE'!H49</f>
        <v>157</v>
      </c>
      <c r="AN60" s="900">
        <f>'Civil OE'!I49</f>
        <v>107</v>
      </c>
      <c r="AO60" s="912">
        <f>'Civil OE'!J49</f>
        <v>60</v>
      </c>
      <c r="AP60" s="900"/>
      <c r="AQ60" s="900"/>
      <c r="AR60" s="900"/>
      <c r="AS60" s="954"/>
      <c r="AT60" s="913"/>
      <c r="AU60" s="900"/>
      <c r="AV60" s="900"/>
      <c r="AW60" s="955">
        <f>'Civil OE'!R49</f>
        <v>52</v>
      </c>
      <c r="AX60" s="900"/>
      <c r="AY60" s="900"/>
      <c r="AZ60" s="900"/>
      <c r="BA60" s="954"/>
      <c r="BB60" s="913"/>
      <c r="BC60" s="900"/>
      <c r="BD60" s="900"/>
      <c r="BE60" s="955">
        <f>'Civil OE'!Z49</f>
        <v>60</v>
      </c>
      <c r="BF60" s="900"/>
      <c r="BG60" s="900"/>
      <c r="BH60" s="900"/>
      <c r="BI60" s="954"/>
      <c r="BJ60" s="913"/>
      <c r="BK60" s="900"/>
      <c r="BL60" s="900"/>
      <c r="BM60" s="955">
        <f>'Civil OE'!AH49</f>
        <v>52</v>
      </c>
      <c r="BN60" s="900"/>
      <c r="BO60" s="900"/>
      <c r="BP60" s="900"/>
      <c r="BQ60" s="954"/>
      <c r="BR60" s="913"/>
      <c r="BS60" s="900"/>
      <c r="BT60" s="900"/>
      <c r="BU60" s="915">
        <f>'Civil OE'!AP49</f>
        <v>38</v>
      </c>
      <c r="BV60" s="900"/>
      <c r="BW60" s="900"/>
      <c r="BX60" s="900"/>
      <c r="BY60" s="954"/>
      <c r="BZ60" s="913"/>
      <c r="CA60" s="900"/>
      <c r="CB60" s="900"/>
      <c r="CC60" s="915">
        <f>'Civil OE'!AX49</f>
        <v>30</v>
      </c>
      <c r="CD60" s="900"/>
      <c r="CE60" s="900"/>
      <c r="CF60" s="900"/>
      <c r="CG60" s="954"/>
      <c r="CH60" s="913"/>
      <c r="CI60" s="900"/>
      <c r="CJ60" s="900"/>
      <c r="CK60" s="915">
        <f>'Civil OE'!BF49</f>
        <v>30</v>
      </c>
      <c r="CL60" s="900"/>
      <c r="CM60" s="900"/>
      <c r="CN60" s="900"/>
      <c r="CO60" s="954"/>
      <c r="CP60" s="913"/>
      <c r="CQ60" s="900"/>
      <c r="CR60" s="900"/>
      <c r="CS60" s="915">
        <f>'Civil OE'!BN49</f>
        <v>30</v>
      </c>
      <c r="CT60" s="900"/>
      <c r="CU60" s="900"/>
      <c r="CV60" s="900"/>
      <c r="CW60" s="954"/>
      <c r="CX60" s="913"/>
      <c r="CY60" s="900"/>
      <c r="CZ60" s="900"/>
      <c r="DA60" s="915">
        <f>'Civil OE'!BV49</f>
        <v>30</v>
      </c>
    </row>
    <row r="61" spans="1:105" outlineLevel="1" x14ac:dyDescent="0.2">
      <c r="A61" s="199"/>
      <c r="B61" s="1019" t="s">
        <v>790</v>
      </c>
      <c r="C61" s="997">
        <f t="shared" ref="C61:AN61" si="76">C59+C60</f>
        <v>0</v>
      </c>
      <c r="D61" s="997">
        <f t="shared" si="76"/>
        <v>179</v>
      </c>
      <c r="E61" s="997">
        <f t="shared" si="76"/>
        <v>268</v>
      </c>
      <c r="F61" s="997">
        <f t="shared" si="76"/>
        <v>315</v>
      </c>
      <c r="G61" s="997">
        <f t="shared" si="76"/>
        <v>376</v>
      </c>
      <c r="H61" s="997">
        <f t="shared" si="76"/>
        <v>391</v>
      </c>
      <c r="I61" s="997">
        <f t="shared" si="76"/>
        <v>480</v>
      </c>
      <c r="J61" s="997">
        <f t="shared" si="76"/>
        <v>700</v>
      </c>
      <c r="K61" s="997">
        <f t="shared" si="76"/>
        <v>656</v>
      </c>
      <c r="L61" s="997">
        <f t="shared" si="76"/>
        <v>478</v>
      </c>
      <c r="M61" s="997">
        <f t="shared" si="76"/>
        <v>421</v>
      </c>
      <c r="N61" s="997">
        <f t="shared" si="76"/>
        <v>349</v>
      </c>
      <c r="O61" s="997">
        <f t="shared" si="76"/>
        <v>388</v>
      </c>
      <c r="P61" s="997">
        <f t="shared" si="76"/>
        <v>645</v>
      </c>
      <c r="Q61" s="997">
        <f t="shared" si="76"/>
        <v>874</v>
      </c>
      <c r="R61" s="997">
        <f t="shared" si="76"/>
        <v>957</v>
      </c>
      <c r="S61" s="997">
        <f t="shared" si="76"/>
        <v>928</v>
      </c>
      <c r="T61" s="997">
        <f t="shared" si="76"/>
        <v>945</v>
      </c>
      <c r="U61" s="997">
        <f t="shared" si="76"/>
        <v>694</v>
      </c>
      <c r="V61" s="997">
        <f t="shared" si="76"/>
        <v>615</v>
      </c>
      <c r="W61" s="997">
        <f t="shared" si="76"/>
        <v>651</v>
      </c>
      <c r="X61" s="997">
        <f t="shared" si="76"/>
        <v>708</v>
      </c>
      <c r="Y61" s="997">
        <f t="shared" si="76"/>
        <v>962</v>
      </c>
      <c r="Z61" s="997">
        <f t="shared" si="76"/>
        <v>1064</v>
      </c>
      <c r="AA61" s="997">
        <f t="shared" si="76"/>
        <v>994</v>
      </c>
      <c r="AB61" s="997">
        <f t="shared" si="76"/>
        <v>1200</v>
      </c>
      <c r="AC61" s="997">
        <f t="shared" si="76"/>
        <v>1140</v>
      </c>
      <c r="AD61" s="997">
        <f t="shared" si="76"/>
        <v>1182</v>
      </c>
      <c r="AE61" s="997">
        <f t="shared" si="76"/>
        <v>1266</v>
      </c>
      <c r="AF61" s="997">
        <f t="shared" si="76"/>
        <v>1380</v>
      </c>
      <c r="AG61" s="931">
        <f>AG59+AG60</f>
        <v>1560</v>
      </c>
      <c r="AH61" s="931">
        <f t="shared" si="76"/>
        <v>1612</v>
      </c>
      <c r="AI61" s="931">
        <f t="shared" si="76"/>
        <v>1693</v>
      </c>
      <c r="AJ61" s="931">
        <f t="shared" si="76"/>
        <v>1444</v>
      </c>
      <c r="AK61" s="931">
        <f t="shared" si="76"/>
        <v>1044</v>
      </c>
      <c r="AL61" s="931">
        <f t="shared" si="76"/>
        <v>391</v>
      </c>
      <c r="AM61" s="926">
        <f t="shared" si="76"/>
        <v>157</v>
      </c>
      <c r="AN61" s="926">
        <f t="shared" si="76"/>
        <v>107</v>
      </c>
      <c r="AO61" s="934">
        <f>AO59+AO60</f>
        <v>60</v>
      </c>
      <c r="AP61" s="926"/>
      <c r="AQ61" s="926"/>
      <c r="AR61" s="926"/>
      <c r="AS61" s="1001"/>
      <c r="AT61" s="936"/>
      <c r="AU61" s="926"/>
      <c r="AV61" s="926"/>
      <c r="AW61" s="1032">
        <f>AW59+AW60</f>
        <v>52</v>
      </c>
      <c r="AX61" s="926"/>
      <c r="AY61" s="926"/>
      <c r="AZ61" s="926"/>
      <c r="BA61" s="1001"/>
      <c r="BB61" s="936"/>
      <c r="BC61" s="926"/>
      <c r="BD61" s="926"/>
      <c r="BE61" s="1032">
        <f>BE59+BE60</f>
        <v>60</v>
      </c>
      <c r="BF61" s="926"/>
      <c r="BG61" s="926"/>
      <c r="BH61" s="926"/>
      <c r="BI61" s="1001"/>
      <c r="BJ61" s="936"/>
      <c r="BK61" s="926"/>
      <c r="BL61" s="926"/>
      <c r="BM61" s="1032">
        <f>BM59+BM60</f>
        <v>52</v>
      </c>
      <c r="BN61" s="926"/>
      <c r="BO61" s="926"/>
      <c r="BP61" s="926"/>
      <c r="BQ61" s="1001"/>
      <c r="BR61" s="936"/>
      <c r="BS61" s="926"/>
      <c r="BT61" s="926"/>
      <c r="BU61" s="937">
        <f>BU59+BU60</f>
        <v>38</v>
      </c>
      <c r="BV61" s="926"/>
      <c r="BW61" s="926"/>
      <c r="BX61" s="926"/>
      <c r="BY61" s="1001"/>
      <c r="BZ61" s="936"/>
      <c r="CA61" s="926"/>
      <c r="CB61" s="926"/>
      <c r="CC61" s="937">
        <f>CC59+CC60</f>
        <v>30</v>
      </c>
      <c r="CD61" s="926"/>
      <c r="CE61" s="926"/>
      <c r="CF61" s="926"/>
      <c r="CG61" s="1001"/>
      <c r="CH61" s="936"/>
      <c r="CI61" s="926"/>
      <c r="CJ61" s="926"/>
      <c r="CK61" s="937">
        <f>CK59+CK60</f>
        <v>30</v>
      </c>
      <c r="CL61" s="926"/>
      <c r="CM61" s="926"/>
      <c r="CN61" s="926"/>
      <c r="CO61" s="1001"/>
      <c r="CP61" s="936"/>
      <c r="CQ61" s="926"/>
      <c r="CR61" s="926"/>
      <c r="CS61" s="937">
        <f>CS59+CS60</f>
        <v>30</v>
      </c>
      <c r="CT61" s="926"/>
      <c r="CU61" s="926"/>
      <c r="CV61" s="926"/>
      <c r="CW61" s="1001"/>
      <c r="CX61" s="936"/>
      <c r="CY61" s="926"/>
      <c r="CZ61" s="926"/>
      <c r="DA61" s="937">
        <f>DA59+DA60</f>
        <v>30</v>
      </c>
    </row>
    <row r="62" spans="1:105" outlineLevel="1" x14ac:dyDescent="0.2">
      <c r="A62" s="199"/>
      <c r="B62" s="1019" t="s">
        <v>791</v>
      </c>
      <c r="C62" s="997"/>
      <c r="D62" s="997"/>
      <c r="E62" s="997"/>
      <c r="F62" s="997"/>
      <c r="G62" s="997"/>
      <c r="H62" s="997"/>
      <c r="I62" s="997"/>
      <c r="J62" s="997"/>
      <c r="K62" s="997"/>
      <c r="L62" s="997"/>
      <c r="M62" s="997"/>
      <c r="N62" s="997"/>
      <c r="O62" s="997"/>
      <c r="P62" s="997"/>
      <c r="Q62" s="997"/>
      <c r="R62" s="997"/>
      <c r="S62" s="997"/>
      <c r="T62" s="997"/>
      <c r="U62" s="997"/>
      <c r="V62" s="997"/>
      <c r="W62" s="997"/>
      <c r="X62" s="997"/>
      <c r="Y62" s="997"/>
      <c r="Z62" s="997"/>
      <c r="AA62" s="997"/>
      <c r="AB62" s="997"/>
      <c r="AC62" s="997"/>
      <c r="AD62" s="997"/>
      <c r="AE62" s="997"/>
      <c r="AF62" s="997"/>
      <c r="AG62" s="926">
        <f>'Civil OE'!B207</f>
        <v>0</v>
      </c>
      <c r="AH62" s="926">
        <f>'Civil OE'!C207</f>
        <v>0</v>
      </c>
      <c r="AI62" s="926">
        <f>'Civil OE'!D207</f>
        <v>77</v>
      </c>
      <c r="AJ62" s="926">
        <f>'Civil OE'!E207</f>
        <v>461</v>
      </c>
      <c r="AK62" s="926">
        <f>'Civil OE'!F207</f>
        <v>1119</v>
      </c>
      <c r="AL62" s="926">
        <f>'Civil OE'!G207</f>
        <v>1736</v>
      </c>
      <c r="AM62" s="926">
        <f>'Civil OE'!H207</f>
        <v>815</v>
      </c>
      <c r="AN62" s="926">
        <f>'Civil OE'!I207</f>
        <v>845</v>
      </c>
      <c r="AO62" s="934">
        <f>'Civil OE'!J207</f>
        <v>1136</v>
      </c>
      <c r="AP62" s="926"/>
      <c r="AQ62" s="926"/>
      <c r="AR62" s="926"/>
      <c r="AS62" s="1001"/>
      <c r="AT62" s="936"/>
      <c r="AU62" s="926"/>
      <c r="AV62" s="926"/>
      <c r="AW62" s="1032">
        <f>'Civil OE'!R207</f>
        <v>1570</v>
      </c>
      <c r="AX62" s="926"/>
      <c r="AY62" s="926"/>
      <c r="AZ62" s="926"/>
      <c r="BA62" s="1001"/>
      <c r="BB62" s="936"/>
      <c r="BC62" s="926"/>
      <c r="BD62" s="926"/>
      <c r="BE62" s="1032">
        <f>'Civil OE'!Z207</f>
        <v>1407</v>
      </c>
      <c r="BF62" s="926"/>
      <c r="BG62" s="926"/>
      <c r="BH62" s="926"/>
      <c r="BI62" s="1001"/>
      <c r="BJ62" s="936"/>
      <c r="BK62" s="926"/>
      <c r="BL62" s="926"/>
      <c r="BM62" s="1032">
        <f>'Civil OE'!AH207</f>
        <v>1802</v>
      </c>
      <c r="BN62" s="926"/>
      <c r="BO62" s="926"/>
      <c r="BP62" s="926"/>
      <c r="BQ62" s="1001"/>
      <c r="BR62" s="936"/>
      <c r="BS62" s="926"/>
      <c r="BT62" s="926"/>
      <c r="BU62" s="937">
        <f>'Civil OE'!AP207</f>
        <v>2146</v>
      </c>
      <c r="BV62" s="926"/>
      <c r="BW62" s="926"/>
      <c r="BX62" s="926"/>
      <c r="BY62" s="1001"/>
      <c r="BZ62" s="936"/>
      <c r="CA62" s="926"/>
      <c r="CB62" s="926"/>
      <c r="CC62" s="937">
        <f>'Civil OE'!AX207</f>
        <v>2362</v>
      </c>
      <c r="CD62" s="926"/>
      <c r="CE62" s="926"/>
      <c r="CF62" s="926"/>
      <c r="CG62" s="1001"/>
      <c r="CH62" s="936"/>
      <c r="CI62" s="926"/>
      <c r="CJ62" s="926"/>
      <c r="CK62" s="937">
        <f>'Civil OE'!BF207</f>
        <v>2561</v>
      </c>
      <c r="CL62" s="926"/>
      <c r="CM62" s="926"/>
      <c r="CN62" s="926"/>
      <c r="CO62" s="1001"/>
      <c r="CP62" s="936"/>
      <c r="CQ62" s="926"/>
      <c r="CR62" s="926"/>
      <c r="CS62" s="937">
        <f>'Civil OE'!BN207</f>
        <v>2581</v>
      </c>
      <c r="CT62" s="926"/>
      <c r="CU62" s="926"/>
      <c r="CV62" s="926"/>
      <c r="CW62" s="1001"/>
      <c r="CX62" s="936"/>
      <c r="CY62" s="926"/>
      <c r="CZ62" s="926"/>
      <c r="DA62" s="937">
        <f>'Civil OE'!BV207</f>
        <v>2581</v>
      </c>
    </row>
    <row r="63" spans="1:105" outlineLevel="1" x14ac:dyDescent="0.2">
      <c r="A63" s="199"/>
      <c r="B63" s="1019" t="s">
        <v>932</v>
      </c>
      <c r="C63" s="4">
        <f>C62+C61</f>
        <v>0</v>
      </c>
      <c r="D63" s="4">
        <f t="shared" ref="D63:BM63" si="77">D62+D61</f>
        <v>179</v>
      </c>
      <c r="E63" s="4">
        <f t="shared" si="77"/>
        <v>268</v>
      </c>
      <c r="F63" s="4">
        <f t="shared" si="77"/>
        <v>315</v>
      </c>
      <c r="G63" s="4">
        <f t="shared" si="77"/>
        <v>376</v>
      </c>
      <c r="H63" s="4">
        <f t="shared" si="77"/>
        <v>391</v>
      </c>
      <c r="I63" s="4">
        <f t="shared" si="77"/>
        <v>480</v>
      </c>
      <c r="J63" s="4">
        <f t="shared" si="77"/>
        <v>700</v>
      </c>
      <c r="K63" s="4">
        <f t="shared" si="77"/>
        <v>656</v>
      </c>
      <c r="L63" s="4">
        <f t="shared" si="77"/>
        <v>478</v>
      </c>
      <c r="M63" s="4">
        <f t="shared" si="77"/>
        <v>421</v>
      </c>
      <c r="N63" s="4">
        <f t="shared" si="77"/>
        <v>349</v>
      </c>
      <c r="O63" s="4">
        <f t="shared" si="77"/>
        <v>388</v>
      </c>
      <c r="P63" s="4">
        <f t="shared" si="77"/>
        <v>645</v>
      </c>
      <c r="Q63" s="4">
        <f t="shared" si="77"/>
        <v>874</v>
      </c>
      <c r="R63" s="4">
        <f t="shared" si="77"/>
        <v>957</v>
      </c>
      <c r="S63" s="4">
        <f t="shared" si="77"/>
        <v>928</v>
      </c>
      <c r="T63" s="4">
        <f t="shared" si="77"/>
        <v>945</v>
      </c>
      <c r="U63" s="4">
        <f t="shared" si="77"/>
        <v>694</v>
      </c>
      <c r="V63" s="4">
        <f t="shared" si="77"/>
        <v>615</v>
      </c>
      <c r="W63" s="4">
        <f t="shared" si="77"/>
        <v>651</v>
      </c>
      <c r="X63" s="4">
        <f t="shared" si="77"/>
        <v>708</v>
      </c>
      <c r="Y63" s="4">
        <f t="shared" si="77"/>
        <v>962</v>
      </c>
      <c r="Z63" s="4">
        <f t="shared" si="77"/>
        <v>1064</v>
      </c>
      <c r="AA63" s="4">
        <f t="shared" si="77"/>
        <v>994</v>
      </c>
      <c r="AB63" s="4">
        <f t="shared" si="77"/>
        <v>1200</v>
      </c>
      <c r="AC63" s="4">
        <f t="shared" si="77"/>
        <v>1140</v>
      </c>
      <c r="AD63" s="4">
        <f t="shared" si="77"/>
        <v>1182</v>
      </c>
      <c r="AE63" s="4">
        <f t="shared" si="77"/>
        <v>1266</v>
      </c>
      <c r="AF63" s="4">
        <f t="shared" si="77"/>
        <v>1380</v>
      </c>
      <c r="AG63" s="4">
        <f t="shared" si="77"/>
        <v>1560</v>
      </c>
      <c r="AH63" s="4">
        <f t="shared" si="77"/>
        <v>1612</v>
      </c>
      <c r="AI63" s="4">
        <f t="shared" si="77"/>
        <v>1770</v>
      </c>
      <c r="AJ63" s="4">
        <f t="shared" si="77"/>
        <v>1905</v>
      </c>
      <c r="AK63" s="4">
        <f t="shared" si="77"/>
        <v>2163</v>
      </c>
      <c r="AL63" s="4">
        <f t="shared" si="77"/>
        <v>2127</v>
      </c>
      <c r="AM63" s="4">
        <f t="shared" si="77"/>
        <v>972</v>
      </c>
      <c r="AN63" s="4">
        <f t="shared" si="77"/>
        <v>952</v>
      </c>
      <c r="AO63" s="180">
        <f t="shared" si="77"/>
        <v>1196</v>
      </c>
      <c r="AS63" s="179"/>
      <c r="AT63" s="11"/>
      <c r="AW63" s="314">
        <f t="shared" si="77"/>
        <v>1622</v>
      </c>
      <c r="BA63" s="179"/>
      <c r="BB63" s="11"/>
      <c r="BE63" s="314">
        <f t="shared" si="77"/>
        <v>1467</v>
      </c>
      <c r="BI63" s="179"/>
      <c r="BJ63" s="11"/>
      <c r="BM63" s="314">
        <f t="shared" si="77"/>
        <v>1854</v>
      </c>
      <c r="BQ63" s="179"/>
      <c r="BR63" s="11"/>
      <c r="BU63" s="603">
        <f>BU62+BU61</f>
        <v>2184</v>
      </c>
      <c r="BY63" s="179"/>
      <c r="BZ63" s="11"/>
      <c r="CC63" s="603">
        <f>CC62+CC61</f>
        <v>2392</v>
      </c>
      <c r="CG63" s="179"/>
      <c r="CH63" s="11"/>
      <c r="CK63" s="603">
        <f>CK62+CK61</f>
        <v>2591</v>
      </c>
      <c r="CO63" s="179"/>
      <c r="CP63" s="11"/>
      <c r="CS63" s="603">
        <f>CS62+CS61</f>
        <v>2611</v>
      </c>
      <c r="CW63" s="179"/>
      <c r="CX63" s="11"/>
      <c r="DA63" s="603">
        <f>DA62+DA61</f>
        <v>2611</v>
      </c>
    </row>
    <row r="64" spans="1:105" outlineLevel="1" x14ac:dyDescent="0.2">
      <c r="A64" s="199"/>
      <c r="B64" s="1019"/>
      <c r="AO64" s="180"/>
      <c r="AS64" s="179"/>
      <c r="AW64" s="314"/>
      <c r="BA64" s="179"/>
      <c r="BE64" s="314"/>
      <c r="BI64" s="179"/>
      <c r="BM64" s="314"/>
      <c r="BQ64" s="179"/>
      <c r="BU64" s="314"/>
      <c r="BY64" s="179"/>
      <c r="CC64" s="314"/>
      <c r="CG64" s="179"/>
      <c r="CK64" s="314"/>
      <c r="CO64" s="179"/>
      <c r="CS64" s="314"/>
      <c r="CW64" s="179"/>
      <c r="DA64" s="314"/>
    </row>
    <row r="65" spans="1:106" outlineLevel="1" x14ac:dyDescent="0.2">
      <c r="A65" s="338" t="s">
        <v>933</v>
      </c>
      <c r="B65" s="1013"/>
      <c r="C65" s="1006"/>
      <c r="D65" s="1006"/>
      <c r="E65" s="1006"/>
      <c r="F65" s="1006"/>
      <c r="G65" s="1006"/>
      <c r="H65" s="1006"/>
      <c r="I65" s="1006"/>
      <c r="J65" s="1006"/>
      <c r="K65" s="1006"/>
      <c r="L65" s="1006"/>
      <c r="M65" s="1006"/>
      <c r="N65" s="1006"/>
      <c r="O65" s="1006"/>
      <c r="P65" s="1006"/>
      <c r="Q65" s="1006"/>
      <c r="R65" s="1006"/>
      <c r="S65" s="1006"/>
      <c r="T65" s="1006"/>
      <c r="U65" s="1006"/>
      <c r="V65" s="1006"/>
      <c r="W65" s="1006"/>
      <c r="X65" s="1006"/>
      <c r="Y65" s="1006"/>
      <c r="Z65" s="1006"/>
      <c r="AA65" s="1006"/>
      <c r="AB65" s="1006"/>
      <c r="AC65" s="1006"/>
      <c r="AD65" s="1006"/>
      <c r="AE65" s="1006"/>
      <c r="AF65" s="1006"/>
      <c r="AG65" s="1006"/>
      <c r="AH65" s="1020"/>
      <c r="AI65" s="1020"/>
      <c r="AJ65" s="1020"/>
      <c r="AK65" s="1020"/>
      <c r="AL65" s="1020"/>
      <c r="AM65" s="1006"/>
      <c r="AN65" s="1006"/>
      <c r="AO65" s="1021"/>
      <c r="AP65" s="1006"/>
      <c r="AQ65" s="1006"/>
      <c r="AR65" s="1006"/>
      <c r="AS65" s="1022"/>
      <c r="AT65" s="1006"/>
      <c r="AU65" s="1006"/>
      <c r="AV65" s="1006"/>
      <c r="AW65" s="1023"/>
      <c r="AX65" s="1006"/>
      <c r="AY65" s="1006"/>
      <c r="AZ65" s="1006"/>
      <c r="BA65" s="1022"/>
      <c r="BB65" s="1006"/>
      <c r="BC65" s="1006"/>
      <c r="BD65" s="1006"/>
      <c r="BE65" s="1016"/>
      <c r="BF65" s="1006"/>
      <c r="BG65" s="1006"/>
      <c r="BH65" s="1006"/>
      <c r="BI65" s="1022"/>
      <c r="BJ65" s="1006"/>
      <c r="BK65" s="1006"/>
      <c r="BL65" s="1006"/>
      <c r="BM65" s="1023"/>
      <c r="BN65" s="1006"/>
      <c r="BO65" s="1006"/>
      <c r="BP65" s="1006"/>
      <c r="BQ65" s="1022"/>
      <c r="BR65" s="1006"/>
      <c r="BS65" s="1006"/>
      <c r="BT65" s="1006"/>
      <c r="BU65" s="1023"/>
      <c r="BV65" s="1006"/>
      <c r="BW65" s="1006"/>
      <c r="BX65" s="1006"/>
      <c r="BY65" s="1022"/>
      <c r="BZ65" s="1006"/>
      <c r="CA65" s="1006"/>
      <c r="CB65" s="1006"/>
      <c r="CC65" s="1023"/>
      <c r="CD65" s="1006"/>
      <c r="CE65" s="1006"/>
      <c r="CF65" s="1006"/>
      <c r="CG65" s="1022"/>
      <c r="CH65" s="1006"/>
      <c r="CI65" s="1006"/>
      <c r="CJ65" s="1006"/>
      <c r="CK65" s="1023"/>
      <c r="CL65" s="1006"/>
      <c r="CM65" s="1006"/>
      <c r="CN65" s="1006"/>
      <c r="CO65" s="1022"/>
      <c r="CP65" s="1006"/>
      <c r="CQ65" s="1006"/>
      <c r="CR65" s="1006"/>
      <c r="CS65" s="1023"/>
      <c r="CT65" s="1006"/>
      <c r="CU65" s="1006"/>
      <c r="CV65" s="1006"/>
      <c r="CW65" s="1022"/>
      <c r="CX65" s="1006"/>
      <c r="CY65" s="1006"/>
      <c r="CZ65" s="1006"/>
      <c r="DA65" s="1023"/>
    </row>
    <row r="66" spans="1:106" ht="15" outlineLevel="1" x14ac:dyDescent="0.25">
      <c r="A66" s="199"/>
      <c r="B66" s="1013" t="s">
        <v>930</v>
      </c>
      <c r="C66" s="1024"/>
      <c r="D66" s="1025"/>
      <c r="E66" s="1025"/>
      <c r="F66" s="1025"/>
      <c r="G66" s="1025"/>
      <c r="H66" s="1025"/>
      <c r="I66" s="1025"/>
      <c r="J66" s="1025"/>
      <c r="K66" s="1025">
        <v>38</v>
      </c>
      <c r="L66" s="1025">
        <f>K66</f>
        <v>38</v>
      </c>
      <c r="M66" s="1025">
        <f t="shared" ref="M66:AF66" si="78">L66</f>
        <v>38</v>
      </c>
      <c r="N66" s="1025">
        <f t="shared" si="78"/>
        <v>38</v>
      </c>
      <c r="O66" s="1025">
        <f t="shared" si="78"/>
        <v>38</v>
      </c>
      <c r="P66" s="1025">
        <f t="shared" si="78"/>
        <v>38</v>
      </c>
      <c r="Q66" s="1025">
        <f t="shared" si="78"/>
        <v>38</v>
      </c>
      <c r="R66" s="1025">
        <f t="shared" si="78"/>
        <v>38</v>
      </c>
      <c r="S66" s="1025">
        <f t="shared" si="78"/>
        <v>38</v>
      </c>
      <c r="T66" s="1025">
        <f t="shared" si="78"/>
        <v>38</v>
      </c>
      <c r="U66" s="1025">
        <f t="shared" si="78"/>
        <v>38</v>
      </c>
      <c r="V66" s="1025">
        <f t="shared" si="78"/>
        <v>38</v>
      </c>
      <c r="W66" s="1025">
        <f t="shared" si="78"/>
        <v>38</v>
      </c>
      <c r="X66" s="1025">
        <f t="shared" si="78"/>
        <v>38</v>
      </c>
      <c r="Y66" s="1025">
        <f t="shared" si="78"/>
        <v>38</v>
      </c>
      <c r="Z66" s="1025">
        <f t="shared" si="78"/>
        <v>38</v>
      </c>
      <c r="AA66" s="1025">
        <f t="shared" si="78"/>
        <v>38</v>
      </c>
      <c r="AB66" s="1025">
        <f t="shared" si="78"/>
        <v>38</v>
      </c>
      <c r="AC66" s="1025">
        <f t="shared" si="78"/>
        <v>38</v>
      </c>
      <c r="AD66" s="1025">
        <f t="shared" si="78"/>
        <v>38</v>
      </c>
      <c r="AE66" s="1025">
        <f t="shared" si="78"/>
        <v>38</v>
      </c>
      <c r="AF66" s="1025">
        <f t="shared" si="78"/>
        <v>38</v>
      </c>
      <c r="AG66" s="900">
        <f>(21*4)+(18*4)+(122*2)</f>
        <v>400</v>
      </c>
      <c r="AH66" s="900">
        <f>(5*4)+(22*4)+(86*2)</f>
        <v>280</v>
      </c>
      <c r="AI66" s="900">
        <f>(2*4)+(10*4)+(74*2)</f>
        <v>196</v>
      </c>
      <c r="AJ66" s="900">
        <f>(2*4)+(23*4)+(88*2)</f>
        <v>276</v>
      </c>
      <c r="AK66" s="900">
        <f>(1*4)+(16*4)+(60*2)</f>
        <v>188</v>
      </c>
      <c r="AL66" s="900">
        <f>(1*4)+(15*4)+(63*2)</f>
        <v>190</v>
      </c>
      <c r="AM66" s="900">
        <f>(1*4)+(15*4)+(53*2)</f>
        <v>170</v>
      </c>
      <c r="AN66" s="900">
        <f>(4*4)+(5*4)+(42*2)</f>
        <v>120</v>
      </c>
      <c r="AO66" s="912">
        <f>(2*4)+(4*4)+(35*2)</f>
        <v>94</v>
      </c>
      <c r="AP66" s="900"/>
      <c r="AQ66" s="900"/>
      <c r="AR66" s="900"/>
      <c r="AS66" s="954"/>
      <c r="AT66" s="900"/>
      <c r="AU66" s="900"/>
      <c r="AV66" s="900"/>
      <c r="AW66" s="955">
        <f>(4*4)+(12*2)+(18*2)+(7*2)+(7*4)</f>
        <v>118</v>
      </c>
      <c r="AX66" s="900"/>
      <c r="AY66" s="900"/>
      <c r="AZ66" s="900"/>
      <c r="BA66" s="954"/>
      <c r="BB66" s="900"/>
      <c r="BC66" s="900"/>
      <c r="BD66" s="900"/>
      <c r="BE66" s="955">
        <f>(9*4)+(7*2)+(14*2)+(6*2)+(1*4)</f>
        <v>94</v>
      </c>
      <c r="BF66" s="900"/>
      <c r="BG66" s="900"/>
      <c r="BH66" s="900"/>
      <c r="BI66" s="954"/>
      <c r="BJ66" s="900"/>
      <c r="BK66" s="900"/>
      <c r="BL66" s="900"/>
      <c r="BM66" s="955">
        <f>(1*4)+(1*2)+(8*2)+(18*2)+(14*2)+(4*4)</f>
        <v>102</v>
      </c>
      <c r="BN66" s="900"/>
      <c r="BO66" s="900"/>
      <c r="BP66" s="900"/>
      <c r="BQ66" s="954"/>
      <c r="BR66" s="900"/>
      <c r="BS66" s="900"/>
      <c r="BT66" s="900"/>
      <c r="BU66" s="915">
        <f>BM80*BU73</f>
        <v>108.7</v>
      </c>
      <c r="BV66" s="900"/>
      <c r="BW66" s="900"/>
      <c r="BX66" s="900"/>
      <c r="BY66" s="954"/>
      <c r="BZ66" s="900"/>
      <c r="CA66" s="900"/>
      <c r="CB66" s="900"/>
      <c r="CC66" s="915">
        <f>BU80*CC73</f>
        <v>127.179</v>
      </c>
      <c r="CD66" s="900"/>
      <c r="CE66" s="900"/>
      <c r="CF66" s="900"/>
      <c r="CG66" s="954"/>
      <c r="CH66" s="900"/>
      <c r="CI66" s="900"/>
      <c r="CJ66" s="900"/>
      <c r="CK66" s="915">
        <f>CC80*CK73</f>
        <v>143.92423500000001</v>
      </c>
      <c r="CL66" s="900"/>
      <c r="CM66" s="900"/>
      <c r="CN66" s="900"/>
      <c r="CO66" s="954"/>
      <c r="CP66" s="900"/>
      <c r="CQ66" s="900"/>
      <c r="CR66" s="900"/>
      <c r="CS66" s="915">
        <f>CK80*CS73</f>
        <v>158.72787060000002</v>
      </c>
      <c r="CT66" s="900"/>
      <c r="CU66" s="900"/>
      <c r="CV66" s="900"/>
      <c r="CW66" s="954"/>
      <c r="CX66" s="900"/>
      <c r="CY66" s="900"/>
      <c r="CZ66" s="900"/>
      <c r="DA66" s="915">
        <f>CS80*DA73</f>
        <v>171.42610024799998</v>
      </c>
      <c r="DB66" s="899"/>
    </row>
    <row r="67" spans="1:106" outlineLevel="1" x14ac:dyDescent="0.2">
      <c r="A67" s="199"/>
      <c r="B67" s="1013" t="s">
        <v>934</v>
      </c>
      <c r="C67" s="1025"/>
      <c r="D67" s="1025"/>
      <c r="E67" s="1025"/>
      <c r="F67" s="1025"/>
      <c r="G67" s="1025"/>
      <c r="H67" s="1025"/>
      <c r="I67" s="1025"/>
      <c r="J67" s="1025"/>
      <c r="K67" s="1025"/>
      <c r="L67" s="1025"/>
      <c r="M67" s="1025"/>
      <c r="N67" s="1025"/>
      <c r="O67" s="1025"/>
      <c r="P67" s="1025"/>
      <c r="Q67" s="1025"/>
      <c r="R67" s="1025"/>
      <c r="S67" s="1025"/>
      <c r="T67" s="1025"/>
      <c r="U67" s="1025"/>
      <c r="V67" s="1025"/>
      <c r="W67" s="1025"/>
      <c r="X67" s="1025"/>
      <c r="Y67" s="1025"/>
      <c r="Z67" s="1025"/>
      <c r="AA67" s="1025"/>
      <c r="AB67" s="1025"/>
      <c r="AC67" s="980"/>
      <c r="AD67" s="980"/>
      <c r="AE67" s="980"/>
      <c r="AF67" s="980">
        <f>16*2</f>
        <v>32</v>
      </c>
      <c r="AG67" s="899">
        <f>22*2</f>
        <v>44</v>
      </c>
      <c r="AH67" s="899">
        <f>27*2</f>
        <v>54</v>
      </c>
      <c r="AI67" s="899">
        <f>34*2</f>
        <v>68</v>
      </c>
      <c r="AJ67" s="899">
        <f>41*2</f>
        <v>82</v>
      </c>
      <c r="AK67" s="899">
        <f>45*2</f>
        <v>90</v>
      </c>
      <c r="AL67" s="899">
        <f>104*2</f>
        <v>208</v>
      </c>
      <c r="AM67" s="900">
        <f>81*2</f>
        <v>162</v>
      </c>
      <c r="AN67" s="900">
        <f>102*2</f>
        <v>204</v>
      </c>
      <c r="AO67" s="1026">
        <f>135*2</f>
        <v>270</v>
      </c>
      <c r="AP67" s="1025"/>
      <c r="AQ67" s="1025"/>
      <c r="AR67" s="1025"/>
      <c r="AS67" s="1027"/>
      <c r="AT67" s="1025"/>
      <c r="AU67" s="1025"/>
      <c r="AV67" s="1025"/>
      <c r="AW67" s="955">
        <f>(95*2)+(84*2)</f>
        <v>358</v>
      </c>
      <c r="AX67" s="1025"/>
      <c r="AY67" s="1025"/>
      <c r="AZ67" s="1025"/>
      <c r="BA67" s="1027"/>
      <c r="BB67" s="1025"/>
      <c r="BC67" s="1025"/>
      <c r="BD67" s="1025"/>
      <c r="BE67" s="955">
        <f>(67*2)+(86*2)</f>
        <v>306</v>
      </c>
      <c r="BF67" s="1025"/>
      <c r="BG67" s="1025"/>
      <c r="BH67" s="1025"/>
      <c r="BI67" s="1027"/>
      <c r="BJ67" s="1025"/>
      <c r="BK67" s="1025"/>
      <c r="BL67" s="1025"/>
      <c r="BM67" s="955">
        <f>(54*2)+(97*2)</f>
        <v>302</v>
      </c>
      <c r="BN67" s="1025"/>
      <c r="BO67" s="1025"/>
      <c r="BP67" s="1025"/>
      <c r="BQ67" s="1027"/>
      <c r="BR67" s="1025"/>
      <c r="BS67" s="1025"/>
      <c r="BT67" s="1025"/>
      <c r="BU67" s="915">
        <f>BM81*BU74</f>
        <v>328.32</v>
      </c>
      <c r="BV67" s="1025"/>
      <c r="BW67" s="1025"/>
      <c r="BX67" s="1025"/>
      <c r="BY67" s="1027"/>
      <c r="BZ67" s="1025"/>
      <c r="CA67" s="1025"/>
      <c r="CB67" s="1025"/>
      <c r="CC67" s="915">
        <f>BU81*CC74</f>
        <v>377.95940000000002</v>
      </c>
      <c r="CD67" s="1025"/>
      <c r="CE67" s="1025"/>
      <c r="CF67" s="1025"/>
      <c r="CG67" s="1027"/>
      <c r="CH67" s="1025"/>
      <c r="CI67" s="1025"/>
      <c r="CJ67" s="1025"/>
      <c r="CK67" s="915">
        <f>CC81*CK74</f>
        <v>424.99441200000001</v>
      </c>
      <c r="CL67" s="1025"/>
      <c r="CM67" s="1025"/>
      <c r="CN67" s="1025"/>
      <c r="CO67" s="1027"/>
      <c r="CP67" s="1025"/>
      <c r="CQ67" s="1025"/>
      <c r="CR67" s="1025"/>
      <c r="CS67" s="915">
        <f>CK81*CS74</f>
        <v>521.36815469999999</v>
      </c>
      <c r="CT67" s="1025"/>
      <c r="CU67" s="1025"/>
      <c r="CV67" s="1025"/>
      <c r="CW67" s="1027"/>
      <c r="CX67" s="1025"/>
      <c r="CY67" s="1025"/>
      <c r="CZ67" s="1025"/>
      <c r="DA67" s="915">
        <f>CS81*DA74</f>
        <v>610.90074099899994</v>
      </c>
      <c r="DB67" s="899"/>
    </row>
    <row r="68" spans="1:106" s="186" customFormat="1" outlineLevel="1" x14ac:dyDescent="0.2">
      <c r="A68" s="338"/>
      <c r="B68" s="1019" t="s">
        <v>790</v>
      </c>
      <c r="C68" s="997"/>
      <c r="D68" s="997"/>
      <c r="E68" s="997"/>
      <c r="F68" s="997"/>
      <c r="G68" s="997"/>
      <c r="H68" s="997"/>
      <c r="I68" s="997"/>
      <c r="J68" s="997"/>
      <c r="K68" s="997"/>
      <c r="L68" s="997"/>
      <c r="M68" s="997"/>
      <c r="N68" s="997"/>
      <c r="O68" s="997"/>
      <c r="P68" s="997"/>
      <c r="Q68" s="997"/>
      <c r="R68" s="997"/>
      <c r="S68" s="997"/>
      <c r="T68" s="997"/>
      <c r="U68" s="997"/>
      <c r="V68" s="997"/>
      <c r="W68" s="997"/>
      <c r="X68" s="997"/>
      <c r="Y68" s="997"/>
      <c r="Z68" s="997"/>
      <c r="AA68" s="997"/>
      <c r="AB68" s="997"/>
      <c r="AC68" s="997">
        <f t="shared" ref="AC68:AO68" si="79">AC67+AC66</f>
        <v>38</v>
      </c>
      <c r="AD68" s="997">
        <f t="shared" si="79"/>
        <v>38</v>
      </c>
      <c r="AE68" s="997">
        <f t="shared" si="79"/>
        <v>38</v>
      </c>
      <c r="AF68" s="997">
        <f t="shared" si="79"/>
        <v>70</v>
      </c>
      <c r="AG68" s="997">
        <f t="shared" si="79"/>
        <v>444</v>
      </c>
      <c r="AH68" s="997">
        <f t="shared" si="79"/>
        <v>334</v>
      </c>
      <c r="AI68" s="997">
        <f t="shared" si="79"/>
        <v>264</v>
      </c>
      <c r="AJ68" s="997">
        <f t="shared" si="79"/>
        <v>358</v>
      </c>
      <c r="AK68" s="997">
        <f t="shared" si="79"/>
        <v>278</v>
      </c>
      <c r="AL68" s="997">
        <f t="shared" si="79"/>
        <v>398</v>
      </c>
      <c r="AM68" s="996">
        <f t="shared" si="79"/>
        <v>332</v>
      </c>
      <c r="AN68" s="996">
        <f t="shared" si="79"/>
        <v>324</v>
      </c>
      <c r="AO68" s="1028">
        <f t="shared" si="79"/>
        <v>364</v>
      </c>
      <c r="AP68" s="996"/>
      <c r="AQ68" s="996"/>
      <c r="AR68" s="996"/>
      <c r="AS68" s="1029"/>
      <c r="AT68" s="996"/>
      <c r="AU68" s="996"/>
      <c r="AV68" s="996"/>
      <c r="AW68" s="1416">
        <f>AW67+AW66</f>
        <v>476</v>
      </c>
      <c r="AX68" s="996"/>
      <c r="AY68" s="996"/>
      <c r="AZ68" s="996"/>
      <c r="BA68" s="1029"/>
      <c r="BB68" s="996"/>
      <c r="BC68" s="996"/>
      <c r="BD68" s="996"/>
      <c r="BE68" s="1032">
        <f>BE67+BE66</f>
        <v>400</v>
      </c>
      <c r="BF68" s="996"/>
      <c r="BG68" s="996"/>
      <c r="BH68" s="996"/>
      <c r="BI68" s="1029"/>
      <c r="BJ68" s="996"/>
      <c r="BK68" s="996"/>
      <c r="BL68" s="996"/>
      <c r="BM68" s="1032">
        <f>BM67+BM66</f>
        <v>404</v>
      </c>
      <c r="BN68" s="996"/>
      <c r="BO68" s="996"/>
      <c r="BP68" s="996"/>
      <c r="BQ68" s="1029"/>
      <c r="BR68" s="996"/>
      <c r="BS68" s="996"/>
      <c r="BT68" s="996"/>
      <c r="BU68" s="1030">
        <f>BU67+BU66</f>
        <v>437.02</v>
      </c>
      <c r="BV68" s="996"/>
      <c r="BW68" s="996"/>
      <c r="BX68" s="996"/>
      <c r="BY68" s="1029"/>
      <c r="BZ68" s="996"/>
      <c r="CA68" s="996"/>
      <c r="CB68" s="996"/>
      <c r="CC68" s="1030">
        <f>CC67+CC66</f>
        <v>505.13840000000005</v>
      </c>
      <c r="CD68" s="996"/>
      <c r="CE68" s="996"/>
      <c r="CF68" s="996"/>
      <c r="CG68" s="1029"/>
      <c r="CH68" s="996"/>
      <c r="CI68" s="996"/>
      <c r="CJ68" s="996"/>
      <c r="CK68" s="1030">
        <f>CK67+CK66</f>
        <v>568.91864699999996</v>
      </c>
      <c r="CL68" s="996"/>
      <c r="CM68" s="996"/>
      <c r="CN68" s="996"/>
      <c r="CO68" s="1029"/>
      <c r="CP68" s="996"/>
      <c r="CQ68" s="996"/>
      <c r="CR68" s="996"/>
      <c r="CS68" s="1030">
        <f>CS67+CS66</f>
        <v>680.09602530000006</v>
      </c>
      <c r="CT68" s="996"/>
      <c r="CU68" s="996"/>
      <c r="CV68" s="996"/>
      <c r="CW68" s="1029"/>
      <c r="CX68" s="996"/>
      <c r="CY68" s="996"/>
      <c r="CZ68" s="996"/>
      <c r="DA68" s="1030">
        <f>DA67+DA66</f>
        <v>782.32684124699995</v>
      </c>
      <c r="DB68" s="931"/>
    </row>
    <row r="69" spans="1:106" s="186" customFormat="1" outlineLevel="1" x14ac:dyDescent="0.2">
      <c r="A69" s="338"/>
      <c r="B69" s="1019" t="s">
        <v>791</v>
      </c>
      <c r="C69" s="997"/>
      <c r="D69" s="997"/>
      <c r="E69" s="997"/>
      <c r="F69" s="997"/>
      <c r="G69" s="997"/>
      <c r="H69" s="997"/>
      <c r="I69" s="997"/>
      <c r="J69" s="997"/>
      <c r="K69" s="997"/>
      <c r="L69" s="997"/>
      <c r="M69" s="997"/>
      <c r="N69" s="997"/>
      <c r="O69" s="997"/>
      <c r="P69" s="997"/>
      <c r="Q69" s="997"/>
      <c r="R69" s="997"/>
      <c r="S69" s="997"/>
      <c r="T69" s="997"/>
      <c r="U69" s="997"/>
      <c r="V69" s="997"/>
      <c r="W69" s="997"/>
      <c r="X69" s="997"/>
      <c r="Y69" s="997"/>
      <c r="Z69" s="997"/>
      <c r="AA69" s="997"/>
      <c r="AB69" s="997"/>
      <c r="AC69" s="997"/>
      <c r="AD69" s="997"/>
      <c r="AE69" s="997">
        <v>0</v>
      </c>
      <c r="AF69" s="997">
        <v>0</v>
      </c>
      <c r="AG69" s="997">
        <v>0</v>
      </c>
      <c r="AH69" s="997">
        <v>0</v>
      </c>
      <c r="AI69" s="997">
        <v>0</v>
      </c>
      <c r="AJ69" s="997">
        <v>0</v>
      </c>
      <c r="AK69" s="997">
        <v>0</v>
      </c>
      <c r="AL69" s="997">
        <v>0</v>
      </c>
      <c r="AM69" s="996">
        <v>0</v>
      </c>
      <c r="AN69" s="996">
        <v>0</v>
      </c>
      <c r="AO69" s="1028">
        <v>0</v>
      </c>
      <c r="AP69" s="996"/>
      <c r="AQ69" s="996"/>
      <c r="AR69" s="996"/>
      <c r="AS69" s="1029"/>
      <c r="AT69" s="996"/>
      <c r="AU69" s="996"/>
      <c r="AV69" s="996"/>
      <c r="AW69" s="1416">
        <v>0</v>
      </c>
      <c r="AX69" s="996"/>
      <c r="AY69" s="996"/>
      <c r="AZ69" s="996"/>
      <c r="BA69" s="1029"/>
      <c r="BB69" s="996"/>
      <c r="BC69" s="996"/>
      <c r="BD69" s="996"/>
      <c r="BE69" s="1032">
        <v>0</v>
      </c>
      <c r="BF69" s="996"/>
      <c r="BG69" s="996"/>
      <c r="BH69" s="996"/>
      <c r="BI69" s="1029"/>
      <c r="BJ69" s="996"/>
      <c r="BK69" s="996"/>
      <c r="BL69" s="996"/>
      <c r="BM69" s="1032">
        <v>0</v>
      </c>
      <c r="BN69" s="996"/>
      <c r="BO69" s="996"/>
      <c r="BP69" s="996"/>
      <c r="BQ69" s="1029"/>
      <c r="BR69" s="996"/>
      <c r="BS69" s="996"/>
      <c r="BT69" s="996"/>
      <c r="BU69" s="1031">
        <v>0</v>
      </c>
      <c r="BV69" s="996"/>
      <c r="BW69" s="996"/>
      <c r="BX69" s="996"/>
      <c r="BY69" s="1029"/>
      <c r="BZ69" s="996"/>
      <c r="CA69" s="996"/>
      <c r="CB69" s="996"/>
      <c r="CC69" s="1031">
        <v>0</v>
      </c>
      <c r="CD69" s="996"/>
      <c r="CE69" s="996"/>
      <c r="CF69" s="996"/>
      <c r="CG69" s="1029"/>
      <c r="CH69" s="996"/>
      <c r="CI69" s="996"/>
      <c r="CJ69" s="996"/>
      <c r="CK69" s="1031">
        <v>0</v>
      </c>
      <c r="CL69" s="996"/>
      <c r="CM69" s="996"/>
      <c r="CN69" s="996"/>
      <c r="CO69" s="1029"/>
      <c r="CP69" s="996"/>
      <c r="CQ69" s="996"/>
      <c r="CR69" s="996"/>
      <c r="CS69" s="1031">
        <v>0</v>
      </c>
      <c r="CT69" s="996"/>
      <c r="CU69" s="996"/>
      <c r="CV69" s="996"/>
      <c r="CW69" s="1029"/>
      <c r="CX69" s="996"/>
      <c r="CY69" s="996"/>
      <c r="CZ69" s="996"/>
      <c r="DA69" s="1031">
        <v>0</v>
      </c>
      <c r="DB69" s="931"/>
    </row>
    <row r="70" spans="1:106" s="186" customFormat="1" outlineLevel="1" x14ac:dyDescent="0.2">
      <c r="A70" s="338"/>
      <c r="B70" s="1019" t="s">
        <v>935</v>
      </c>
      <c r="AE70" s="186">
        <f t="shared" ref="AE70:AO70" si="80">AE69+AE68</f>
        <v>38</v>
      </c>
      <c r="AF70" s="186">
        <f t="shared" si="80"/>
        <v>70</v>
      </c>
      <c r="AG70" s="186">
        <f t="shared" si="80"/>
        <v>444</v>
      </c>
      <c r="AH70" s="186">
        <f t="shared" si="80"/>
        <v>334</v>
      </c>
      <c r="AI70" s="186">
        <f t="shared" si="80"/>
        <v>264</v>
      </c>
      <c r="AJ70" s="186">
        <f t="shared" si="80"/>
        <v>358</v>
      </c>
      <c r="AK70" s="186">
        <f t="shared" si="80"/>
        <v>278</v>
      </c>
      <c r="AL70" s="186">
        <f t="shared" si="80"/>
        <v>398</v>
      </c>
      <c r="AM70" s="186">
        <f t="shared" si="80"/>
        <v>332</v>
      </c>
      <c r="AN70" s="186">
        <f t="shared" si="80"/>
        <v>324</v>
      </c>
      <c r="AO70" s="284">
        <f t="shared" si="80"/>
        <v>364</v>
      </c>
      <c r="AS70" s="283"/>
      <c r="AW70" s="341">
        <f>AW69+AW68</f>
        <v>476</v>
      </c>
      <c r="BA70" s="283"/>
      <c r="BE70" s="341">
        <f>BE69+BE68</f>
        <v>400</v>
      </c>
      <c r="BI70" s="283"/>
      <c r="BM70" s="341">
        <f>BM69+BM68</f>
        <v>404</v>
      </c>
      <c r="BQ70" s="283"/>
      <c r="BU70" s="301">
        <f>BU69+BU68</f>
        <v>437.02</v>
      </c>
      <c r="BY70" s="283"/>
      <c r="CC70" s="301">
        <f>CC69+CC68</f>
        <v>505.13840000000005</v>
      </c>
      <c r="CG70" s="283"/>
      <c r="CK70" s="301">
        <f>CK69+CK68</f>
        <v>568.91864699999996</v>
      </c>
      <c r="CO70" s="283"/>
      <c r="CS70" s="301">
        <f>CS69+CS68</f>
        <v>680.09602530000006</v>
      </c>
      <c r="CW70" s="283"/>
      <c r="DA70" s="301">
        <f>DA69+DA68</f>
        <v>782.32684124699995</v>
      </c>
      <c r="DB70" s="931"/>
    </row>
    <row r="71" spans="1:106" outlineLevel="1" x14ac:dyDescent="0.2">
      <c r="A71" s="199"/>
      <c r="B71" s="1019"/>
      <c r="C71" s="997"/>
      <c r="D71" s="997"/>
      <c r="E71" s="997"/>
      <c r="F71" s="997"/>
      <c r="G71" s="997"/>
      <c r="H71" s="997"/>
      <c r="I71" s="997"/>
      <c r="J71" s="997"/>
      <c r="K71" s="997"/>
      <c r="L71" s="997"/>
      <c r="M71" s="997"/>
      <c r="N71" s="997"/>
      <c r="O71" s="997"/>
      <c r="P71" s="997"/>
      <c r="Q71" s="997"/>
      <c r="R71" s="997"/>
      <c r="S71" s="997"/>
      <c r="T71" s="997"/>
      <c r="U71" s="997"/>
      <c r="V71" s="997"/>
      <c r="W71" s="997"/>
      <c r="X71" s="997"/>
      <c r="Y71" s="997"/>
      <c r="Z71" s="997"/>
      <c r="AA71" s="997"/>
      <c r="AB71" s="997"/>
      <c r="AC71" s="997"/>
      <c r="AD71" s="997"/>
      <c r="AE71" s="997"/>
      <c r="AF71" s="997"/>
      <c r="AG71" s="926"/>
      <c r="AH71" s="926"/>
      <c r="AI71" s="926"/>
      <c r="AJ71" s="926"/>
      <c r="AK71" s="926"/>
      <c r="AL71" s="926"/>
      <c r="AM71" s="926"/>
      <c r="AN71" s="926"/>
      <c r="AO71" s="934"/>
      <c r="AP71" s="926"/>
      <c r="AQ71" s="926"/>
      <c r="AR71" s="926"/>
      <c r="AS71" s="1001"/>
      <c r="AT71" s="926"/>
      <c r="AU71" s="926"/>
      <c r="AV71" s="926"/>
      <c r="AW71" s="1032"/>
      <c r="AX71" s="926"/>
      <c r="AY71" s="926"/>
      <c r="AZ71" s="926"/>
      <c r="BA71" s="1001"/>
      <c r="BB71" s="926"/>
      <c r="BC71" s="926"/>
      <c r="BD71" s="926"/>
      <c r="BE71" s="1032"/>
      <c r="BF71" s="926"/>
      <c r="BG71" s="926"/>
      <c r="BH71" s="926"/>
      <c r="BI71" s="1001"/>
      <c r="BJ71" s="926"/>
      <c r="BK71" s="926"/>
      <c r="BL71" s="926"/>
      <c r="BM71" s="1032"/>
      <c r="BN71" s="926"/>
      <c r="BO71" s="926"/>
      <c r="BP71" s="926"/>
      <c r="BQ71" s="1001"/>
      <c r="BR71" s="926"/>
      <c r="BS71" s="926"/>
      <c r="BT71" s="926"/>
      <c r="BU71" s="1032"/>
      <c r="BV71" s="926"/>
      <c r="BW71" s="926"/>
      <c r="BX71" s="926"/>
      <c r="BY71" s="1001"/>
      <c r="BZ71" s="926"/>
      <c r="CA71" s="926"/>
      <c r="CB71" s="926"/>
      <c r="CC71" s="1032"/>
      <c r="CD71" s="926"/>
      <c r="CE71" s="926"/>
      <c r="CF71" s="926"/>
      <c r="CG71" s="1001"/>
      <c r="CH71" s="926"/>
      <c r="CI71" s="926"/>
      <c r="CJ71" s="926"/>
      <c r="CK71" s="1032"/>
      <c r="CL71" s="926"/>
      <c r="CM71" s="926"/>
      <c r="CN71" s="926"/>
      <c r="CO71" s="1001"/>
      <c r="CP71" s="926"/>
      <c r="CQ71" s="926"/>
      <c r="CR71" s="926"/>
      <c r="CS71" s="1032"/>
      <c r="CT71" s="926"/>
      <c r="CU71" s="926"/>
      <c r="CV71" s="926"/>
      <c r="CW71" s="1001"/>
      <c r="CX71" s="926"/>
      <c r="CY71" s="926"/>
      <c r="CZ71" s="926"/>
      <c r="DA71" s="1032"/>
    </row>
    <row r="72" spans="1:106" outlineLevel="1" x14ac:dyDescent="0.2">
      <c r="A72" s="338" t="s">
        <v>936</v>
      </c>
      <c r="B72" s="1019"/>
      <c r="C72" s="997"/>
      <c r="D72" s="997"/>
      <c r="E72" s="997"/>
      <c r="F72" s="997"/>
      <c r="G72" s="997"/>
      <c r="H72" s="997"/>
      <c r="I72" s="997"/>
      <c r="J72" s="997"/>
      <c r="K72" s="997"/>
      <c r="L72" s="997"/>
      <c r="M72" s="997"/>
      <c r="N72" s="997"/>
      <c r="O72" s="997"/>
      <c r="P72" s="997"/>
      <c r="Q72" s="997"/>
      <c r="R72" s="997"/>
      <c r="S72" s="997"/>
      <c r="T72" s="997"/>
      <c r="U72" s="997"/>
      <c r="V72" s="997"/>
      <c r="W72" s="997"/>
      <c r="X72" s="997"/>
      <c r="Y72" s="997"/>
      <c r="Z72" s="997"/>
      <c r="AA72" s="997"/>
      <c r="AB72" s="997"/>
      <c r="AC72" s="997"/>
      <c r="AD72" s="997"/>
      <c r="AE72" s="997"/>
      <c r="AF72" s="997"/>
      <c r="AG72" s="926"/>
      <c r="AH72" s="926"/>
      <c r="AI72" s="926"/>
      <c r="AJ72" s="926"/>
      <c r="AK72" s="926"/>
      <c r="AL72" s="926"/>
      <c r="AM72" s="926"/>
      <c r="AN72" s="926"/>
      <c r="AO72" s="934"/>
      <c r="AP72" s="926"/>
      <c r="AQ72" s="926"/>
      <c r="AR72" s="926"/>
      <c r="AS72" s="1001"/>
      <c r="AT72" s="926"/>
      <c r="AU72" s="926"/>
      <c r="AV72" s="926"/>
      <c r="AW72" s="1032"/>
      <c r="AX72" s="926"/>
      <c r="AY72" s="926"/>
      <c r="AZ72" s="926"/>
      <c r="BA72" s="1001"/>
      <c r="BB72" s="926"/>
      <c r="BC72" s="926"/>
      <c r="BD72" s="926"/>
      <c r="BE72" s="1032"/>
      <c r="BF72" s="926"/>
      <c r="BG72" s="926"/>
      <c r="BH72" s="926"/>
      <c r="BI72" s="1001"/>
      <c r="BJ72" s="926"/>
      <c r="BK72" s="926"/>
      <c r="BL72" s="934"/>
      <c r="BM72" s="934"/>
      <c r="BN72" s="926"/>
      <c r="BO72" s="926"/>
      <c r="BP72" s="926"/>
      <c r="BQ72" s="1001"/>
      <c r="BR72" s="926"/>
      <c r="BS72" s="926"/>
      <c r="BT72" s="926"/>
      <c r="BU72" s="1032"/>
      <c r="BV72" s="926"/>
      <c r="BW72" s="926"/>
      <c r="BX72" s="926"/>
      <c r="BY72" s="1001"/>
      <c r="BZ72" s="926"/>
      <c r="CA72" s="926"/>
      <c r="CB72" s="926"/>
      <c r="CC72" s="1032"/>
      <c r="CD72" s="926"/>
      <c r="CE72" s="926"/>
      <c r="CF72" s="926"/>
      <c r="CG72" s="1001"/>
      <c r="CH72" s="926"/>
      <c r="CI72" s="926"/>
      <c r="CJ72" s="926"/>
      <c r="CK72" s="1032"/>
      <c r="CL72" s="926"/>
      <c r="CM72" s="926"/>
      <c r="CN72" s="926"/>
      <c r="CO72" s="1001"/>
      <c r="CP72" s="926"/>
      <c r="CQ72" s="926"/>
      <c r="CR72" s="926"/>
      <c r="CS72" s="1032"/>
      <c r="CT72" s="926"/>
      <c r="CU72" s="926"/>
      <c r="CV72" s="926"/>
      <c r="CW72" s="1001"/>
      <c r="CX72" s="926"/>
      <c r="CY72" s="926"/>
      <c r="CZ72" s="926"/>
      <c r="DA72" s="1032"/>
    </row>
    <row r="73" spans="1:106" s="237" customFormat="1" outlineLevel="1" x14ac:dyDescent="0.2">
      <c r="A73" s="1033"/>
      <c r="B73" s="1034" t="str">
        <f>B66</f>
        <v>Gen 1</v>
      </c>
      <c r="C73" s="1035"/>
      <c r="D73" s="1035"/>
      <c r="E73" s="1035"/>
      <c r="F73" s="1035"/>
      <c r="G73" s="1035"/>
      <c r="H73" s="1035"/>
      <c r="I73" s="1035"/>
      <c r="J73" s="1035"/>
      <c r="K73" s="1035"/>
      <c r="L73" s="1035"/>
      <c r="M73" s="1035"/>
      <c r="N73" s="1035"/>
      <c r="O73" s="1035"/>
      <c r="P73" s="1035"/>
      <c r="Q73" s="1035"/>
      <c r="R73" s="1035"/>
      <c r="S73" s="1035"/>
      <c r="T73" s="1035"/>
      <c r="U73" s="1035"/>
      <c r="V73" s="1035"/>
      <c r="W73" s="1035"/>
      <c r="X73" s="1035"/>
      <c r="Y73" s="1035"/>
      <c r="Z73" s="1036"/>
      <c r="AA73" s="1036"/>
      <c r="AB73" s="1036"/>
      <c r="AC73" s="1036"/>
      <c r="AD73" s="1036"/>
      <c r="AE73" s="1036"/>
      <c r="AF73" s="1036">
        <f t="shared" ref="AF73:AO74" si="81">AF66/AE80</f>
        <v>5.8265050782591631E-3</v>
      </c>
      <c r="AG73" s="1036">
        <f t="shared" si="81"/>
        <v>6.0827250608272508E-2</v>
      </c>
      <c r="AH73" s="1036">
        <f t="shared" si="81"/>
        <v>4.5336787564766841E-2</v>
      </c>
      <c r="AI73" s="1036">
        <f t="shared" si="81"/>
        <v>3.3242876526458617E-2</v>
      </c>
      <c r="AJ73" s="1036">
        <f t="shared" si="81"/>
        <v>4.8421052631578948E-2</v>
      </c>
      <c r="AK73" s="1036">
        <f t="shared" si="81"/>
        <v>3.466076696165192E-2</v>
      </c>
      <c r="AL73" s="1036">
        <f t="shared" si="81"/>
        <v>3.6287242169595113E-2</v>
      </c>
      <c r="AM73" s="1036">
        <f t="shared" si="81"/>
        <v>3.3690051525961155E-2</v>
      </c>
      <c r="AN73" s="1036">
        <f>AN66/AM80</f>
        <v>2.461033634126333E-2</v>
      </c>
      <c r="AO73" s="96">
        <f>AO66/AN80</f>
        <v>1.9764507989907486E-2</v>
      </c>
      <c r="AP73" s="151"/>
      <c r="AQ73" s="151"/>
      <c r="AR73" s="151"/>
      <c r="AS73" s="818"/>
      <c r="AT73" s="151"/>
      <c r="AU73" s="151"/>
      <c r="AV73" s="96"/>
      <c r="AW73" s="96">
        <f>AW66/AO80</f>
        <v>2.5311025311025311E-2</v>
      </c>
      <c r="AX73" s="151"/>
      <c r="AY73" s="151"/>
      <c r="AZ73" s="151"/>
      <c r="BA73" s="818"/>
      <c r="BB73" s="151"/>
      <c r="BC73" s="151"/>
      <c r="BD73" s="96"/>
      <c r="BE73" s="96">
        <f>BE66/AW80</f>
        <v>2.0686619718309859E-2</v>
      </c>
      <c r="BF73" s="151"/>
      <c r="BG73" s="151"/>
      <c r="BH73" s="151"/>
      <c r="BI73" s="818"/>
      <c r="BJ73" s="151"/>
      <c r="BK73" s="151"/>
      <c r="BL73" s="96"/>
      <c r="BM73" s="96">
        <f>BM66/BE80</f>
        <v>2.2921348314606741E-2</v>
      </c>
      <c r="BN73" s="151"/>
      <c r="BO73" s="151"/>
      <c r="BP73" s="151"/>
      <c r="BQ73" s="818"/>
      <c r="BR73" s="151"/>
      <c r="BS73" s="151"/>
      <c r="BT73" s="151"/>
      <c r="BU73" s="1037">
        <v>2.5000000000000001E-2</v>
      </c>
      <c r="BV73" s="151"/>
      <c r="BW73" s="151"/>
      <c r="BX73" s="151"/>
      <c r="BY73" s="818"/>
      <c r="BZ73" s="151"/>
      <c r="CA73" s="151"/>
      <c r="CB73" s="151"/>
      <c r="CC73" s="1037">
        <v>0.03</v>
      </c>
      <c r="CD73" s="151"/>
      <c r="CE73" s="151"/>
      <c r="CF73" s="151"/>
      <c r="CG73" s="818"/>
      <c r="CH73" s="151"/>
      <c r="CI73" s="151"/>
      <c r="CJ73" s="151"/>
      <c r="CK73" s="1037">
        <v>3.5000000000000003E-2</v>
      </c>
      <c r="CL73" s="151"/>
      <c r="CM73" s="151"/>
      <c r="CN73" s="151"/>
      <c r="CO73" s="818"/>
      <c r="CP73" s="151"/>
      <c r="CQ73" s="151"/>
      <c r="CR73" s="151"/>
      <c r="CS73" s="1037">
        <v>0.04</v>
      </c>
      <c r="CT73" s="151"/>
      <c r="CU73" s="151"/>
      <c r="CV73" s="151"/>
      <c r="CW73" s="818"/>
      <c r="CX73" s="151"/>
      <c r="CY73" s="151"/>
      <c r="CZ73" s="151"/>
      <c r="DA73" s="1037">
        <v>4.4999999999999998E-2</v>
      </c>
    </row>
    <row r="74" spans="1:106" s="237" customFormat="1" outlineLevel="1" x14ac:dyDescent="0.2">
      <c r="A74" s="1033"/>
      <c r="B74" s="1034" t="s">
        <v>931</v>
      </c>
      <c r="C74" s="1035"/>
      <c r="D74" s="1035"/>
      <c r="E74" s="1035"/>
      <c r="F74" s="1035"/>
      <c r="G74" s="1035"/>
      <c r="H74" s="1035"/>
      <c r="I74" s="1035"/>
      <c r="J74" s="1035"/>
      <c r="K74" s="1035"/>
      <c r="L74" s="1035"/>
      <c r="M74" s="1035"/>
      <c r="N74" s="1035"/>
      <c r="O74" s="1035"/>
      <c r="P74" s="1035"/>
      <c r="Q74" s="1035"/>
      <c r="R74" s="1035"/>
      <c r="S74" s="1035"/>
      <c r="T74" s="1035"/>
      <c r="U74" s="1035"/>
      <c r="V74" s="1035"/>
      <c r="W74" s="1035"/>
      <c r="X74" s="1035"/>
      <c r="Y74" s="1035"/>
      <c r="Z74" s="1035"/>
      <c r="AA74" s="1035"/>
      <c r="AB74" s="1035"/>
      <c r="AC74" s="1035"/>
      <c r="AD74" s="1035"/>
      <c r="AE74" s="1035"/>
      <c r="AF74" s="1036">
        <f t="shared" si="81"/>
        <v>2.323217656454189E-3</v>
      </c>
      <c r="AG74" s="1036">
        <f t="shared" si="81"/>
        <v>2.7841052898000505E-3</v>
      </c>
      <c r="AH74" s="1036">
        <f t="shared" si="81"/>
        <v>3.1177829099307158E-3</v>
      </c>
      <c r="AI74" s="1036">
        <f t="shared" si="81"/>
        <v>3.6020764911537241E-3</v>
      </c>
      <c r="AJ74" s="1036">
        <f t="shared" si="81"/>
        <v>3.9994147197971027E-3</v>
      </c>
      <c r="AK74" s="1036">
        <f t="shared" si="81"/>
        <v>4.1161673908072264E-3</v>
      </c>
      <c r="AL74" s="1036">
        <f t="shared" si="81"/>
        <v>9.1152110083702175E-3</v>
      </c>
      <c r="AM74" s="1036">
        <f t="shared" si="81"/>
        <v>7.0428658377532389E-3</v>
      </c>
      <c r="AN74" s="1036">
        <f t="shared" si="81"/>
        <v>8.8707222681219285E-3</v>
      </c>
      <c r="AO74" s="1038">
        <f t="shared" si="81"/>
        <v>1.1790393013100437E-2</v>
      </c>
      <c r="AP74" s="1036"/>
      <c r="AQ74" s="1036"/>
      <c r="AR74" s="1036"/>
      <c r="AS74" s="1039"/>
      <c r="AT74" s="1036"/>
      <c r="AU74" s="1036"/>
      <c r="AV74" s="1038"/>
      <c r="AW74" s="96">
        <f>AW67/AO81</f>
        <v>1.5777875716174526E-2</v>
      </c>
      <c r="AX74" s="1036"/>
      <c r="AY74" s="1036"/>
      <c r="AZ74" s="1036"/>
      <c r="BA74" s="1039"/>
      <c r="BB74" s="1036"/>
      <c r="BC74" s="1036"/>
      <c r="BD74" s="1038"/>
      <c r="BE74" s="96">
        <f>BE67/AW81</f>
        <v>1.367047891350965E-2</v>
      </c>
      <c r="BF74" s="1036"/>
      <c r="BG74" s="1036"/>
      <c r="BH74" s="1036"/>
      <c r="BI74" s="1039"/>
      <c r="BJ74" s="1036"/>
      <c r="BK74" s="1036"/>
      <c r="BL74" s="1038"/>
      <c r="BM74" s="96">
        <f>BM67/BE81</f>
        <v>1.3641702050772428E-2</v>
      </c>
      <c r="BN74" s="1036"/>
      <c r="BO74" s="1036"/>
      <c r="BP74" s="1036"/>
      <c r="BQ74" s="1039"/>
      <c r="BR74" s="1036"/>
      <c r="BS74" s="1036"/>
      <c r="BT74" s="1036"/>
      <c r="BU74" s="1037">
        <v>1.4999999999999999E-2</v>
      </c>
      <c r="BV74" s="1036"/>
      <c r="BW74" s="1036"/>
      <c r="BX74" s="1036"/>
      <c r="BY74" s="1039"/>
      <c r="BZ74" s="1036"/>
      <c r="CA74" s="1036"/>
      <c r="CB74" s="1036"/>
      <c r="CC74" s="1037">
        <v>1.7500000000000002E-2</v>
      </c>
      <c r="CD74" s="1036"/>
      <c r="CE74" s="1036"/>
      <c r="CF74" s="1036"/>
      <c r="CG74" s="1039"/>
      <c r="CH74" s="1036"/>
      <c r="CI74" s="1036"/>
      <c r="CJ74" s="1036"/>
      <c r="CK74" s="1037">
        <v>0.02</v>
      </c>
      <c r="CL74" s="1036"/>
      <c r="CM74" s="1036"/>
      <c r="CN74" s="1036"/>
      <c r="CO74" s="1039"/>
      <c r="CP74" s="1036"/>
      <c r="CQ74" s="1036"/>
      <c r="CR74" s="1036"/>
      <c r="CS74" s="1037">
        <v>2.5000000000000001E-2</v>
      </c>
      <c r="CT74" s="1036"/>
      <c r="CU74" s="1036"/>
      <c r="CV74" s="1036"/>
      <c r="CW74" s="1039"/>
      <c r="CX74" s="1036"/>
      <c r="CY74" s="1036"/>
      <c r="CZ74" s="1036"/>
      <c r="DA74" s="1037">
        <v>0.03</v>
      </c>
      <c r="DB74" s="237" t="s">
        <v>937</v>
      </c>
    </row>
    <row r="75" spans="1:106" s="593" customFormat="1" outlineLevel="1" x14ac:dyDescent="0.2">
      <c r="A75" s="1040"/>
      <c r="B75" s="1041" t="str">
        <f>B68</f>
        <v>CFM56</v>
      </c>
      <c r="C75" s="1042"/>
      <c r="D75" s="1042"/>
      <c r="E75" s="1042"/>
      <c r="F75" s="1042"/>
      <c r="G75" s="1042"/>
      <c r="H75" s="1042"/>
      <c r="I75" s="1042"/>
      <c r="J75" s="1042"/>
      <c r="K75" s="1042"/>
      <c r="L75" s="1042"/>
      <c r="M75" s="1042"/>
      <c r="N75" s="1042"/>
      <c r="O75" s="1042"/>
      <c r="P75" s="1042"/>
      <c r="Q75" s="1042"/>
      <c r="R75" s="1042"/>
      <c r="S75" s="1042"/>
      <c r="T75" s="1042"/>
      <c r="U75" s="1042"/>
      <c r="V75" s="1042"/>
      <c r="W75" s="1042"/>
      <c r="X75" s="1042"/>
      <c r="Y75" s="1042"/>
      <c r="Z75" s="1042"/>
      <c r="AA75" s="1042"/>
      <c r="AB75" s="1042"/>
      <c r="AC75" s="1042"/>
      <c r="AD75" s="1042"/>
      <c r="AE75" s="1042"/>
      <c r="AF75" s="1043">
        <f t="shared" ref="AF75:AO77" si="82">AF68/AF82</f>
        <v>3.1277926720285972E-3</v>
      </c>
      <c r="AG75" s="1043">
        <f t="shared" si="82"/>
        <v>1.8896833503575076E-2</v>
      </c>
      <c r="AH75" s="1043">
        <f t="shared" si="82"/>
        <v>1.3481876160490838E-2</v>
      </c>
      <c r="AI75" s="1043">
        <f t="shared" si="82"/>
        <v>1.0075182231042246E-2</v>
      </c>
      <c r="AJ75" s="1043">
        <f t="shared" si="82"/>
        <v>1.3118839092674705E-2</v>
      </c>
      <c r="AK75" s="1043">
        <f t="shared" si="82"/>
        <v>9.909107111031901E-3</v>
      </c>
      <c r="AL75" s="1043">
        <f t="shared" si="82"/>
        <v>1.4189960068454079E-2</v>
      </c>
      <c r="AM75" s="1043">
        <f t="shared" si="82"/>
        <v>1.1911168514332868E-2</v>
      </c>
      <c r="AN75" s="1043">
        <f t="shared" si="82"/>
        <v>1.1715360138848713E-2</v>
      </c>
      <c r="AO75" s="1044">
        <f t="shared" si="82"/>
        <v>1.3307984790874524E-2</v>
      </c>
      <c r="AP75" s="1043"/>
      <c r="AQ75" s="1043"/>
      <c r="AR75" s="1043"/>
      <c r="AS75" s="1045"/>
      <c r="AT75" s="1043"/>
      <c r="AU75" s="1043"/>
      <c r="AV75" s="1043"/>
      <c r="AW75" s="1417">
        <f>AW68/AW82</f>
        <v>1.7676767676767676E-2</v>
      </c>
      <c r="AX75" s="1043"/>
      <c r="AY75" s="1043"/>
      <c r="AZ75" s="1043"/>
      <c r="BA75" s="1045"/>
      <c r="BB75" s="1043"/>
      <c r="BC75" s="1043"/>
      <c r="BD75" s="1044"/>
      <c r="BE75" s="1044">
        <f>BE68/BE82</f>
        <v>1.5044380923724988E-2</v>
      </c>
      <c r="BF75" s="1043"/>
      <c r="BG75" s="1043"/>
      <c r="BH75" s="1043"/>
      <c r="BI75" s="1045"/>
      <c r="BJ75" s="1043"/>
      <c r="BK75" s="1043"/>
      <c r="BL75" s="1044"/>
      <c r="BM75" s="1044">
        <f>BM68/BM82</f>
        <v>1.5398688824515932E-2</v>
      </c>
      <c r="BN75" s="1043"/>
      <c r="BO75" s="1043"/>
      <c r="BP75" s="1043"/>
      <c r="BQ75" s="1045"/>
      <c r="BR75" s="1043"/>
      <c r="BS75" s="1043"/>
      <c r="BT75" s="1043"/>
      <c r="BU75" s="1046">
        <f>BU68/BU82</f>
        <v>1.6914515550966097E-2</v>
      </c>
      <c r="BV75" s="1043"/>
      <c r="BW75" s="1043"/>
      <c r="BX75" s="1043"/>
      <c r="BY75" s="1045"/>
      <c r="BZ75" s="1043"/>
      <c r="CA75" s="1043"/>
      <c r="CB75" s="1043"/>
      <c r="CC75" s="1046">
        <f>CC68/CC82</f>
        <v>1.9917260267093541E-2</v>
      </c>
      <c r="CD75" s="1043"/>
      <c r="CE75" s="1043"/>
      <c r="CF75" s="1043"/>
      <c r="CG75" s="1045"/>
      <c r="CH75" s="1043"/>
      <c r="CI75" s="1043"/>
      <c r="CJ75" s="1043"/>
      <c r="CK75" s="1046">
        <f>CK68/CK82</f>
        <v>2.2919083625937076E-2</v>
      </c>
      <c r="CL75" s="1043"/>
      <c r="CM75" s="1043"/>
      <c r="CN75" s="1043"/>
      <c r="CO75" s="1045"/>
      <c r="CP75" s="1043"/>
      <c r="CQ75" s="1043"/>
      <c r="CR75" s="1043"/>
      <c r="CS75" s="1046">
        <f>CS68/CS82</f>
        <v>2.8134732744918137E-2</v>
      </c>
      <c r="CT75" s="1043"/>
      <c r="CU75" s="1043"/>
      <c r="CV75" s="1043"/>
      <c r="CW75" s="1045"/>
      <c r="CX75" s="1043"/>
      <c r="CY75" s="1043"/>
      <c r="CZ75" s="1043"/>
      <c r="DA75" s="1046">
        <f>DA68/DA82</f>
        <v>3.3403507113817663E-2</v>
      </c>
    </row>
    <row r="76" spans="1:106" s="593" customFormat="1" outlineLevel="1" x14ac:dyDescent="0.2">
      <c r="A76" s="1040"/>
      <c r="B76" s="1041" t="str">
        <f>B69</f>
        <v>LEAP</v>
      </c>
      <c r="C76" s="1042"/>
      <c r="D76" s="1042"/>
      <c r="E76" s="1042"/>
      <c r="F76" s="1042"/>
      <c r="G76" s="1042"/>
      <c r="H76" s="1042"/>
      <c r="I76" s="1042"/>
      <c r="J76" s="1042"/>
      <c r="K76" s="1042"/>
      <c r="L76" s="1042"/>
      <c r="M76" s="1042"/>
      <c r="N76" s="1042"/>
      <c r="O76" s="1042"/>
      <c r="P76" s="1042"/>
      <c r="Q76" s="1042"/>
      <c r="R76" s="1042"/>
      <c r="S76" s="1042"/>
      <c r="T76" s="1042"/>
      <c r="U76" s="1042"/>
      <c r="V76" s="1042"/>
      <c r="W76" s="1042"/>
      <c r="X76" s="1042"/>
      <c r="Y76" s="1042"/>
      <c r="Z76" s="1042"/>
      <c r="AA76" s="1042"/>
      <c r="AB76" s="1042"/>
      <c r="AC76" s="1042"/>
      <c r="AD76" s="1042"/>
      <c r="AE76" s="1042"/>
      <c r="AF76" s="1043"/>
      <c r="AG76" s="1043"/>
      <c r="AH76" s="1043"/>
      <c r="AI76" s="1043">
        <f t="shared" si="82"/>
        <v>0</v>
      </c>
      <c r="AJ76" s="1043">
        <f t="shared" si="82"/>
        <v>0</v>
      </c>
      <c r="AK76" s="1043">
        <f t="shared" si="82"/>
        <v>0</v>
      </c>
      <c r="AL76" s="1043">
        <f t="shared" si="82"/>
        <v>0</v>
      </c>
      <c r="AM76" s="1043">
        <f t="shared" si="82"/>
        <v>0</v>
      </c>
      <c r="AN76" s="1043">
        <f t="shared" si="82"/>
        <v>0</v>
      </c>
      <c r="AO76" s="1044">
        <f t="shared" si="82"/>
        <v>0</v>
      </c>
      <c r="AP76" s="1043"/>
      <c r="AQ76" s="1043"/>
      <c r="AR76" s="1043"/>
      <c r="AS76" s="1045"/>
      <c r="AT76" s="1043"/>
      <c r="AU76" s="1043"/>
      <c r="AV76" s="1043"/>
      <c r="AW76" s="1417">
        <f>AW69/AW83</f>
        <v>0</v>
      </c>
      <c r="AX76" s="1043"/>
      <c r="AY76" s="1043"/>
      <c r="AZ76" s="1043"/>
      <c r="BA76" s="1045"/>
      <c r="BB76" s="1043"/>
      <c r="BC76" s="1043"/>
      <c r="BD76" s="1043"/>
      <c r="BE76" s="1417">
        <f>BE69/BE83</f>
        <v>0</v>
      </c>
      <c r="BF76" s="1043"/>
      <c r="BG76" s="1043"/>
      <c r="BH76" s="1043"/>
      <c r="BI76" s="1045"/>
      <c r="BJ76" s="1043"/>
      <c r="BK76" s="1043"/>
      <c r="BL76" s="1044"/>
      <c r="BM76" s="1044">
        <f>BM69/BM83</f>
        <v>0</v>
      </c>
      <c r="BN76" s="1043"/>
      <c r="BO76" s="1043"/>
      <c r="BP76" s="1043"/>
      <c r="BQ76" s="1045"/>
      <c r="BR76" s="1043"/>
      <c r="BS76" s="1043"/>
      <c r="BT76" s="1043"/>
      <c r="BU76" s="1046">
        <f>BU69/BU83</f>
        <v>0</v>
      </c>
      <c r="BV76" s="1043"/>
      <c r="BW76" s="1043"/>
      <c r="BX76" s="1043"/>
      <c r="BY76" s="1045"/>
      <c r="BZ76" s="1043"/>
      <c r="CA76" s="1043"/>
      <c r="CB76" s="1043"/>
      <c r="CC76" s="1046">
        <f>CC69/CC83</f>
        <v>0</v>
      </c>
      <c r="CD76" s="1043"/>
      <c r="CE76" s="1043"/>
      <c r="CF76" s="1043"/>
      <c r="CG76" s="1045"/>
      <c r="CH76" s="1043"/>
      <c r="CI76" s="1043"/>
      <c r="CJ76" s="1043"/>
      <c r="CK76" s="1046">
        <f>CK69/CK83</f>
        <v>0</v>
      </c>
      <c r="CL76" s="1043"/>
      <c r="CM76" s="1043"/>
      <c r="CN76" s="1043"/>
      <c r="CO76" s="1045"/>
      <c r="CP76" s="1043"/>
      <c r="CQ76" s="1043"/>
      <c r="CR76" s="1043"/>
      <c r="CS76" s="1046">
        <f>CS69/CS83</f>
        <v>0</v>
      </c>
      <c r="CT76" s="1043"/>
      <c r="CU76" s="1043"/>
      <c r="CV76" s="1043"/>
      <c r="CW76" s="1045"/>
      <c r="CX76" s="1043"/>
      <c r="CY76" s="1043"/>
      <c r="CZ76" s="1043"/>
      <c r="DA76" s="1046">
        <f>DA69/DA83</f>
        <v>0</v>
      </c>
    </row>
    <row r="77" spans="1:106" s="593" customFormat="1" outlineLevel="1" x14ac:dyDescent="0.2">
      <c r="A77" s="1040"/>
      <c r="B77" s="1041" t="str">
        <f>B70</f>
        <v>Total Engines Retirements</v>
      </c>
      <c r="C77" s="1042"/>
      <c r="D77" s="1042"/>
      <c r="E77" s="1042"/>
      <c r="F77" s="1042"/>
      <c r="G77" s="1042"/>
      <c r="H77" s="1042"/>
      <c r="I77" s="1042"/>
      <c r="J77" s="1042"/>
      <c r="K77" s="1042"/>
      <c r="L77" s="1042"/>
      <c r="M77" s="1042"/>
      <c r="N77" s="1042"/>
      <c r="O77" s="1042"/>
      <c r="P77" s="1042"/>
      <c r="Q77" s="1042"/>
      <c r="R77" s="1042"/>
      <c r="S77" s="1042"/>
      <c r="T77" s="1042"/>
      <c r="U77" s="1042"/>
      <c r="V77" s="1042"/>
      <c r="W77" s="1042"/>
      <c r="X77" s="1042"/>
      <c r="Y77" s="1042"/>
      <c r="Z77" s="1042"/>
      <c r="AA77" s="1042"/>
      <c r="AB77" s="1042"/>
      <c r="AC77" s="1042"/>
      <c r="AD77" s="1042"/>
      <c r="AE77" s="1042"/>
      <c r="AF77" s="1043">
        <f>AF70/AF84</f>
        <v>3.1277926720285972E-3</v>
      </c>
      <c r="AG77" s="1043">
        <f>AG70/AG84</f>
        <v>1.8896833503575076E-2</v>
      </c>
      <c r="AH77" s="1043">
        <f>AH70/AH84</f>
        <v>1.3481876160490838E-2</v>
      </c>
      <c r="AI77" s="1043">
        <f t="shared" si="82"/>
        <v>1.0045662100456621E-2</v>
      </c>
      <c r="AJ77" s="1043">
        <f t="shared" si="82"/>
        <v>1.2865202860531139E-2</v>
      </c>
      <c r="AK77" s="1043">
        <f t="shared" si="82"/>
        <v>9.3564889606892829E-3</v>
      </c>
      <c r="AL77" s="1043">
        <f t="shared" si="82"/>
        <v>1.2658630450685411E-2</v>
      </c>
      <c r="AM77" s="1043">
        <f t="shared" si="82"/>
        <v>1.0348804588385649E-2</v>
      </c>
      <c r="AN77" s="1043">
        <f t="shared" si="82"/>
        <v>9.9055305879115832E-3</v>
      </c>
      <c r="AO77" s="1044">
        <f t="shared" si="82"/>
        <v>1.0852389612712799E-2</v>
      </c>
      <c r="AP77" s="1043"/>
      <c r="AQ77" s="1043"/>
      <c r="AR77" s="1043"/>
      <c r="AS77" s="1045"/>
      <c r="AT77" s="1043"/>
      <c r="AU77" s="1043"/>
      <c r="AV77" s="1043"/>
      <c r="AW77" s="1417">
        <f>AW70/AW84</f>
        <v>1.3722720327500217E-2</v>
      </c>
      <c r="AX77" s="1043"/>
      <c r="AY77" s="1043"/>
      <c r="AZ77" s="1043"/>
      <c r="BA77" s="1045"/>
      <c r="BB77" s="1043"/>
      <c r="BC77" s="1043"/>
      <c r="BD77" s="1043"/>
      <c r="BE77" s="1417">
        <f>BE70/BE84</f>
        <v>1.1187559433909493E-2</v>
      </c>
      <c r="BF77" s="1043"/>
      <c r="BG77" s="1043"/>
      <c r="BH77" s="1043"/>
      <c r="BI77" s="1045"/>
      <c r="BJ77" s="1043"/>
      <c r="BK77" s="1043"/>
      <c r="BL77" s="1043"/>
      <c r="BM77" s="1417">
        <f>BM70/BM84</f>
        <v>1.0859047414256532E-2</v>
      </c>
      <c r="BN77" s="1043"/>
      <c r="BO77" s="1043"/>
      <c r="BP77" s="1043"/>
      <c r="BQ77" s="1045"/>
      <c r="BR77" s="1043"/>
      <c r="BS77" s="1043"/>
      <c r="BT77" s="1043"/>
      <c r="BU77" s="1046">
        <f>BU70/BU84</f>
        <v>1.1219743380012519E-2</v>
      </c>
      <c r="BV77" s="1043"/>
      <c r="BW77" s="1043"/>
      <c r="BX77" s="1043"/>
      <c r="BY77" s="1045"/>
      <c r="BZ77" s="1043"/>
      <c r="CA77" s="1043"/>
      <c r="CB77" s="1043"/>
      <c r="CC77" s="1046">
        <f>CC70/CC84</f>
        <v>1.2369370667229387E-2</v>
      </c>
      <c r="CD77" s="1043"/>
      <c r="CE77" s="1043"/>
      <c r="CF77" s="1043"/>
      <c r="CG77" s="1045"/>
      <c r="CH77" s="1043"/>
      <c r="CI77" s="1043"/>
      <c r="CJ77" s="1043"/>
      <c r="CK77" s="1046">
        <f>CK70/CK84</f>
        <v>1.3273907366186206E-2</v>
      </c>
      <c r="CL77" s="1043"/>
      <c r="CM77" s="1043"/>
      <c r="CN77" s="1043"/>
      <c r="CO77" s="1045"/>
      <c r="CP77" s="1043"/>
      <c r="CQ77" s="1043"/>
      <c r="CR77" s="1043"/>
      <c r="CS77" s="1046">
        <f>CS70/CS84</f>
        <v>1.5183823830664939E-2</v>
      </c>
      <c r="CT77" s="1043"/>
      <c r="CU77" s="1043"/>
      <c r="CV77" s="1043"/>
      <c r="CW77" s="1045"/>
      <c r="CX77" s="1043"/>
      <c r="CY77" s="1043"/>
      <c r="CZ77" s="1043"/>
      <c r="DA77" s="1046">
        <f>DA70/DA84</f>
        <v>1.6781107472114091E-2</v>
      </c>
    </row>
    <row r="78" spans="1:106" outlineLevel="1" x14ac:dyDescent="0.2">
      <c r="A78" s="199"/>
      <c r="B78" s="1019"/>
      <c r="C78" s="997"/>
      <c r="D78" s="997"/>
      <c r="E78" s="997"/>
      <c r="F78" s="997"/>
      <c r="G78" s="997"/>
      <c r="H78" s="997"/>
      <c r="I78" s="997"/>
      <c r="J78" s="997"/>
      <c r="K78" s="997"/>
      <c r="L78" s="997"/>
      <c r="M78" s="997"/>
      <c r="N78" s="997"/>
      <c r="O78" s="997"/>
      <c r="P78" s="997"/>
      <c r="Q78" s="997"/>
      <c r="R78" s="997"/>
      <c r="S78" s="997"/>
      <c r="T78" s="997"/>
      <c r="U78" s="997"/>
      <c r="V78" s="997"/>
      <c r="W78" s="997"/>
      <c r="X78" s="997"/>
      <c r="Y78" s="997"/>
      <c r="Z78" s="997"/>
      <c r="AA78" s="997"/>
      <c r="AB78" s="997"/>
      <c r="AC78" s="997"/>
      <c r="AD78" s="997"/>
      <c r="AE78" s="997"/>
      <c r="AF78" s="997"/>
      <c r="AG78" s="926"/>
      <c r="AH78" s="926"/>
      <c r="AI78" s="926"/>
      <c r="AJ78" s="926"/>
      <c r="AK78" s="926"/>
      <c r="AL78" s="926"/>
      <c r="AM78" s="926"/>
      <c r="AN78" s="926"/>
      <c r="AO78" s="934"/>
      <c r="AP78" s="926"/>
      <c r="AQ78" s="926"/>
      <c r="AR78" s="926"/>
      <c r="AS78" s="1001"/>
      <c r="AT78" s="926"/>
      <c r="AU78" s="926"/>
      <c r="AV78" s="926"/>
      <c r="AW78" s="1032"/>
      <c r="AX78" s="926"/>
      <c r="AY78" s="926"/>
      <c r="AZ78" s="926"/>
      <c r="BA78" s="1001"/>
      <c r="BB78" s="926"/>
      <c r="BC78" s="926"/>
      <c r="BD78" s="926"/>
      <c r="BE78" s="1032"/>
      <c r="BF78" s="926"/>
      <c r="BG78" s="926"/>
      <c r="BH78" s="926"/>
      <c r="BI78" s="1001"/>
      <c r="BJ78" s="926"/>
      <c r="BK78" s="926"/>
      <c r="BL78" s="926"/>
      <c r="BM78" s="1032"/>
      <c r="BN78" s="926"/>
      <c r="BO78" s="926"/>
      <c r="BP78" s="926"/>
      <c r="BQ78" s="1001"/>
      <c r="BR78" s="926"/>
      <c r="BS78" s="926"/>
      <c r="BT78" s="926"/>
      <c r="BU78" s="1032"/>
      <c r="BV78" s="926"/>
      <c r="BW78" s="926"/>
      <c r="BX78" s="926"/>
      <c r="BY78" s="1001"/>
      <c r="BZ78" s="926"/>
      <c r="CA78" s="926"/>
      <c r="CB78" s="926"/>
      <c r="CC78" s="1032"/>
      <c r="CD78" s="926"/>
      <c r="CE78" s="926"/>
      <c r="CF78" s="926"/>
      <c r="CG78" s="1001"/>
      <c r="CH78" s="926"/>
      <c r="CI78" s="926"/>
      <c r="CJ78" s="926"/>
      <c r="CK78" s="1032"/>
      <c r="CL78" s="926"/>
      <c r="CM78" s="926"/>
      <c r="CN78" s="926"/>
      <c r="CO78" s="1001"/>
      <c r="CP78" s="926"/>
      <c r="CQ78" s="926"/>
      <c r="CR78" s="926"/>
      <c r="CS78" s="1032"/>
      <c r="CT78" s="926"/>
      <c r="CU78" s="926"/>
      <c r="CV78" s="926"/>
      <c r="CW78" s="1001"/>
      <c r="CX78" s="926"/>
      <c r="CY78" s="926"/>
      <c r="CZ78" s="926"/>
      <c r="DA78" s="1032"/>
    </row>
    <row r="79" spans="1:106" outlineLevel="1" x14ac:dyDescent="0.2">
      <c r="A79" s="338" t="s">
        <v>929</v>
      </c>
      <c r="B79" s="1019"/>
      <c r="C79" s="997"/>
      <c r="D79" s="997"/>
      <c r="E79" s="997"/>
      <c r="F79" s="997"/>
      <c r="G79" s="997"/>
      <c r="H79" s="997"/>
      <c r="I79" s="997"/>
      <c r="J79" s="997"/>
      <c r="K79" s="997"/>
      <c r="L79" s="997"/>
      <c r="M79" s="997"/>
      <c r="N79" s="997"/>
      <c r="O79" s="997"/>
      <c r="P79" s="997"/>
      <c r="Q79" s="997"/>
      <c r="R79" s="997"/>
      <c r="S79" s="997"/>
      <c r="T79" s="997"/>
      <c r="U79" s="997"/>
      <c r="V79" s="997"/>
      <c r="W79" s="997"/>
      <c r="X79" s="997"/>
      <c r="Y79" s="997"/>
      <c r="Z79" s="997"/>
      <c r="AA79" s="997"/>
      <c r="AB79" s="997"/>
      <c r="AC79" s="997"/>
      <c r="AD79" s="997"/>
      <c r="AE79" s="997"/>
      <c r="AF79" s="997"/>
      <c r="AG79" s="931"/>
      <c r="AH79" s="931"/>
      <c r="AI79" s="931"/>
      <c r="AJ79" s="931"/>
      <c r="AK79" s="931"/>
      <c r="AL79" s="931"/>
      <c r="AM79" s="926"/>
      <c r="AN79" s="926"/>
      <c r="AO79" s="934"/>
      <c r="AP79" s="926"/>
      <c r="AQ79" s="926"/>
      <c r="AR79" s="926"/>
      <c r="AS79" s="1001"/>
      <c r="AT79" s="926"/>
      <c r="AU79" s="926"/>
      <c r="AV79" s="926"/>
      <c r="AW79" s="1032"/>
      <c r="AX79" s="926"/>
      <c r="AY79" s="926"/>
      <c r="AZ79" s="926"/>
      <c r="BA79" s="1001"/>
      <c r="BB79" s="926"/>
      <c r="BC79" s="926"/>
      <c r="BD79" s="926"/>
      <c r="BE79" s="1032"/>
      <c r="BF79" s="926"/>
      <c r="BG79" s="926"/>
      <c r="BH79" s="926"/>
      <c r="BI79" s="1001"/>
      <c r="BJ79" s="926"/>
      <c r="BK79" s="926"/>
      <c r="BL79" s="926"/>
      <c r="BM79" s="1032"/>
      <c r="BN79" s="926"/>
      <c r="BO79" s="926"/>
      <c r="BP79" s="926"/>
      <c r="BQ79" s="1001"/>
      <c r="BR79" s="926"/>
      <c r="BS79" s="926"/>
      <c r="BT79" s="926"/>
      <c r="BU79" s="1032"/>
      <c r="BV79" s="926"/>
      <c r="BW79" s="926"/>
      <c r="BX79" s="926"/>
      <c r="BY79" s="1001"/>
      <c r="BZ79" s="926"/>
      <c r="CA79" s="926"/>
      <c r="CB79" s="926"/>
      <c r="CC79" s="1032"/>
      <c r="CD79" s="926"/>
      <c r="CE79" s="926"/>
      <c r="CF79" s="926"/>
      <c r="CG79" s="1001"/>
      <c r="CH79" s="926"/>
      <c r="CI79" s="926"/>
      <c r="CJ79" s="926"/>
      <c r="CK79" s="1032"/>
      <c r="CL79" s="926"/>
      <c r="CM79" s="926"/>
      <c r="CN79" s="926"/>
      <c r="CO79" s="1001"/>
      <c r="CP79" s="926"/>
      <c r="CQ79" s="926"/>
      <c r="CR79" s="926"/>
      <c r="CS79" s="1032"/>
      <c r="CT79" s="926"/>
      <c r="CU79" s="926"/>
      <c r="CV79" s="926"/>
      <c r="CW79" s="1001"/>
      <c r="CX79" s="926"/>
      <c r="CY79" s="926"/>
      <c r="CZ79" s="926"/>
      <c r="DA79" s="1032"/>
    </row>
    <row r="80" spans="1:106" outlineLevel="1" x14ac:dyDescent="0.2">
      <c r="A80" s="199"/>
      <c r="B80" s="1013" t="s">
        <v>930</v>
      </c>
      <c r="C80" s="4">
        <v>1267.92</v>
      </c>
      <c r="D80" s="980">
        <f t="shared" ref="D80:AE81" si="83">C80+D59-D66</f>
        <v>1446.92</v>
      </c>
      <c r="E80" s="980">
        <f t="shared" si="83"/>
        <v>1714.92</v>
      </c>
      <c r="F80" s="980">
        <f t="shared" si="83"/>
        <v>2029.92</v>
      </c>
      <c r="G80" s="980">
        <f t="shared" si="83"/>
        <v>2405.92</v>
      </c>
      <c r="H80" s="980">
        <f t="shared" si="83"/>
        <v>2796.92</v>
      </c>
      <c r="I80" s="980">
        <f t="shared" si="83"/>
        <v>3276.92</v>
      </c>
      <c r="J80" s="980">
        <f t="shared" si="83"/>
        <v>3976.92</v>
      </c>
      <c r="K80" s="980">
        <f t="shared" si="83"/>
        <v>4590.92</v>
      </c>
      <c r="L80" s="980">
        <f t="shared" si="83"/>
        <v>5006.92</v>
      </c>
      <c r="M80" s="980">
        <f t="shared" si="83"/>
        <v>5311.92</v>
      </c>
      <c r="N80" s="980">
        <f t="shared" si="83"/>
        <v>5530.92</v>
      </c>
      <c r="O80" s="980">
        <f t="shared" si="83"/>
        <v>5756.92</v>
      </c>
      <c r="P80" s="980">
        <f t="shared" si="83"/>
        <v>6167.92</v>
      </c>
      <c r="Q80" s="980">
        <f t="shared" si="83"/>
        <v>6513.92</v>
      </c>
      <c r="R80" s="980">
        <f t="shared" si="83"/>
        <v>6656.92</v>
      </c>
      <c r="S80" s="980">
        <f t="shared" si="83"/>
        <v>6694.92</v>
      </c>
      <c r="T80" s="980">
        <f t="shared" si="83"/>
        <v>6751.92</v>
      </c>
      <c r="U80" s="980">
        <f t="shared" si="83"/>
        <v>6789.92</v>
      </c>
      <c r="V80" s="980">
        <f t="shared" si="83"/>
        <v>6814.92</v>
      </c>
      <c r="W80" s="980">
        <f t="shared" si="83"/>
        <v>6789.92</v>
      </c>
      <c r="X80" s="980">
        <f t="shared" si="83"/>
        <v>6773.92</v>
      </c>
      <c r="Y80" s="980">
        <f t="shared" si="83"/>
        <v>6739.92</v>
      </c>
      <c r="Z80" s="980">
        <f t="shared" si="83"/>
        <v>6705.92</v>
      </c>
      <c r="AA80" s="980">
        <f t="shared" si="83"/>
        <v>6673.92</v>
      </c>
      <c r="AB80" s="980">
        <f t="shared" si="83"/>
        <v>6635.92</v>
      </c>
      <c r="AC80" s="980">
        <f t="shared" si="83"/>
        <v>6597.92</v>
      </c>
      <c r="AD80" s="980">
        <f t="shared" si="83"/>
        <v>6559.92</v>
      </c>
      <c r="AE80" s="980">
        <f t="shared" si="83"/>
        <v>6521.92</v>
      </c>
      <c r="AF80" s="980">
        <f>((488*4)+(188*4)+(1403*2)++((42*4)+(34*4)+(381*2)))</f>
        <v>6576</v>
      </c>
      <c r="AG80" s="980">
        <f t="shared" ref="AG80:AO81" si="84">AF80+AG59-AG66</f>
        <v>6176</v>
      </c>
      <c r="AH80" s="980">
        <f t="shared" si="84"/>
        <v>5896</v>
      </c>
      <c r="AI80" s="980">
        <f t="shared" si="84"/>
        <v>5700</v>
      </c>
      <c r="AJ80" s="980">
        <f t="shared" si="84"/>
        <v>5424</v>
      </c>
      <c r="AK80" s="980">
        <f t="shared" si="84"/>
        <v>5236</v>
      </c>
      <c r="AL80" s="980">
        <f t="shared" si="84"/>
        <v>5046</v>
      </c>
      <c r="AM80" s="1025">
        <f t="shared" si="84"/>
        <v>4876</v>
      </c>
      <c r="AN80" s="1025">
        <f t="shared" si="84"/>
        <v>4756</v>
      </c>
      <c r="AO80" s="1026">
        <f t="shared" si="84"/>
        <v>4662</v>
      </c>
      <c r="AP80" s="1025"/>
      <c r="AQ80" s="1025"/>
      <c r="AR80" s="1025"/>
      <c r="AS80" s="1027"/>
      <c r="AT80" s="1025"/>
      <c r="AU80" s="1025"/>
      <c r="AV80" s="1025"/>
      <c r="AW80" s="1418">
        <f>AO80+AW59-AW66</f>
        <v>4544</v>
      </c>
      <c r="AX80" s="1025"/>
      <c r="AY80" s="1025"/>
      <c r="AZ80" s="1025"/>
      <c r="BA80" s="1027"/>
      <c r="BB80" s="1025"/>
      <c r="BC80" s="1025"/>
      <c r="BD80" s="1025"/>
      <c r="BE80" s="1418">
        <f>AW80+BE59-BE66</f>
        <v>4450</v>
      </c>
      <c r="BF80" s="1025"/>
      <c r="BG80" s="1025"/>
      <c r="BH80" s="1025"/>
      <c r="BI80" s="1027"/>
      <c r="BJ80" s="1025"/>
      <c r="BK80" s="1025"/>
      <c r="BL80" s="1025"/>
      <c r="BM80" s="1418">
        <f>BE80+BM59-BM66</f>
        <v>4348</v>
      </c>
      <c r="BN80" s="1025"/>
      <c r="BO80" s="1025"/>
      <c r="BP80" s="1025"/>
      <c r="BQ80" s="1027"/>
      <c r="BR80" s="1025"/>
      <c r="BS80" s="1025"/>
      <c r="BT80" s="1025"/>
      <c r="BU80" s="1047">
        <f>BM80+BU59-BU66</f>
        <v>4239.3</v>
      </c>
      <c r="BV80" s="1025"/>
      <c r="BW80" s="1025"/>
      <c r="BX80" s="1025"/>
      <c r="BY80" s="1027"/>
      <c r="BZ80" s="1025"/>
      <c r="CA80" s="1025"/>
      <c r="CB80" s="1025"/>
      <c r="CC80" s="1047">
        <f>BU80+CC59-CC66</f>
        <v>4112.1210000000001</v>
      </c>
      <c r="CD80" s="1025"/>
      <c r="CE80" s="1025"/>
      <c r="CF80" s="1025"/>
      <c r="CG80" s="1027"/>
      <c r="CH80" s="1025"/>
      <c r="CI80" s="1025"/>
      <c r="CJ80" s="1025"/>
      <c r="CK80" s="1047">
        <f>CC80+CK59-CK66</f>
        <v>3968.1967650000001</v>
      </c>
      <c r="CL80" s="1025"/>
      <c r="CM80" s="1025"/>
      <c r="CN80" s="1025"/>
      <c r="CO80" s="1027"/>
      <c r="CP80" s="1025"/>
      <c r="CQ80" s="1025"/>
      <c r="CR80" s="1025"/>
      <c r="CS80" s="1047">
        <f>CK80+CS59-CS66</f>
        <v>3809.4688944</v>
      </c>
      <c r="CT80" s="1025"/>
      <c r="CU80" s="1025"/>
      <c r="CV80" s="1025"/>
      <c r="CW80" s="1027"/>
      <c r="CX80" s="1025"/>
      <c r="CY80" s="1025"/>
      <c r="CZ80" s="1025"/>
      <c r="DA80" s="1047">
        <f>CS80+DA59-DA66</f>
        <v>3638.0427941520002</v>
      </c>
    </row>
    <row r="81" spans="1:106" outlineLevel="1" x14ac:dyDescent="0.2">
      <c r="A81" s="199"/>
      <c r="B81" s="1013" t="s">
        <v>931</v>
      </c>
      <c r="C81" s="4">
        <f>C60</f>
        <v>0</v>
      </c>
      <c r="D81" s="980">
        <f>C81+D60-D67</f>
        <v>0</v>
      </c>
      <c r="E81" s="980">
        <f t="shared" si="83"/>
        <v>0</v>
      </c>
      <c r="F81" s="980">
        <f t="shared" si="83"/>
        <v>0</v>
      </c>
      <c r="G81" s="980">
        <f t="shared" si="83"/>
        <v>0</v>
      </c>
      <c r="H81" s="980">
        <f t="shared" si="83"/>
        <v>0</v>
      </c>
      <c r="I81" s="980">
        <f t="shared" si="83"/>
        <v>0</v>
      </c>
      <c r="J81" s="980">
        <f t="shared" si="83"/>
        <v>0</v>
      </c>
      <c r="K81" s="980">
        <f t="shared" si="83"/>
        <v>4</v>
      </c>
      <c r="L81" s="980">
        <f t="shared" si="83"/>
        <v>28</v>
      </c>
      <c r="M81" s="980">
        <f t="shared" si="83"/>
        <v>106</v>
      </c>
      <c r="N81" s="980">
        <f t="shared" si="83"/>
        <v>198</v>
      </c>
      <c r="O81" s="980">
        <f t="shared" si="83"/>
        <v>322</v>
      </c>
      <c r="P81" s="980">
        <f t="shared" si="83"/>
        <v>518</v>
      </c>
      <c r="Q81" s="980">
        <f t="shared" si="83"/>
        <v>1008</v>
      </c>
      <c r="R81" s="980">
        <f t="shared" si="83"/>
        <v>1784</v>
      </c>
      <c r="S81" s="980">
        <f t="shared" si="83"/>
        <v>2636</v>
      </c>
      <c r="T81" s="980">
        <f t="shared" si="83"/>
        <v>3486</v>
      </c>
      <c r="U81" s="980">
        <f t="shared" si="83"/>
        <v>4104</v>
      </c>
      <c r="V81" s="980">
        <f t="shared" si="83"/>
        <v>4656</v>
      </c>
      <c r="W81" s="980">
        <f t="shared" si="83"/>
        <v>5294</v>
      </c>
      <c r="X81" s="980">
        <f t="shared" si="83"/>
        <v>5980</v>
      </c>
      <c r="Y81" s="980">
        <f t="shared" si="83"/>
        <v>6938</v>
      </c>
      <c r="Z81" s="980">
        <f t="shared" si="83"/>
        <v>7998</v>
      </c>
      <c r="AA81" s="980">
        <f t="shared" si="83"/>
        <v>8986</v>
      </c>
      <c r="AB81" s="980">
        <f t="shared" si="83"/>
        <v>10186</v>
      </c>
      <c r="AC81" s="980">
        <f t="shared" si="83"/>
        <v>11326</v>
      </c>
      <c r="AD81" s="980">
        <f t="shared" si="83"/>
        <v>12508</v>
      </c>
      <c r="AE81" s="980">
        <f t="shared" si="83"/>
        <v>13774</v>
      </c>
      <c r="AF81" s="980">
        <f>(7502*2)+800</f>
        <v>15804</v>
      </c>
      <c r="AG81" s="980">
        <f t="shared" si="84"/>
        <v>17320</v>
      </c>
      <c r="AH81" s="980">
        <f t="shared" si="84"/>
        <v>18878</v>
      </c>
      <c r="AI81" s="980">
        <f t="shared" si="84"/>
        <v>20503</v>
      </c>
      <c r="AJ81" s="980">
        <f t="shared" si="84"/>
        <v>21865</v>
      </c>
      <c r="AK81" s="980">
        <f t="shared" si="84"/>
        <v>22819</v>
      </c>
      <c r="AL81" s="980">
        <f t="shared" si="84"/>
        <v>23002</v>
      </c>
      <c r="AM81" s="1025">
        <f>AL81+AM60-AM67</f>
        <v>22997</v>
      </c>
      <c r="AN81" s="1025">
        <f>AM81+AN60-AN67</f>
        <v>22900</v>
      </c>
      <c r="AO81" s="1026">
        <f>AN81+AO60-AO67</f>
        <v>22690</v>
      </c>
      <c r="AP81" s="1025"/>
      <c r="AQ81" s="1025"/>
      <c r="AR81" s="1025"/>
      <c r="AS81" s="1027"/>
      <c r="AT81" s="1025"/>
      <c r="AU81" s="1025"/>
      <c r="AV81" s="1025"/>
      <c r="AW81" s="1418">
        <f>AO81+AW60-AW67</f>
        <v>22384</v>
      </c>
      <c r="AX81" s="1025"/>
      <c r="AY81" s="1025"/>
      <c r="AZ81" s="1025"/>
      <c r="BA81" s="1027"/>
      <c r="BB81" s="1025"/>
      <c r="BC81" s="1025"/>
      <c r="BD81" s="1025"/>
      <c r="BE81" s="1418">
        <f>AW81+BE60-BE67</f>
        <v>22138</v>
      </c>
      <c r="BF81" s="1025"/>
      <c r="BG81" s="1025"/>
      <c r="BH81" s="1025"/>
      <c r="BI81" s="1027"/>
      <c r="BJ81" s="1025"/>
      <c r="BK81" s="1025"/>
      <c r="BL81" s="1025"/>
      <c r="BM81" s="1418">
        <f>BE81+BM60-BM67</f>
        <v>21888</v>
      </c>
      <c r="BN81" s="1025"/>
      <c r="BO81" s="1025"/>
      <c r="BP81" s="1025"/>
      <c r="BQ81" s="1027"/>
      <c r="BR81" s="1025"/>
      <c r="BS81" s="1025"/>
      <c r="BT81" s="1025"/>
      <c r="BU81" s="1047">
        <f>BM81+BU60-BU67</f>
        <v>21597.68</v>
      </c>
      <c r="BV81" s="1025"/>
      <c r="BW81" s="1025"/>
      <c r="BX81" s="1025"/>
      <c r="BY81" s="1027"/>
      <c r="BZ81" s="1025"/>
      <c r="CA81" s="1025"/>
      <c r="CB81" s="1025"/>
      <c r="CC81" s="1047">
        <f>BU81+CC60-CC67</f>
        <v>21249.720600000001</v>
      </c>
      <c r="CD81" s="1025"/>
      <c r="CE81" s="1025"/>
      <c r="CF81" s="1025"/>
      <c r="CG81" s="1027"/>
      <c r="CH81" s="1025"/>
      <c r="CI81" s="1025"/>
      <c r="CJ81" s="1025"/>
      <c r="CK81" s="1047">
        <f>CC81+CK60-CK67</f>
        <v>20854.726188000001</v>
      </c>
      <c r="CL81" s="1025"/>
      <c r="CM81" s="1025"/>
      <c r="CN81" s="1025"/>
      <c r="CO81" s="1027"/>
      <c r="CP81" s="1025"/>
      <c r="CQ81" s="1025"/>
      <c r="CR81" s="1025"/>
      <c r="CS81" s="1047">
        <f>CK81+CS60-CS67</f>
        <v>20363.358033299999</v>
      </c>
      <c r="CT81" s="1025"/>
      <c r="CU81" s="1025"/>
      <c r="CV81" s="1025"/>
      <c r="CW81" s="1027"/>
      <c r="CX81" s="1025"/>
      <c r="CY81" s="1025"/>
      <c r="CZ81" s="1025"/>
      <c r="DA81" s="1047">
        <f>CS81+DA60-DA67</f>
        <v>19782.457292300998</v>
      </c>
    </row>
    <row r="82" spans="1:106" outlineLevel="1" x14ac:dyDescent="0.2">
      <c r="A82" s="199"/>
      <c r="B82" s="1019" t="s">
        <v>790</v>
      </c>
      <c r="C82" s="997">
        <f>C80+C81</f>
        <v>1267.92</v>
      </c>
      <c r="D82" s="997">
        <f t="shared" ref="D82:BE82" si="85">D81+D80</f>
        <v>1446.92</v>
      </c>
      <c r="E82" s="997">
        <f t="shared" si="85"/>
        <v>1714.92</v>
      </c>
      <c r="F82" s="997">
        <f t="shared" si="85"/>
        <v>2029.92</v>
      </c>
      <c r="G82" s="997">
        <f t="shared" si="85"/>
        <v>2405.92</v>
      </c>
      <c r="H82" s="997">
        <f t="shared" si="85"/>
        <v>2796.92</v>
      </c>
      <c r="I82" s="997">
        <f t="shared" si="85"/>
        <v>3276.92</v>
      </c>
      <c r="J82" s="997">
        <f t="shared" si="85"/>
        <v>3976.92</v>
      </c>
      <c r="K82" s="997">
        <f t="shared" si="85"/>
        <v>4594.92</v>
      </c>
      <c r="L82" s="997">
        <f t="shared" si="85"/>
        <v>5034.92</v>
      </c>
      <c r="M82" s="997">
        <f t="shared" si="85"/>
        <v>5417.92</v>
      </c>
      <c r="N82" s="997">
        <f t="shared" si="85"/>
        <v>5728.92</v>
      </c>
      <c r="O82" s="997">
        <f t="shared" si="85"/>
        <v>6078.92</v>
      </c>
      <c r="P82" s="997">
        <f t="shared" si="85"/>
        <v>6685.92</v>
      </c>
      <c r="Q82" s="997">
        <f t="shared" si="85"/>
        <v>7521.92</v>
      </c>
      <c r="R82" s="997">
        <f t="shared" si="85"/>
        <v>8440.92</v>
      </c>
      <c r="S82" s="997">
        <f t="shared" si="85"/>
        <v>9330.92</v>
      </c>
      <c r="T82" s="997">
        <f t="shared" si="85"/>
        <v>10237.92</v>
      </c>
      <c r="U82" s="997">
        <f t="shared" si="85"/>
        <v>10893.92</v>
      </c>
      <c r="V82" s="997">
        <f t="shared" si="85"/>
        <v>11470.92</v>
      </c>
      <c r="W82" s="997">
        <f t="shared" si="85"/>
        <v>12083.92</v>
      </c>
      <c r="X82" s="997">
        <f t="shared" si="85"/>
        <v>12753.92</v>
      </c>
      <c r="Y82" s="997">
        <f t="shared" si="85"/>
        <v>13677.92</v>
      </c>
      <c r="Z82" s="997">
        <f t="shared" si="85"/>
        <v>14703.92</v>
      </c>
      <c r="AA82" s="997">
        <f t="shared" si="85"/>
        <v>15659.92</v>
      </c>
      <c r="AB82" s="997">
        <f t="shared" si="85"/>
        <v>16821.919999999998</v>
      </c>
      <c r="AC82" s="997">
        <f t="shared" si="85"/>
        <v>17923.919999999998</v>
      </c>
      <c r="AD82" s="997">
        <f t="shared" si="85"/>
        <v>19067.919999999998</v>
      </c>
      <c r="AE82" s="997">
        <f t="shared" si="85"/>
        <v>20295.919999999998</v>
      </c>
      <c r="AF82" s="997">
        <f t="shared" si="85"/>
        <v>22380</v>
      </c>
      <c r="AG82" s="997">
        <f t="shared" si="85"/>
        <v>23496</v>
      </c>
      <c r="AH82" s="997">
        <f t="shared" si="85"/>
        <v>24774</v>
      </c>
      <c r="AI82" s="997">
        <f t="shared" si="85"/>
        <v>26203</v>
      </c>
      <c r="AJ82" s="997">
        <f t="shared" si="85"/>
        <v>27289</v>
      </c>
      <c r="AK82" s="997">
        <f t="shared" si="85"/>
        <v>28055</v>
      </c>
      <c r="AL82" s="997">
        <f t="shared" si="85"/>
        <v>28048</v>
      </c>
      <c r="AM82" s="996">
        <f t="shared" si="85"/>
        <v>27873</v>
      </c>
      <c r="AN82" s="996">
        <f t="shared" si="85"/>
        <v>27656</v>
      </c>
      <c r="AO82" s="1028">
        <f t="shared" si="85"/>
        <v>27352</v>
      </c>
      <c r="AP82" s="996"/>
      <c r="AQ82" s="996"/>
      <c r="AR82" s="996"/>
      <c r="AS82" s="1029"/>
      <c r="AT82" s="996"/>
      <c r="AU82" s="996"/>
      <c r="AV82" s="996"/>
      <c r="AW82" s="1416">
        <f t="shared" si="85"/>
        <v>26928</v>
      </c>
      <c r="AX82" s="996"/>
      <c r="AY82" s="996"/>
      <c r="AZ82" s="996"/>
      <c r="BA82" s="1029"/>
      <c r="BB82" s="996"/>
      <c r="BC82" s="996"/>
      <c r="BD82" s="996"/>
      <c r="BE82" s="1416">
        <f t="shared" si="85"/>
        <v>26588</v>
      </c>
      <c r="BF82" s="996"/>
      <c r="BG82" s="996"/>
      <c r="BH82" s="996"/>
      <c r="BI82" s="1029"/>
      <c r="BJ82" s="996"/>
      <c r="BK82" s="996"/>
      <c r="BL82" s="996"/>
      <c r="BM82" s="1416">
        <f>BM81+BM80</f>
        <v>26236</v>
      </c>
      <c r="BN82" s="996"/>
      <c r="BO82" s="996"/>
      <c r="BP82" s="996"/>
      <c r="BQ82" s="1029"/>
      <c r="BR82" s="996"/>
      <c r="BS82" s="996"/>
      <c r="BT82" s="996"/>
      <c r="BU82" s="1030">
        <f>BU81+BU80</f>
        <v>25836.98</v>
      </c>
      <c r="BV82" s="996"/>
      <c r="BW82" s="996"/>
      <c r="BX82" s="996"/>
      <c r="BY82" s="1029"/>
      <c r="BZ82" s="996"/>
      <c r="CA82" s="996"/>
      <c r="CB82" s="996"/>
      <c r="CC82" s="1030">
        <f>CC81+CC80</f>
        <v>25361.8416</v>
      </c>
      <c r="CD82" s="996"/>
      <c r="CE82" s="996"/>
      <c r="CF82" s="996"/>
      <c r="CG82" s="1029"/>
      <c r="CH82" s="996"/>
      <c r="CI82" s="996"/>
      <c r="CJ82" s="996"/>
      <c r="CK82" s="1030">
        <f>CK81+CK80</f>
        <v>24822.922953000001</v>
      </c>
      <c r="CL82" s="996"/>
      <c r="CM82" s="996"/>
      <c r="CN82" s="996"/>
      <c r="CO82" s="1029"/>
      <c r="CP82" s="996"/>
      <c r="CQ82" s="996"/>
      <c r="CR82" s="996"/>
      <c r="CS82" s="1030">
        <f>CS81+CS80</f>
        <v>24172.8269277</v>
      </c>
      <c r="CT82" s="996"/>
      <c r="CU82" s="996"/>
      <c r="CV82" s="996"/>
      <c r="CW82" s="1029"/>
      <c r="CX82" s="996"/>
      <c r="CY82" s="996"/>
      <c r="CZ82" s="996"/>
      <c r="DA82" s="1030">
        <f>DA81+DA80</f>
        <v>23420.500086452997</v>
      </c>
    </row>
    <row r="83" spans="1:106" outlineLevel="1" x14ac:dyDescent="0.2">
      <c r="A83" s="979"/>
      <c r="B83" s="1019" t="s">
        <v>791</v>
      </c>
      <c r="C83" s="981"/>
      <c r="D83" s="981"/>
      <c r="E83" s="981"/>
      <c r="F83" s="981"/>
      <c r="G83" s="981"/>
      <c r="H83" s="981"/>
      <c r="I83" s="981"/>
      <c r="J83" s="981"/>
      <c r="K83" s="981"/>
      <c r="L83" s="981"/>
      <c r="M83" s="981"/>
      <c r="N83" s="981"/>
      <c r="O83" s="981"/>
      <c r="P83" s="981"/>
      <c r="Q83" s="981"/>
      <c r="R83" s="981"/>
      <c r="S83" s="981"/>
      <c r="T83" s="981"/>
      <c r="U83" s="981"/>
      <c r="V83" s="981"/>
      <c r="W83" s="981"/>
      <c r="X83" s="981"/>
      <c r="Y83" s="981"/>
      <c r="Z83" s="981"/>
      <c r="AA83" s="981"/>
      <c r="AB83" s="981"/>
      <c r="AC83" s="981"/>
      <c r="AD83" s="981"/>
      <c r="AE83" s="981"/>
      <c r="AF83" s="981"/>
      <c r="AG83" s="4">
        <f>AG62-AG69</f>
        <v>0</v>
      </c>
      <c r="AH83" s="926">
        <f>AG83+AH62-AH69</f>
        <v>0</v>
      </c>
      <c r="AI83" s="926">
        <f t="shared" ref="AI83:AO83" si="86">AH83+AI62-AI69</f>
        <v>77</v>
      </c>
      <c r="AJ83" s="926">
        <f t="shared" si="86"/>
        <v>538</v>
      </c>
      <c r="AK83" s="926">
        <f t="shared" si="86"/>
        <v>1657</v>
      </c>
      <c r="AL83" s="926">
        <f t="shared" si="86"/>
        <v>3393</v>
      </c>
      <c r="AM83" s="926">
        <f t="shared" si="86"/>
        <v>4208</v>
      </c>
      <c r="AN83" s="926">
        <f t="shared" si="86"/>
        <v>5053</v>
      </c>
      <c r="AO83" s="934">
        <f t="shared" si="86"/>
        <v>6189</v>
      </c>
      <c r="AP83" s="926"/>
      <c r="AQ83" s="926"/>
      <c r="AR83" s="926"/>
      <c r="AS83" s="1001"/>
      <c r="AT83" s="926"/>
      <c r="AU83" s="926"/>
      <c r="AV83" s="926"/>
      <c r="AW83" s="1032">
        <f>AO83+AW62-AW69</f>
        <v>7759</v>
      </c>
      <c r="AX83" s="926"/>
      <c r="AY83" s="926"/>
      <c r="AZ83" s="926"/>
      <c r="BA83" s="1001"/>
      <c r="BB83" s="926"/>
      <c r="BC83" s="926"/>
      <c r="BD83" s="926"/>
      <c r="BE83" s="1032">
        <f>AW83+BE62-BE69</f>
        <v>9166</v>
      </c>
      <c r="BF83" s="926"/>
      <c r="BG83" s="926"/>
      <c r="BH83" s="926"/>
      <c r="BI83" s="1001"/>
      <c r="BJ83" s="926"/>
      <c r="BK83" s="926"/>
      <c r="BL83" s="926"/>
      <c r="BM83" s="1032">
        <f>BE83+BM62-BM69</f>
        <v>10968</v>
      </c>
      <c r="BN83" s="926"/>
      <c r="BO83" s="926"/>
      <c r="BP83" s="926"/>
      <c r="BQ83" s="1001"/>
      <c r="BR83" s="926"/>
      <c r="BS83" s="926"/>
      <c r="BT83" s="926"/>
      <c r="BU83" s="937">
        <f>BM83+BU62-BU69</f>
        <v>13114</v>
      </c>
      <c r="BV83" s="926"/>
      <c r="BW83" s="926"/>
      <c r="BX83" s="926"/>
      <c r="BY83" s="1001"/>
      <c r="BZ83" s="926"/>
      <c r="CA83" s="926"/>
      <c r="CB83" s="926"/>
      <c r="CC83" s="937">
        <f>BU83+CC62-CC69</f>
        <v>15476</v>
      </c>
      <c r="CD83" s="926"/>
      <c r="CE83" s="926"/>
      <c r="CF83" s="926"/>
      <c r="CG83" s="1001"/>
      <c r="CH83" s="926"/>
      <c r="CI83" s="926"/>
      <c r="CJ83" s="926"/>
      <c r="CK83" s="937">
        <f>CC83+CK62-CK69</f>
        <v>18037</v>
      </c>
      <c r="CL83" s="926"/>
      <c r="CM83" s="926"/>
      <c r="CN83" s="926"/>
      <c r="CO83" s="1001"/>
      <c r="CP83" s="926"/>
      <c r="CQ83" s="926"/>
      <c r="CR83" s="926"/>
      <c r="CS83" s="937">
        <f>CK83+CS62-CS69</f>
        <v>20618</v>
      </c>
      <c r="CT83" s="926"/>
      <c r="CU83" s="926"/>
      <c r="CV83" s="926"/>
      <c r="CW83" s="1001"/>
      <c r="CX83" s="926"/>
      <c r="CY83" s="926"/>
      <c r="CZ83" s="926"/>
      <c r="DA83" s="937">
        <f>CS83+DA62-DA69</f>
        <v>23199</v>
      </c>
    </row>
    <row r="84" spans="1:106" outlineLevel="1" x14ac:dyDescent="0.2">
      <c r="A84" s="979"/>
      <c r="B84" s="1019" t="s">
        <v>938</v>
      </c>
      <c r="C84" s="186">
        <f>C83+C82</f>
        <v>1267.92</v>
      </c>
      <c r="D84" s="186">
        <f t="shared" ref="D84:AW84" si="87">D83+D82</f>
        <v>1446.92</v>
      </c>
      <c r="E84" s="186">
        <f t="shared" si="87"/>
        <v>1714.92</v>
      </c>
      <c r="F84" s="186">
        <f t="shared" si="87"/>
        <v>2029.92</v>
      </c>
      <c r="G84" s="186">
        <f t="shared" si="87"/>
        <v>2405.92</v>
      </c>
      <c r="H84" s="186">
        <f t="shared" si="87"/>
        <v>2796.92</v>
      </c>
      <c r="I84" s="186">
        <f t="shared" si="87"/>
        <v>3276.92</v>
      </c>
      <c r="J84" s="186">
        <f t="shared" si="87"/>
        <v>3976.92</v>
      </c>
      <c r="K84" s="186">
        <f t="shared" si="87"/>
        <v>4594.92</v>
      </c>
      <c r="L84" s="186">
        <f t="shared" si="87"/>
        <v>5034.92</v>
      </c>
      <c r="M84" s="186">
        <f t="shared" si="87"/>
        <v>5417.92</v>
      </c>
      <c r="N84" s="186">
        <f t="shared" si="87"/>
        <v>5728.92</v>
      </c>
      <c r="O84" s="186">
        <f t="shared" si="87"/>
        <v>6078.92</v>
      </c>
      <c r="P84" s="186">
        <f t="shared" si="87"/>
        <v>6685.92</v>
      </c>
      <c r="Q84" s="186">
        <f t="shared" si="87"/>
        <v>7521.92</v>
      </c>
      <c r="R84" s="186">
        <f t="shared" si="87"/>
        <v>8440.92</v>
      </c>
      <c r="S84" s="186">
        <f t="shared" si="87"/>
        <v>9330.92</v>
      </c>
      <c r="T84" s="186">
        <f t="shared" si="87"/>
        <v>10237.92</v>
      </c>
      <c r="U84" s="186">
        <f t="shared" si="87"/>
        <v>10893.92</v>
      </c>
      <c r="V84" s="186">
        <f t="shared" si="87"/>
        <v>11470.92</v>
      </c>
      <c r="W84" s="186">
        <f t="shared" si="87"/>
        <v>12083.92</v>
      </c>
      <c r="X84" s="186">
        <f t="shared" si="87"/>
        <v>12753.92</v>
      </c>
      <c r="Y84" s="186">
        <f t="shared" si="87"/>
        <v>13677.92</v>
      </c>
      <c r="Z84" s="186">
        <f t="shared" si="87"/>
        <v>14703.92</v>
      </c>
      <c r="AA84" s="186">
        <f t="shared" si="87"/>
        <v>15659.92</v>
      </c>
      <c r="AB84" s="186">
        <f t="shared" si="87"/>
        <v>16821.919999999998</v>
      </c>
      <c r="AC84" s="186">
        <f t="shared" si="87"/>
        <v>17923.919999999998</v>
      </c>
      <c r="AD84" s="186">
        <f t="shared" si="87"/>
        <v>19067.919999999998</v>
      </c>
      <c r="AE84" s="186">
        <f t="shared" si="87"/>
        <v>20295.919999999998</v>
      </c>
      <c r="AF84" s="186">
        <f t="shared" si="87"/>
        <v>22380</v>
      </c>
      <c r="AG84" s="186">
        <f t="shared" si="87"/>
        <v>23496</v>
      </c>
      <c r="AH84" s="186">
        <f t="shared" si="87"/>
        <v>24774</v>
      </c>
      <c r="AI84" s="186">
        <f t="shared" si="87"/>
        <v>26280</v>
      </c>
      <c r="AJ84" s="186">
        <f t="shared" si="87"/>
        <v>27827</v>
      </c>
      <c r="AK84" s="186">
        <f t="shared" si="87"/>
        <v>29712</v>
      </c>
      <c r="AL84" s="186">
        <f t="shared" si="87"/>
        <v>31441</v>
      </c>
      <c r="AM84" s="186">
        <f t="shared" si="87"/>
        <v>32081</v>
      </c>
      <c r="AN84" s="186">
        <f t="shared" si="87"/>
        <v>32709</v>
      </c>
      <c r="AO84" s="284">
        <f t="shared" si="87"/>
        <v>33541</v>
      </c>
      <c r="AP84" s="186"/>
      <c r="AQ84" s="186"/>
      <c r="AR84" s="186"/>
      <c r="AS84" s="283"/>
      <c r="AT84" s="186"/>
      <c r="AU84" s="186"/>
      <c r="AV84" s="186"/>
      <c r="AW84" s="341">
        <f t="shared" si="87"/>
        <v>34687</v>
      </c>
      <c r="AX84" s="186"/>
      <c r="AY84" s="186"/>
      <c r="AZ84" s="186"/>
      <c r="BA84" s="283"/>
      <c r="BB84" s="186"/>
      <c r="BC84" s="186"/>
      <c r="BD84" s="186"/>
      <c r="BE84" s="341">
        <f>BE83+BE82</f>
        <v>35754</v>
      </c>
      <c r="BF84" s="186"/>
      <c r="BG84" s="186"/>
      <c r="BH84" s="186"/>
      <c r="BI84" s="283"/>
      <c r="BJ84" s="186"/>
      <c r="BK84" s="186"/>
      <c r="BL84" s="186"/>
      <c r="BM84" s="341">
        <f>BM83+BM82</f>
        <v>37204</v>
      </c>
      <c r="BN84" s="186"/>
      <c r="BO84" s="186"/>
      <c r="BP84" s="186"/>
      <c r="BQ84" s="283"/>
      <c r="BR84" s="186"/>
      <c r="BS84" s="186"/>
      <c r="BT84" s="186"/>
      <c r="BU84" s="301">
        <f>BU83+BU82</f>
        <v>38950.979999999996</v>
      </c>
      <c r="BV84" s="186"/>
      <c r="BW84" s="186"/>
      <c r="BX84" s="186"/>
      <c r="BY84" s="283"/>
      <c r="BZ84" s="186"/>
      <c r="CA84" s="186"/>
      <c r="CB84" s="186"/>
      <c r="CC84" s="301">
        <f>CC83+CC82</f>
        <v>40837.8416</v>
      </c>
      <c r="CD84" s="186"/>
      <c r="CE84" s="186"/>
      <c r="CF84" s="186"/>
      <c r="CG84" s="283"/>
      <c r="CH84" s="186"/>
      <c r="CI84" s="186"/>
      <c r="CJ84" s="186"/>
      <c r="CK84" s="301">
        <f>CK83+CK82</f>
        <v>42859.922953000001</v>
      </c>
      <c r="CL84" s="186"/>
      <c r="CM84" s="186"/>
      <c r="CN84" s="186"/>
      <c r="CO84" s="283"/>
      <c r="CP84" s="186"/>
      <c r="CQ84" s="186"/>
      <c r="CR84" s="186"/>
      <c r="CS84" s="301">
        <f>CS83+CS82</f>
        <v>44790.8269277</v>
      </c>
      <c r="CT84" s="186"/>
      <c r="CU84" s="186"/>
      <c r="CV84" s="186"/>
      <c r="CW84" s="283"/>
      <c r="CX84" s="186"/>
      <c r="CY84" s="186"/>
      <c r="CZ84" s="186"/>
      <c r="DA84" s="301">
        <f>DA83+DA82</f>
        <v>46619.500086453001</v>
      </c>
      <c r="DB84" s="1727">
        <f>(DA84/BM84)^(1/5)-1</f>
        <v>4.6153940644818148E-2</v>
      </c>
    </row>
    <row r="85" spans="1:106" outlineLevel="1" x14ac:dyDescent="0.2">
      <c r="A85" s="979"/>
      <c r="B85" s="980"/>
      <c r="C85" s="981"/>
      <c r="D85" s="204">
        <f>D84/C84-1</f>
        <v>0.14117609943845033</v>
      </c>
      <c r="E85" s="204">
        <f t="shared" ref="E85:AO85" si="88">E84/D84-1</f>
        <v>0.18522102120366024</v>
      </c>
      <c r="F85" s="204">
        <f t="shared" si="88"/>
        <v>0.18368203764607105</v>
      </c>
      <c r="G85" s="204">
        <f t="shared" si="88"/>
        <v>0.18522897454086862</v>
      </c>
      <c r="H85" s="204">
        <f t="shared" si="88"/>
        <v>0.16251579437387775</v>
      </c>
      <c r="I85" s="204">
        <f t="shared" si="88"/>
        <v>0.17161735051413696</v>
      </c>
      <c r="J85" s="204">
        <f t="shared" si="88"/>
        <v>0.21361522405185362</v>
      </c>
      <c r="K85" s="204">
        <f t="shared" si="88"/>
        <v>0.15539663860474939</v>
      </c>
      <c r="L85" s="204">
        <f t="shared" si="88"/>
        <v>9.5757923968208258E-2</v>
      </c>
      <c r="M85" s="204">
        <f t="shared" si="88"/>
        <v>7.6068735948138233E-2</v>
      </c>
      <c r="N85" s="204">
        <f t="shared" si="88"/>
        <v>5.7402102651940234E-2</v>
      </c>
      <c r="O85" s="204">
        <f t="shared" si="88"/>
        <v>6.1093539445480127E-2</v>
      </c>
      <c r="P85" s="204">
        <f t="shared" si="88"/>
        <v>9.9853263408631765E-2</v>
      </c>
      <c r="Q85" s="204">
        <f t="shared" si="88"/>
        <v>0.1250388876923445</v>
      </c>
      <c r="R85" s="204">
        <f t="shared" si="88"/>
        <v>0.12217625287160727</v>
      </c>
      <c r="S85" s="204">
        <f t="shared" si="88"/>
        <v>0.10543874364405781</v>
      </c>
      <c r="T85" s="204">
        <f t="shared" si="88"/>
        <v>9.7203705529572693E-2</v>
      </c>
      <c r="U85" s="204">
        <f t="shared" si="88"/>
        <v>6.4075515339053313E-2</v>
      </c>
      <c r="V85" s="204">
        <f t="shared" si="88"/>
        <v>5.2965323776932527E-2</v>
      </c>
      <c r="W85" s="204">
        <f t="shared" si="88"/>
        <v>5.3439480006834739E-2</v>
      </c>
      <c r="X85" s="204">
        <f t="shared" si="88"/>
        <v>5.5445583883375615E-2</v>
      </c>
      <c r="Y85" s="204">
        <f t="shared" si="88"/>
        <v>7.2448313930148611E-2</v>
      </c>
      <c r="Z85" s="204">
        <f t="shared" si="88"/>
        <v>7.5011405242902507E-2</v>
      </c>
      <c r="AA85" s="204">
        <f t="shared" si="88"/>
        <v>6.5016675825222192E-2</v>
      </c>
      <c r="AB85" s="204">
        <f t="shared" si="88"/>
        <v>7.4202167060878788E-2</v>
      </c>
      <c r="AC85" s="204">
        <f t="shared" si="88"/>
        <v>6.5509763451496728E-2</v>
      </c>
      <c r="AD85" s="204">
        <f t="shared" si="88"/>
        <v>6.3825323924677102E-2</v>
      </c>
      <c r="AE85" s="204">
        <f t="shared" si="88"/>
        <v>6.4401361029414961E-2</v>
      </c>
      <c r="AF85" s="204">
        <f t="shared" si="88"/>
        <v>0.10268467751153931</v>
      </c>
      <c r="AG85" s="204">
        <f t="shared" si="88"/>
        <v>4.9865951742627423E-2</v>
      </c>
      <c r="AH85" s="204">
        <f t="shared" si="88"/>
        <v>5.4392236976506636E-2</v>
      </c>
      <c r="AI85" s="204">
        <f t="shared" si="88"/>
        <v>6.0789537418260986E-2</v>
      </c>
      <c r="AJ85" s="204">
        <f t="shared" si="88"/>
        <v>5.8866057838660613E-2</v>
      </c>
      <c r="AK85" s="204">
        <f t="shared" si="88"/>
        <v>6.7739964782405515E-2</v>
      </c>
      <c r="AL85" s="204">
        <f t="shared" si="88"/>
        <v>5.8191976305869586E-2</v>
      </c>
      <c r="AM85" s="204">
        <f t="shared" si="88"/>
        <v>2.035558665436854E-2</v>
      </c>
      <c r="AN85" s="204">
        <f t="shared" si="88"/>
        <v>1.9575449643090881E-2</v>
      </c>
      <c r="AO85" s="555">
        <f t="shared" si="88"/>
        <v>2.5436424225748322E-2</v>
      </c>
      <c r="AP85" s="204"/>
      <c r="AQ85" s="204"/>
      <c r="AR85" s="204"/>
      <c r="AS85" s="205"/>
      <c r="AT85" s="204"/>
      <c r="AU85" s="204"/>
      <c r="AV85" s="204"/>
      <c r="AW85" s="824">
        <f>AW84/AO84-1</f>
        <v>3.4167138725738733E-2</v>
      </c>
      <c r="AX85" s="204"/>
      <c r="AY85" s="204"/>
      <c r="AZ85" s="204"/>
      <c r="BA85" s="205"/>
      <c r="BB85" s="204"/>
      <c r="BC85" s="204"/>
      <c r="BD85" s="204"/>
      <c r="BE85" s="824">
        <f>BE84/AW84-1</f>
        <v>3.0760803759333433E-2</v>
      </c>
      <c r="BF85" s="204"/>
      <c r="BG85" s="204"/>
      <c r="BH85" s="204"/>
      <c r="BI85" s="205"/>
      <c r="BJ85" s="204"/>
      <c r="BK85" s="204"/>
      <c r="BL85" s="204"/>
      <c r="BM85" s="824">
        <f>BM84/BE84-1</f>
        <v>4.0554902947921967E-2</v>
      </c>
      <c r="BN85" s="204"/>
      <c r="BO85" s="204"/>
      <c r="BP85" s="204"/>
      <c r="BQ85" s="205"/>
      <c r="BR85" s="204"/>
      <c r="BS85" s="204"/>
      <c r="BT85" s="204"/>
      <c r="BU85" s="823">
        <f>BU84/BM84-1</f>
        <v>4.6956778840984814E-2</v>
      </c>
      <c r="BV85" s="204"/>
      <c r="BW85" s="204"/>
      <c r="BX85" s="204"/>
      <c r="BY85" s="205"/>
      <c r="BZ85" s="204"/>
      <c r="CA85" s="204"/>
      <c r="CB85" s="204"/>
      <c r="CC85" s="823">
        <f>CC84/BU84-1</f>
        <v>4.8441954477140392E-2</v>
      </c>
      <c r="CD85" s="204"/>
      <c r="CE85" s="204"/>
      <c r="CF85" s="204"/>
      <c r="CG85" s="205"/>
      <c r="CH85" s="204"/>
      <c r="CI85" s="204"/>
      <c r="CJ85" s="204"/>
      <c r="CK85" s="823">
        <f>CK84/CC84-1</f>
        <v>4.9514892897767782E-2</v>
      </c>
      <c r="CL85" s="204"/>
      <c r="CM85" s="204"/>
      <c r="CN85" s="204"/>
      <c r="CO85" s="205"/>
      <c r="CP85" s="204"/>
      <c r="CQ85" s="204"/>
      <c r="CR85" s="204"/>
      <c r="CS85" s="823">
        <f>CS84/CK84-1</f>
        <v>4.5051503634699008E-2</v>
      </c>
      <c r="CT85" s="204"/>
      <c r="CU85" s="204"/>
      <c r="CV85" s="204"/>
      <c r="CW85" s="205"/>
      <c r="CX85" s="204"/>
      <c r="CY85" s="204"/>
      <c r="CZ85" s="204"/>
      <c r="DA85" s="823">
        <f>DA84/CS84-1</f>
        <v>4.0826956861162556E-2</v>
      </c>
    </row>
    <row r="86" spans="1:106" x14ac:dyDescent="0.2">
      <c r="A86" s="979"/>
      <c r="B86" s="980"/>
      <c r="C86" s="981"/>
      <c r="D86" s="981"/>
      <c r="E86" s="981"/>
      <c r="F86" s="981"/>
      <c r="G86" s="981"/>
      <c r="H86" s="981"/>
      <c r="I86" s="981"/>
      <c r="J86" s="981"/>
      <c r="K86" s="981"/>
      <c r="L86" s="981"/>
      <c r="M86" s="981"/>
      <c r="N86" s="981"/>
      <c r="O86" s="981"/>
      <c r="P86" s="981"/>
      <c r="Q86" s="981"/>
      <c r="R86" s="981"/>
      <c r="S86" s="981"/>
      <c r="T86" s="981"/>
      <c r="U86" s="981"/>
      <c r="V86" s="981"/>
      <c r="W86" s="981"/>
      <c r="X86" s="981"/>
      <c r="Y86" s="981"/>
      <c r="Z86" s="981"/>
      <c r="AA86" s="981"/>
      <c r="AB86" s="981"/>
      <c r="AC86" s="981"/>
      <c r="AD86" s="981"/>
      <c r="AE86" s="981"/>
      <c r="AF86" s="981"/>
      <c r="AG86" s="982"/>
      <c r="AH86" s="982"/>
      <c r="AI86" s="982"/>
      <c r="AJ86" s="982"/>
      <c r="AK86" s="982"/>
      <c r="AL86" s="983"/>
      <c r="AM86" s="983"/>
      <c r="AN86" s="983"/>
      <c r="AO86" s="984"/>
      <c r="AP86" s="983"/>
      <c r="AQ86" s="983"/>
      <c r="AR86" s="983"/>
      <c r="AS86" s="985"/>
      <c r="AT86" s="983"/>
      <c r="AU86" s="983"/>
      <c r="AV86" s="983"/>
      <c r="AW86" s="1048"/>
      <c r="AX86" s="983"/>
      <c r="AY86" s="983"/>
      <c r="AZ86" s="983"/>
      <c r="BA86" s="985"/>
      <c r="BB86" s="983"/>
      <c r="BC86" s="983"/>
      <c r="BD86" s="983"/>
      <c r="BE86" s="1048"/>
      <c r="BF86" s="983"/>
      <c r="BG86" s="983"/>
      <c r="BH86" s="983"/>
      <c r="BI86" s="985"/>
      <c r="BJ86" s="983"/>
      <c r="BK86" s="983"/>
      <c r="BL86" s="983"/>
      <c r="BM86" s="1048"/>
      <c r="BN86" s="983"/>
      <c r="BO86" s="983"/>
      <c r="BP86" s="983"/>
      <c r="BQ86" s="985"/>
      <c r="BR86" s="983"/>
      <c r="BS86" s="983"/>
      <c r="BT86" s="983"/>
      <c r="BU86" s="1048"/>
      <c r="BV86" s="983"/>
      <c r="BW86" s="983"/>
      <c r="BX86" s="983"/>
      <c r="BY86" s="985"/>
      <c r="BZ86" s="983"/>
      <c r="CA86" s="983"/>
      <c r="CB86" s="983"/>
      <c r="CC86" s="1048"/>
      <c r="CD86" s="983"/>
      <c r="CE86" s="983"/>
      <c r="CF86" s="983"/>
      <c r="CG86" s="985"/>
      <c r="CH86" s="983"/>
      <c r="CI86" s="983"/>
      <c r="CJ86" s="983"/>
      <c r="CK86" s="1048"/>
      <c r="CL86" s="983"/>
      <c r="CM86" s="983"/>
      <c r="CN86" s="983"/>
      <c r="CO86" s="985"/>
      <c r="CP86" s="983"/>
      <c r="CQ86" s="983"/>
      <c r="CR86" s="983"/>
      <c r="CS86" s="1048"/>
      <c r="CT86" s="983"/>
      <c r="CU86" s="983"/>
      <c r="CV86" s="983"/>
      <c r="CW86" s="985"/>
      <c r="CX86" s="983"/>
      <c r="CY86" s="983"/>
      <c r="CZ86" s="983"/>
      <c r="DA86" s="1513">
        <f>+(DA84/AM84)^0.1-1</f>
        <v>3.8082743146996334E-2</v>
      </c>
    </row>
    <row r="87" spans="1:106" x14ac:dyDescent="0.2">
      <c r="A87" s="454" t="s">
        <v>939</v>
      </c>
      <c r="B87" s="174"/>
      <c r="C87" s="174"/>
      <c r="D87" s="174"/>
      <c r="E87" s="174"/>
      <c r="F87" s="174"/>
      <c r="G87" s="174"/>
      <c r="H87" s="174"/>
      <c r="I87" s="174"/>
      <c r="J87" s="174"/>
      <c r="K87" s="174"/>
      <c r="L87" s="174"/>
      <c r="M87" s="174"/>
      <c r="N87" s="174"/>
      <c r="O87" s="174"/>
      <c r="P87" s="174"/>
      <c r="Q87" s="174"/>
      <c r="R87" s="174"/>
      <c r="S87" s="174"/>
      <c r="T87" s="174"/>
      <c r="U87" s="174"/>
      <c r="V87" s="174"/>
      <c r="W87" s="174"/>
      <c r="X87" s="174"/>
      <c r="Y87" s="174"/>
      <c r="Z87" s="174"/>
      <c r="AA87" s="174"/>
      <c r="AB87" s="174"/>
      <c r="AC87" s="174"/>
      <c r="AD87" s="174"/>
      <c r="AE87" s="174"/>
      <c r="AF87" s="174"/>
      <c r="AG87" s="174"/>
      <c r="AH87" s="174"/>
      <c r="AI87" s="174"/>
      <c r="AJ87" s="174"/>
      <c r="AK87" s="174"/>
      <c r="AL87" s="174"/>
      <c r="AM87" s="174"/>
      <c r="AN87" s="174"/>
      <c r="AO87" s="176"/>
      <c r="AP87" s="174"/>
      <c r="AQ87" s="174"/>
      <c r="AR87" s="174"/>
      <c r="AS87" s="175"/>
      <c r="AT87" s="174"/>
      <c r="AU87" s="174"/>
      <c r="AV87" s="174"/>
      <c r="AW87" s="987"/>
      <c r="AX87" s="174"/>
      <c r="AY87" s="174"/>
      <c r="AZ87" s="174"/>
      <c r="BA87" s="175"/>
      <c r="BB87" s="174"/>
      <c r="BC87" s="174"/>
      <c r="BD87" s="174"/>
      <c r="BE87" s="987"/>
      <c r="BF87" s="174"/>
      <c r="BG87" s="174"/>
      <c r="BH87" s="174"/>
      <c r="BI87" s="175"/>
      <c r="BJ87" s="174"/>
      <c r="BK87" s="174"/>
      <c r="BL87" s="174"/>
      <c r="BM87" s="987"/>
      <c r="BN87" s="174"/>
      <c r="BO87" s="174"/>
      <c r="BP87" s="174"/>
      <c r="BQ87" s="175"/>
      <c r="BR87" s="174"/>
      <c r="BS87" s="174"/>
      <c r="BT87" s="174"/>
      <c r="BU87" s="987"/>
      <c r="BV87" s="174"/>
      <c r="BW87" s="174"/>
      <c r="BX87" s="174"/>
      <c r="BY87" s="175"/>
      <c r="BZ87" s="174"/>
      <c r="CA87" s="174"/>
      <c r="CB87" s="174"/>
      <c r="CC87" s="987"/>
      <c r="CD87" s="174"/>
      <c r="CE87" s="174"/>
      <c r="CF87" s="174"/>
      <c r="CG87" s="175"/>
      <c r="CH87" s="174"/>
      <c r="CI87" s="174"/>
      <c r="CJ87" s="174"/>
      <c r="CK87" s="987"/>
      <c r="CL87" s="174"/>
      <c r="CM87" s="174"/>
      <c r="CN87" s="174"/>
      <c r="CO87" s="175"/>
      <c r="CP87" s="174"/>
      <c r="CQ87" s="174"/>
      <c r="CR87" s="174"/>
      <c r="CS87" s="987"/>
      <c r="CT87" s="174"/>
      <c r="CU87" s="174"/>
      <c r="CV87" s="174"/>
      <c r="CW87" s="175"/>
      <c r="CX87" s="174"/>
      <c r="CY87" s="174"/>
      <c r="CZ87" s="174"/>
      <c r="DA87" s="987"/>
    </row>
    <row r="88" spans="1:106" outlineLevel="1" x14ac:dyDescent="0.2">
      <c r="A88" s="1049" t="s">
        <v>790</v>
      </c>
      <c r="B88" s="1050"/>
      <c r="C88" s="989"/>
      <c r="D88" s="989"/>
      <c r="E88" s="989"/>
      <c r="F88" s="989"/>
      <c r="G88" s="989"/>
      <c r="H88" s="989"/>
      <c r="I88" s="989"/>
      <c r="J88" s="989"/>
      <c r="K88" s="989"/>
      <c r="L88" s="989"/>
      <c r="M88" s="989"/>
      <c r="N88" s="989"/>
      <c r="O88" s="989"/>
      <c r="P88" s="989"/>
      <c r="Q88" s="989"/>
      <c r="R88" s="989"/>
      <c r="S88" s="989"/>
      <c r="T88" s="989"/>
      <c r="U88" s="989"/>
      <c r="V88" s="989"/>
      <c r="W88" s="989"/>
      <c r="X88" s="989"/>
      <c r="Y88" s="989"/>
      <c r="Z88" s="989"/>
      <c r="AA88" s="989"/>
      <c r="AB88" s="989"/>
      <c r="AC88" s="989"/>
      <c r="AD88" s="989"/>
      <c r="AE88" s="989"/>
      <c r="AF88" s="989"/>
      <c r="AG88" s="1051"/>
      <c r="AH88" s="1051"/>
      <c r="AI88" s="1051"/>
      <c r="AJ88" s="1051"/>
      <c r="AK88" s="1051"/>
      <c r="AL88" s="1051"/>
      <c r="AM88" s="1051"/>
      <c r="AN88" s="1051"/>
      <c r="AO88" s="1052"/>
      <c r="AP88" s="1051"/>
      <c r="AQ88" s="1051"/>
      <c r="AR88" s="1051"/>
      <c r="AS88" s="1053"/>
      <c r="AT88" s="1051"/>
      <c r="AU88" s="1051"/>
      <c r="AV88" s="1051"/>
      <c r="AW88" s="1054"/>
      <c r="AX88" s="1051"/>
      <c r="AY88" s="1051"/>
      <c r="AZ88" s="1051"/>
      <c r="BA88" s="1053"/>
      <c r="BB88" s="1051"/>
      <c r="BC88" s="1051"/>
      <c r="BD88" s="1051"/>
      <c r="BE88" s="1054"/>
      <c r="BF88" s="1051"/>
      <c r="BG88" s="1051"/>
      <c r="BH88" s="1051"/>
      <c r="BI88" s="1053"/>
      <c r="BJ88" s="1051"/>
      <c r="BK88" s="1051"/>
      <c r="BL88" s="1051"/>
      <c r="BM88" s="1054"/>
      <c r="BN88" s="1051"/>
      <c r="BO88" s="1051"/>
      <c r="BP88" s="1051"/>
      <c r="BQ88" s="1053"/>
      <c r="BR88" s="1051"/>
      <c r="BS88" s="1051"/>
      <c r="BT88" s="1051"/>
      <c r="BU88" s="1054"/>
      <c r="BV88" s="1051"/>
      <c r="BW88" s="1051"/>
      <c r="BX88" s="1051"/>
      <c r="BY88" s="1053"/>
      <c r="BZ88" s="1051"/>
      <c r="CA88" s="1051"/>
      <c r="CB88" s="1051"/>
      <c r="CC88" s="1054"/>
      <c r="CD88" s="1051"/>
      <c r="CE88" s="1051"/>
      <c r="CF88" s="1051"/>
      <c r="CG88" s="1053"/>
      <c r="CH88" s="1051"/>
      <c r="CI88" s="1051"/>
      <c r="CJ88" s="1051"/>
      <c r="CK88" s="1054"/>
      <c r="CL88" s="1051"/>
      <c r="CM88" s="1051"/>
      <c r="CN88" s="1051"/>
      <c r="CO88" s="1053"/>
      <c r="CP88" s="1051"/>
      <c r="CQ88" s="1051"/>
      <c r="CR88" s="1051"/>
      <c r="CS88" s="1054"/>
      <c r="CT88" s="1051"/>
      <c r="CU88" s="1051"/>
      <c r="CV88" s="1051"/>
      <c r="CW88" s="1053"/>
      <c r="CX88" s="1051"/>
      <c r="CY88" s="1051"/>
      <c r="CZ88" s="1051"/>
      <c r="DA88" s="1054"/>
    </row>
    <row r="89" spans="1:106" outlineLevel="1" x14ac:dyDescent="0.2">
      <c r="A89" s="1019" t="s">
        <v>940</v>
      </c>
      <c r="B89" s="199"/>
      <c r="D89" s="980"/>
      <c r="E89" s="980"/>
      <c r="F89" s="980"/>
      <c r="G89" s="980"/>
      <c r="H89" s="980"/>
      <c r="I89" s="980"/>
      <c r="J89" s="980"/>
      <c r="K89" s="980"/>
      <c r="L89" s="980"/>
      <c r="M89" s="980"/>
      <c r="N89" s="980"/>
      <c r="O89" s="980"/>
      <c r="P89" s="980"/>
      <c r="Q89" s="980"/>
      <c r="R89" s="980"/>
      <c r="S89" s="980"/>
      <c r="T89" s="980"/>
      <c r="U89" s="980"/>
      <c r="V89" s="980"/>
      <c r="W89" s="980"/>
      <c r="X89" s="980"/>
      <c r="Y89" s="980"/>
      <c r="Z89" s="980"/>
      <c r="AA89" s="980"/>
      <c r="AB89" s="980"/>
      <c r="AC89" s="980"/>
      <c r="AD89" s="980"/>
      <c r="AE89" s="980"/>
      <c r="AF89" s="980"/>
      <c r="AG89" s="899"/>
      <c r="AH89" s="103"/>
      <c r="AI89" s="899"/>
      <c r="AJ89" s="899"/>
      <c r="AL89" s="1055"/>
      <c r="AM89" s="1056"/>
      <c r="AN89" s="1056"/>
      <c r="AO89" s="1057"/>
      <c r="AP89" s="1056"/>
      <c r="AQ89" s="1056"/>
      <c r="AR89" s="1056"/>
      <c r="AS89" s="1058"/>
      <c r="AT89" s="1056"/>
      <c r="AU89" s="1056"/>
      <c r="AV89" s="1056"/>
      <c r="AW89" s="1059"/>
      <c r="AX89" s="1056"/>
      <c r="AY89" s="1056"/>
      <c r="AZ89" s="1056"/>
      <c r="BA89" s="1058"/>
      <c r="BB89" s="1056"/>
      <c r="BC89" s="1056"/>
      <c r="BD89" s="1056"/>
      <c r="BE89" s="1059"/>
      <c r="BF89" s="1056"/>
      <c r="BG89" s="1056"/>
      <c r="BH89" s="1056"/>
      <c r="BI89" s="1058"/>
      <c r="BJ89" s="1056"/>
      <c r="BK89" s="1056"/>
      <c r="BL89" s="1056"/>
      <c r="BM89" s="1059"/>
      <c r="BN89" s="1056"/>
      <c r="BO89" s="1056"/>
      <c r="BP89" s="1056"/>
      <c r="BQ89" s="1058"/>
      <c r="BR89" s="1056"/>
      <c r="BS89" s="1056"/>
      <c r="BT89" s="1056"/>
      <c r="BU89" s="1059"/>
      <c r="BV89" s="1056"/>
      <c r="BW89" s="1056"/>
      <c r="BX89" s="1056"/>
      <c r="BY89" s="1058"/>
      <c r="BZ89" s="1056"/>
      <c r="CA89" s="1056"/>
      <c r="CB89" s="1056"/>
      <c r="CC89" s="1059"/>
      <c r="CD89" s="1056"/>
      <c r="CE89" s="1056"/>
      <c r="CF89" s="1056"/>
      <c r="CG89" s="1058"/>
      <c r="CH89" s="1056"/>
      <c r="CI89" s="1056"/>
      <c r="CJ89" s="1056"/>
      <c r="CK89" s="1059"/>
      <c r="CL89" s="1056"/>
      <c r="CM89" s="1056"/>
      <c r="CN89" s="1056"/>
      <c r="CO89" s="1058"/>
      <c r="CP89" s="1056"/>
      <c r="CQ89" s="1056"/>
      <c r="CR89" s="1056"/>
      <c r="CS89" s="1059"/>
      <c r="CT89" s="1056"/>
      <c r="CU89" s="1056"/>
      <c r="CV89" s="1056"/>
      <c r="CW89" s="1058"/>
      <c r="CX89" s="1056"/>
      <c r="CY89" s="1056"/>
      <c r="CZ89" s="1056"/>
      <c r="DA89" s="1059"/>
    </row>
    <row r="90" spans="1:106" outlineLevel="1" x14ac:dyDescent="0.2">
      <c r="A90" s="1013" t="s">
        <v>930</v>
      </c>
      <c r="B90" s="1013"/>
      <c r="D90" s="980"/>
      <c r="E90" s="980"/>
      <c r="F90" s="980"/>
      <c r="G90" s="980"/>
      <c r="H90" s="1013"/>
      <c r="I90" s="1013"/>
      <c r="J90" s="1013">
        <f>AVERAGE(C59:E59)</f>
        <v>149</v>
      </c>
      <c r="K90" s="1013">
        <f>AVERAGE(D59:F59)</f>
        <v>254</v>
      </c>
      <c r="L90" s="1013">
        <f>AVERAGE(E59:G59)</f>
        <v>319.66666666666669</v>
      </c>
      <c r="M90" s="1013">
        <f>AVERAGE(F59:H59)</f>
        <v>360.66666666666669</v>
      </c>
      <c r="N90" s="1013">
        <f t="shared" ref="N90:S90" si="89">AVERAGE(G59:I59)+AVERAGE(A59:C59)*0.9</f>
        <v>415.66666666666669</v>
      </c>
      <c r="O90" s="1013">
        <f t="shared" si="89"/>
        <v>604.21666666666658</v>
      </c>
      <c r="P90" s="1013">
        <f t="shared" si="89"/>
        <v>744.76666666666665</v>
      </c>
      <c r="Q90" s="1013">
        <f t="shared" si="89"/>
        <v>830.6</v>
      </c>
      <c r="R90" s="1013">
        <f t="shared" si="89"/>
        <v>770.7</v>
      </c>
      <c r="S90" s="1013">
        <f t="shared" si="89"/>
        <v>675.93333333333339</v>
      </c>
      <c r="T90" s="1013">
        <f t="shared" ref="T90:AG90" si="90">AVERAGE(M59:O59)+AVERAGE(G59:I59)*0.9+AVERAGE(A59:C59)*0.5</f>
        <v>662.1</v>
      </c>
      <c r="U90" s="1013">
        <f t="shared" si="90"/>
        <v>839.38333333333321</v>
      </c>
      <c r="V90" s="1013">
        <f t="shared" si="90"/>
        <v>989.76666666666665</v>
      </c>
      <c r="W90" s="1013">
        <f t="shared" si="90"/>
        <v>1006.8000000000001</v>
      </c>
      <c r="X90" s="1013">
        <f t="shared" si="90"/>
        <v>808.2</v>
      </c>
      <c r="Y90" s="1013">
        <f t="shared" si="90"/>
        <v>613.86666666666667</v>
      </c>
      <c r="Z90" s="1013">
        <f t="shared" si="90"/>
        <v>549.36666666666667</v>
      </c>
      <c r="AA90" s="1013">
        <f t="shared" si="90"/>
        <v>630.83333333333326</v>
      </c>
      <c r="AB90" s="1013">
        <f t="shared" si="90"/>
        <v>685.1</v>
      </c>
      <c r="AC90" s="1013">
        <f t="shared" si="90"/>
        <v>637.86666666666667</v>
      </c>
      <c r="AD90" s="1013">
        <f t="shared" si="90"/>
        <v>446.79999999999995</v>
      </c>
      <c r="AE90" s="1013">
        <f t="shared" si="90"/>
        <v>291.26666666666665</v>
      </c>
      <c r="AF90" s="1013">
        <f t="shared" si="90"/>
        <v>222.76666666666665</v>
      </c>
      <c r="AG90" s="1013">
        <f t="shared" si="90"/>
        <v>235.2</v>
      </c>
      <c r="AH90" s="1013">
        <f>AVERAGE(AA59:AC59)+AVERAGE(U59:W59)*0.9+AVERAGE(O59:Q59)*0.5</f>
        <v>230.43333333333334</v>
      </c>
      <c r="AI90" s="1013">
        <f t="shared" ref="AI90:AO90" si="91">AVERAGE(AB59:AD59)+AVERAGE(V59:X59)*0.9+AVERAGE(P59:R59)*0.5</f>
        <v>198.4</v>
      </c>
      <c r="AJ90" s="1013">
        <f t="shared" si="91"/>
        <v>118.53333333333333</v>
      </c>
      <c r="AK90" s="1013">
        <f t="shared" si="91"/>
        <v>67.666666666666657</v>
      </c>
      <c r="AL90" s="1013">
        <f>AVERAGE(AE59:AG59)+AVERAGE(Y59:AA59)*0.9+AVERAGE(S59:U59)*0.5</f>
        <v>45.366666666666667</v>
      </c>
      <c r="AM90" s="1017">
        <f t="shared" si="91"/>
        <v>42</v>
      </c>
      <c r="AN90" s="1017">
        <f>AVERAGE(AG59:AI59)+AVERAGE(AA59:AC59)*0.9+AVERAGE(U59:W59)*0.5</f>
        <v>27.133333333333333</v>
      </c>
      <c r="AO90" s="1060">
        <f t="shared" si="91"/>
        <v>16.333333333333332</v>
      </c>
      <c r="AP90" s="1017"/>
      <c r="AQ90" s="1017"/>
      <c r="AR90" s="1017"/>
      <c r="AS90" s="1061"/>
      <c r="AT90" s="1017"/>
      <c r="AU90" s="1017"/>
      <c r="AV90" s="1017"/>
      <c r="AW90" s="1419">
        <f>AVERAGE(AI59:AK59)+AVERAGE(AC59:AE59)*0.9+AVERAGE(W59:Y59)*0.5</f>
        <v>6.5</v>
      </c>
      <c r="AX90" s="1017"/>
      <c r="AY90" s="1017"/>
      <c r="AZ90" s="1017"/>
      <c r="BA90" s="1061"/>
      <c r="BB90" s="1017"/>
      <c r="BC90" s="1017"/>
      <c r="BD90" s="1017"/>
      <c r="BE90" s="955">
        <f>AVERAGE(AJ59:AL59)+AVERAGE(AD59:AF59)*0.9+AVERAGE(X59:Z59)*0.5</f>
        <v>5</v>
      </c>
      <c r="BF90" s="1017"/>
      <c r="BG90" s="1017"/>
      <c r="BH90" s="1017"/>
      <c r="BI90" s="1061"/>
      <c r="BJ90" s="1017"/>
      <c r="BK90" s="1017"/>
      <c r="BL90" s="1017"/>
      <c r="BM90" s="1419">
        <f>AVERAGE(AK59:AM59)+AVERAGE(AE59:AG59)*0.9+AVERAGE(Y59:AA59)*0.5</f>
        <v>2.3333333333333335</v>
      </c>
      <c r="BN90" s="1017"/>
      <c r="BO90" s="1017"/>
      <c r="BP90" s="1017"/>
      <c r="BQ90" s="1061"/>
      <c r="BR90" s="1017"/>
      <c r="BS90" s="1017"/>
      <c r="BT90" s="1017"/>
      <c r="BU90" s="1062">
        <f>AVERAGE(AL59:AN59)+AVERAGE(AF59:AH59)*0.9+AVERAGE(Z59:AB59)*0.5</f>
        <v>1.6666666666666667</v>
      </c>
      <c r="BV90" s="1017"/>
      <c r="BW90" s="1017"/>
      <c r="BX90" s="1017"/>
      <c r="BY90" s="1061"/>
      <c r="BZ90" s="1017"/>
      <c r="CA90" s="1017"/>
      <c r="CB90" s="1017"/>
      <c r="CC90" s="1062">
        <f>AVERAGE(AM59:AO59)+AVERAGE(AG59:AI59)*0.9+AVERAGE(AA59:AC59)*0.5</f>
        <v>1</v>
      </c>
      <c r="CD90" s="1017"/>
      <c r="CE90" s="1017"/>
      <c r="CF90" s="1017"/>
      <c r="CG90" s="1061"/>
      <c r="CH90" s="1017"/>
      <c r="CI90" s="1017"/>
      <c r="CJ90" s="1017"/>
      <c r="CK90" s="1062">
        <f>AVERAGE(AN59:AW59)+AVERAGE(AH59:AJ59)*0.9+AVERAGE(AB59:AD59)*0.5</f>
        <v>0</v>
      </c>
      <c r="CL90" s="1017"/>
      <c r="CM90" s="1017"/>
      <c r="CN90" s="1017"/>
      <c r="CO90" s="1061"/>
      <c r="CP90" s="1017"/>
      <c r="CQ90" s="1017"/>
      <c r="CR90" s="1017"/>
      <c r="CS90" s="1062">
        <f>AVERAGE(AO59:BE59)+AVERAGE(AI59:AK59)*0.9+AVERAGE(AC59:AE59)*0.5</f>
        <v>0</v>
      </c>
      <c r="CT90" s="1017"/>
      <c r="CU90" s="1017"/>
      <c r="CV90" s="1017"/>
      <c r="CW90" s="1061"/>
      <c r="CX90" s="1017"/>
      <c r="CY90" s="1017"/>
      <c r="CZ90" s="1017"/>
      <c r="DA90" s="1062">
        <f>AVERAGE(AW59:BM59)+AVERAGE(AJ59:AL59)*0.9+AVERAGE(AD59:AF59)*0.5</f>
        <v>0</v>
      </c>
    </row>
    <row r="91" spans="1:106" outlineLevel="1" x14ac:dyDescent="0.2">
      <c r="A91" s="1013" t="s">
        <v>931</v>
      </c>
      <c r="B91" s="1013"/>
      <c r="D91" s="980"/>
      <c r="E91" s="980"/>
      <c r="F91" s="980"/>
      <c r="G91" s="980"/>
      <c r="H91" s="980"/>
      <c r="I91" s="980"/>
      <c r="J91" s="980"/>
      <c r="K91" s="980"/>
      <c r="L91" s="980"/>
      <c r="M91" s="1013"/>
      <c r="N91" s="1013"/>
      <c r="O91" s="1013"/>
      <c r="P91" s="1013"/>
      <c r="Q91" s="1013"/>
      <c r="R91" s="1013"/>
      <c r="S91" s="1013"/>
      <c r="T91" s="1013">
        <f t="shared" ref="T91:AG91" si="92">AVERAGE(K60:M60)+AVERAGE(F60:H60)*0.9+AVERAGE(A60:C60)*0.5</f>
        <v>35.333333333333336</v>
      </c>
      <c r="U91" s="1013">
        <f t="shared" si="92"/>
        <v>64.666666666666671</v>
      </c>
      <c r="V91" s="1013">
        <f t="shared" si="92"/>
        <v>98</v>
      </c>
      <c r="W91" s="1013">
        <f t="shared" si="92"/>
        <v>138.53333333333333</v>
      </c>
      <c r="X91" s="1013">
        <f t="shared" si="92"/>
        <v>278.39999999999998</v>
      </c>
      <c r="Y91" s="1013">
        <f t="shared" si="92"/>
        <v>519.13333333333333</v>
      </c>
      <c r="Z91" s="1013">
        <f t="shared" si="92"/>
        <v>764.2</v>
      </c>
      <c r="AA91" s="1013">
        <f t="shared" si="92"/>
        <v>914.2</v>
      </c>
      <c r="AB91" s="1013">
        <f t="shared" si="92"/>
        <v>897.6</v>
      </c>
      <c r="AC91" s="1013">
        <f t="shared" si="92"/>
        <v>921</v>
      </c>
      <c r="AD91" s="1013">
        <f t="shared" si="92"/>
        <v>1058.9333333333334</v>
      </c>
      <c r="AE91" s="1013">
        <f t="shared" si="92"/>
        <v>1293.0666666666666</v>
      </c>
      <c r="AF91" s="1013">
        <f t="shared" si="92"/>
        <v>1553.0666666666666</v>
      </c>
      <c r="AG91" s="1013">
        <f t="shared" si="92"/>
        <v>1666.0000000000002</v>
      </c>
      <c r="AH91" s="1013">
        <f>AVERAGE(Y60:AA60)+AVERAGE(T60:V60)*0.9+AVERAGE(O60:Q60)*0.5</f>
        <v>1743</v>
      </c>
      <c r="AI91" s="1013">
        <f>AVERAGE(Z60:AB60)+AVERAGE(U60:W60)*0.9+AVERAGE(P60:R60)*0.5</f>
        <v>1868.7333333333333</v>
      </c>
      <c r="AJ91" s="1013">
        <f>AVERAGE(AA60:AC60)+AVERAGE(V60:X60)*0.9+AVERAGE(Q60:S60)*0.5</f>
        <v>2025.1333333333332</v>
      </c>
      <c r="AK91" s="899">
        <f>AVERAGE(AB60:AD60)+AVERAGE(W60:Y60)*0.9+AVERAGE(R60:T60)*0.5</f>
        <v>2271.6</v>
      </c>
      <c r="AL91" s="899">
        <f>AVERAGE(AC60:AE60)+AVERAGE(X60:Z60)*0.9+AVERAGE(S60:U60)*0.4</f>
        <v>2316.5333333333333</v>
      </c>
      <c r="AM91" s="900">
        <f>AL91*(1-50%)</f>
        <v>1158.2666666666667</v>
      </c>
      <c r="AN91" s="900">
        <f>AM91*(1+15%)</f>
        <v>1332.0066666666664</v>
      </c>
      <c r="AO91" s="912">
        <f>AN91*(1+32%)</f>
        <v>1758.2487999999998</v>
      </c>
      <c r="AP91" s="900"/>
      <c r="AQ91" s="900"/>
      <c r="AR91" s="900"/>
      <c r="AS91" s="954"/>
      <c r="AT91" s="900"/>
      <c r="AU91" s="900"/>
      <c r="AV91" s="900"/>
      <c r="AW91" s="955">
        <f>AO91*(1+15%)</f>
        <v>2021.9861199999996</v>
      </c>
      <c r="AX91" s="900"/>
      <c r="AY91" s="900"/>
      <c r="AZ91" s="900"/>
      <c r="BA91" s="954"/>
      <c r="BB91" s="900"/>
      <c r="BC91" s="900"/>
      <c r="BD91" s="900"/>
      <c r="BE91" s="955">
        <f>AW91*(1+8%)</f>
        <v>2183.7450095999998</v>
      </c>
      <c r="BF91" s="900"/>
      <c r="BG91" s="900"/>
      <c r="BH91" s="900"/>
      <c r="BI91" s="954"/>
      <c r="BJ91" s="900"/>
      <c r="BK91" s="900"/>
      <c r="BL91" s="900"/>
      <c r="BM91" s="955">
        <f>AVERAGE(AI60:AK60)+AVERAGE(AD60:AF60)*0.5+AVERAGE(X60:Z60)*0.3</f>
        <v>2302.0666666666666</v>
      </c>
      <c r="BN91" s="900"/>
      <c r="BO91" s="900"/>
      <c r="BP91" s="900"/>
      <c r="BQ91" s="954"/>
      <c r="BR91" s="900"/>
      <c r="BS91" s="900"/>
      <c r="BT91" s="900"/>
      <c r="BU91" s="915">
        <f>AVERAGE(AJ60:AL60)+AVERAGE(AE60:AG60)*0.65+AVERAGE(Z60:AB60)*0.5</f>
        <v>2412.3000000000002</v>
      </c>
      <c r="BV91" s="900"/>
      <c r="BW91" s="900"/>
      <c r="BX91" s="900"/>
      <c r="BY91" s="954"/>
      <c r="BZ91" s="900"/>
      <c r="CA91" s="900"/>
      <c r="CB91" s="900"/>
      <c r="CC91" s="915">
        <f>AVERAGE(AK60:AM60)+AVERAGE(AF60:AH60)*0.85+AVERAGE(AA60:AC60)*0.55</f>
        <v>2430.5333333333333</v>
      </c>
      <c r="CD91" s="900"/>
      <c r="CE91" s="900"/>
      <c r="CF91" s="900"/>
      <c r="CG91" s="954"/>
      <c r="CH91" s="900"/>
      <c r="CI91" s="900"/>
      <c r="CJ91" s="900"/>
      <c r="CK91" s="915">
        <f>AVERAGE(AL60:AN60)+AVERAGE(AG60:AI60)*0.9+AVERAGE(AB60:AD60)*0.6</f>
        <v>2382.2333333333331</v>
      </c>
      <c r="CL91" s="900"/>
      <c r="CM91" s="900"/>
      <c r="CN91" s="900"/>
      <c r="CO91" s="954"/>
      <c r="CP91" s="900"/>
      <c r="CQ91" s="900"/>
      <c r="CR91" s="900"/>
      <c r="CS91" s="915">
        <f>AVERAGE(AM60:AO60)+AVERAGE(AH60:AJ60)*0.9+AVERAGE(AC60:AE60)*0.6</f>
        <v>2250.3000000000002</v>
      </c>
      <c r="CT91" s="900"/>
      <c r="CU91" s="900"/>
      <c r="CV91" s="900"/>
      <c r="CW91" s="954"/>
      <c r="CX91" s="900"/>
      <c r="CY91" s="900"/>
      <c r="CZ91" s="900"/>
      <c r="DA91" s="915">
        <f>AVERAGE(AN60:AW60)+AVERAGE(AI60:AK60)*0.9+AVERAGE(AD60:AF60)*0.6</f>
        <v>2092.9</v>
      </c>
      <c r="DB91" s="571"/>
    </row>
    <row r="92" spans="1:106" outlineLevel="1" x14ac:dyDescent="0.2">
      <c r="A92" s="338"/>
      <c r="B92" s="1019" t="s">
        <v>941</v>
      </c>
      <c r="C92" s="997"/>
      <c r="D92" s="997"/>
      <c r="E92" s="997"/>
      <c r="F92" s="997"/>
      <c r="G92" s="997"/>
      <c r="H92" s="997"/>
      <c r="I92" s="997"/>
      <c r="J92" s="1019">
        <f t="shared" ref="J92:AL92" si="93">J91+J90</f>
        <v>149</v>
      </c>
      <c r="K92" s="1019">
        <f t="shared" si="93"/>
        <v>254</v>
      </c>
      <c r="L92" s="1019">
        <f t="shared" si="93"/>
        <v>319.66666666666669</v>
      </c>
      <c r="M92" s="1019">
        <f t="shared" si="93"/>
        <v>360.66666666666669</v>
      </c>
      <c r="N92" s="1019">
        <f t="shared" si="93"/>
        <v>415.66666666666669</v>
      </c>
      <c r="O92" s="1019">
        <f t="shared" si="93"/>
        <v>604.21666666666658</v>
      </c>
      <c r="P92" s="1019">
        <f t="shared" si="93"/>
        <v>744.76666666666665</v>
      </c>
      <c r="Q92" s="1019">
        <f t="shared" si="93"/>
        <v>830.6</v>
      </c>
      <c r="R92" s="1019">
        <f t="shared" si="93"/>
        <v>770.7</v>
      </c>
      <c r="S92" s="1019">
        <f t="shared" si="93"/>
        <v>675.93333333333339</v>
      </c>
      <c r="T92" s="1019">
        <f t="shared" si="93"/>
        <v>697.43333333333339</v>
      </c>
      <c r="U92" s="1019">
        <f t="shared" si="93"/>
        <v>904.04999999999984</v>
      </c>
      <c r="V92" s="1019">
        <f t="shared" si="93"/>
        <v>1087.7666666666667</v>
      </c>
      <c r="W92" s="1019">
        <f t="shared" si="93"/>
        <v>1145.3333333333335</v>
      </c>
      <c r="X92" s="1019">
        <f t="shared" si="93"/>
        <v>1086.5999999999999</v>
      </c>
      <c r="Y92" s="1019">
        <f t="shared" si="93"/>
        <v>1133</v>
      </c>
      <c r="Z92" s="1019">
        <f t="shared" si="93"/>
        <v>1313.5666666666666</v>
      </c>
      <c r="AA92" s="1019">
        <f t="shared" si="93"/>
        <v>1545.0333333333333</v>
      </c>
      <c r="AB92" s="1019">
        <f t="shared" si="93"/>
        <v>1582.7</v>
      </c>
      <c r="AC92" s="1019">
        <f t="shared" si="93"/>
        <v>1558.8666666666668</v>
      </c>
      <c r="AD92" s="1019">
        <f t="shared" si="93"/>
        <v>1505.7333333333333</v>
      </c>
      <c r="AE92" s="1019">
        <f t="shared" si="93"/>
        <v>1584.3333333333333</v>
      </c>
      <c r="AF92" s="1019">
        <f t="shared" si="93"/>
        <v>1775.8333333333333</v>
      </c>
      <c r="AG92" s="1019">
        <f t="shared" si="93"/>
        <v>1901.2000000000003</v>
      </c>
      <c r="AH92" s="1019">
        <f t="shared" si="93"/>
        <v>1973.4333333333334</v>
      </c>
      <c r="AI92" s="1019">
        <f t="shared" si="93"/>
        <v>2067.1333333333332</v>
      </c>
      <c r="AJ92" s="1019">
        <f t="shared" si="93"/>
        <v>2143.6666666666665</v>
      </c>
      <c r="AK92" s="931">
        <f t="shared" si="93"/>
        <v>2339.2666666666664</v>
      </c>
      <c r="AL92" s="931">
        <f t="shared" si="93"/>
        <v>2361.9</v>
      </c>
      <c r="AM92" s="926">
        <f>AM91+AM90+10</f>
        <v>1210.2666666666667</v>
      </c>
      <c r="AN92" s="926">
        <f>AN91+AN90</f>
        <v>1359.1399999999999</v>
      </c>
      <c r="AO92" s="934">
        <f>AO91+AO90</f>
        <v>1774.5821333333331</v>
      </c>
      <c r="AP92" s="926"/>
      <c r="AQ92" s="926"/>
      <c r="AR92" s="926"/>
      <c r="AS92" s="1001"/>
      <c r="AT92" s="926"/>
      <c r="AU92" s="926"/>
      <c r="AV92" s="926"/>
      <c r="AW92" s="1032">
        <f>AW91+AW90</f>
        <v>2028.4861199999996</v>
      </c>
      <c r="AX92" s="926"/>
      <c r="AY92" s="926"/>
      <c r="AZ92" s="926"/>
      <c r="BA92" s="1001"/>
      <c r="BB92" s="926"/>
      <c r="BC92" s="926"/>
      <c r="BD92" s="926"/>
      <c r="BE92" s="1032">
        <f>BE91+BE90</f>
        <v>2188.7450095999998</v>
      </c>
      <c r="BF92" s="926"/>
      <c r="BG92" s="926"/>
      <c r="BH92" s="926"/>
      <c r="BI92" s="1001"/>
      <c r="BJ92" s="926"/>
      <c r="BK92" s="926"/>
      <c r="BL92" s="926"/>
      <c r="BM92" s="1032">
        <f>BM91+BM90</f>
        <v>2304.4</v>
      </c>
      <c r="BN92" s="926"/>
      <c r="BO92" s="926"/>
      <c r="BP92" s="926"/>
      <c r="BQ92" s="1001"/>
      <c r="BR92" s="926"/>
      <c r="BS92" s="926"/>
      <c r="BT92" s="926"/>
      <c r="BU92" s="937">
        <f>BU91+BU90</f>
        <v>2413.9666666666667</v>
      </c>
      <c r="BV92" s="926"/>
      <c r="BW92" s="926"/>
      <c r="BX92" s="926"/>
      <c r="BY92" s="1001"/>
      <c r="BZ92" s="926"/>
      <c r="CA92" s="926"/>
      <c r="CB92" s="926"/>
      <c r="CC92" s="937">
        <f>CC91+CC90</f>
        <v>2431.5333333333333</v>
      </c>
      <c r="CD92" s="926"/>
      <c r="CE92" s="926"/>
      <c r="CF92" s="926"/>
      <c r="CG92" s="1001"/>
      <c r="CH92" s="926"/>
      <c r="CI92" s="926"/>
      <c r="CJ92" s="926"/>
      <c r="CK92" s="937">
        <f>CK91+CK90</f>
        <v>2382.2333333333331</v>
      </c>
      <c r="CL92" s="926"/>
      <c r="CM92" s="926"/>
      <c r="CN92" s="926"/>
      <c r="CO92" s="1001"/>
      <c r="CP92" s="926"/>
      <c r="CQ92" s="926"/>
      <c r="CR92" s="926"/>
      <c r="CS92" s="937">
        <f>CS91+CS90</f>
        <v>2250.3000000000002</v>
      </c>
      <c r="CT92" s="926"/>
      <c r="CU92" s="926"/>
      <c r="CV92" s="926"/>
      <c r="CW92" s="1001"/>
      <c r="CX92" s="926"/>
      <c r="CY92" s="926"/>
      <c r="CZ92" s="926"/>
      <c r="DA92" s="937">
        <f>DA91+DA90</f>
        <v>2092.9</v>
      </c>
    </row>
    <row r="93" spans="1:106" outlineLevel="1" x14ac:dyDescent="0.2">
      <c r="A93" s="1063"/>
      <c r="B93" s="1064" t="s">
        <v>942</v>
      </c>
      <c r="C93" s="998"/>
      <c r="D93" s="998"/>
      <c r="E93" s="998"/>
      <c r="F93" s="998"/>
      <c r="G93" s="998"/>
      <c r="H93" s="998"/>
      <c r="I93" s="998"/>
      <c r="J93" s="998"/>
      <c r="K93" s="998"/>
      <c r="L93" s="998"/>
      <c r="M93" s="998"/>
      <c r="N93" s="998"/>
      <c r="O93" s="998"/>
      <c r="P93" s="998"/>
      <c r="Q93" s="998"/>
      <c r="R93" s="998"/>
      <c r="S93" s="998"/>
      <c r="T93" s="998"/>
      <c r="U93" s="998"/>
      <c r="V93" s="998"/>
      <c r="W93" s="998"/>
      <c r="X93" s="998"/>
      <c r="Y93" s="998"/>
      <c r="Z93" s="998"/>
      <c r="AA93" s="998"/>
      <c r="AB93" s="998"/>
      <c r="AC93" s="998"/>
      <c r="AD93" s="998"/>
      <c r="AE93" s="998"/>
      <c r="AF93" s="998"/>
      <c r="AG93" s="1065"/>
      <c r="AH93" s="1066">
        <f t="shared" ref="AH93:AO93" si="94">+AH92/AG92-1</f>
        <v>3.7993547934637606E-2</v>
      </c>
      <c r="AI93" s="1066">
        <f t="shared" si="94"/>
        <v>4.7480701991452934E-2</v>
      </c>
      <c r="AJ93" s="1066">
        <f t="shared" si="94"/>
        <v>3.7023897829522312E-2</v>
      </c>
      <c r="AK93" s="466">
        <f t="shared" si="94"/>
        <v>9.124552946664588E-2</v>
      </c>
      <c r="AL93" s="466">
        <f t="shared" si="94"/>
        <v>9.6753968480152164E-3</v>
      </c>
      <c r="AM93" s="272">
        <f t="shared" si="94"/>
        <v>-0.48758767658805768</v>
      </c>
      <c r="AN93" s="272">
        <f t="shared" si="94"/>
        <v>0.12300870331607361</v>
      </c>
      <c r="AO93" s="275">
        <f t="shared" si="94"/>
        <v>0.30566544530610029</v>
      </c>
      <c r="AP93" s="272"/>
      <c r="AQ93" s="272"/>
      <c r="AR93" s="272"/>
      <c r="AS93" s="248"/>
      <c r="AT93" s="272"/>
      <c r="AU93" s="272"/>
      <c r="AV93" s="272"/>
      <c r="AW93" s="602">
        <f>+AW92/AO92-1</f>
        <v>0.14307818268728933</v>
      </c>
      <c r="AX93" s="272"/>
      <c r="AY93" s="272"/>
      <c r="AZ93" s="272"/>
      <c r="BA93" s="248"/>
      <c r="BB93" s="272"/>
      <c r="BC93" s="272"/>
      <c r="BD93" s="272"/>
      <c r="BE93" s="602">
        <f>+BE92/AW92-1</f>
        <v>7.9004183474521428E-2</v>
      </c>
      <c r="BF93" s="272"/>
      <c r="BG93" s="272"/>
      <c r="BH93" s="272"/>
      <c r="BI93" s="248"/>
      <c r="BJ93" s="272"/>
      <c r="BK93" s="272"/>
      <c r="BL93" s="272"/>
      <c r="BM93" s="602">
        <f>+BM92/BE92-1</f>
        <v>5.2840778570701019E-2</v>
      </c>
      <c r="BN93" s="272"/>
      <c r="BO93" s="272"/>
      <c r="BP93" s="272"/>
      <c r="BQ93" s="248"/>
      <c r="BR93" s="272"/>
      <c r="BS93" s="272"/>
      <c r="BT93" s="272"/>
      <c r="BU93" s="600">
        <f>+BU92/BM92-1</f>
        <v>4.7546722212578718E-2</v>
      </c>
      <c r="BV93" s="272"/>
      <c r="BW93" s="272"/>
      <c r="BX93" s="272"/>
      <c r="BY93" s="248"/>
      <c r="BZ93" s="272"/>
      <c r="CA93" s="272"/>
      <c r="CB93" s="272"/>
      <c r="CC93" s="600">
        <f>+CC92/BU92-1</f>
        <v>7.2770957897789756E-3</v>
      </c>
      <c r="CD93" s="272"/>
      <c r="CE93" s="272"/>
      <c r="CF93" s="272"/>
      <c r="CG93" s="248"/>
      <c r="CH93" s="272"/>
      <c r="CI93" s="272"/>
      <c r="CJ93" s="272"/>
      <c r="CK93" s="600">
        <f>+CK92/CC92-1</f>
        <v>-2.027527211910185E-2</v>
      </c>
      <c r="CL93" s="272"/>
      <c r="CM93" s="272"/>
      <c r="CN93" s="272"/>
      <c r="CO93" s="248"/>
      <c r="CP93" s="272"/>
      <c r="CQ93" s="272"/>
      <c r="CR93" s="272"/>
      <c r="CS93" s="600">
        <f>+CS92/CK92-1</f>
        <v>-5.5382204374046617E-2</v>
      </c>
      <c r="CT93" s="272"/>
      <c r="CU93" s="272"/>
      <c r="CV93" s="272"/>
      <c r="CW93" s="248"/>
      <c r="CX93" s="272"/>
      <c r="CY93" s="272"/>
      <c r="CZ93" s="272"/>
      <c r="DA93" s="600">
        <f>+DA92/CS92-1</f>
        <v>-6.9946229391636749E-2</v>
      </c>
    </row>
    <row r="94" spans="1:106" outlineLevel="1" x14ac:dyDescent="0.2">
      <c r="A94" s="1063"/>
      <c r="B94" s="1064"/>
      <c r="C94" s="998"/>
      <c r="D94" s="998"/>
      <c r="E94" s="998"/>
      <c r="F94" s="998"/>
      <c r="G94" s="998"/>
      <c r="H94" s="998"/>
      <c r="I94" s="998"/>
      <c r="J94" s="998"/>
      <c r="K94" s="998"/>
      <c r="L94" s="998"/>
      <c r="M94" s="998"/>
      <c r="N94" s="998"/>
      <c r="O94" s="998"/>
      <c r="P94" s="998"/>
      <c r="Q94" s="998"/>
      <c r="R94" s="998"/>
      <c r="S94" s="998"/>
      <c r="T94" s="998"/>
      <c r="U94" s="998"/>
      <c r="V94" s="998"/>
      <c r="W94" s="998"/>
      <c r="X94" s="998"/>
      <c r="Y94" s="998"/>
      <c r="Z94" s="998"/>
      <c r="AA94" s="998"/>
      <c r="AB94" s="998"/>
      <c r="AC94" s="998"/>
      <c r="AD94" s="998"/>
      <c r="AE94" s="998"/>
      <c r="AF94" s="998"/>
      <c r="AG94" s="1067"/>
      <c r="AH94" s="1066"/>
      <c r="AI94" s="1066"/>
      <c r="AJ94" s="1066"/>
      <c r="AK94" s="466"/>
      <c r="AL94" s="466"/>
      <c r="AM94" s="272"/>
      <c r="AN94" s="272"/>
      <c r="AO94" s="275"/>
      <c r="AP94" s="272"/>
      <c r="AQ94" s="272"/>
      <c r="AR94" s="272"/>
      <c r="AS94" s="248"/>
      <c r="AT94" s="272"/>
      <c r="AU94" s="272"/>
      <c r="AV94" s="272"/>
      <c r="AW94" s="602"/>
      <c r="AX94" s="272"/>
      <c r="AY94" s="272"/>
      <c r="AZ94" s="272"/>
      <c r="BA94" s="248"/>
      <c r="BB94" s="272"/>
      <c r="BC94" s="272"/>
      <c r="BD94" s="272"/>
      <c r="BE94" s="602"/>
      <c r="BF94" s="272"/>
      <c r="BG94" s="272"/>
      <c r="BH94" s="272"/>
      <c r="BI94" s="248"/>
      <c r="BJ94" s="272"/>
      <c r="BK94" s="272"/>
      <c r="BL94" s="272"/>
      <c r="BM94" s="602"/>
      <c r="BN94" s="272"/>
      <c r="BO94" s="272"/>
      <c r="BP94" s="272"/>
      <c r="BQ94" s="248"/>
      <c r="BR94" s="272"/>
      <c r="BS94" s="272"/>
      <c r="BT94" s="272"/>
      <c r="BU94" s="602"/>
      <c r="BV94" s="272"/>
      <c r="BW94" s="272"/>
      <c r="BX94" s="272"/>
      <c r="BY94" s="248"/>
      <c r="BZ94" s="272"/>
      <c r="CA94" s="272"/>
      <c r="CB94" s="272"/>
      <c r="CC94" s="602"/>
      <c r="CD94" s="272"/>
      <c r="CE94" s="272"/>
      <c r="CF94" s="272"/>
      <c r="CG94" s="248"/>
      <c r="CH94" s="272"/>
      <c r="CI94" s="272"/>
      <c r="CJ94" s="272"/>
      <c r="CK94" s="602"/>
      <c r="CL94" s="272"/>
      <c r="CM94" s="272"/>
      <c r="CN94" s="272"/>
      <c r="CO94" s="248"/>
      <c r="CP94" s="272"/>
      <c r="CQ94" s="272"/>
      <c r="CR94" s="272"/>
      <c r="CS94" s="602"/>
      <c r="CT94" s="272"/>
      <c r="CU94" s="272"/>
      <c r="CV94" s="272"/>
      <c r="CW94" s="248"/>
      <c r="CX94" s="272"/>
      <c r="CY94" s="272"/>
      <c r="CZ94" s="272"/>
      <c r="DA94" s="602"/>
    </row>
    <row r="95" spans="1:106" outlineLevel="1" x14ac:dyDescent="0.2">
      <c r="A95" s="338" t="s">
        <v>943</v>
      </c>
      <c r="B95" s="1013"/>
      <c r="C95" s="980"/>
      <c r="D95" s="980"/>
      <c r="E95" s="980"/>
      <c r="F95" s="980"/>
      <c r="G95" s="980"/>
      <c r="H95" s="980"/>
      <c r="I95" s="980"/>
      <c r="J95" s="980"/>
      <c r="K95" s="980"/>
      <c r="L95" s="980"/>
      <c r="M95" s="980"/>
      <c r="N95" s="980"/>
      <c r="O95" s="980"/>
      <c r="P95" s="980"/>
      <c r="Q95" s="980"/>
      <c r="R95" s="980"/>
      <c r="S95" s="980"/>
      <c r="T95" s="980"/>
      <c r="U95" s="980"/>
      <c r="V95" s="980"/>
      <c r="W95" s="980"/>
      <c r="X95" s="980"/>
      <c r="Y95" s="980"/>
      <c r="Z95" s="980"/>
      <c r="AA95" s="980"/>
      <c r="AB95" s="980"/>
      <c r="AC95" s="980"/>
      <c r="AD95" s="980"/>
      <c r="AE95" s="980"/>
      <c r="AF95" s="980"/>
      <c r="AG95" s="931"/>
      <c r="AH95" s="931"/>
      <c r="AI95" s="931"/>
      <c r="AJ95" s="931"/>
      <c r="AK95" s="931"/>
      <c r="AL95" s="931"/>
      <c r="AM95" s="926"/>
      <c r="AN95" s="926"/>
      <c r="AO95" s="934"/>
      <c r="AP95" s="926"/>
      <c r="AQ95" s="926"/>
      <c r="AR95" s="926"/>
      <c r="AS95" s="1001"/>
      <c r="AT95" s="926"/>
      <c r="AU95" s="926"/>
      <c r="AV95" s="926"/>
      <c r="AW95" s="1032"/>
      <c r="AX95" s="926"/>
      <c r="AY95" s="926"/>
      <c r="AZ95" s="926"/>
      <c r="BA95" s="1001"/>
      <c r="BB95" s="926"/>
      <c r="BC95" s="926"/>
      <c r="BD95" s="926"/>
      <c r="BE95" s="1032"/>
      <c r="BF95" s="926"/>
      <c r="BG95" s="926"/>
      <c r="BH95" s="926"/>
      <c r="BI95" s="1001"/>
      <c r="BJ95" s="926"/>
      <c r="BK95" s="926"/>
      <c r="BL95" s="926"/>
      <c r="BM95" s="1032"/>
      <c r="BN95" s="926"/>
      <c r="BO95" s="926"/>
      <c r="BP95" s="926"/>
      <c r="BQ95" s="1001"/>
      <c r="BR95" s="926"/>
      <c r="BS95" s="926"/>
      <c r="BT95" s="926"/>
      <c r="BU95" s="1032"/>
      <c r="BV95" s="926"/>
      <c r="BW95" s="926"/>
      <c r="BX95" s="926"/>
      <c r="BY95" s="1001"/>
      <c r="BZ95" s="926"/>
      <c r="CA95" s="926"/>
      <c r="CB95" s="926"/>
      <c r="CC95" s="1032"/>
      <c r="CD95" s="926"/>
      <c r="CE95" s="926"/>
      <c r="CF95" s="926"/>
      <c r="CG95" s="1001"/>
      <c r="CH95" s="926"/>
      <c r="CI95" s="926"/>
      <c r="CJ95" s="926"/>
      <c r="CK95" s="1032"/>
      <c r="CL95" s="926"/>
      <c r="CM95" s="926"/>
      <c r="CN95" s="926"/>
      <c r="CO95" s="1001"/>
      <c r="CP95" s="926"/>
      <c r="CQ95" s="926"/>
      <c r="CR95" s="926"/>
      <c r="CS95" s="1032"/>
      <c r="CT95" s="926"/>
      <c r="CU95" s="926"/>
      <c r="CV95" s="926"/>
      <c r="CW95" s="1001"/>
      <c r="CX95" s="926"/>
      <c r="CY95" s="926"/>
      <c r="CZ95" s="926"/>
      <c r="DA95" s="1032"/>
    </row>
    <row r="96" spans="1:106" outlineLevel="1" x14ac:dyDescent="0.2">
      <c r="A96" s="199"/>
      <c r="B96" s="1013" t="s">
        <v>944</v>
      </c>
      <c r="C96" s="980"/>
      <c r="D96" s="980"/>
      <c r="E96" s="980"/>
      <c r="F96" s="980"/>
      <c r="G96" s="980"/>
      <c r="H96" s="980"/>
      <c r="I96" s="980"/>
      <c r="J96" s="980"/>
      <c r="K96" s="980"/>
      <c r="L96" s="980"/>
      <c r="M96" s="980"/>
      <c r="N96" s="980"/>
      <c r="O96" s="980"/>
      <c r="P96" s="980"/>
      <c r="Q96" s="980"/>
      <c r="R96" s="980"/>
      <c r="S96" s="980"/>
      <c r="T96" s="980"/>
      <c r="U96" s="980"/>
      <c r="V96" s="980"/>
      <c r="W96" s="980"/>
      <c r="X96" s="980"/>
      <c r="Y96" s="980"/>
      <c r="Z96" s="980"/>
      <c r="AA96" s="980"/>
      <c r="AB96" s="980"/>
      <c r="AC96" s="980"/>
      <c r="AD96" s="980"/>
      <c r="AE96" s="980"/>
      <c r="AF96" s="980"/>
      <c r="AG96" s="103"/>
      <c r="AH96" s="103"/>
      <c r="AI96" s="103"/>
      <c r="AJ96" s="103"/>
      <c r="AK96" s="103">
        <v>0.59599999999999997</v>
      </c>
      <c r="AL96" s="104">
        <f t="shared" ref="AL96:AM98" si="95">($AN96-$AK96)/($AN$2-$AK$2)+AK96</f>
        <v>0.56399999999999995</v>
      </c>
      <c r="AM96" s="104">
        <f t="shared" si="95"/>
        <v>0.53199999999999992</v>
      </c>
      <c r="AN96" s="104">
        <v>0.5</v>
      </c>
      <c r="AO96" s="105">
        <v>0.45</v>
      </c>
      <c r="AP96" s="104"/>
      <c r="AQ96" s="104"/>
      <c r="AR96" s="104"/>
      <c r="AS96" s="872"/>
      <c r="AT96" s="104"/>
      <c r="AU96" s="104"/>
      <c r="AV96" s="104"/>
      <c r="AW96" s="625">
        <v>0.45</v>
      </c>
      <c r="AX96" s="104"/>
      <c r="AY96" s="104"/>
      <c r="AZ96" s="104"/>
      <c r="BA96" s="872"/>
      <c r="BB96" s="104"/>
      <c r="BC96" s="104"/>
      <c r="BD96" s="104"/>
      <c r="BE96" s="625">
        <v>0.4</v>
      </c>
      <c r="BF96" s="104"/>
      <c r="BG96" s="104"/>
      <c r="BH96" s="104"/>
      <c r="BI96" s="872"/>
      <c r="BJ96" s="104"/>
      <c r="BK96" s="104"/>
      <c r="BL96" s="104"/>
      <c r="BM96" s="625">
        <f>($CK96-$BE96)/($CK$2-$BE$2)+BE96</f>
        <v>0.36499999999999999</v>
      </c>
      <c r="BN96" s="104"/>
      <c r="BO96" s="104"/>
      <c r="BP96" s="104"/>
      <c r="BQ96" s="872"/>
      <c r="BR96" s="104"/>
      <c r="BS96" s="104"/>
      <c r="BT96" s="104"/>
      <c r="BU96" s="867">
        <f>($CK96-$BE96)/($CK$2-$BE$2)+BM96</f>
        <v>0.32999999999999996</v>
      </c>
      <c r="BV96" s="104"/>
      <c r="BW96" s="104"/>
      <c r="BX96" s="104"/>
      <c r="BY96" s="872"/>
      <c r="BZ96" s="104"/>
      <c r="CA96" s="104"/>
      <c r="CB96" s="104"/>
      <c r="CC96" s="867">
        <f>($CK96-$BE96)/($CK$2-$BE$2)+BU96</f>
        <v>0.29499999999999993</v>
      </c>
      <c r="CD96" s="104"/>
      <c r="CE96" s="104"/>
      <c r="CF96" s="104"/>
      <c r="CG96" s="872"/>
      <c r="CH96" s="104"/>
      <c r="CI96" s="104"/>
      <c r="CJ96" s="104"/>
      <c r="CK96" s="882">
        <v>0.26</v>
      </c>
      <c r="CL96" s="104"/>
      <c r="CM96" s="104"/>
      <c r="CN96" s="104"/>
      <c r="CO96" s="872"/>
      <c r="CP96" s="104"/>
      <c r="CQ96" s="104"/>
      <c r="CR96" s="104"/>
      <c r="CS96" s="882">
        <v>0.23</v>
      </c>
      <c r="CT96" s="104"/>
      <c r="CU96" s="104"/>
      <c r="CV96" s="104"/>
      <c r="CW96" s="872"/>
      <c r="CX96" s="104"/>
      <c r="CY96" s="104"/>
      <c r="CZ96" s="104"/>
      <c r="DA96" s="882">
        <v>0.2</v>
      </c>
    </row>
    <row r="97" spans="1:106" outlineLevel="1" x14ac:dyDescent="0.2">
      <c r="A97" s="199"/>
      <c r="B97" s="1013" t="s">
        <v>945</v>
      </c>
      <c r="C97" s="980"/>
      <c r="D97" s="980"/>
      <c r="E97" s="980"/>
      <c r="F97" s="980"/>
      <c r="G97" s="980"/>
      <c r="H97" s="980"/>
      <c r="I97" s="980"/>
      <c r="J97" s="980"/>
      <c r="K97" s="980"/>
      <c r="L97" s="980"/>
      <c r="M97" s="980"/>
      <c r="N97" s="980"/>
      <c r="O97" s="980"/>
      <c r="P97" s="980"/>
      <c r="Q97" s="980"/>
      <c r="R97" s="980"/>
      <c r="S97" s="980"/>
      <c r="T97" s="980"/>
      <c r="U97" s="980"/>
      <c r="V97" s="980"/>
      <c r="W97" s="980"/>
      <c r="X97" s="980"/>
      <c r="Y97" s="980"/>
      <c r="Z97" s="980"/>
      <c r="AA97" s="980"/>
      <c r="AB97" s="980"/>
      <c r="AC97" s="980"/>
      <c r="AD97" s="980"/>
      <c r="AE97" s="980"/>
      <c r="AF97" s="980"/>
      <c r="AG97" s="103"/>
      <c r="AH97" s="103"/>
      <c r="AI97" s="103"/>
      <c r="AJ97" s="103"/>
      <c r="AK97" s="103">
        <v>0.4</v>
      </c>
      <c r="AL97" s="104">
        <f t="shared" si="95"/>
        <v>0.3666666666666667</v>
      </c>
      <c r="AM97" s="104">
        <f t="shared" si="95"/>
        <v>0.33333333333333337</v>
      </c>
      <c r="AN97" s="104">
        <v>0.3</v>
      </c>
      <c r="AO97" s="105">
        <v>0.3</v>
      </c>
      <c r="AP97" s="1068"/>
      <c r="AQ97" s="104"/>
      <c r="AR97" s="104"/>
      <c r="AS97" s="872"/>
      <c r="AT97" s="104"/>
      <c r="AU97" s="104"/>
      <c r="AV97" s="104"/>
      <c r="AW97" s="625">
        <v>0.3</v>
      </c>
      <c r="AX97" s="104"/>
      <c r="AY97" s="104"/>
      <c r="AZ97" s="104"/>
      <c r="BA97" s="872"/>
      <c r="BB97" s="104"/>
      <c r="BC97" s="104"/>
      <c r="BD97" s="104"/>
      <c r="BE97" s="625">
        <v>0.28999999999999998</v>
      </c>
      <c r="BF97" s="104"/>
      <c r="BG97" s="104"/>
      <c r="BH97" s="104"/>
      <c r="BI97" s="872"/>
      <c r="BJ97" s="104"/>
      <c r="BK97" s="104"/>
      <c r="BL97" s="104"/>
      <c r="BM97" s="625">
        <f>($CK97-$BE97)/($CK$2-$BE$2)+BE97</f>
        <v>0.29499999999999998</v>
      </c>
      <c r="BN97" s="104"/>
      <c r="BO97" s="104"/>
      <c r="BP97" s="104"/>
      <c r="BQ97" s="872"/>
      <c r="BR97" s="104"/>
      <c r="BS97" s="104"/>
      <c r="BT97" s="104"/>
      <c r="BU97" s="867">
        <f>($CK97-$BE97)/($CK$2-$BE$2)+BM97</f>
        <v>0.3</v>
      </c>
      <c r="BV97" s="104"/>
      <c r="BW97" s="104"/>
      <c r="BX97" s="104"/>
      <c r="BY97" s="872"/>
      <c r="BZ97" s="104"/>
      <c r="CA97" s="104"/>
      <c r="CB97" s="104"/>
      <c r="CC97" s="867">
        <f>($CK97-$BE97)/($CK$2-$BE$2)+BU97</f>
        <v>0.30499999999999999</v>
      </c>
      <c r="CD97" s="104"/>
      <c r="CE97" s="104"/>
      <c r="CF97" s="104"/>
      <c r="CG97" s="872"/>
      <c r="CH97" s="104"/>
      <c r="CI97" s="104"/>
      <c r="CJ97" s="104"/>
      <c r="CK97" s="882">
        <v>0.31</v>
      </c>
      <c r="CL97" s="104"/>
      <c r="CM97" s="104"/>
      <c r="CN97" s="104"/>
      <c r="CO97" s="872"/>
      <c r="CP97" s="104"/>
      <c r="CQ97" s="104"/>
      <c r="CR97" s="104"/>
      <c r="CS97" s="882">
        <v>0.32</v>
      </c>
      <c r="CT97" s="104"/>
      <c r="CU97" s="104"/>
      <c r="CV97" s="104"/>
      <c r="CW97" s="872"/>
      <c r="CX97" s="104"/>
      <c r="CY97" s="104"/>
      <c r="CZ97" s="104"/>
      <c r="DA97" s="882">
        <v>0.32</v>
      </c>
    </row>
    <row r="98" spans="1:106" outlineLevel="1" x14ac:dyDescent="0.2">
      <c r="A98" s="199"/>
      <c r="B98" s="1013" t="s">
        <v>946</v>
      </c>
      <c r="C98" s="980"/>
      <c r="D98" s="980"/>
      <c r="E98" s="980"/>
      <c r="F98" s="980"/>
      <c r="G98" s="980"/>
      <c r="H98" s="980"/>
      <c r="I98" s="980"/>
      <c r="J98" s="980"/>
      <c r="K98" s="980"/>
      <c r="L98" s="980"/>
      <c r="M98" s="980"/>
      <c r="N98" s="980"/>
      <c r="O98" s="980"/>
      <c r="P98" s="980"/>
      <c r="Q98" s="980"/>
      <c r="R98" s="980"/>
      <c r="S98" s="980"/>
      <c r="T98" s="980"/>
      <c r="U98" s="980"/>
      <c r="V98" s="980"/>
      <c r="W98" s="980"/>
      <c r="X98" s="980"/>
      <c r="Y98" s="980"/>
      <c r="Z98" s="980"/>
      <c r="AA98" s="980"/>
      <c r="AB98" s="980"/>
      <c r="AC98" s="980"/>
      <c r="AD98" s="980"/>
      <c r="AE98" s="980"/>
      <c r="AF98" s="980"/>
      <c r="AG98" s="103"/>
      <c r="AH98" s="103"/>
      <c r="AI98" s="103"/>
      <c r="AJ98" s="103"/>
      <c r="AK98" s="103">
        <f>1-AK97-AK96</f>
        <v>4.0000000000000036E-3</v>
      </c>
      <c r="AL98" s="104">
        <f t="shared" si="95"/>
        <v>6.9333333333333316E-2</v>
      </c>
      <c r="AM98" s="104">
        <f t="shared" si="95"/>
        <v>0.13466666666666663</v>
      </c>
      <c r="AN98" s="104">
        <f>1-AN97-AN96</f>
        <v>0.19999999999999996</v>
      </c>
      <c r="AO98" s="105">
        <f>1-AO97-AO96</f>
        <v>0.24999999999999994</v>
      </c>
      <c r="AP98" s="104"/>
      <c r="AQ98" s="104"/>
      <c r="AR98" s="104"/>
      <c r="AS98" s="872"/>
      <c r="AT98" s="104"/>
      <c r="AU98" s="104"/>
      <c r="AV98" s="104"/>
      <c r="AW98" s="625">
        <f>1-AW97-AW96</f>
        <v>0.24999999999999994</v>
      </c>
      <c r="AX98" s="104"/>
      <c r="AY98" s="104"/>
      <c r="AZ98" s="104"/>
      <c r="BA98" s="872"/>
      <c r="BB98" s="104"/>
      <c r="BC98" s="104"/>
      <c r="BD98" s="104"/>
      <c r="BE98" s="625">
        <v>0.31</v>
      </c>
      <c r="BF98" s="104"/>
      <c r="BG98" s="104"/>
      <c r="BH98" s="104"/>
      <c r="BI98" s="872"/>
      <c r="BJ98" s="104"/>
      <c r="BK98" s="104"/>
      <c r="BL98" s="104"/>
      <c r="BM98" s="625">
        <f>($CK98-$BE98)/($CK$2-$BE$2)+BE98</f>
        <v>0.33999999999999997</v>
      </c>
      <c r="BN98" s="104"/>
      <c r="BO98" s="104"/>
      <c r="BP98" s="104"/>
      <c r="BQ98" s="872"/>
      <c r="BR98" s="104"/>
      <c r="BS98" s="104"/>
      <c r="BT98" s="104"/>
      <c r="BU98" s="867">
        <f>($CK98-$BE98)/($CK$2-$BE$2)+BM98</f>
        <v>0.37</v>
      </c>
      <c r="BV98" s="104"/>
      <c r="BW98" s="104"/>
      <c r="BX98" s="104"/>
      <c r="BY98" s="872"/>
      <c r="BZ98" s="104"/>
      <c r="CA98" s="104"/>
      <c r="CB98" s="104"/>
      <c r="CC98" s="867">
        <f>($CK98-$BE98)/($CK$2-$BE$2)+BU98</f>
        <v>0.4</v>
      </c>
      <c r="CD98" s="104"/>
      <c r="CE98" s="104"/>
      <c r="CF98" s="104"/>
      <c r="CG98" s="872"/>
      <c r="CH98" s="104"/>
      <c r="CI98" s="104"/>
      <c r="CJ98" s="104"/>
      <c r="CK98" s="882">
        <v>0.43</v>
      </c>
      <c r="CL98" s="104"/>
      <c r="CM98" s="104"/>
      <c r="CN98" s="104"/>
      <c r="CO98" s="872"/>
      <c r="CP98" s="104"/>
      <c r="CQ98" s="104"/>
      <c r="CR98" s="104"/>
      <c r="CS98" s="867">
        <f>1-CS97-CS96</f>
        <v>0.44999999999999996</v>
      </c>
      <c r="CT98" s="104"/>
      <c r="CU98" s="104"/>
      <c r="CV98" s="104"/>
      <c r="CW98" s="872"/>
      <c r="CX98" s="104"/>
      <c r="CY98" s="104"/>
      <c r="CZ98" s="104"/>
      <c r="DA98" s="867">
        <f>1-DA97-DA96</f>
        <v>0.47999999999999993</v>
      </c>
    </row>
    <row r="99" spans="1:106" outlineLevel="1" x14ac:dyDescent="0.2">
      <c r="A99" s="199"/>
      <c r="B99" s="1013"/>
      <c r="C99" s="980"/>
      <c r="D99" s="980"/>
      <c r="E99" s="980"/>
      <c r="F99" s="980"/>
      <c r="G99" s="980"/>
      <c r="H99" s="980"/>
      <c r="I99" s="980"/>
      <c r="J99" s="980"/>
      <c r="K99" s="980"/>
      <c r="L99" s="980"/>
      <c r="M99" s="980"/>
      <c r="N99" s="980"/>
      <c r="O99" s="980"/>
      <c r="P99" s="980"/>
      <c r="Q99" s="980"/>
      <c r="R99" s="980"/>
      <c r="S99" s="980"/>
      <c r="T99" s="980"/>
      <c r="U99" s="980"/>
      <c r="V99" s="980"/>
      <c r="W99" s="980"/>
      <c r="X99" s="980"/>
      <c r="Y99" s="980"/>
      <c r="Z99" s="980"/>
      <c r="AA99" s="980"/>
      <c r="AB99" s="980"/>
      <c r="AC99" s="980"/>
      <c r="AD99" s="980"/>
      <c r="AE99" s="980"/>
      <c r="AF99" s="980"/>
      <c r="AG99" s="103"/>
      <c r="AH99" s="103"/>
      <c r="AI99" s="103"/>
      <c r="AJ99" s="103"/>
      <c r="AK99" s="103"/>
      <c r="AL99" s="103"/>
      <c r="AM99" s="104"/>
      <c r="AN99" s="104"/>
      <c r="AO99" s="105"/>
      <c r="AP99" s="104"/>
      <c r="AQ99" s="104"/>
      <c r="AR99" s="104"/>
      <c r="AS99" s="872"/>
      <c r="AT99" s="104"/>
      <c r="AU99" s="104"/>
      <c r="AV99" s="104"/>
      <c r="AW99" s="625"/>
      <c r="AX99" s="104"/>
      <c r="AY99" s="104"/>
      <c r="AZ99" s="104"/>
      <c r="BA99" s="872"/>
      <c r="BB99" s="104"/>
      <c r="BC99" s="104"/>
      <c r="BD99" s="104"/>
      <c r="BE99" s="625"/>
      <c r="BF99" s="104"/>
      <c r="BG99" s="104"/>
      <c r="BH99" s="104"/>
      <c r="BI99" s="872"/>
      <c r="BJ99" s="104"/>
      <c r="BK99" s="104"/>
      <c r="BL99" s="104"/>
      <c r="BM99" s="625"/>
      <c r="BN99" s="104"/>
      <c r="BO99" s="104"/>
      <c r="BP99" s="104"/>
      <c r="BQ99" s="872"/>
      <c r="BR99" s="104"/>
      <c r="BS99" s="104"/>
      <c r="BT99" s="104"/>
      <c r="BU99" s="625"/>
      <c r="BV99" s="104"/>
      <c r="BW99" s="104"/>
      <c r="BX99" s="104"/>
      <c r="BY99" s="872"/>
      <c r="BZ99" s="104"/>
      <c r="CA99" s="104"/>
      <c r="CB99" s="104"/>
      <c r="CC99" s="625"/>
      <c r="CD99" s="104"/>
      <c r="CE99" s="104"/>
      <c r="CF99" s="104"/>
      <c r="CG99" s="872"/>
      <c r="CH99" s="104"/>
      <c r="CI99" s="104"/>
      <c r="CJ99" s="104"/>
      <c r="CK99" s="625"/>
      <c r="CL99" s="104"/>
      <c r="CM99" s="104"/>
      <c r="CN99" s="104"/>
      <c r="CO99" s="872"/>
      <c r="CP99" s="104"/>
      <c r="CQ99" s="104"/>
      <c r="CR99" s="104"/>
      <c r="CS99" s="625"/>
      <c r="CT99" s="104"/>
      <c r="CU99" s="104"/>
      <c r="CV99" s="104"/>
      <c r="CW99" s="872"/>
      <c r="CX99" s="104"/>
      <c r="CY99" s="104"/>
      <c r="CZ99" s="104"/>
      <c r="DA99" s="625"/>
    </row>
    <row r="100" spans="1:106" outlineLevel="1" x14ac:dyDescent="0.2">
      <c r="A100" s="338" t="s">
        <v>943</v>
      </c>
      <c r="B100" s="1013"/>
      <c r="C100" s="980"/>
      <c r="D100" s="980"/>
      <c r="E100" s="980"/>
      <c r="F100" s="980"/>
      <c r="G100" s="980"/>
      <c r="H100" s="980"/>
      <c r="I100" s="980"/>
      <c r="J100" s="980"/>
      <c r="K100" s="980"/>
      <c r="L100" s="980"/>
      <c r="M100" s="980"/>
      <c r="N100" s="980"/>
      <c r="O100" s="980"/>
      <c r="P100" s="980"/>
      <c r="Q100" s="980"/>
      <c r="R100" s="980"/>
      <c r="S100" s="980"/>
      <c r="T100" s="980"/>
      <c r="U100" s="980"/>
      <c r="V100" s="980"/>
      <c r="W100" s="980"/>
      <c r="X100" s="980"/>
      <c r="Y100" s="980"/>
      <c r="Z100" s="980"/>
      <c r="AA100" s="980"/>
      <c r="AB100" s="980"/>
      <c r="AC100" s="980"/>
      <c r="AD100" s="980"/>
      <c r="AE100" s="980"/>
      <c r="AF100" s="980"/>
      <c r="AG100" s="103"/>
      <c r="AH100" s="103"/>
      <c r="AI100" s="103"/>
      <c r="AJ100" s="1013"/>
      <c r="AK100" s="899"/>
      <c r="AL100" s="899"/>
      <c r="AM100" s="900"/>
      <c r="AN100" s="900"/>
      <c r="AO100" s="912"/>
      <c r="AP100" s="900"/>
      <c r="AQ100" s="900"/>
      <c r="AR100" s="900"/>
      <c r="AS100" s="954"/>
      <c r="AT100" s="900"/>
      <c r="AU100" s="900"/>
      <c r="AV100" s="900"/>
      <c r="AW100" s="955"/>
      <c r="AX100" s="900"/>
      <c r="AY100" s="900"/>
      <c r="AZ100" s="900"/>
      <c r="BA100" s="954"/>
      <c r="BB100" s="900"/>
      <c r="BC100" s="900"/>
      <c r="BD100" s="900"/>
      <c r="BE100" s="955"/>
      <c r="BF100" s="900"/>
      <c r="BG100" s="900"/>
      <c r="BH100" s="900"/>
      <c r="BI100" s="954"/>
      <c r="BJ100" s="900"/>
      <c r="BK100" s="900"/>
      <c r="BL100" s="900"/>
      <c r="BM100" s="955"/>
      <c r="BN100" s="900"/>
      <c r="BO100" s="900"/>
      <c r="BP100" s="900"/>
      <c r="BQ100" s="954"/>
      <c r="BR100" s="900"/>
      <c r="BS100" s="900"/>
      <c r="BT100" s="900"/>
      <c r="BU100" s="955"/>
      <c r="BV100" s="900"/>
      <c r="BW100" s="900"/>
      <c r="BX100" s="900"/>
      <c r="BY100" s="954"/>
      <c r="BZ100" s="900"/>
      <c r="CA100" s="900"/>
      <c r="CB100" s="900"/>
      <c r="CC100" s="955"/>
      <c r="CD100" s="900"/>
      <c r="CE100" s="900"/>
      <c r="CF100" s="900"/>
      <c r="CG100" s="954"/>
      <c r="CH100" s="900"/>
      <c r="CI100" s="900"/>
      <c r="CJ100" s="900"/>
      <c r="CK100" s="955"/>
      <c r="CL100" s="900"/>
      <c r="CM100" s="900"/>
      <c r="CN100" s="900"/>
      <c r="CO100" s="954"/>
      <c r="CP100" s="900"/>
      <c r="CQ100" s="900"/>
      <c r="CR100" s="900"/>
      <c r="CS100" s="955"/>
      <c r="CT100" s="900"/>
      <c r="CU100" s="900"/>
      <c r="CV100" s="900"/>
      <c r="CW100" s="954"/>
      <c r="CX100" s="900"/>
      <c r="CY100" s="900"/>
      <c r="CZ100" s="900"/>
      <c r="DA100" s="955"/>
    </row>
    <row r="101" spans="1:106" outlineLevel="1" x14ac:dyDescent="0.2">
      <c r="A101" s="199"/>
      <c r="B101" s="1013" t="s">
        <v>944</v>
      </c>
      <c r="C101" s="980"/>
      <c r="D101" s="980"/>
      <c r="E101" s="980"/>
      <c r="F101" s="980"/>
      <c r="G101" s="980"/>
      <c r="H101" s="980"/>
      <c r="I101" s="980"/>
      <c r="J101" s="980"/>
      <c r="K101" s="980"/>
      <c r="L101" s="980"/>
      <c r="M101" s="980"/>
      <c r="N101" s="980"/>
      <c r="O101" s="980"/>
      <c r="P101" s="980"/>
      <c r="Q101" s="980"/>
      <c r="R101" s="980"/>
      <c r="S101" s="980"/>
      <c r="T101" s="980"/>
      <c r="U101" s="980"/>
      <c r="V101" s="980"/>
      <c r="W101" s="980"/>
      <c r="X101" s="980"/>
      <c r="Y101" s="980"/>
      <c r="Z101" s="980"/>
      <c r="AA101" s="980"/>
      <c r="AB101" s="980"/>
      <c r="AC101" s="980"/>
      <c r="AD101" s="980"/>
      <c r="AE101" s="980"/>
      <c r="AF101" s="980"/>
      <c r="AG101" s="103"/>
      <c r="AH101" s="103"/>
      <c r="AI101" s="103"/>
      <c r="AJ101" s="1013"/>
      <c r="AK101" s="899">
        <f t="shared" ref="AK101:AO103" si="96">AK96*AK$81</f>
        <v>13600.124</v>
      </c>
      <c r="AL101" s="899">
        <f t="shared" si="96"/>
        <v>12973.127999999999</v>
      </c>
      <c r="AM101" s="900">
        <f t="shared" si="96"/>
        <v>12234.403999999999</v>
      </c>
      <c r="AN101" s="900">
        <f t="shared" si="96"/>
        <v>11450</v>
      </c>
      <c r="AO101" s="912">
        <f t="shared" si="96"/>
        <v>10210.5</v>
      </c>
      <c r="AP101" s="900"/>
      <c r="AQ101" s="900"/>
      <c r="AR101" s="900"/>
      <c r="AS101" s="954"/>
      <c r="AT101" s="900"/>
      <c r="AU101" s="900"/>
      <c r="AV101" s="900"/>
      <c r="AW101" s="955">
        <f>AW96*AW$81</f>
        <v>10072.800000000001</v>
      </c>
      <c r="AX101" s="900"/>
      <c r="AY101" s="900"/>
      <c r="AZ101" s="900"/>
      <c r="BA101" s="954"/>
      <c r="BB101" s="900"/>
      <c r="BC101" s="900"/>
      <c r="BD101" s="900"/>
      <c r="BE101" s="955">
        <f>BE96*BE$81</f>
        <v>8855.2000000000007</v>
      </c>
      <c r="BF101" s="900"/>
      <c r="BG101" s="900"/>
      <c r="BH101" s="900"/>
      <c r="BI101" s="954"/>
      <c r="BJ101" s="900"/>
      <c r="BK101" s="900"/>
      <c r="BL101" s="900"/>
      <c r="BM101" s="955">
        <f>BM96*BM$81</f>
        <v>7989.12</v>
      </c>
      <c r="BN101" s="900"/>
      <c r="BO101" s="900"/>
      <c r="BP101" s="900"/>
      <c r="BQ101" s="954"/>
      <c r="BR101" s="900"/>
      <c r="BS101" s="900"/>
      <c r="BT101" s="900"/>
      <c r="BU101" s="915">
        <f>BU96*BU$81</f>
        <v>7127.2343999999994</v>
      </c>
      <c r="BV101" s="900"/>
      <c r="BW101" s="900"/>
      <c r="BX101" s="900"/>
      <c r="BY101" s="954"/>
      <c r="BZ101" s="900"/>
      <c r="CA101" s="900"/>
      <c r="CB101" s="900"/>
      <c r="CC101" s="915">
        <f>CC96*CC$81</f>
        <v>6268.6675769999983</v>
      </c>
      <c r="CD101" s="900"/>
      <c r="CE101" s="900"/>
      <c r="CF101" s="900"/>
      <c r="CG101" s="954"/>
      <c r="CH101" s="900"/>
      <c r="CI101" s="900"/>
      <c r="CJ101" s="900"/>
      <c r="CK101" s="915">
        <f>CK96*CK$81</f>
        <v>5422.2288088800005</v>
      </c>
      <c r="CL101" s="900"/>
      <c r="CM101" s="900"/>
      <c r="CN101" s="900"/>
      <c r="CO101" s="954"/>
      <c r="CP101" s="900"/>
      <c r="CQ101" s="900"/>
      <c r="CR101" s="900"/>
      <c r="CS101" s="915">
        <f>CS96*CS$81</f>
        <v>4683.5723476590001</v>
      </c>
      <c r="CT101" s="900"/>
      <c r="CU101" s="900"/>
      <c r="CV101" s="900"/>
      <c r="CW101" s="954"/>
      <c r="CX101" s="900"/>
      <c r="CY101" s="900"/>
      <c r="CZ101" s="900"/>
      <c r="DA101" s="915">
        <f>DA96*DA$81</f>
        <v>3956.4914584601997</v>
      </c>
    </row>
    <row r="102" spans="1:106" outlineLevel="1" x14ac:dyDescent="0.2">
      <c r="A102" s="199"/>
      <c r="B102" s="1013" t="s">
        <v>945</v>
      </c>
      <c r="C102" s="980"/>
      <c r="D102" s="980"/>
      <c r="E102" s="980"/>
      <c r="F102" s="980"/>
      <c r="G102" s="980"/>
      <c r="H102" s="980"/>
      <c r="I102" s="980"/>
      <c r="J102" s="980"/>
      <c r="K102" s="980"/>
      <c r="L102" s="980"/>
      <c r="M102" s="980"/>
      <c r="N102" s="980"/>
      <c r="O102" s="980"/>
      <c r="P102" s="980"/>
      <c r="Q102" s="980"/>
      <c r="R102" s="980"/>
      <c r="S102" s="980"/>
      <c r="T102" s="980"/>
      <c r="U102" s="980"/>
      <c r="V102" s="980"/>
      <c r="W102" s="980"/>
      <c r="X102" s="980"/>
      <c r="Y102" s="980"/>
      <c r="Z102" s="980"/>
      <c r="AA102" s="980"/>
      <c r="AB102" s="980"/>
      <c r="AC102" s="980"/>
      <c r="AD102" s="980"/>
      <c r="AE102" s="980"/>
      <c r="AF102" s="980"/>
      <c r="AG102" s="103"/>
      <c r="AH102" s="103"/>
      <c r="AI102" s="103"/>
      <c r="AJ102" s="1013"/>
      <c r="AK102" s="899">
        <f t="shared" si="96"/>
        <v>9127.6</v>
      </c>
      <c r="AL102" s="899">
        <f t="shared" si="96"/>
        <v>8434.0666666666675</v>
      </c>
      <c r="AM102" s="900">
        <f t="shared" si="96"/>
        <v>7665.6666666666679</v>
      </c>
      <c r="AN102" s="900">
        <f t="shared" si="96"/>
        <v>6870</v>
      </c>
      <c r="AO102" s="912">
        <f t="shared" si="96"/>
        <v>6807</v>
      </c>
      <c r="AP102" s="900"/>
      <c r="AQ102" s="900"/>
      <c r="AR102" s="900"/>
      <c r="AS102" s="954"/>
      <c r="AT102" s="900"/>
      <c r="AU102" s="900"/>
      <c r="AV102" s="900"/>
      <c r="AW102" s="955">
        <f>AW97*AW$81</f>
        <v>6715.2</v>
      </c>
      <c r="AX102" s="900"/>
      <c r="AY102" s="900"/>
      <c r="AZ102" s="900"/>
      <c r="BA102" s="954"/>
      <c r="BB102" s="900"/>
      <c r="BC102" s="900"/>
      <c r="BD102" s="900"/>
      <c r="BE102" s="955">
        <f>BE97*BE$81</f>
        <v>6420.0199999999995</v>
      </c>
      <c r="BF102" s="900"/>
      <c r="BG102" s="900"/>
      <c r="BH102" s="900"/>
      <c r="BI102" s="954"/>
      <c r="BJ102" s="900"/>
      <c r="BK102" s="900"/>
      <c r="BL102" s="900"/>
      <c r="BM102" s="955">
        <f>BM97*BM$81</f>
        <v>6456.96</v>
      </c>
      <c r="BN102" s="900"/>
      <c r="BO102" s="900"/>
      <c r="BP102" s="900"/>
      <c r="BQ102" s="954"/>
      <c r="BR102" s="900"/>
      <c r="BS102" s="900"/>
      <c r="BT102" s="900"/>
      <c r="BU102" s="915">
        <f>BU97*BU$81</f>
        <v>6479.3040000000001</v>
      </c>
      <c r="BV102" s="900"/>
      <c r="BW102" s="900"/>
      <c r="BX102" s="900"/>
      <c r="BY102" s="954"/>
      <c r="BZ102" s="900"/>
      <c r="CA102" s="900"/>
      <c r="CB102" s="900"/>
      <c r="CC102" s="915">
        <f>CC97*CC$81</f>
        <v>6481.1647830000002</v>
      </c>
      <c r="CD102" s="900"/>
      <c r="CE102" s="900"/>
      <c r="CF102" s="900"/>
      <c r="CG102" s="954"/>
      <c r="CH102" s="900"/>
      <c r="CI102" s="900"/>
      <c r="CJ102" s="900"/>
      <c r="CK102" s="915">
        <f>CK97*CK$81</f>
        <v>6464.9651182799998</v>
      </c>
      <c r="CL102" s="900"/>
      <c r="CM102" s="900"/>
      <c r="CN102" s="900"/>
      <c r="CO102" s="954"/>
      <c r="CP102" s="900"/>
      <c r="CQ102" s="900"/>
      <c r="CR102" s="900"/>
      <c r="CS102" s="915">
        <f>CS97*CS$81</f>
        <v>6516.2745706559999</v>
      </c>
      <c r="CT102" s="900"/>
      <c r="CU102" s="900"/>
      <c r="CV102" s="900"/>
      <c r="CW102" s="954"/>
      <c r="CX102" s="900"/>
      <c r="CY102" s="900"/>
      <c r="CZ102" s="900"/>
      <c r="DA102" s="915">
        <f>DA97*DA$81</f>
        <v>6330.3863335363194</v>
      </c>
    </row>
    <row r="103" spans="1:106" outlineLevel="1" x14ac:dyDescent="0.2">
      <c r="A103" s="199"/>
      <c r="B103" s="1013" t="s">
        <v>946</v>
      </c>
      <c r="C103" s="980"/>
      <c r="D103" s="980"/>
      <c r="E103" s="980"/>
      <c r="F103" s="980"/>
      <c r="G103" s="980"/>
      <c r="H103" s="980"/>
      <c r="I103" s="980"/>
      <c r="J103" s="980"/>
      <c r="K103" s="980"/>
      <c r="L103" s="980"/>
      <c r="M103" s="980"/>
      <c r="N103" s="980"/>
      <c r="O103" s="980"/>
      <c r="P103" s="980"/>
      <c r="Q103" s="980"/>
      <c r="R103" s="980"/>
      <c r="S103" s="980"/>
      <c r="T103" s="980"/>
      <c r="U103" s="980"/>
      <c r="V103" s="980"/>
      <c r="W103" s="980"/>
      <c r="X103" s="980"/>
      <c r="Y103" s="980"/>
      <c r="Z103" s="980"/>
      <c r="AA103" s="980"/>
      <c r="AB103" s="980"/>
      <c r="AC103" s="980"/>
      <c r="AD103" s="980"/>
      <c r="AE103" s="980"/>
      <c r="AF103" s="980"/>
      <c r="AG103" s="103"/>
      <c r="AH103" s="103"/>
      <c r="AI103" s="103"/>
      <c r="AJ103" s="1013"/>
      <c r="AK103" s="899">
        <f t="shared" si="96"/>
        <v>91.276000000000082</v>
      </c>
      <c r="AL103" s="899">
        <f t="shared" si="96"/>
        <v>1594.805333333333</v>
      </c>
      <c r="AM103" s="900">
        <f t="shared" si="96"/>
        <v>3096.9293333333326</v>
      </c>
      <c r="AN103" s="900">
        <f t="shared" si="96"/>
        <v>4579.9999999999991</v>
      </c>
      <c r="AO103" s="912">
        <f t="shared" si="96"/>
        <v>5672.4999999999991</v>
      </c>
      <c r="AP103" s="900"/>
      <c r="AQ103" s="900"/>
      <c r="AR103" s="900"/>
      <c r="AS103" s="954"/>
      <c r="AT103" s="900"/>
      <c r="AU103" s="900"/>
      <c r="AV103" s="900"/>
      <c r="AW103" s="955">
        <f>AW98*AW$81</f>
        <v>5595.9999999999991</v>
      </c>
      <c r="AX103" s="900"/>
      <c r="AY103" s="900"/>
      <c r="AZ103" s="900"/>
      <c r="BA103" s="954"/>
      <c r="BB103" s="900"/>
      <c r="BC103" s="900"/>
      <c r="BD103" s="900"/>
      <c r="BE103" s="955">
        <f>BE98*BE$81</f>
        <v>6862.78</v>
      </c>
      <c r="BF103" s="900"/>
      <c r="BG103" s="900"/>
      <c r="BH103" s="900"/>
      <c r="BI103" s="954"/>
      <c r="BJ103" s="900"/>
      <c r="BK103" s="900"/>
      <c r="BL103" s="900"/>
      <c r="BM103" s="955">
        <f>BM98*BM$81</f>
        <v>7441.9199999999992</v>
      </c>
      <c r="BN103" s="900"/>
      <c r="BO103" s="900"/>
      <c r="BP103" s="900"/>
      <c r="BQ103" s="954"/>
      <c r="BR103" s="900"/>
      <c r="BS103" s="900"/>
      <c r="BT103" s="900"/>
      <c r="BU103" s="915">
        <f>BU98*BU$81</f>
        <v>7991.1415999999999</v>
      </c>
      <c r="BV103" s="900"/>
      <c r="BW103" s="900"/>
      <c r="BX103" s="900"/>
      <c r="BY103" s="954"/>
      <c r="BZ103" s="900"/>
      <c r="CA103" s="900"/>
      <c r="CB103" s="900"/>
      <c r="CC103" s="915">
        <f>CC98*CC$81</f>
        <v>8499.8882400000002</v>
      </c>
      <c r="CD103" s="900"/>
      <c r="CE103" s="900"/>
      <c r="CF103" s="900"/>
      <c r="CG103" s="954"/>
      <c r="CH103" s="900"/>
      <c r="CI103" s="900"/>
      <c r="CJ103" s="900"/>
      <c r="CK103" s="915">
        <f>CK98*CK$81</f>
        <v>8967.5322608400002</v>
      </c>
      <c r="CL103" s="900"/>
      <c r="CM103" s="900"/>
      <c r="CN103" s="900"/>
      <c r="CO103" s="954"/>
      <c r="CP103" s="900"/>
      <c r="CQ103" s="900"/>
      <c r="CR103" s="900"/>
      <c r="CS103" s="915">
        <f>CS98*CS$81</f>
        <v>9163.5111149849981</v>
      </c>
      <c r="CT103" s="900"/>
      <c r="CU103" s="900"/>
      <c r="CV103" s="900"/>
      <c r="CW103" s="954"/>
      <c r="CX103" s="900"/>
      <c r="CY103" s="900"/>
      <c r="CZ103" s="900"/>
      <c r="DA103" s="915">
        <f>DA98*DA$81</f>
        <v>9495.5795003044768</v>
      </c>
    </row>
    <row r="104" spans="1:106" outlineLevel="1" x14ac:dyDescent="0.2">
      <c r="A104" s="199"/>
      <c r="B104" s="1013"/>
      <c r="C104" s="980"/>
      <c r="D104" s="980"/>
      <c r="E104" s="980"/>
      <c r="F104" s="980"/>
      <c r="G104" s="980"/>
      <c r="H104" s="980"/>
      <c r="I104" s="980"/>
      <c r="J104" s="980"/>
      <c r="K104" s="980"/>
      <c r="L104" s="980"/>
      <c r="M104" s="980"/>
      <c r="N104" s="980"/>
      <c r="O104" s="980"/>
      <c r="P104" s="980"/>
      <c r="Q104" s="980"/>
      <c r="R104" s="980"/>
      <c r="S104" s="980"/>
      <c r="T104" s="980"/>
      <c r="U104" s="980"/>
      <c r="V104" s="980"/>
      <c r="W104" s="980"/>
      <c r="X104" s="980"/>
      <c r="Y104" s="980"/>
      <c r="Z104" s="980"/>
      <c r="AA104" s="980"/>
      <c r="AB104" s="980"/>
      <c r="AC104" s="980"/>
      <c r="AD104" s="980"/>
      <c r="AE104" s="980"/>
      <c r="AF104" s="980"/>
      <c r="AG104" s="103"/>
      <c r="AH104" s="103"/>
      <c r="AI104" s="103"/>
      <c r="AJ104" s="103"/>
      <c r="AK104" s="103"/>
      <c r="AL104" s="103"/>
      <c r="AM104" s="104"/>
      <c r="AN104" s="104"/>
      <c r="AO104" s="105"/>
      <c r="AP104" s="104"/>
      <c r="AQ104" s="104"/>
      <c r="AR104" s="104"/>
      <c r="AS104" s="872"/>
      <c r="AT104" s="104"/>
      <c r="AU104" s="104"/>
      <c r="AV104" s="104"/>
      <c r="AW104" s="625"/>
      <c r="AX104" s="104"/>
      <c r="AY104" s="104"/>
      <c r="AZ104" s="104"/>
      <c r="BA104" s="872"/>
      <c r="BB104" s="104"/>
      <c r="BC104" s="104"/>
      <c r="BD104" s="104"/>
      <c r="BE104" s="625"/>
      <c r="BF104" s="104"/>
      <c r="BG104" s="104"/>
      <c r="BH104" s="104"/>
      <c r="BI104" s="872"/>
      <c r="BJ104" s="104"/>
      <c r="BK104" s="104"/>
      <c r="BL104" s="104"/>
      <c r="BM104" s="625"/>
      <c r="BN104" s="104"/>
      <c r="BO104" s="104"/>
      <c r="BP104" s="104"/>
      <c r="BQ104" s="872"/>
      <c r="BR104" s="104"/>
      <c r="BS104" s="104"/>
      <c r="BT104" s="104"/>
      <c r="BU104" s="625"/>
      <c r="BV104" s="104"/>
      <c r="BW104" s="104"/>
      <c r="BX104" s="104"/>
      <c r="BY104" s="872"/>
      <c r="BZ104" s="104"/>
      <c r="CA104" s="104"/>
      <c r="CB104" s="104"/>
      <c r="CC104" s="625"/>
      <c r="CD104" s="104"/>
      <c r="CE104" s="104"/>
      <c r="CF104" s="104"/>
      <c r="CG104" s="872"/>
      <c r="CH104" s="104"/>
      <c r="CI104" s="104"/>
      <c r="CJ104" s="104"/>
      <c r="CK104" s="625"/>
      <c r="CL104" s="104"/>
      <c r="CM104" s="104"/>
      <c r="CN104" s="104"/>
      <c r="CO104" s="872"/>
      <c r="CP104" s="104"/>
      <c r="CQ104" s="104"/>
      <c r="CR104" s="104"/>
      <c r="CS104" s="625"/>
      <c r="CT104" s="104"/>
      <c r="CU104" s="104"/>
      <c r="CV104" s="104"/>
      <c r="CW104" s="872"/>
      <c r="CX104" s="104"/>
      <c r="CY104" s="104"/>
      <c r="CZ104" s="104"/>
      <c r="DA104" s="625"/>
    </row>
    <row r="105" spans="1:106" outlineLevel="1" x14ac:dyDescent="0.2">
      <c r="A105" s="1019" t="s">
        <v>947</v>
      </c>
      <c r="C105" s="980"/>
      <c r="D105" s="980"/>
      <c r="E105" s="980"/>
      <c r="F105" s="980"/>
      <c r="G105" s="980"/>
      <c r="H105" s="980"/>
      <c r="I105" s="980"/>
      <c r="J105" s="980"/>
      <c r="K105" s="980"/>
      <c r="L105" s="980"/>
      <c r="M105" s="980"/>
      <c r="N105" s="980"/>
      <c r="O105" s="980"/>
      <c r="P105" s="980"/>
      <c r="Q105" s="980"/>
      <c r="R105" s="980"/>
      <c r="S105" s="980"/>
      <c r="T105" s="980"/>
      <c r="U105" s="980"/>
      <c r="V105" s="980"/>
      <c r="W105" s="980"/>
      <c r="X105" s="980"/>
      <c r="Y105" s="980"/>
      <c r="Z105" s="980"/>
      <c r="AA105" s="980"/>
      <c r="AB105" s="980"/>
      <c r="AC105" s="980"/>
      <c r="AD105" s="980"/>
      <c r="AE105" s="980"/>
      <c r="AF105" s="980"/>
      <c r="AG105" s="103"/>
      <c r="AH105" s="103"/>
      <c r="AI105" s="103"/>
      <c r="AJ105" s="103"/>
      <c r="AK105" s="899"/>
      <c r="AO105" s="180"/>
      <c r="AS105" s="179"/>
      <c r="AW105" s="314"/>
      <c r="BA105" s="179"/>
      <c r="BE105" s="314"/>
      <c r="BI105" s="179"/>
      <c r="BM105" s="314"/>
      <c r="BQ105" s="179"/>
      <c r="BU105" s="314"/>
      <c r="BY105" s="179"/>
      <c r="CC105" s="314"/>
      <c r="CG105" s="179"/>
      <c r="CK105" s="314"/>
      <c r="CO105" s="179"/>
      <c r="CS105" s="314"/>
      <c r="CW105" s="179"/>
      <c r="DA105" s="314"/>
    </row>
    <row r="106" spans="1:106" outlineLevel="1" x14ac:dyDescent="0.2">
      <c r="A106" s="199"/>
      <c r="B106" s="1013" t="s">
        <v>948</v>
      </c>
      <c r="C106" s="980"/>
      <c r="D106" s="980"/>
      <c r="E106" s="980"/>
      <c r="F106" s="980"/>
      <c r="G106" s="980"/>
      <c r="H106" s="980"/>
      <c r="I106" s="980"/>
      <c r="J106" s="980"/>
      <c r="K106" s="980"/>
      <c r="L106" s="980"/>
      <c r="M106" s="980"/>
      <c r="N106" s="980"/>
      <c r="O106" s="980"/>
      <c r="P106" s="980"/>
      <c r="Q106" s="980"/>
      <c r="R106" s="980"/>
      <c r="S106" s="980"/>
      <c r="T106" s="980"/>
      <c r="U106" s="980"/>
      <c r="V106" s="980"/>
      <c r="W106" s="980"/>
      <c r="X106" s="980"/>
      <c r="Y106" s="980"/>
      <c r="Z106" s="980"/>
      <c r="AA106" s="980"/>
      <c r="AB106" s="980"/>
      <c r="AC106" s="980"/>
      <c r="AD106" s="980"/>
      <c r="AE106" s="980"/>
      <c r="AF106" s="980"/>
      <c r="AG106" s="4">
        <f t="shared" ref="AG106:AL106" si="97">AVERAGE(W60:Y60)</f>
        <v>760.66666666666663</v>
      </c>
      <c r="AH106" s="4">
        <f t="shared" si="97"/>
        <v>901.33333333333337</v>
      </c>
      <c r="AI106" s="4">
        <f t="shared" si="97"/>
        <v>1002</v>
      </c>
      <c r="AJ106" s="4">
        <f t="shared" si="97"/>
        <v>1082.6666666666667</v>
      </c>
      <c r="AK106" s="4">
        <f t="shared" si="97"/>
        <v>1109.3333333333333</v>
      </c>
      <c r="AL106" s="4">
        <f t="shared" si="97"/>
        <v>1174</v>
      </c>
      <c r="AM106" s="4">
        <f>AVERAGE(AC60:AE60)*(1-50%)</f>
        <v>598</v>
      </c>
      <c r="AN106" s="4">
        <f>AM106*(1+15%)</f>
        <v>687.69999999999993</v>
      </c>
      <c r="AO106" s="180">
        <f>AN106*(1+35%)</f>
        <v>928.39499999999998</v>
      </c>
      <c r="AS106" s="179"/>
      <c r="AW106" s="314">
        <f>AO106*(1+25%)</f>
        <v>1160.4937500000001</v>
      </c>
      <c r="BA106" s="179"/>
      <c r="BE106" s="314">
        <f>AW106*(1+15%)</f>
        <v>1334.5678124999999</v>
      </c>
      <c r="BI106" s="179"/>
      <c r="BM106" s="1723">
        <f>AVERAGE(AH60:AJ60)-250</f>
        <v>1333</v>
      </c>
      <c r="BQ106" s="179"/>
      <c r="BU106" s="1069">
        <f>AVERAGE(AI60:AK60)-250</f>
        <v>1143.6666666666667</v>
      </c>
      <c r="BY106" s="179"/>
      <c r="CC106" s="603">
        <f>AVERAGE(AJ60:AL60)</f>
        <v>959.66666666666663</v>
      </c>
      <c r="CG106" s="179"/>
      <c r="CK106" s="603">
        <f>AVERAGE(AK60:AM60)</f>
        <v>530.66666666666663</v>
      </c>
      <c r="CO106" s="179"/>
      <c r="CS106" s="603">
        <f>AVERAGE(AL60:AN60)</f>
        <v>218.33333333333334</v>
      </c>
      <c r="CW106" s="179"/>
      <c r="DA106" s="603">
        <f>AVERAGE(AM60:AO60)</f>
        <v>108</v>
      </c>
      <c r="DB106" s="103"/>
    </row>
    <row r="107" spans="1:106" outlineLevel="1" x14ac:dyDescent="0.2">
      <c r="A107" s="199"/>
      <c r="B107" s="1013" t="s">
        <v>949</v>
      </c>
      <c r="C107" s="980"/>
      <c r="D107" s="980"/>
      <c r="E107" s="980"/>
      <c r="F107" s="980"/>
      <c r="G107" s="980"/>
      <c r="H107" s="980"/>
      <c r="I107" s="980"/>
      <c r="J107" s="980"/>
      <c r="K107" s="980"/>
      <c r="L107" s="980"/>
      <c r="M107" s="980"/>
      <c r="N107" s="980"/>
      <c r="O107" s="980"/>
      <c r="P107" s="980"/>
      <c r="Q107" s="980"/>
      <c r="R107" s="980"/>
      <c r="S107" s="980"/>
      <c r="T107" s="980"/>
      <c r="U107" s="980"/>
      <c r="V107" s="980"/>
      <c r="W107" s="980"/>
      <c r="X107" s="980"/>
      <c r="Y107" s="980"/>
      <c r="Z107" s="980"/>
      <c r="AA107" s="980"/>
      <c r="AB107" s="980"/>
      <c r="AC107" s="980"/>
      <c r="AD107" s="980"/>
      <c r="AE107" s="980"/>
      <c r="AF107" s="980"/>
      <c r="AG107" s="1013">
        <f t="shared" ref="AG107:AO107" si="98">AG108-AG106</f>
        <v>905.3333333333336</v>
      </c>
      <c r="AH107" s="1013">
        <f t="shared" si="98"/>
        <v>841.66666666666663</v>
      </c>
      <c r="AI107" s="1013">
        <f t="shared" si="98"/>
        <v>866.73333333333335</v>
      </c>
      <c r="AJ107" s="1013">
        <f t="shared" si="98"/>
        <v>942.46666666666647</v>
      </c>
      <c r="AK107" s="1013">
        <f t="shared" si="98"/>
        <v>1162.2666666666667</v>
      </c>
      <c r="AL107" s="1013">
        <f t="shared" si="98"/>
        <v>1142.5333333333333</v>
      </c>
      <c r="AM107" s="1017">
        <f t="shared" si="98"/>
        <v>560.26666666666665</v>
      </c>
      <c r="AN107" s="1017">
        <f t="shared" si="98"/>
        <v>644.3066666666665</v>
      </c>
      <c r="AO107" s="1060">
        <f t="shared" si="98"/>
        <v>829.85379999999986</v>
      </c>
      <c r="AP107" s="1017"/>
      <c r="AQ107" s="1017"/>
      <c r="AR107" s="1017"/>
      <c r="AS107" s="1061"/>
      <c r="AT107" s="1017"/>
      <c r="AU107" s="1017"/>
      <c r="AV107" s="1017"/>
      <c r="AW107" s="955">
        <f>AW108-AW106</f>
        <v>861.49236999999948</v>
      </c>
      <c r="AX107" s="1017"/>
      <c r="AY107" s="1017"/>
      <c r="AZ107" s="1017"/>
      <c r="BA107" s="1061"/>
      <c r="BB107" s="1017"/>
      <c r="BC107" s="1017"/>
      <c r="BD107" s="1017"/>
      <c r="BE107" s="955">
        <f>BE108-BE106</f>
        <v>849.17719709999983</v>
      </c>
      <c r="BF107" s="1017"/>
      <c r="BG107" s="1017"/>
      <c r="BH107" s="1017"/>
      <c r="BI107" s="1061"/>
      <c r="BJ107" s="1017"/>
      <c r="BK107" s="1017"/>
      <c r="BL107" s="1017"/>
      <c r="BM107" s="955">
        <f>BM108-BM106</f>
        <v>969.06666666666661</v>
      </c>
      <c r="BN107" s="1017"/>
      <c r="BO107" s="1017"/>
      <c r="BP107" s="1017"/>
      <c r="BQ107" s="1061"/>
      <c r="BR107" s="1017"/>
      <c r="BS107" s="1017"/>
      <c r="BT107" s="1017"/>
      <c r="BU107" s="915">
        <f>BU108-BU106</f>
        <v>1268.6333333333334</v>
      </c>
      <c r="BV107" s="1017"/>
      <c r="BW107" s="1017"/>
      <c r="BX107" s="1017"/>
      <c r="BY107" s="1061"/>
      <c r="BZ107" s="1017"/>
      <c r="CA107" s="1017"/>
      <c r="CB107" s="1017"/>
      <c r="CC107" s="915">
        <f>CC108-CC106</f>
        <v>1470.8666666666668</v>
      </c>
      <c r="CD107" s="1017"/>
      <c r="CE107" s="1017"/>
      <c r="CF107" s="1017"/>
      <c r="CG107" s="1061"/>
      <c r="CH107" s="1017"/>
      <c r="CI107" s="1017"/>
      <c r="CJ107" s="1017"/>
      <c r="CK107" s="915">
        <f>CK108-CK106</f>
        <v>1851.5666666666666</v>
      </c>
      <c r="CL107" s="1017"/>
      <c r="CM107" s="1017"/>
      <c r="CN107" s="1017"/>
      <c r="CO107" s="1061"/>
      <c r="CP107" s="1017"/>
      <c r="CQ107" s="1017"/>
      <c r="CR107" s="1017"/>
      <c r="CS107" s="915">
        <f>CS108-CS106</f>
        <v>2031.9666666666669</v>
      </c>
      <c r="CT107" s="1017"/>
      <c r="CU107" s="1017"/>
      <c r="CV107" s="1017"/>
      <c r="CW107" s="1061"/>
      <c r="CX107" s="1017"/>
      <c r="CY107" s="1017"/>
      <c r="CZ107" s="1017"/>
      <c r="DA107" s="915">
        <f>DA108-DA106</f>
        <v>1984.9</v>
      </c>
    </row>
    <row r="108" spans="1:106" outlineLevel="1" x14ac:dyDescent="0.2">
      <c r="A108" s="199"/>
      <c r="B108" s="1019" t="s">
        <v>100</v>
      </c>
      <c r="C108" s="980"/>
      <c r="D108" s="980"/>
      <c r="E108" s="980"/>
      <c r="F108" s="980"/>
      <c r="G108" s="980"/>
      <c r="H108" s="980"/>
      <c r="I108" s="980"/>
      <c r="J108" s="980"/>
      <c r="K108" s="980"/>
      <c r="L108" s="980"/>
      <c r="M108" s="980"/>
      <c r="N108" s="980"/>
      <c r="O108" s="980"/>
      <c r="P108" s="980"/>
      <c r="Q108" s="980"/>
      <c r="R108" s="980"/>
      <c r="S108" s="980"/>
      <c r="T108" s="980"/>
      <c r="U108" s="980"/>
      <c r="V108" s="980"/>
      <c r="W108" s="980"/>
      <c r="X108" s="980"/>
      <c r="Y108" s="980"/>
      <c r="Z108" s="980"/>
      <c r="AA108" s="980"/>
      <c r="AB108" s="980"/>
      <c r="AC108" s="980"/>
      <c r="AD108" s="980"/>
      <c r="AE108" s="980"/>
      <c r="AF108" s="980"/>
      <c r="AG108" s="1019">
        <f t="shared" ref="AG108:AO108" si="99">AG91</f>
        <v>1666.0000000000002</v>
      </c>
      <c r="AH108" s="1019">
        <f t="shared" si="99"/>
        <v>1743</v>
      </c>
      <c r="AI108" s="1019">
        <f t="shared" si="99"/>
        <v>1868.7333333333333</v>
      </c>
      <c r="AJ108" s="1019">
        <f t="shared" si="99"/>
        <v>2025.1333333333332</v>
      </c>
      <c r="AK108" s="1019">
        <f t="shared" si="99"/>
        <v>2271.6</v>
      </c>
      <c r="AL108" s="1019">
        <f t="shared" si="99"/>
        <v>2316.5333333333333</v>
      </c>
      <c r="AM108" s="1020">
        <f t="shared" si="99"/>
        <v>1158.2666666666667</v>
      </c>
      <c r="AN108" s="1020">
        <f t="shared" si="99"/>
        <v>1332.0066666666664</v>
      </c>
      <c r="AO108" s="1070">
        <f t="shared" si="99"/>
        <v>1758.2487999999998</v>
      </c>
      <c r="AP108" s="1020"/>
      <c r="AQ108" s="1020"/>
      <c r="AR108" s="1020"/>
      <c r="AS108" s="1071"/>
      <c r="AT108" s="1020"/>
      <c r="AU108" s="1020"/>
      <c r="AV108" s="1020"/>
      <c r="AW108" s="1032">
        <f>AW91</f>
        <v>2021.9861199999996</v>
      </c>
      <c r="AX108" s="1020"/>
      <c r="AY108" s="1020"/>
      <c r="AZ108" s="1020"/>
      <c r="BA108" s="1071"/>
      <c r="BB108" s="1020"/>
      <c r="BC108" s="1020"/>
      <c r="BD108" s="1020"/>
      <c r="BE108" s="1032">
        <f>BE91</f>
        <v>2183.7450095999998</v>
      </c>
      <c r="BF108" s="1020"/>
      <c r="BG108" s="1020"/>
      <c r="BH108" s="1020"/>
      <c r="BI108" s="1071"/>
      <c r="BJ108" s="1020"/>
      <c r="BK108" s="1020"/>
      <c r="BL108" s="1020"/>
      <c r="BM108" s="1032">
        <f>BM91</f>
        <v>2302.0666666666666</v>
      </c>
      <c r="BN108" s="1020"/>
      <c r="BO108" s="1020"/>
      <c r="BP108" s="1020"/>
      <c r="BQ108" s="1071"/>
      <c r="BR108" s="1020"/>
      <c r="BS108" s="1020"/>
      <c r="BT108" s="1020"/>
      <c r="BU108" s="937">
        <f>BU91</f>
        <v>2412.3000000000002</v>
      </c>
      <c r="BV108" s="1020"/>
      <c r="BW108" s="1020"/>
      <c r="BX108" s="1020"/>
      <c r="BY108" s="1071"/>
      <c r="BZ108" s="1020"/>
      <c r="CA108" s="1020"/>
      <c r="CB108" s="1020"/>
      <c r="CC108" s="937">
        <f>CC91</f>
        <v>2430.5333333333333</v>
      </c>
      <c r="CD108" s="1020"/>
      <c r="CE108" s="1020"/>
      <c r="CF108" s="1020"/>
      <c r="CG108" s="1071"/>
      <c r="CH108" s="1020"/>
      <c r="CI108" s="1020"/>
      <c r="CJ108" s="1020"/>
      <c r="CK108" s="937">
        <f>CK91</f>
        <v>2382.2333333333331</v>
      </c>
      <c r="CL108" s="1020"/>
      <c r="CM108" s="1020"/>
      <c r="CN108" s="1020"/>
      <c r="CO108" s="1071"/>
      <c r="CP108" s="1020"/>
      <c r="CQ108" s="1020"/>
      <c r="CR108" s="1020"/>
      <c r="CS108" s="937">
        <f>CS91</f>
        <v>2250.3000000000002</v>
      </c>
      <c r="CT108" s="1020"/>
      <c r="CU108" s="1020"/>
      <c r="CV108" s="1020"/>
      <c r="CW108" s="1071"/>
      <c r="CX108" s="1020"/>
      <c r="CY108" s="1020"/>
      <c r="CZ108" s="1020"/>
      <c r="DA108" s="937">
        <f>DA91</f>
        <v>2092.9</v>
      </c>
    </row>
    <row r="109" spans="1:106" outlineLevel="1" x14ac:dyDescent="0.2">
      <c r="A109" s="199"/>
      <c r="B109" s="1019"/>
      <c r="C109" s="980"/>
      <c r="D109" s="980"/>
      <c r="E109" s="980"/>
      <c r="F109" s="980"/>
      <c r="G109" s="980"/>
      <c r="H109" s="980"/>
      <c r="I109" s="980"/>
      <c r="J109" s="980"/>
      <c r="K109" s="980"/>
      <c r="L109" s="980"/>
      <c r="M109" s="980"/>
      <c r="N109" s="980"/>
      <c r="O109" s="980"/>
      <c r="P109" s="980"/>
      <c r="Q109" s="980"/>
      <c r="R109" s="980"/>
      <c r="S109" s="980"/>
      <c r="T109" s="980"/>
      <c r="U109" s="980"/>
      <c r="V109" s="980"/>
      <c r="W109" s="980"/>
      <c r="X109" s="980"/>
      <c r="Y109" s="980"/>
      <c r="Z109" s="980"/>
      <c r="AA109" s="980"/>
      <c r="AB109" s="980"/>
      <c r="AC109" s="980"/>
      <c r="AD109" s="980"/>
      <c r="AE109" s="980"/>
      <c r="AF109" s="980"/>
      <c r="AG109" s="1019"/>
      <c r="AH109" s="1019"/>
      <c r="AI109" s="1019"/>
      <c r="AJ109" s="1019"/>
      <c r="AK109" s="1019"/>
      <c r="AL109" s="1019"/>
      <c r="AM109" s="1020"/>
      <c r="AN109" s="1020"/>
      <c r="AO109" s="1070"/>
      <c r="AP109" s="1020"/>
      <c r="AQ109" s="1020"/>
      <c r="AR109" s="1020"/>
      <c r="AS109" s="1071"/>
      <c r="AT109" s="1020"/>
      <c r="AU109" s="1020"/>
      <c r="AV109" s="1020"/>
      <c r="AW109" s="1072"/>
      <c r="AX109" s="1020"/>
      <c r="AY109" s="1020"/>
      <c r="AZ109" s="1020"/>
      <c r="BA109" s="1071"/>
      <c r="BB109" s="1020"/>
      <c r="BC109" s="1020"/>
      <c r="BD109" s="1020"/>
      <c r="BE109" s="1032"/>
      <c r="BF109" s="1020"/>
      <c r="BG109" s="1020"/>
      <c r="BH109" s="1020"/>
      <c r="BI109" s="1071"/>
      <c r="BJ109" s="1020"/>
      <c r="BK109" s="1020"/>
      <c r="BL109" s="1020"/>
      <c r="BM109" s="1072"/>
      <c r="BN109" s="1020"/>
      <c r="BO109" s="1020"/>
      <c r="BP109" s="1020"/>
      <c r="BQ109" s="1071"/>
      <c r="BR109" s="1020"/>
      <c r="BS109" s="1020"/>
      <c r="BT109" s="1020"/>
      <c r="BU109" s="1072"/>
      <c r="BV109" s="1020"/>
      <c r="BW109" s="1020"/>
      <c r="BX109" s="1020"/>
      <c r="BY109" s="1071"/>
      <c r="BZ109" s="1020"/>
      <c r="CA109" s="1020"/>
      <c r="CB109" s="1020"/>
      <c r="CC109" s="1072"/>
      <c r="CD109" s="1020"/>
      <c r="CE109" s="1020"/>
      <c r="CF109" s="1020"/>
      <c r="CG109" s="1071"/>
      <c r="CH109" s="1020"/>
      <c r="CI109" s="1020"/>
      <c r="CJ109" s="1020"/>
      <c r="CK109" s="1072"/>
      <c r="CL109" s="1020"/>
      <c r="CM109" s="1020"/>
      <c r="CN109" s="1020"/>
      <c r="CO109" s="1071"/>
      <c r="CP109" s="1020"/>
      <c r="CQ109" s="1020"/>
      <c r="CR109" s="1020"/>
      <c r="CS109" s="1072"/>
      <c r="CT109" s="1020"/>
      <c r="CU109" s="1020"/>
      <c r="CV109" s="1020"/>
      <c r="CW109" s="1071"/>
      <c r="CX109" s="1020"/>
      <c r="CY109" s="1020"/>
      <c r="CZ109" s="1020"/>
      <c r="DA109" s="1072"/>
    </row>
    <row r="110" spans="1:106" outlineLevel="1" x14ac:dyDescent="0.2">
      <c r="A110" s="338" t="s">
        <v>950</v>
      </c>
      <c r="B110" s="1013"/>
      <c r="C110" s="980"/>
      <c r="D110" s="980"/>
      <c r="E110" s="980"/>
      <c r="F110" s="980"/>
      <c r="G110" s="980"/>
      <c r="H110" s="980"/>
      <c r="I110" s="980"/>
      <c r="J110" s="980"/>
      <c r="K110" s="980"/>
      <c r="L110" s="980"/>
      <c r="M110" s="980"/>
      <c r="N110" s="980"/>
      <c r="O110" s="980"/>
      <c r="P110" s="980"/>
      <c r="Q110" s="980"/>
      <c r="R110" s="980"/>
      <c r="S110" s="980"/>
      <c r="T110" s="980"/>
      <c r="U110" s="980"/>
      <c r="V110" s="980"/>
      <c r="W110" s="980"/>
      <c r="X110" s="980"/>
      <c r="Y110" s="980"/>
      <c r="Z110" s="980"/>
      <c r="AA110" s="980"/>
      <c r="AB110" s="980"/>
      <c r="AC110" s="980"/>
      <c r="AD110" s="980"/>
      <c r="AE110" s="980"/>
      <c r="AF110" s="980"/>
      <c r="AG110" s="931"/>
      <c r="AH110" s="1073"/>
      <c r="AI110" s="931"/>
      <c r="AJ110" s="931"/>
      <c r="AK110" s="931"/>
      <c r="AL110" s="899"/>
      <c r="AM110" s="900"/>
      <c r="AN110" s="900"/>
      <c r="AO110" s="912"/>
      <c r="AP110" s="900"/>
      <c r="AQ110" s="900"/>
      <c r="AR110" s="900"/>
      <c r="AS110" s="954"/>
      <c r="AT110" s="900"/>
      <c r="AU110" s="900"/>
      <c r="AV110" s="900"/>
      <c r="AW110" s="955"/>
      <c r="AX110" s="900"/>
      <c r="AY110" s="900"/>
      <c r="AZ110" s="900"/>
      <c r="BA110" s="954"/>
      <c r="BB110" s="900"/>
      <c r="BC110" s="900"/>
      <c r="BD110" s="900"/>
      <c r="BE110" s="955"/>
      <c r="BF110" s="900"/>
      <c r="BG110" s="900"/>
      <c r="BH110" s="900"/>
      <c r="BI110" s="954"/>
      <c r="BJ110" s="900"/>
      <c r="BK110" s="900"/>
      <c r="BL110" s="900"/>
      <c r="BM110" s="955"/>
      <c r="BN110" s="900"/>
      <c r="BO110" s="900"/>
      <c r="BP110" s="900"/>
      <c r="BQ110" s="954"/>
      <c r="BR110" s="900"/>
      <c r="BS110" s="900"/>
      <c r="BT110" s="900"/>
      <c r="BU110" s="955"/>
      <c r="BV110" s="900"/>
      <c r="BW110" s="900"/>
      <c r="BX110" s="900"/>
      <c r="BY110" s="954"/>
      <c r="BZ110" s="900"/>
      <c r="CA110" s="900"/>
      <c r="CB110" s="900"/>
      <c r="CC110" s="955"/>
      <c r="CD110" s="900"/>
      <c r="CE110" s="900"/>
      <c r="CF110" s="900"/>
      <c r="CG110" s="954"/>
      <c r="CH110" s="900"/>
      <c r="CI110" s="900"/>
      <c r="CJ110" s="900"/>
      <c r="CK110" s="955"/>
      <c r="CL110" s="900"/>
      <c r="CM110" s="900"/>
      <c r="CN110" s="900"/>
      <c r="CO110" s="954"/>
      <c r="CP110" s="900"/>
      <c r="CQ110" s="900"/>
      <c r="CR110" s="900"/>
      <c r="CS110" s="955"/>
      <c r="CT110" s="900"/>
      <c r="CU110" s="900"/>
      <c r="CV110" s="900"/>
      <c r="CW110" s="954"/>
      <c r="CX110" s="900"/>
      <c r="CY110" s="900"/>
      <c r="CZ110" s="900"/>
      <c r="DA110" s="955"/>
    </row>
    <row r="111" spans="1:106" outlineLevel="1" x14ac:dyDescent="0.2">
      <c r="A111" s="199"/>
      <c r="B111" s="1013" t="s">
        <v>945</v>
      </c>
      <c r="C111" s="980"/>
      <c r="D111" s="980"/>
      <c r="E111" s="980"/>
      <c r="F111" s="980"/>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c r="AE111" s="980"/>
      <c r="AF111" s="980"/>
      <c r="AG111" s="4">
        <f>AVERAGE(W59:Y59)</f>
        <v>13</v>
      </c>
      <c r="AH111" s="4">
        <f t="shared" ref="AH111:AO111" si="100">AVERAGE(X59:Z59)</f>
        <v>10</v>
      </c>
      <c r="AI111" s="4">
        <f t="shared" si="100"/>
        <v>4.666666666666667</v>
      </c>
      <c r="AJ111" s="4">
        <f t="shared" si="100"/>
        <v>3.3333333333333335</v>
      </c>
      <c r="AK111" s="4">
        <f t="shared" si="100"/>
        <v>2</v>
      </c>
      <c r="AL111" s="4">
        <f t="shared" si="100"/>
        <v>0</v>
      </c>
      <c r="AM111" s="4">
        <f t="shared" si="100"/>
        <v>0</v>
      </c>
      <c r="AN111" s="4">
        <f t="shared" si="100"/>
        <v>0</v>
      </c>
      <c r="AO111" s="180">
        <f t="shared" si="100"/>
        <v>0</v>
      </c>
      <c r="AS111" s="179"/>
      <c r="AW111" s="314">
        <f>AVERAGE(AF59:AH59)</f>
        <v>0</v>
      </c>
      <c r="BA111" s="179"/>
      <c r="BE111" s="314">
        <f>AVERAGE(AG59:AI59)</f>
        <v>0</v>
      </c>
      <c r="BI111" s="179"/>
      <c r="BM111" s="314">
        <f>AVERAGE(AH59:AJ59)</f>
        <v>0</v>
      </c>
      <c r="BQ111" s="179"/>
      <c r="BU111" s="603">
        <f>AVERAGE(AI59:AK59)</f>
        <v>0</v>
      </c>
      <c r="BY111" s="179"/>
      <c r="CC111" s="603">
        <f>AVERAGE(AJ59:AL59)</f>
        <v>0</v>
      </c>
      <c r="CG111" s="179"/>
      <c r="CK111" s="603">
        <f>AVERAGE(AK59:AM59)</f>
        <v>0</v>
      </c>
      <c r="CO111" s="179"/>
      <c r="CS111" s="603">
        <f>AVERAGE(AL59:AN59)</f>
        <v>0</v>
      </c>
      <c r="CW111" s="179"/>
      <c r="DA111" s="603">
        <f>AVERAGE(AM59:AO59)</f>
        <v>0</v>
      </c>
    </row>
    <row r="112" spans="1:106" outlineLevel="1" x14ac:dyDescent="0.2">
      <c r="A112" s="199"/>
      <c r="B112" s="1013" t="s">
        <v>951</v>
      </c>
      <c r="C112" s="980"/>
      <c r="D112" s="980"/>
      <c r="E112" s="980"/>
      <c r="F112" s="980"/>
      <c r="G112" s="980"/>
      <c r="H112" s="980"/>
      <c r="I112" s="980"/>
      <c r="J112" s="980"/>
      <c r="K112" s="980"/>
      <c r="L112" s="980"/>
      <c r="M112" s="980"/>
      <c r="N112" s="980"/>
      <c r="O112" s="980"/>
      <c r="P112" s="980"/>
      <c r="Q112" s="980"/>
      <c r="R112" s="980"/>
      <c r="S112" s="980"/>
      <c r="T112" s="980"/>
      <c r="U112" s="980"/>
      <c r="V112" s="980"/>
      <c r="W112" s="980"/>
      <c r="X112" s="980"/>
      <c r="Y112" s="980"/>
      <c r="Z112" s="980"/>
      <c r="AA112" s="980"/>
      <c r="AB112" s="980"/>
      <c r="AC112" s="980"/>
      <c r="AD112" s="980"/>
      <c r="AE112" s="980"/>
      <c r="AF112" s="980"/>
      <c r="AG112" s="899">
        <f t="shared" ref="AG112:AO112" si="101">AVERAGE(R59:T59)</f>
        <v>117.33333333333333</v>
      </c>
      <c r="AH112" s="899">
        <f t="shared" si="101"/>
        <v>82.333333333333329</v>
      </c>
      <c r="AI112" s="899">
        <f t="shared" si="101"/>
        <v>78</v>
      </c>
      <c r="AJ112" s="899">
        <f t="shared" si="101"/>
        <v>50.666666666666664</v>
      </c>
      <c r="AK112" s="899">
        <f t="shared" si="101"/>
        <v>32.666666666666664</v>
      </c>
      <c r="AL112" s="899">
        <f t="shared" si="101"/>
        <v>13</v>
      </c>
      <c r="AM112" s="900">
        <f t="shared" si="101"/>
        <v>10</v>
      </c>
      <c r="AN112" s="900">
        <f t="shared" si="101"/>
        <v>4.666666666666667</v>
      </c>
      <c r="AO112" s="912">
        <f t="shared" si="101"/>
        <v>3.3333333333333335</v>
      </c>
      <c r="AP112" s="900"/>
      <c r="AQ112" s="900"/>
      <c r="AR112" s="900"/>
      <c r="AS112" s="954"/>
      <c r="AT112" s="900"/>
      <c r="AU112" s="900"/>
      <c r="AV112" s="900"/>
      <c r="AW112" s="955">
        <f>AVERAGE(AA59:AC59)</f>
        <v>2</v>
      </c>
      <c r="AX112" s="900"/>
      <c r="AY112" s="900"/>
      <c r="AZ112" s="900"/>
      <c r="BA112" s="954"/>
      <c r="BB112" s="900"/>
      <c r="BC112" s="900"/>
      <c r="BD112" s="900"/>
      <c r="BE112" s="955">
        <f>AVERAGE(AB59:AD59)</f>
        <v>0</v>
      </c>
      <c r="BF112" s="900"/>
      <c r="BG112" s="900"/>
      <c r="BH112" s="900"/>
      <c r="BI112" s="954"/>
      <c r="BJ112" s="900"/>
      <c r="BK112" s="900"/>
      <c r="BL112" s="900"/>
      <c r="BM112" s="955">
        <f>AVERAGE(AC59:AE59)</f>
        <v>0</v>
      </c>
      <c r="BN112" s="900"/>
      <c r="BO112" s="900"/>
      <c r="BP112" s="900"/>
      <c r="BQ112" s="954"/>
      <c r="BR112" s="900"/>
      <c r="BS112" s="900"/>
      <c r="BT112" s="900"/>
      <c r="BU112" s="915">
        <f>AVERAGE(AD59:AF59)</f>
        <v>0</v>
      </c>
      <c r="BV112" s="900"/>
      <c r="BW112" s="900"/>
      <c r="BX112" s="900"/>
      <c r="BY112" s="954"/>
      <c r="BZ112" s="900"/>
      <c r="CA112" s="900"/>
      <c r="CB112" s="900"/>
      <c r="CC112" s="915">
        <f>AVERAGE(AE59:AG59)</f>
        <v>0</v>
      </c>
      <c r="CD112" s="900"/>
      <c r="CE112" s="900"/>
      <c r="CF112" s="900"/>
      <c r="CG112" s="954"/>
      <c r="CH112" s="900"/>
      <c r="CI112" s="900"/>
      <c r="CJ112" s="900"/>
      <c r="CK112" s="915">
        <f>AVERAGE(AF59:AH59)</f>
        <v>0</v>
      </c>
      <c r="CL112" s="900"/>
      <c r="CM112" s="900"/>
      <c r="CN112" s="900"/>
      <c r="CO112" s="954"/>
      <c r="CP112" s="900"/>
      <c r="CQ112" s="900"/>
      <c r="CR112" s="900"/>
      <c r="CS112" s="915">
        <f>AVERAGE(AG59:AI59)</f>
        <v>0</v>
      </c>
      <c r="CT112" s="900"/>
      <c r="CU112" s="900"/>
      <c r="CV112" s="900"/>
      <c r="CW112" s="954"/>
      <c r="CX112" s="900"/>
      <c r="CY112" s="900"/>
      <c r="CZ112" s="900"/>
      <c r="DA112" s="915">
        <f>AVERAGE(AH59:AJ59)</f>
        <v>0</v>
      </c>
    </row>
    <row r="113" spans="1:105" outlineLevel="1" x14ac:dyDescent="0.2">
      <c r="A113" s="199"/>
      <c r="B113" s="1013" t="s">
        <v>952</v>
      </c>
      <c r="C113" s="980"/>
      <c r="D113" s="980"/>
      <c r="E113" s="980"/>
      <c r="F113" s="980"/>
      <c r="G113" s="980"/>
      <c r="H113" s="980"/>
      <c r="I113" s="980"/>
      <c r="J113" s="980"/>
      <c r="K113" s="980"/>
      <c r="L113" s="980"/>
      <c r="M113" s="980"/>
      <c r="N113" s="980"/>
      <c r="O113" s="980"/>
      <c r="P113" s="980"/>
      <c r="Q113" s="980"/>
      <c r="R113" s="980"/>
      <c r="S113" s="980"/>
      <c r="T113" s="980"/>
      <c r="U113" s="980"/>
      <c r="V113" s="980"/>
      <c r="W113" s="980"/>
      <c r="X113" s="980"/>
      <c r="Y113" s="980"/>
      <c r="Z113" s="980"/>
      <c r="AA113" s="980"/>
      <c r="AB113" s="980"/>
      <c r="AC113" s="980"/>
      <c r="AD113" s="980"/>
      <c r="AE113" s="980"/>
      <c r="AF113" s="980"/>
      <c r="AG113" s="899">
        <f t="shared" ref="AG113:AO113" si="102">AG114-AG112-AG111</f>
        <v>104.86666666666666</v>
      </c>
      <c r="AH113" s="899">
        <f t="shared" si="102"/>
        <v>138.10000000000002</v>
      </c>
      <c r="AI113" s="899">
        <f t="shared" si="102"/>
        <v>115.73333333333333</v>
      </c>
      <c r="AJ113" s="899">
        <f t="shared" si="102"/>
        <v>64.533333333333346</v>
      </c>
      <c r="AK113" s="899">
        <f t="shared" si="102"/>
        <v>32.999999999999993</v>
      </c>
      <c r="AL113" s="899">
        <f t="shared" si="102"/>
        <v>32.366666666666667</v>
      </c>
      <c r="AM113" s="900">
        <f t="shared" si="102"/>
        <v>32</v>
      </c>
      <c r="AN113" s="900">
        <f t="shared" si="102"/>
        <v>22.466666666666665</v>
      </c>
      <c r="AO113" s="912">
        <f t="shared" si="102"/>
        <v>12.999999999999998</v>
      </c>
      <c r="AP113" s="900"/>
      <c r="AQ113" s="900"/>
      <c r="AR113" s="900"/>
      <c r="AS113" s="954"/>
      <c r="AT113" s="900"/>
      <c r="AU113" s="900"/>
      <c r="AV113" s="900"/>
      <c r="AW113" s="955">
        <f>AW114-AW112-AW111</f>
        <v>4.5</v>
      </c>
      <c r="AX113" s="900"/>
      <c r="AY113" s="900"/>
      <c r="AZ113" s="900"/>
      <c r="BA113" s="954"/>
      <c r="BB113" s="900"/>
      <c r="BC113" s="900"/>
      <c r="BD113" s="900"/>
      <c r="BE113" s="955">
        <f>BE114-BE112-BE111</f>
        <v>5</v>
      </c>
      <c r="BF113" s="900"/>
      <c r="BG113" s="900"/>
      <c r="BH113" s="900"/>
      <c r="BI113" s="954"/>
      <c r="BJ113" s="900"/>
      <c r="BK113" s="900"/>
      <c r="BL113" s="900"/>
      <c r="BM113" s="955">
        <f>BM114-BM112-BM111</f>
        <v>2.3333333333333335</v>
      </c>
      <c r="BN113" s="900"/>
      <c r="BO113" s="900"/>
      <c r="BP113" s="900"/>
      <c r="BQ113" s="954"/>
      <c r="BR113" s="900"/>
      <c r="BS113" s="900"/>
      <c r="BT113" s="900"/>
      <c r="BU113" s="915">
        <f>BU114-BU112-BU111</f>
        <v>1.6666666666666667</v>
      </c>
      <c r="BV113" s="900"/>
      <c r="BW113" s="900"/>
      <c r="BX113" s="900"/>
      <c r="BY113" s="954"/>
      <c r="BZ113" s="900"/>
      <c r="CA113" s="900"/>
      <c r="CB113" s="900"/>
      <c r="CC113" s="915">
        <f>CC114-CC112-CC111</f>
        <v>1</v>
      </c>
      <c r="CD113" s="900"/>
      <c r="CE113" s="900"/>
      <c r="CF113" s="900"/>
      <c r="CG113" s="954"/>
      <c r="CH113" s="900"/>
      <c r="CI113" s="900"/>
      <c r="CJ113" s="900"/>
      <c r="CK113" s="915">
        <f>CK114-CK112-CK111</f>
        <v>0</v>
      </c>
      <c r="CL113" s="900"/>
      <c r="CM113" s="900"/>
      <c r="CN113" s="900"/>
      <c r="CO113" s="954"/>
      <c r="CP113" s="900"/>
      <c r="CQ113" s="900"/>
      <c r="CR113" s="900"/>
      <c r="CS113" s="915">
        <f>CS114-CS112-CS111</f>
        <v>0</v>
      </c>
      <c r="CT113" s="900"/>
      <c r="CU113" s="900"/>
      <c r="CV113" s="900"/>
      <c r="CW113" s="954"/>
      <c r="CX113" s="900"/>
      <c r="CY113" s="900"/>
      <c r="CZ113" s="900"/>
      <c r="DA113" s="915">
        <f>DA114-DA112-DA111</f>
        <v>0</v>
      </c>
    </row>
    <row r="114" spans="1:105" s="186" customFormat="1" outlineLevel="1" x14ac:dyDescent="0.2">
      <c r="A114" s="338"/>
      <c r="B114" s="1019" t="s">
        <v>100</v>
      </c>
      <c r="C114" s="997"/>
      <c r="D114" s="997"/>
      <c r="E114" s="997"/>
      <c r="F114" s="997"/>
      <c r="G114" s="997"/>
      <c r="H114" s="997"/>
      <c r="I114" s="997"/>
      <c r="J114" s="997"/>
      <c r="K114" s="997"/>
      <c r="L114" s="997"/>
      <c r="M114" s="997"/>
      <c r="N114" s="997"/>
      <c r="O114" s="997"/>
      <c r="P114" s="997"/>
      <c r="Q114" s="997"/>
      <c r="R114" s="997"/>
      <c r="S114" s="997"/>
      <c r="T114" s="997"/>
      <c r="U114" s="997"/>
      <c r="V114" s="997"/>
      <c r="W114" s="997"/>
      <c r="X114" s="997"/>
      <c r="Y114" s="997"/>
      <c r="Z114" s="997"/>
      <c r="AA114" s="997"/>
      <c r="AB114" s="997"/>
      <c r="AC114" s="997"/>
      <c r="AD114" s="997"/>
      <c r="AE114" s="997"/>
      <c r="AF114" s="997"/>
      <c r="AG114" s="931">
        <f>$AG$90</f>
        <v>235.2</v>
      </c>
      <c r="AH114" s="931">
        <f t="shared" ref="AH114:AO114" si="103">AH90</f>
        <v>230.43333333333334</v>
      </c>
      <c r="AI114" s="931">
        <f t="shared" si="103"/>
        <v>198.4</v>
      </c>
      <c r="AJ114" s="931">
        <f t="shared" si="103"/>
        <v>118.53333333333333</v>
      </c>
      <c r="AK114" s="931">
        <f t="shared" si="103"/>
        <v>67.666666666666657</v>
      </c>
      <c r="AL114" s="931">
        <f t="shared" si="103"/>
        <v>45.366666666666667</v>
      </c>
      <c r="AM114" s="926">
        <f t="shared" si="103"/>
        <v>42</v>
      </c>
      <c r="AN114" s="926">
        <f t="shared" si="103"/>
        <v>27.133333333333333</v>
      </c>
      <c r="AO114" s="934">
        <f t="shared" si="103"/>
        <v>16.333333333333332</v>
      </c>
      <c r="AP114" s="926"/>
      <c r="AQ114" s="926"/>
      <c r="AR114" s="926"/>
      <c r="AS114" s="1001"/>
      <c r="AT114" s="926"/>
      <c r="AU114" s="926"/>
      <c r="AV114" s="926"/>
      <c r="AW114" s="1032">
        <f>AW90</f>
        <v>6.5</v>
      </c>
      <c r="AX114" s="926"/>
      <c r="AY114" s="926"/>
      <c r="AZ114" s="926"/>
      <c r="BA114" s="1001"/>
      <c r="BB114" s="926"/>
      <c r="BC114" s="926"/>
      <c r="BD114" s="926"/>
      <c r="BE114" s="1032">
        <f>BE90</f>
        <v>5</v>
      </c>
      <c r="BF114" s="926"/>
      <c r="BG114" s="926"/>
      <c r="BH114" s="926"/>
      <c r="BI114" s="1001"/>
      <c r="BJ114" s="926"/>
      <c r="BK114" s="926"/>
      <c r="BL114" s="926"/>
      <c r="BM114" s="1032">
        <f>BM90</f>
        <v>2.3333333333333335</v>
      </c>
      <c r="BN114" s="926"/>
      <c r="BO114" s="926"/>
      <c r="BP114" s="926"/>
      <c r="BQ114" s="1001"/>
      <c r="BR114" s="926"/>
      <c r="BS114" s="926"/>
      <c r="BT114" s="926"/>
      <c r="BU114" s="937">
        <f>BU90</f>
        <v>1.6666666666666667</v>
      </c>
      <c r="BV114" s="926"/>
      <c r="BW114" s="926"/>
      <c r="BX114" s="926"/>
      <c r="BY114" s="1001"/>
      <c r="BZ114" s="926"/>
      <c r="CA114" s="926"/>
      <c r="CB114" s="926"/>
      <c r="CC114" s="937">
        <f>CC90</f>
        <v>1</v>
      </c>
      <c r="CD114" s="926"/>
      <c r="CE114" s="926"/>
      <c r="CF114" s="926"/>
      <c r="CG114" s="1001"/>
      <c r="CH114" s="926"/>
      <c r="CI114" s="926"/>
      <c r="CJ114" s="926"/>
      <c r="CK114" s="937">
        <f>CK90</f>
        <v>0</v>
      </c>
      <c r="CL114" s="926"/>
      <c r="CM114" s="926"/>
      <c r="CN114" s="926"/>
      <c r="CO114" s="1001"/>
      <c r="CP114" s="926"/>
      <c r="CQ114" s="926"/>
      <c r="CR114" s="926"/>
      <c r="CS114" s="937">
        <f>CS90</f>
        <v>0</v>
      </c>
      <c r="CT114" s="926"/>
      <c r="CU114" s="926"/>
      <c r="CV114" s="926"/>
      <c r="CW114" s="1001"/>
      <c r="CX114" s="926"/>
      <c r="CY114" s="926"/>
      <c r="CZ114" s="926"/>
      <c r="DA114" s="937">
        <f>DA90</f>
        <v>0</v>
      </c>
    </row>
    <row r="115" spans="1:105" outlineLevel="1" x14ac:dyDescent="0.2">
      <c r="A115" s="199"/>
      <c r="B115" s="1019"/>
      <c r="C115" s="980"/>
      <c r="D115" s="980"/>
      <c r="E115" s="980"/>
      <c r="F115" s="980"/>
      <c r="G115" s="980"/>
      <c r="H115" s="980"/>
      <c r="I115" s="980"/>
      <c r="J115" s="980"/>
      <c r="K115" s="980"/>
      <c r="L115" s="980"/>
      <c r="M115" s="980"/>
      <c r="N115" s="980"/>
      <c r="O115" s="980"/>
      <c r="P115" s="980"/>
      <c r="Q115" s="980"/>
      <c r="R115" s="980"/>
      <c r="S115" s="980"/>
      <c r="T115" s="980"/>
      <c r="U115" s="980"/>
      <c r="V115" s="980"/>
      <c r="W115" s="980"/>
      <c r="X115" s="980"/>
      <c r="Y115" s="980"/>
      <c r="Z115" s="980"/>
      <c r="AA115" s="980"/>
      <c r="AB115" s="980"/>
      <c r="AC115" s="980"/>
      <c r="AD115" s="980"/>
      <c r="AE115" s="980"/>
      <c r="AF115" s="980"/>
      <c r="AG115" s="1019"/>
      <c r="AH115" s="1019"/>
      <c r="AI115" s="1019"/>
      <c r="AJ115" s="1019"/>
      <c r="AK115" s="1019"/>
      <c r="AL115" s="1019"/>
      <c r="AM115" s="1020"/>
      <c r="AN115" s="1020"/>
      <c r="AO115" s="1070"/>
      <c r="AP115" s="1020"/>
      <c r="AQ115" s="1020"/>
      <c r="AR115" s="1020"/>
      <c r="AS115" s="1071"/>
      <c r="AT115" s="1020"/>
      <c r="AU115" s="1020"/>
      <c r="AV115" s="1020"/>
      <c r="AW115" s="1072"/>
      <c r="AX115" s="1020"/>
      <c r="AY115" s="1020"/>
      <c r="AZ115" s="1020"/>
      <c r="BA115" s="1071"/>
      <c r="BB115" s="1020"/>
      <c r="BC115" s="1020"/>
      <c r="BD115" s="1020"/>
      <c r="BE115" s="1032"/>
      <c r="BF115" s="1020"/>
      <c r="BG115" s="1020"/>
      <c r="BH115" s="1020"/>
      <c r="BI115" s="1071"/>
      <c r="BJ115" s="1020"/>
      <c r="BK115" s="1020"/>
      <c r="BL115" s="1020"/>
      <c r="BM115" s="1072"/>
      <c r="BN115" s="1020"/>
      <c r="BO115" s="1020"/>
      <c r="BP115" s="1020"/>
      <c r="BQ115" s="1071"/>
      <c r="BR115" s="1020"/>
      <c r="BS115" s="1020"/>
      <c r="BT115" s="1020"/>
      <c r="BU115" s="1072"/>
      <c r="BV115" s="1020"/>
      <c r="BW115" s="1020"/>
      <c r="BX115" s="1020"/>
      <c r="BY115" s="1071"/>
      <c r="BZ115" s="1020"/>
      <c r="CA115" s="1020"/>
      <c r="CB115" s="1020"/>
      <c r="CC115" s="1072"/>
      <c r="CD115" s="1020"/>
      <c r="CE115" s="1020"/>
      <c r="CF115" s="1020"/>
      <c r="CG115" s="1071"/>
      <c r="CH115" s="1020"/>
      <c r="CI115" s="1020"/>
      <c r="CJ115" s="1020"/>
      <c r="CK115" s="1072"/>
      <c r="CL115" s="1020"/>
      <c r="CM115" s="1020"/>
      <c r="CN115" s="1020"/>
      <c r="CO115" s="1071"/>
      <c r="CP115" s="1020"/>
      <c r="CQ115" s="1020"/>
      <c r="CR115" s="1020"/>
      <c r="CS115" s="1072"/>
      <c r="CT115" s="1020"/>
      <c r="CU115" s="1020"/>
      <c r="CV115" s="1020"/>
      <c r="CW115" s="1071"/>
      <c r="CX115" s="1020"/>
      <c r="CY115" s="1020"/>
      <c r="CZ115" s="1020"/>
      <c r="DA115" s="1072"/>
    </row>
    <row r="116" spans="1:105" outlineLevel="1" x14ac:dyDescent="0.2">
      <c r="A116" s="338" t="s">
        <v>953</v>
      </c>
      <c r="B116" s="1013"/>
      <c r="C116" s="980"/>
      <c r="D116" s="980"/>
      <c r="E116" s="980"/>
      <c r="F116" s="980"/>
      <c r="G116" s="980"/>
      <c r="H116" s="980"/>
      <c r="I116" s="980"/>
      <c r="J116" s="980"/>
      <c r="K116" s="980"/>
      <c r="L116" s="980"/>
      <c r="M116" s="980"/>
      <c r="N116" s="980"/>
      <c r="O116" s="980"/>
      <c r="P116" s="980"/>
      <c r="Q116" s="980"/>
      <c r="R116" s="980"/>
      <c r="S116" s="980"/>
      <c r="T116" s="980"/>
      <c r="U116" s="980"/>
      <c r="V116" s="980"/>
      <c r="W116" s="980"/>
      <c r="X116" s="980"/>
      <c r="Y116" s="980"/>
      <c r="Z116" s="980"/>
      <c r="AA116" s="980"/>
      <c r="AB116" s="980"/>
      <c r="AC116" s="980"/>
      <c r="AD116" s="980"/>
      <c r="AE116" s="980"/>
      <c r="AF116" s="980"/>
      <c r="AG116" s="931"/>
      <c r="AH116" s="931"/>
      <c r="AI116" s="931"/>
      <c r="AJ116" s="931"/>
      <c r="AK116" s="931"/>
      <c r="AL116" s="931"/>
      <c r="AM116" s="926"/>
      <c r="AN116" s="926"/>
      <c r="AO116" s="934"/>
      <c r="AP116" s="926"/>
      <c r="AQ116" s="926"/>
      <c r="AR116" s="926"/>
      <c r="AS116" s="1001"/>
      <c r="AT116" s="926"/>
      <c r="AU116" s="926"/>
      <c r="AV116" s="926"/>
      <c r="AW116" s="1032"/>
      <c r="AX116" s="926"/>
      <c r="AY116" s="926"/>
      <c r="AZ116" s="926"/>
      <c r="BA116" s="1001"/>
      <c r="BB116" s="926"/>
      <c r="BC116" s="926"/>
      <c r="BD116" s="926"/>
      <c r="BE116" s="1032"/>
      <c r="BF116" s="926"/>
      <c r="BG116" s="926"/>
      <c r="BH116" s="926"/>
      <c r="BI116" s="1001"/>
      <c r="BJ116" s="926"/>
      <c r="BK116" s="926"/>
      <c r="BL116" s="926"/>
      <c r="BM116" s="1032"/>
      <c r="BN116" s="926"/>
      <c r="BO116" s="926"/>
      <c r="BP116" s="926"/>
      <c r="BQ116" s="1001"/>
      <c r="BR116" s="926"/>
      <c r="BS116" s="926"/>
      <c r="BT116" s="926"/>
      <c r="BU116" s="1032"/>
      <c r="BV116" s="926"/>
      <c r="BW116" s="926"/>
      <c r="BX116" s="926"/>
      <c r="BY116" s="1001"/>
      <c r="BZ116" s="926"/>
      <c r="CA116" s="926"/>
      <c r="CB116" s="926"/>
      <c r="CC116" s="1032"/>
      <c r="CD116" s="926"/>
      <c r="CE116" s="926"/>
      <c r="CF116" s="926"/>
      <c r="CG116" s="1001"/>
      <c r="CH116" s="926"/>
      <c r="CI116" s="926"/>
      <c r="CJ116" s="926"/>
      <c r="CK116" s="1032"/>
      <c r="CL116" s="926"/>
      <c r="CM116" s="926"/>
      <c r="CN116" s="926"/>
      <c r="CO116" s="1001"/>
      <c r="CP116" s="926"/>
      <c r="CQ116" s="926"/>
      <c r="CR116" s="926"/>
      <c r="CS116" s="1032"/>
      <c r="CT116" s="926"/>
      <c r="CU116" s="926"/>
      <c r="CV116" s="926"/>
      <c r="CW116" s="1001"/>
      <c r="CX116" s="926"/>
      <c r="CY116" s="926"/>
      <c r="CZ116" s="926"/>
      <c r="DA116" s="1032"/>
    </row>
    <row r="117" spans="1:105" outlineLevel="1" x14ac:dyDescent="0.2">
      <c r="A117" s="199"/>
      <c r="B117" s="1013" t="s">
        <v>954</v>
      </c>
      <c r="C117" s="980"/>
      <c r="D117" s="980"/>
      <c r="E117" s="980"/>
      <c r="F117" s="980"/>
      <c r="G117" s="980"/>
      <c r="H117" s="980"/>
      <c r="I117" s="980"/>
      <c r="J117" s="980"/>
      <c r="K117" s="980"/>
      <c r="L117" s="980"/>
      <c r="M117" s="980"/>
      <c r="N117" s="980"/>
      <c r="O117" s="980"/>
      <c r="P117" s="980"/>
      <c r="Q117" s="980"/>
      <c r="R117" s="980"/>
      <c r="S117" s="980"/>
      <c r="T117" s="980"/>
      <c r="U117" s="980"/>
      <c r="V117" s="980"/>
      <c r="W117" s="980"/>
      <c r="X117" s="980"/>
      <c r="Y117" s="980"/>
      <c r="Z117" s="980"/>
      <c r="AA117" s="980"/>
      <c r="AB117" s="980"/>
      <c r="AC117" s="980"/>
      <c r="AD117" s="980"/>
      <c r="AE117" s="980"/>
      <c r="AF117" s="980"/>
      <c r="AG117" s="931"/>
      <c r="AH117" s="931"/>
      <c r="AI117" s="931"/>
      <c r="AJ117" s="931"/>
      <c r="AK117" s="103">
        <v>0.75</v>
      </c>
      <c r="AL117" s="103">
        <v>0.75</v>
      </c>
      <c r="AM117" s="104">
        <v>0.75</v>
      </c>
      <c r="AN117" s="104">
        <v>0.75</v>
      </c>
      <c r="AO117" s="105">
        <v>0.75</v>
      </c>
      <c r="AP117" s="104"/>
      <c r="AQ117" s="104"/>
      <c r="AR117" s="104"/>
      <c r="AS117" s="872"/>
      <c r="AT117" s="104"/>
      <c r="AU117" s="104"/>
      <c r="AV117" s="104"/>
      <c r="AW117" s="625">
        <v>0.75</v>
      </c>
      <c r="AX117" s="104"/>
      <c r="AY117" s="104"/>
      <c r="AZ117" s="104"/>
      <c r="BA117" s="872"/>
      <c r="BB117" s="104"/>
      <c r="BC117" s="104"/>
      <c r="BD117" s="104"/>
      <c r="BE117" s="625">
        <v>0.75</v>
      </c>
      <c r="BF117" s="104"/>
      <c r="BG117" s="104"/>
      <c r="BH117" s="104"/>
      <c r="BI117" s="872"/>
      <c r="BJ117" s="104"/>
      <c r="BK117" s="104"/>
      <c r="BL117" s="104"/>
      <c r="BM117" s="625">
        <v>0.75</v>
      </c>
      <c r="BN117" s="104"/>
      <c r="BO117" s="104"/>
      <c r="BP117" s="104"/>
      <c r="BQ117" s="872"/>
      <c r="BR117" s="104"/>
      <c r="BS117" s="104"/>
      <c r="BT117" s="104"/>
      <c r="BU117" s="882">
        <f>($DA$117-$BM$117)/($DA$2-$BM$2)+BM117</f>
        <v>0.7</v>
      </c>
      <c r="BV117" s="104"/>
      <c r="BW117" s="104"/>
      <c r="BX117" s="104"/>
      <c r="BY117" s="872"/>
      <c r="BZ117" s="104"/>
      <c r="CA117" s="104"/>
      <c r="CB117" s="104"/>
      <c r="CC117" s="882">
        <f>($DA$117-$BM$117)/($DA$2-$BM$2)+BU117</f>
        <v>0.64999999999999991</v>
      </c>
      <c r="CD117" s="104"/>
      <c r="CE117" s="104"/>
      <c r="CF117" s="104"/>
      <c r="CG117" s="872"/>
      <c r="CH117" s="104"/>
      <c r="CI117" s="104"/>
      <c r="CJ117" s="104"/>
      <c r="CK117" s="882">
        <f>($DA$117-$BM$117)/($DA$2-$BM$2)+CC117</f>
        <v>0.59999999999999987</v>
      </c>
      <c r="CL117" s="104"/>
      <c r="CM117" s="104"/>
      <c r="CN117" s="104"/>
      <c r="CO117" s="872"/>
      <c r="CP117" s="104"/>
      <c r="CQ117" s="104"/>
      <c r="CR117" s="104"/>
      <c r="CS117" s="882">
        <f>($DA$117-$BM$117)/($DA$2-$BM$2)+CK117</f>
        <v>0.54999999999999982</v>
      </c>
      <c r="CT117" s="104"/>
      <c r="CU117" s="104"/>
      <c r="CV117" s="104"/>
      <c r="CW117" s="872"/>
      <c r="CX117" s="104"/>
      <c r="CY117" s="104"/>
      <c r="CZ117" s="104"/>
      <c r="DA117" s="882">
        <v>0.5</v>
      </c>
    </row>
    <row r="118" spans="1:105" outlineLevel="1" x14ac:dyDescent="0.2">
      <c r="A118" s="199"/>
      <c r="B118" s="1013" t="s">
        <v>955</v>
      </c>
      <c r="C118" s="980"/>
      <c r="D118" s="980"/>
      <c r="E118" s="980"/>
      <c r="F118" s="980"/>
      <c r="G118" s="980"/>
      <c r="H118" s="980"/>
      <c r="I118" s="980"/>
      <c r="J118" s="980"/>
      <c r="K118" s="980"/>
      <c r="L118" s="980"/>
      <c r="M118" s="980"/>
      <c r="N118" s="980"/>
      <c r="O118" s="980"/>
      <c r="P118" s="980"/>
      <c r="Q118" s="980"/>
      <c r="R118" s="980"/>
      <c r="S118" s="980"/>
      <c r="T118" s="980"/>
      <c r="U118" s="980"/>
      <c r="V118" s="980"/>
      <c r="W118" s="980"/>
      <c r="X118" s="980"/>
      <c r="Y118" s="980"/>
      <c r="Z118" s="980"/>
      <c r="AA118" s="980"/>
      <c r="AB118" s="980"/>
      <c r="AC118" s="980"/>
      <c r="AD118" s="980"/>
      <c r="AE118" s="980"/>
      <c r="AF118" s="980"/>
      <c r="AG118" s="1013"/>
      <c r="AH118" s="1013"/>
      <c r="AI118" s="1013"/>
      <c r="AJ118" s="1013"/>
      <c r="AK118" s="1013"/>
      <c r="AL118" s="1013">
        <f>AL117*AL108</f>
        <v>1737.4</v>
      </c>
      <c r="AM118" s="1017">
        <f>AM117*AM108</f>
        <v>868.7</v>
      </c>
      <c r="AN118" s="1017">
        <f>AN117*AN108</f>
        <v>999.00499999999988</v>
      </c>
      <c r="AO118" s="1060">
        <f>AO117*AO108</f>
        <v>1318.6866</v>
      </c>
      <c r="AP118" s="1017"/>
      <c r="AQ118" s="1017"/>
      <c r="AR118" s="1017"/>
      <c r="AS118" s="1061"/>
      <c r="AT118" s="1017"/>
      <c r="AU118" s="1017"/>
      <c r="AV118" s="1017"/>
      <c r="AW118" s="1419">
        <f>AW117*AW108</f>
        <v>1516.4895899999997</v>
      </c>
      <c r="AX118" s="1017"/>
      <c r="AY118" s="1017"/>
      <c r="AZ118" s="1017"/>
      <c r="BA118" s="1061"/>
      <c r="BB118" s="1017"/>
      <c r="BC118" s="1017"/>
      <c r="BD118" s="1017"/>
      <c r="BE118" s="955">
        <f>BE117*BE108</f>
        <v>1637.8087571999999</v>
      </c>
      <c r="BF118" s="1017"/>
      <c r="BG118" s="1017"/>
      <c r="BH118" s="1017"/>
      <c r="BI118" s="1061"/>
      <c r="BJ118" s="1017"/>
      <c r="BK118" s="1017"/>
      <c r="BL118" s="1017"/>
      <c r="BM118" s="1419">
        <f>BM117*BM108</f>
        <v>1726.55</v>
      </c>
      <c r="BN118" s="1017"/>
      <c r="BO118" s="1017"/>
      <c r="BP118" s="1017"/>
      <c r="BQ118" s="1061"/>
      <c r="BR118" s="1017"/>
      <c r="BS118" s="1017"/>
      <c r="BT118" s="1017"/>
      <c r="BU118" s="1062">
        <f>BU117*BU108</f>
        <v>1688.6100000000001</v>
      </c>
      <c r="BV118" s="1017"/>
      <c r="BW118" s="1017"/>
      <c r="BX118" s="1017"/>
      <c r="BY118" s="1061"/>
      <c r="BZ118" s="1017"/>
      <c r="CA118" s="1017"/>
      <c r="CB118" s="1017"/>
      <c r="CC118" s="1062">
        <f>CC117*CC108</f>
        <v>1579.8466666666664</v>
      </c>
      <c r="CD118" s="1017"/>
      <c r="CE118" s="1017"/>
      <c r="CF118" s="1017"/>
      <c r="CG118" s="1061"/>
      <c r="CH118" s="1017"/>
      <c r="CI118" s="1017"/>
      <c r="CJ118" s="1017"/>
      <c r="CK118" s="1062">
        <f>CK117*CK108</f>
        <v>1429.3399999999995</v>
      </c>
      <c r="CL118" s="1017"/>
      <c r="CM118" s="1017"/>
      <c r="CN118" s="1017"/>
      <c r="CO118" s="1061"/>
      <c r="CP118" s="1017"/>
      <c r="CQ118" s="1017"/>
      <c r="CR118" s="1017"/>
      <c r="CS118" s="1062">
        <f>CS117*CS108</f>
        <v>1237.6649999999997</v>
      </c>
      <c r="CT118" s="1017"/>
      <c r="CU118" s="1017"/>
      <c r="CV118" s="1017"/>
      <c r="CW118" s="1061"/>
      <c r="CX118" s="1017"/>
      <c r="CY118" s="1017"/>
      <c r="CZ118" s="1017"/>
      <c r="DA118" s="1062">
        <f>DA117*DA108</f>
        <v>1046.45</v>
      </c>
    </row>
    <row r="119" spans="1:105" outlineLevel="1" x14ac:dyDescent="0.2">
      <c r="A119" s="199"/>
      <c r="B119" s="1013" t="s">
        <v>945</v>
      </c>
      <c r="C119" s="980"/>
      <c r="D119" s="980"/>
      <c r="E119" s="980"/>
      <c r="F119" s="980"/>
      <c r="G119" s="980"/>
      <c r="H119" s="980"/>
      <c r="I119" s="980"/>
      <c r="J119" s="980"/>
      <c r="K119" s="980"/>
      <c r="L119" s="980"/>
      <c r="M119" s="980"/>
      <c r="N119" s="980"/>
      <c r="O119" s="980"/>
      <c r="P119" s="980"/>
      <c r="Q119" s="980"/>
      <c r="R119" s="980"/>
      <c r="S119" s="980"/>
      <c r="T119" s="980"/>
      <c r="U119" s="980"/>
      <c r="V119" s="980"/>
      <c r="W119" s="980"/>
      <c r="X119" s="980"/>
      <c r="Y119" s="980"/>
      <c r="Z119" s="980"/>
      <c r="AA119" s="980"/>
      <c r="AB119" s="980"/>
      <c r="AC119" s="980"/>
      <c r="AD119" s="980"/>
      <c r="AE119" s="980"/>
      <c r="AF119" s="980"/>
      <c r="AG119" s="1013"/>
      <c r="AH119" s="1013"/>
      <c r="AI119" s="1013"/>
      <c r="AJ119" s="1013"/>
      <c r="AK119" s="1013"/>
      <c r="AL119" s="1013">
        <f>AL106</f>
        <v>1174</v>
      </c>
      <c r="AM119" s="1017">
        <f>AM106</f>
        <v>598</v>
      </c>
      <c r="AN119" s="1017">
        <f>AN106</f>
        <v>687.69999999999993</v>
      </c>
      <c r="AO119" s="1060">
        <f>AO106</f>
        <v>928.39499999999998</v>
      </c>
      <c r="AP119" s="1017"/>
      <c r="AQ119" s="1017"/>
      <c r="AR119" s="1017"/>
      <c r="AS119" s="1061"/>
      <c r="AT119" s="1017"/>
      <c r="AU119" s="1017"/>
      <c r="AV119" s="1017"/>
      <c r="AW119" s="1419">
        <f>AW106</f>
        <v>1160.4937500000001</v>
      </c>
      <c r="AX119" s="1017"/>
      <c r="AY119" s="1017"/>
      <c r="AZ119" s="1017"/>
      <c r="BA119" s="1061"/>
      <c r="BB119" s="1017"/>
      <c r="BC119" s="1017"/>
      <c r="BD119" s="1017"/>
      <c r="BE119" s="955">
        <f>BE106</f>
        <v>1334.5678124999999</v>
      </c>
      <c r="BF119" s="1017"/>
      <c r="BG119" s="1017"/>
      <c r="BH119" s="1017"/>
      <c r="BI119" s="1061"/>
      <c r="BJ119" s="1017"/>
      <c r="BK119" s="1017"/>
      <c r="BL119" s="1017"/>
      <c r="BM119" s="1419">
        <f>BM106</f>
        <v>1333</v>
      </c>
      <c r="BN119" s="1017"/>
      <c r="BO119" s="1017"/>
      <c r="BP119" s="1017"/>
      <c r="BQ119" s="1061"/>
      <c r="BR119" s="1017"/>
      <c r="BS119" s="1017"/>
      <c r="BT119" s="1017"/>
      <c r="BU119" s="1062">
        <f>BU106</f>
        <v>1143.6666666666667</v>
      </c>
      <c r="BV119" s="1017"/>
      <c r="BW119" s="1017"/>
      <c r="BX119" s="1017"/>
      <c r="BY119" s="1061"/>
      <c r="BZ119" s="1017"/>
      <c r="CA119" s="1017"/>
      <c r="CB119" s="1017"/>
      <c r="CC119" s="1062">
        <f>CC106</f>
        <v>959.66666666666663</v>
      </c>
      <c r="CD119" s="1017"/>
      <c r="CE119" s="1017"/>
      <c r="CF119" s="1017"/>
      <c r="CG119" s="1061"/>
      <c r="CH119" s="1017"/>
      <c r="CI119" s="1017"/>
      <c r="CJ119" s="1017"/>
      <c r="CK119" s="1062">
        <f>CK106</f>
        <v>530.66666666666663</v>
      </c>
      <c r="CL119" s="1017"/>
      <c r="CM119" s="1017"/>
      <c r="CN119" s="1017"/>
      <c r="CO119" s="1061"/>
      <c r="CP119" s="1017"/>
      <c r="CQ119" s="1017"/>
      <c r="CR119" s="1017"/>
      <c r="CS119" s="1062">
        <f>CS106</f>
        <v>218.33333333333334</v>
      </c>
      <c r="CT119" s="1017"/>
      <c r="CU119" s="1017"/>
      <c r="CV119" s="1017"/>
      <c r="CW119" s="1061"/>
      <c r="CX119" s="1017"/>
      <c r="CY119" s="1017"/>
      <c r="CZ119" s="1017"/>
      <c r="DA119" s="1062">
        <f>DA106</f>
        <v>108</v>
      </c>
    </row>
    <row r="120" spans="1:105" outlineLevel="1" x14ac:dyDescent="0.2">
      <c r="A120" s="199"/>
      <c r="B120" s="1013" t="s">
        <v>951</v>
      </c>
      <c r="C120" s="980"/>
      <c r="D120" s="980"/>
      <c r="E120" s="980"/>
      <c r="F120" s="980"/>
      <c r="G120" s="980"/>
      <c r="H120" s="980"/>
      <c r="I120" s="980"/>
      <c r="J120" s="980"/>
      <c r="K120" s="980"/>
      <c r="L120" s="980"/>
      <c r="M120" s="980"/>
      <c r="N120" s="980"/>
      <c r="O120" s="980"/>
      <c r="P120" s="980"/>
      <c r="Q120" s="980"/>
      <c r="R120" s="980"/>
      <c r="S120" s="980"/>
      <c r="T120" s="980"/>
      <c r="U120" s="980"/>
      <c r="V120" s="980"/>
      <c r="W120" s="980"/>
      <c r="X120" s="980"/>
      <c r="Y120" s="980"/>
      <c r="Z120" s="980"/>
      <c r="AA120" s="980"/>
      <c r="AB120" s="980"/>
      <c r="AC120" s="980"/>
      <c r="AD120" s="980"/>
      <c r="AE120" s="980"/>
      <c r="AF120" s="980"/>
      <c r="AG120" s="899"/>
      <c r="AH120" s="899"/>
      <c r="AI120" s="899"/>
      <c r="AJ120" s="899"/>
      <c r="AK120" s="899"/>
      <c r="AL120" s="899">
        <f>AL118-AL119</f>
        <v>563.40000000000009</v>
      </c>
      <c r="AM120" s="900">
        <f>AM118-AM119</f>
        <v>270.70000000000005</v>
      </c>
      <c r="AN120" s="900">
        <f>AN118-AN119</f>
        <v>311.30499999999995</v>
      </c>
      <c r="AO120" s="912">
        <f>AO118-AO119</f>
        <v>390.29160000000002</v>
      </c>
      <c r="AP120" s="900"/>
      <c r="AQ120" s="900"/>
      <c r="AR120" s="900"/>
      <c r="AS120" s="954"/>
      <c r="AT120" s="900"/>
      <c r="AU120" s="900"/>
      <c r="AV120" s="900"/>
      <c r="AW120" s="955">
        <f>AW118-AW119</f>
        <v>355.99583999999959</v>
      </c>
      <c r="AX120" s="900"/>
      <c r="AY120" s="900"/>
      <c r="AZ120" s="900"/>
      <c r="BA120" s="954"/>
      <c r="BB120" s="900"/>
      <c r="BC120" s="900"/>
      <c r="BD120" s="900"/>
      <c r="BE120" s="955">
        <f>BE118-BE119</f>
        <v>303.2409447</v>
      </c>
      <c r="BF120" s="900"/>
      <c r="BG120" s="900"/>
      <c r="BH120" s="900"/>
      <c r="BI120" s="954"/>
      <c r="BJ120" s="900"/>
      <c r="BK120" s="900"/>
      <c r="BL120" s="900"/>
      <c r="BM120" s="955">
        <f>BM118-BM119</f>
        <v>393.54999999999995</v>
      </c>
      <c r="BN120" s="900"/>
      <c r="BO120" s="900"/>
      <c r="BP120" s="900"/>
      <c r="BQ120" s="954"/>
      <c r="BR120" s="900"/>
      <c r="BS120" s="900"/>
      <c r="BT120" s="900"/>
      <c r="BU120" s="915">
        <f>BU118-BU119</f>
        <v>544.94333333333338</v>
      </c>
      <c r="BV120" s="900"/>
      <c r="BW120" s="900"/>
      <c r="BX120" s="900"/>
      <c r="BY120" s="954"/>
      <c r="BZ120" s="900"/>
      <c r="CA120" s="900"/>
      <c r="CB120" s="900"/>
      <c r="CC120" s="915">
        <f>CC118-CC119</f>
        <v>620.17999999999972</v>
      </c>
      <c r="CD120" s="900"/>
      <c r="CE120" s="900"/>
      <c r="CF120" s="900"/>
      <c r="CG120" s="954"/>
      <c r="CH120" s="900"/>
      <c r="CI120" s="900"/>
      <c r="CJ120" s="900"/>
      <c r="CK120" s="915">
        <f>CK118-CK119</f>
        <v>898.67333333333283</v>
      </c>
      <c r="CL120" s="900"/>
      <c r="CM120" s="900"/>
      <c r="CN120" s="900"/>
      <c r="CO120" s="954"/>
      <c r="CP120" s="900"/>
      <c r="CQ120" s="900"/>
      <c r="CR120" s="900"/>
      <c r="CS120" s="915">
        <f>CS118-CS119</f>
        <v>1019.3316666666664</v>
      </c>
      <c r="CT120" s="900"/>
      <c r="CU120" s="900"/>
      <c r="CV120" s="900"/>
      <c r="CW120" s="954"/>
      <c r="CX120" s="900"/>
      <c r="CY120" s="900"/>
      <c r="CZ120" s="900"/>
      <c r="DA120" s="915">
        <f>DA118-DA119</f>
        <v>938.45</v>
      </c>
    </row>
    <row r="121" spans="1:105" outlineLevel="1" x14ac:dyDescent="0.2">
      <c r="A121" s="199"/>
      <c r="B121" s="1013" t="s">
        <v>952</v>
      </c>
      <c r="C121" s="980"/>
      <c r="D121" s="980"/>
      <c r="E121" s="980"/>
      <c r="F121" s="980"/>
      <c r="G121" s="980"/>
      <c r="H121" s="980"/>
      <c r="I121" s="980"/>
      <c r="J121" s="980"/>
      <c r="K121" s="980"/>
      <c r="L121" s="980"/>
      <c r="M121" s="980"/>
      <c r="N121" s="980"/>
      <c r="O121" s="980"/>
      <c r="P121" s="980"/>
      <c r="Q121" s="980"/>
      <c r="R121" s="980"/>
      <c r="S121" s="980"/>
      <c r="T121" s="980"/>
      <c r="U121" s="980"/>
      <c r="V121" s="980"/>
      <c r="W121" s="980"/>
      <c r="X121" s="980"/>
      <c r="Y121" s="980"/>
      <c r="Z121" s="980"/>
      <c r="AA121" s="980"/>
      <c r="AB121" s="980"/>
      <c r="AC121" s="980"/>
      <c r="AD121" s="980"/>
      <c r="AE121" s="980"/>
      <c r="AF121" s="980"/>
      <c r="AG121" s="899"/>
      <c r="AH121" s="899"/>
      <c r="AI121" s="899"/>
      <c r="AJ121" s="899"/>
      <c r="AK121" s="899"/>
      <c r="AL121" s="899">
        <f>(1-AL117)*AL91</f>
        <v>579.13333333333333</v>
      </c>
      <c r="AM121" s="900">
        <f>(1-AM117)*AM91</f>
        <v>289.56666666666666</v>
      </c>
      <c r="AN121" s="900">
        <f>(1-AN117)*AN91</f>
        <v>333.00166666666661</v>
      </c>
      <c r="AO121" s="912">
        <f>(1-AO117)*AO91</f>
        <v>439.56219999999996</v>
      </c>
      <c r="AP121" s="900"/>
      <c r="AQ121" s="900"/>
      <c r="AR121" s="900"/>
      <c r="AS121" s="954"/>
      <c r="AT121" s="900"/>
      <c r="AU121" s="900"/>
      <c r="AV121" s="900"/>
      <c r="AW121" s="955">
        <f>(1-AW117)*AW91</f>
        <v>505.49652999999989</v>
      </c>
      <c r="AX121" s="900"/>
      <c r="AY121" s="900"/>
      <c r="AZ121" s="900"/>
      <c r="BA121" s="954"/>
      <c r="BB121" s="900"/>
      <c r="BC121" s="900"/>
      <c r="BD121" s="900"/>
      <c r="BE121" s="955">
        <f>(1-BE117)*BE91</f>
        <v>545.93625239999994</v>
      </c>
      <c r="BF121" s="900"/>
      <c r="BG121" s="900"/>
      <c r="BH121" s="900"/>
      <c r="BI121" s="954"/>
      <c r="BJ121" s="900"/>
      <c r="BK121" s="900"/>
      <c r="BL121" s="900"/>
      <c r="BM121" s="955">
        <f>(1-BM117)*BM91</f>
        <v>575.51666666666665</v>
      </c>
      <c r="BN121" s="900"/>
      <c r="BO121" s="900"/>
      <c r="BP121" s="900"/>
      <c r="BQ121" s="954"/>
      <c r="BR121" s="900"/>
      <c r="BS121" s="900"/>
      <c r="BT121" s="900"/>
      <c r="BU121" s="915">
        <f>(1-BU117)*BU91</f>
        <v>723.69000000000017</v>
      </c>
      <c r="BV121" s="900"/>
      <c r="BW121" s="900"/>
      <c r="BX121" s="900"/>
      <c r="BY121" s="954"/>
      <c r="BZ121" s="900"/>
      <c r="CA121" s="900"/>
      <c r="CB121" s="900"/>
      <c r="CC121" s="915">
        <f>(1-CC117)*CC91</f>
        <v>850.68666666666684</v>
      </c>
      <c r="CD121" s="900"/>
      <c r="CE121" s="900"/>
      <c r="CF121" s="900"/>
      <c r="CG121" s="954"/>
      <c r="CH121" s="900"/>
      <c r="CI121" s="900"/>
      <c r="CJ121" s="900"/>
      <c r="CK121" s="915">
        <f>(1-CK117)*CK91</f>
        <v>952.89333333333354</v>
      </c>
      <c r="CL121" s="900"/>
      <c r="CM121" s="900"/>
      <c r="CN121" s="900"/>
      <c r="CO121" s="954"/>
      <c r="CP121" s="900"/>
      <c r="CQ121" s="900"/>
      <c r="CR121" s="900"/>
      <c r="CS121" s="915">
        <f>(1-CS117)*CS91</f>
        <v>1012.6350000000004</v>
      </c>
      <c r="CT121" s="900"/>
      <c r="CU121" s="900"/>
      <c r="CV121" s="900"/>
      <c r="CW121" s="954"/>
      <c r="CX121" s="900"/>
      <c r="CY121" s="900"/>
      <c r="CZ121" s="900"/>
      <c r="DA121" s="915">
        <f>(1-DA117)*DA91</f>
        <v>1046.45</v>
      </c>
    </row>
    <row r="122" spans="1:105" outlineLevel="1" x14ac:dyDescent="0.2">
      <c r="AO122" s="180"/>
      <c r="AS122" s="179"/>
      <c r="AW122" s="314"/>
      <c r="BA122" s="179"/>
      <c r="BE122" s="314"/>
      <c r="BI122" s="179"/>
      <c r="BM122" s="314"/>
      <c r="BQ122" s="179"/>
      <c r="BU122" s="314"/>
      <c r="BY122" s="179"/>
      <c r="CC122" s="314"/>
      <c r="CG122" s="179"/>
      <c r="CK122" s="314"/>
      <c r="CO122" s="179"/>
      <c r="CS122" s="314"/>
      <c r="CW122" s="179"/>
      <c r="DA122" s="314"/>
    </row>
    <row r="123" spans="1:105" outlineLevel="1" x14ac:dyDescent="0.2">
      <c r="A123" s="338" t="s">
        <v>956</v>
      </c>
      <c r="B123" s="1013"/>
      <c r="C123" s="980"/>
      <c r="D123" s="980"/>
      <c r="E123" s="980"/>
      <c r="F123" s="980"/>
      <c r="G123" s="980"/>
      <c r="H123" s="980"/>
      <c r="I123" s="980"/>
      <c r="J123" s="980"/>
      <c r="K123" s="980"/>
      <c r="L123" s="980"/>
      <c r="M123" s="980"/>
      <c r="N123" s="980"/>
      <c r="O123" s="980"/>
      <c r="P123" s="980"/>
      <c r="Q123" s="980"/>
      <c r="R123" s="980"/>
      <c r="S123" s="980"/>
      <c r="T123" s="980"/>
      <c r="U123" s="980"/>
      <c r="V123" s="980"/>
      <c r="W123" s="980"/>
      <c r="X123" s="980"/>
      <c r="Y123" s="980"/>
      <c r="Z123" s="980"/>
      <c r="AA123" s="980"/>
      <c r="AB123" s="980"/>
      <c r="AC123" s="980"/>
      <c r="AD123" s="980"/>
      <c r="AE123" s="980"/>
      <c r="AF123" s="980"/>
      <c r="AG123" s="931"/>
      <c r="AH123" s="1073"/>
      <c r="AI123" s="931"/>
      <c r="AJ123" s="931"/>
      <c r="AK123" s="931"/>
      <c r="AL123" s="899"/>
      <c r="AM123" s="900"/>
      <c r="AN123" s="900"/>
      <c r="AO123" s="912"/>
      <c r="AP123" s="900"/>
      <c r="AQ123" s="900"/>
      <c r="AR123" s="900"/>
      <c r="AS123" s="954"/>
      <c r="AT123" s="900"/>
      <c r="AU123" s="900"/>
      <c r="AV123" s="900"/>
      <c r="AW123" s="955"/>
      <c r="AX123" s="900"/>
      <c r="AY123" s="900"/>
      <c r="AZ123" s="900"/>
      <c r="BA123" s="954"/>
      <c r="BB123" s="900"/>
      <c r="BC123" s="900"/>
      <c r="BD123" s="900"/>
      <c r="BE123" s="955"/>
      <c r="BF123" s="900"/>
      <c r="BG123" s="900"/>
      <c r="BH123" s="900"/>
      <c r="BI123" s="954"/>
      <c r="BJ123" s="900"/>
      <c r="BK123" s="900"/>
      <c r="BL123" s="900"/>
      <c r="BM123" s="955"/>
      <c r="BN123" s="900"/>
      <c r="BO123" s="900"/>
      <c r="BP123" s="900"/>
      <c r="BQ123" s="954"/>
      <c r="BR123" s="900"/>
      <c r="BS123" s="900"/>
      <c r="BT123" s="900"/>
      <c r="BU123" s="955"/>
      <c r="BV123" s="900"/>
      <c r="BW123" s="900"/>
      <c r="BX123" s="900"/>
      <c r="BY123" s="954"/>
      <c r="BZ123" s="900"/>
      <c r="CA123" s="900"/>
      <c r="CB123" s="900"/>
      <c r="CC123" s="955"/>
      <c r="CD123" s="900"/>
      <c r="CE123" s="900"/>
      <c r="CF123" s="900"/>
      <c r="CG123" s="954"/>
      <c r="CH123" s="900"/>
      <c r="CI123" s="900"/>
      <c r="CJ123" s="900"/>
      <c r="CK123" s="955"/>
      <c r="CL123" s="900"/>
      <c r="CM123" s="900"/>
      <c r="CN123" s="900"/>
      <c r="CO123" s="954"/>
      <c r="CP123" s="900"/>
      <c r="CQ123" s="900"/>
      <c r="CR123" s="900"/>
      <c r="CS123" s="955"/>
      <c r="CT123" s="900"/>
      <c r="CU123" s="900"/>
      <c r="CV123" s="900"/>
      <c r="CW123" s="954"/>
      <c r="CX123" s="900"/>
      <c r="CY123" s="900"/>
      <c r="CZ123" s="900"/>
      <c r="DA123" s="955"/>
    </row>
    <row r="124" spans="1:105" outlineLevel="1" x14ac:dyDescent="0.2">
      <c r="A124" s="199"/>
      <c r="B124" s="1013" t="s">
        <v>945</v>
      </c>
      <c r="C124" s="980"/>
      <c r="D124" s="980"/>
      <c r="E124" s="980"/>
      <c r="F124" s="980"/>
      <c r="G124" s="980"/>
      <c r="H124" s="980"/>
      <c r="I124" s="980"/>
      <c r="J124" s="980"/>
      <c r="K124" s="980"/>
      <c r="L124" s="980"/>
      <c r="M124" s="980"/>
      <c r="N124" s="980"/>
      <c r="O124" s="980"/>
      <c r="P124" s="980"/>
      <c r="Q124" s="980"/>
      <c r="R124" s="980"/>
      <c r="S124" s="980"/>
      <c r="T124" s="980"/>
      <c r="U124" s="980"/>
      <c r="V124" s="980"/>
      <c r="W124" s="980"/>
      <c r="X124" s="980"/>
      <c r="Y124" s="980"/>
      <c r="Z124" s="980"/>
      <c r="AA124" s="980"/>
      <c r="AB124" s="980"/>
      <c r="AC124" s="980"/>
      <c r="AD124" s="980"/>
      <c r="AE124" s="980"/>
      <c r="AF124" s="980"/>
      <c r="AG124" s="1074">
        <f t="shared" ref="AG124:AO124" si="104">(AG106+AG111)/(AG108+AG114)</f>
        <v>0.40693597026439432</v>
      </c>
      <c r="AH124" s="1074">
        <f t="shared" si="104"/>
        <v>0.46180092225056163</v>
      </c>
      <c r="AI124" s="1074">
        <f t="shared" si="104"/>
        <v>0.48698680943012868</v>
      </c>
      <c r="AJ124" s="1074">
        <f t="shared" si="104"/>
        <v>0.50660861452340233</v>
      </c>
      <c r="AK124" s="1074">
        <f t="shared" si="104"/>
        <v>0.4750776596654222</v>
      </c>
      <c r="AL124" s="1074">
        <f t="shared" si="104"/>
        <v>0.49705745374486643</v>
      </c>
      <c r="AM124" s="386">
        <f t="shared" si="104"/>
        <v>0.49822261719617861</v>
      </c>
      <c r="AN124" s="386">
        <f t="shared" si="104"/>
        <v>0.50598172373706907</v>
      </c>
      <c r="AO124" s="1075">
        <f t="shared" si="104"/>
        <v>0.52316259842880575</v>
      </c>
      <c r="AP124" s="386"/>
      <c r="AQ124" s="386"/>
      <c r="AR124" s="386"/>
      <c r="AS124" s="387"/>
      <c r="AT124" s="386"/>
      <c r="AU124" s="386"/>
      <c r="AV124" s="386"/>
      <c r="AW124" s="873">
        <f>(AW106+AW111)/(AW108+AW114)</f>
        <v>0.57209844255675768</v>
      </c>
      <c r="AX124" s="386"/>
      <c r="AY124" s="386"/>
      <c r="AZ124" s="386"/>
      <c r="BA124" s="387"/>
      <c r="BB124" s="386"/>
      <c r="BC124" s="386"/>
      <c r="BD124" s="386"/>
      <c r="BE124" s="625">
        <f>(BE106+BE111)/(BE108+BE114)</f>
        <v>0.60974111038356926</v>
      </c>
      <c r="BF124" s="386"/>
      <c r="BG124" s="386"/>
      <c r="BH124" s="386"/>
      <c r="BI124" s="387"/>
      <c r="BJ124" s="386"/>
      <c r="BK124" s="386"/>
      <c r="BL124" s="386"/>
      <c r="BM124" s="873">
        <f>(BM106+BM111)/(BM108+BM114)</f>
        <v>0.57845860093733725</v>
      </c>
      <c r="BN124" s="386"/>
      <c r="BO124" s="386"/>
      <c r="BP124" s="386"/>
      <c r="BQ124" s="387"/>
      <c r="BR124" s="386"/>
      <c r="BS124" s="386"/>
      <c r="BT124" s="386"/>
      <c r="BU124" s="874">
        <f>(BU106+BU111)/(BU108+BU114)</f>
        <v>0.473770695535702</v>
      </c>
      <c r="BV124" s="386"/>
      <c r="BW124" s="386"/>
      <c r="BX124" s="386"/>
      <c r="BY124" s="387"/>
      <c r="BZ124" s="386"/>
      <c r="CA124" s="386"/>
      <c r="CB124" s="386"/>
      <c r="CC124" s="874">
        <f>(CC106+CC111)/(CC108+CC114)</f>
        <v>0.39467551339346912</v>
      </c>
      <c r="CD124" s="386"/>
      <c r="CE124" s="386"/>
      <c r="CF124" s="386"/>
      <c r="CG124" s="387"/>
      <c r="CH124" s="386"/>
      <c r="CI124" s="386"/>
      <c r="CJ124" s="386"/>
      <c r="CK124" s="874">
        <f>(CK106+CK111)/(CK108+CK114)</f>
        <v>0.22276015503659033</v>
      </c>
      <c r="CL124" s="386"/>
      <c r="CM124" s="386"/>
      <c r="CN124" s="386"/>
      <c r="CO124" s="387"/>
      <c r="CP124" s="386"/>
      <c r="CQ124" s="386"/>
      <c r="CR124" s="386"/>
      <c r="CS124" s="874">
        <f>(CS106+CS111)/(CS108+CS114)</f>
        <v>9.7024100490304993E-2</v>
      </c>
      <c r="CT124" s="386"/>
      <c r="CU124" s="386"/>
      <c r="CV124" s="386"/>
      <c r="CW124" s="387"/>
      <c r="CX124" s="386"/>
      <c r="CY124" s="386"/>
      <c r="CZ124" s="386"/>
      <c r="DA124" s="874">
        <f>(DA106+DA111)/(DA108+DA114)</f>
        <v>5.1603038845620904E-2</v>
      </c>
    </row>
    <row r="125" spans="1:105" outlineLevel="1" x14ac:dyDescent="0.2">
      <c r="A125" s="199"/>
      <c r="B125" s="1013" t="s">
        <v>951</v>
      </c>
      <c r="C125" s="980"/>
      <c r="D125" s="980"/>
      <c r="E125" s="980"/>
      <c r="F125" s="980"/>
      <c r="G125" s="980"/>
      <c r="H125" s="980"/>
      <c r="I125" s="980"/>
      <c r="J125" s="980"/>
      <c r="K125" s="980"/>
      <c r="L125" s="980"/>
      <c r="M125" s="980"/>
      <c r="N125" s="980"/>
      <c r="O125" s="980"/>
      <c r="P125" s="980"/>
      <c r="Q125" s="980"/>
      <c r="R125" s="980"/>
      <c r="S125" s="980"/>
      <c r="T125" s="980"/>
      <c r="U125" s="980"/>
      <c r="V125" s="980"/>
      <c r="W125" s="980"/>
      <c r="X125" s="980"/>
      <c r="Y125" s="980"/>
      <c r="Z125" s="980"/>
      <c r="AA125" s="980"/>
      <c r="AB125" s="980"/>
      <c r="AC125" s="980"/>
      <c r="AD125" s="980"/>
      <c r="AE125" s="980"/>
      <c r="AF125" s="980"/>
      <c r="AG125" s="103">
        <f>30%+AG112/AG108</f>
        <v>0.37042817126850736</v>
      </c>
      <c r="AH125" s="103">
        <f>30%+AH112/AH108</f>
        <v>0.34723656530885444</v>
      </c>
      <c r="AI125" s="103">
        <f>29%+AI112/AI108</f>
        <v>0.33173950269344654</v>
      </c>
      <c r="AJ125" s="103">
        <f>28%+AJ113/AJ108</f>
        <v>0.31186621457023411</v>
      </c>
      <c r="AK125" s="103">
        <f>AK112/AK108+26%</f>
        <v>0.2743804660444914</v>
      </c>
      <c r="AL125" s="103">
        <f>(AL120+AL112)/SUM(AL$119:AL$121,AL114)</f>
        <v>0.24404081459841656</v>
      </c>
      <c r="AM125" s="104">
        <f>(AM120+AM112)/SUM(AM$119:AM$121,AM114)</f>
        <v>0.23386469673405913</v>
      </c>
      <c r="AN125" s="104">
        <f>(AN120+AN112)/SUM(AN$119:AN$121,AN114)</f>
        <v>0.2324791166963423</v>
      </c>
      <c r="AO125" s="105">
        <f>(AO120+AO112)/SUM(AO$119:AO$121,AO114)</f>
        <v>0.22181274449887398</v>
      </c>
      <c r="AP125" s="104"/>
      <c r="AQ125" s="104"/>
      <c r="AR125" s="104"/>
      <c r="AS125" s="872"/>
      <c r="AT125" s="104"/>
      <c r="AU125" s="104"/>
      <c r="AV125" s="104"/>
      <c r="AW125" s="625">
        <f>(AW120+AW112)/SUM(AW$119:AW$121,AW114)</f>
        <v>0.17648424431910811</v>
      </c>
      <c r="AX125" s="104"/>
      <c r="AY125" s="104"/>
      <c r="AZ125" s="104"/>
      <c r="BA125" s="872"/>
      <c r="BB125" s="104"/>
      <c r="BC125" s="104"/>
      <c r="BD125" s="104"/>
      <c r="BE125" s="625">
        <f>(BE120+BE112)/SUM(BE$119:BE$121,BE114)</f>
        <v>0.1385455790281474</v>
      </c>
      <c r="BF125" s="104"/>
      <c r="BG125" s="104"/>
      <c r="BH125" s="104"/>
      <c r="BI125" s="872"/>
      <c r="BJ125" s="104"/>
      <c r="BK125" s="104"/>
      <c r="BL125" s="104"/>
      <c r="BM125" s="625">
        <f>(BM120+BM112)/SUM(BM$119:BM$121,BM114)</f>
        <v>0.17078198229474048</v>
      </c>
      <c r="BN125" s="104"/>
      <c r="BO125" s="104"/>
      <c r="BP125" s="104"/>
      <c r="BQ125" s="872"/>
      <c r="BR125" s="104"/>
      <c r="BS125" s="104"/>
      <c r="BT125" s="104"/>
      <c r="BU125" s="867">
        <f>(BU120+BU112)/SUM(BU$119:BU$121,BU114)</f>
        <v>0.22574600588243418</v>
      </c>
      <c r="BV125" s="104"/>
      <c r="BW125" s="104"/>
      <c r="BX125" s="104"/>
      <c r="BY125" s="872"/>
      <c r="BZ125" s="104"/>
      <c r="CA125" s="104"/>
      <c r="CB125" s="104"/>
      <c r="CC125" s="867">
        <f>(CC120+CC112)/SUM(CC$119:CC$121,CC114)</f>
        <v>0.25505716557453445</v>
      </c>
      <c r="CD125" s="104"/>
      <c r="CE125" s="104"/>
      <c r="CF125" s="104"/>
      <c r="CG125" s="872"/>
      <c r="CH125" s="104"/>
      <c r="CI125" s="104"/>
      <c r="CJ125" s="104"/>
      <c r="CK125" s="867">
        <f>(CK120+CK112)/SUM(CK$119:CK$121,CK114)</f>
        <v>0.37723984496340951</v>
      </c>
      <c r="CL125" s="104"/>
      <c r="CM125" s="104"/>
      <c r="CN125" s="104"/>
      <c r="CO125" s="872"/>
      <c r="CP125" s="104"/>
      <c r="CQ125" s="104"/>
      <c r="CR125" s="104"/>
      <c r="CS125" s="867">
        <f>(CS120+CS112)/SUM(CS$119:CS$121,CS114)</f>
        <v>0.45297589950969486</v>
      </c>
      <c r="CT125" s="104"/>
      <c r="CU125" s="104"/>
      <c r="CV125" s="104"/>
      <c r="CW125" s="872"/>
      <c r="CX125" s="104"/>
      <c r="CY125" s="104"/>
      <c r="CZ125" s="104"/>
      <c r="DA125" s="867">
        <f>(DA120+DA112)/SUM(DA$119:DA$121,DA114)</f>
        <v>0.4483969611543791</v>
      </c>
    </row>
    <row r="126" spans="1:105" outlineLevel="1" x14ac:dyDescent="0.2">
      <c r="A126" s="199"/>
      <c r="B126" s="1013" t="s">
        <v>952</v>
      </c>
      <c r="C126" s="980"/>
      <c r="D126" s="980"/>
      <c r="E126" s="980"/>
      <c r="F126" s="980"/>
      <c r="G126" s="980"/>
      <c r="H126" s="980"/>
      <c r="I126" s="980"/>
      <c r="J126" s="980"/>
      <c r="K126" s="980"/>
      <c r="L126" s="980"/>
      <c r="M126" s="980"/>
      <c r="N126" s="980"/>
      <c r="O126" s="980"/>
      <c r="P126" s="980"/>
      <c r="Q126" s="980"/>
      <c r="R126" s="980"/>
      <c r="S126" s="980"/>
      <c r="T126" s="980"/>
      <c r="U126" s="980"/>
      <c r="V126" s="980"/>
      <c r="W126" s="980"/>
      <c r="X126" s="980"/>
      <c r="Y126" s="980"/>
      <c r="Z126" s="980"/>
      <c r="AA126" s="980"/>
      <c r="AB126" s="980"/>
      <c r="AC126" s="980"/>
      <c r="AD126" s="980"/>
      <c r="AE126" s="980"/>
      <c r="AF126" s="980"/>
      <c r="AG126" s="1074">
        <f t="shared" ref="AG126:AO126" si="105">1-AG125-AG124</f>
        <v>0.22263585846709832</v>
      </c>
      <c r="AH126" s="1074">
        <f t="shared" si="105"/>
        <v>0.19096251244058388</v>
      </c>
      <c r="AI126" s="1074">
        <f t="shared" si="105"/>
        <v>0.18127368787642478</v>
      </c>
      <c r="AJ126" s="1074">
        <f t="shared" si="105"/>
        <v>0.18152517090636355</v>
      </c>
      <c r="AK126" s="1074">
        <f t="shared" si="105"/>
        <v>0.2505418742900864</v>
      </c>
      <c r="AL126" s="1074">
        <f t="shared" si="105"/>
        <v>0.25890173165671704</v>
      </c>
      <c r="AM126" s="386">
        <f t="shared" si="105"/>
        <v>0.26791268606976221</v>
      </c>
      <c r="AN126" s="386">
        <f t="shared" si="105"/>
        <v>0.26153915956658869</v>
      </c>
      <c r="AO126" s="1075">
        <f t="shared" si="105"/>
        <v>0.25502465707232025</v>
      </c>
      <c r="AP126" s="386"/>
      <c r="AQ126" s="386"/>
      <c r="AR126" s="386"/>
      <c r="AS126" s="387"/>
      <c r="AT126" s="386"/>
      <c r="AU126" s="386"/>
      <c r="AV126" s="386"/>
      <c r="AW126" s="873">
        <f>1-AW125-AW124</f>
        <v>0.25141731312413418</v>
      </c>
      <c r="AX126" s="386"/>
      <c r="AY126" s="386"/>
      <c r="AZ126" s="386"/>
      <c r="BA126" s="387"/>
      <c r="BB126" s="386"/>
      <c r="BC126" s="386"/>
      <c r="BD126" s="386"/>
      <c r="BE126" s="625">
        <f>1-BE125-BE124</f>
        <v>0.25171331058828339</v>
      </c>
      <c r="BF126" s="386"/>
      <c r="BG126" s="386"/>
      <c r="BH126" s="386"/>
      <c r="BI126" s="387"/>
      <c r="BJ126" s="386"/>
      <c r="BK126" s="386"/>
      <c r="BL126" s="386"/>
      <c r="BM126" s="873">
        <f>1-BM125-BM124</f>
        <v>0.25075941676792224</v>
      </c>
      <c r="BN126" s="386"/>
      <c r="BO126" s="386"/>
      <c r="BP126" s="386"/>
      <c r="BQ126" s="387"/>
      <c r="BR126" s="386"/>
      <c r="BS126" s="386"/>
      <c r="BT126" s="386"/>
      <c r="BU126" s="874">
        <f>1-BU125-BU124</f>
        <v>0.30048329858186379</v>
      </c>
      <c r="BV126" s="386"/>
      <c r="BW126" s="386"/>
      <c r="BX126" s="386"/>
      <c r="BY126" s="387"/>
      <c r="BZ126" s="386"/>
      <c r="CA126" s="386"/>
      <c r="CB126" s="386"/>
      <c r="CC126" s="874">
        <f>1-CC125-CC124</f>
        <v>0.35026732103199648</v>
      </c>
      <c r="CD126" s="386"/>
      <c r="CE126" s="386"/>
      <c r="CF126" s="386"/>
      <c r="CG126" s="387"/>
      <c r="CH126" s="386"/>
      <c r="CI126" s="386"/>
      <c r="CJ126" s="386"/>
      <c r="CK126" s="874">
        <f>1-CK125-CK124</f>
        <v>0.40000000000000013</v>
      </c>
      <c r="CL126" s="386"/>
      <c r="CM126" s="386"/>
      <c r="CN126" s="386"/>
      <c r="CO126" s="387"/>
      <c r="CP126" s="386"/>
      <c r="CQ126" s="386"/>
      <c r="CR126" s="386"/>
      <c r="CS126" s="874">
        <f>1-CS125-CS124</f>
        <v>0.45000000000000018</v>
      </c>
      <c r="CT126" s="386"/>
      <c r="CU126" s="386"/>
      <c r="CV126" s="386"/>
      <c r="CW126" s="387"/>
      <c r="CX126" s="386"/>
      <c r="CY126" s="386"/>
      <c r="CZ126" s="386"/>
      <c r="DA126" s="874">
        <f>1-DA125-DA124</f>
        <v>0.5</v>
      </c>
    </row>
    <row r="127" spans="1:105" outlineLevel="1" x14ac:dyDescent="0.2">
      <c r="AO127" s="180"/>
      <c r="AS127" s="179"/>
      <c r="AW127" s="314"/>
      <c r="BA127" s="179"/>
      <c r="BE127" s="314"/>
      <c r="BI127" s="179"/>
      <c r="BM127" s="314"/>
      <c r="BQ127" s="179"/>
      <c r="BU127" s="314"/>
      <c r="BY127" s="179"/>
      <c r="CC127" s="314"/>
      <c r="CG127" s="179"/>
      <c r="CK127" s="314"/>
      <c r="CO127" s="179"/>
      <c r="CS127" s="314"/>
      <c r="CW127" s="179"/>
      <c r="DA127" s="314"/>
    </row>
    <row r="128" spans="1:105" outlineLevel="1" x14ac:dyDescent="0.2">
      <c r="A128" s="338" t="s">
        <v>957</v>
      </c>
      <c r="B128" s="1013"/>
      <c r="C128" s="980"/>
      <c r="D128" s="980"/>
      <c r="E128" s="980"/>
      <c r="F128" s="980"/>
      <c r="G128" s="980"/>
      <c r="H128" s="980"/>
      <c r="I128" s="980"/>
      <c r="J128" s="980"/>
      <c r="K128" s="980"/>
      <c r="L128" s="980"/>
      <c r="M128" s="980"/>
      <c r="N128" s="980"/>
      <c r="O128" s="980"/>
      <c r="P128" s="980"/>
      <c r="Q128" s="980"/>
      <c r="R128" s="980"/>
      <c r="S128" s="980"/>
      <c r="T128" s="980"/>
      <c r="U128" s="980"/>
      <c r="V128" s="980"/>
      <c r="W128" s="980"/>
      <c r="X128" s="980"/>
      <c r="Y128" s="980"/>
      <c r="Z128" s="980"/>
      <c r="AA128" s="980"/>
      <c r="AB128" s="980"/>
      <c r="AC128" s="980"/>
      <c r="AD128" s="980"/>
      <c r="AE128" s="980"/>
      <c r="AF128" s="980"/>
      <c r="AG128" s="931"/>
      <c r="AH128" s="1073"/>
      <c r="AI128" s="931"/>
      <c r="AJ128" s="931"/>
      <c r="AK128" s="931"/>
      <c r="AL128" s="899"/>
      <c r="AM128" s="900"/>
      <c r="AN128" s="900"/>
      <c r="AO128" s="912"/>
      <c r="AP128" s="900"/>
      <c r="AQ128" s="900"/>
      <c r="AR128" s="900"/>
      <c r="AS128" s="954"/>
      <c r="AT128" s="900"/>
      <c r="AU128" s="900"/>
      <c r="AV128" s="900"/>
      <c r="AW128" s="955"/>
      <c r="AX128" s="900"/>
      <c r="AY128" s="900"/>
      <c r="AZ128" s="900"/>
      <c r="BA128" s="954"/>
      <c r="BB128" s="900"/>
      <c r="BC128" s="900"/>
      <c r="BD128" s="900"/>
      <c r="BE128" s="955"/>
      <c r="BF128" s="900"/>
      <c r="BG128" s="900"/>
      <c r="BH128" s="900"/>
      <c r="BI128" s="954"/>
      <c r="BJ128" s="900"/>
      <c r="BK128" s="900"/>
      <c r="BL128" s="900"/>
      <c r="BM128" s="955"/>
      <c r="BN128" s="900"/>
      <c r="BO128" s="900"/>
      <c r="BP128" s="900"/>
      <c r="BQ128" s="954"/>
      <c r="BR128" s="900"/>
      <c r="BS128" s="900"/>
      <c r="BT128" s="900"/>
      <c r="BU128" s="955"/>
      <c r="BV128" s="900"/>
      <c r="BW128" s="900"/>
      <c r="BX128" s="900"/>
      <c r="BY128" s="954"/>
      <c r="BZ128" s="900"/>
      <c r="CA128" s="900"/>
      <c r="CB128" s="900"/>
      <c r="CC128" s="955"/>
      <c r="CD128" s="900"/>
      <c r="CE128" s="900"/>
      <c r="CF128" s="900"/>
      <c r="CG128" s="954"/>
      <c r="CH128" s="900"/>
      <c r="CI128" s="900"/>
      <c r="CJ128" s="900"/>
      <c r="CK128" s="955"/>
      <c r="CL128" s="900"/>
      <c r="CM128" s="900"/>
      <c r="CN128" s="900"/>
      <c r="CO128" s="954"/>
      <c r="CP128" s="900"/>
      <c r="CQ128" s="900"/>
      <c r="CR128" s="900"/>
      <c r="CS128" s="955"/>
      <c r="CT128" s="900"/>
      <c r="CU128" s="900"/>
      <c r="CV128" s="900"/>
      <c r="CW128" s="954"/>
      <c r="CX128" s="900"/>
      <c r="CY128" s="900"/>
      <c r="CZ128" s="900"/>
      <c r="DA128" s="955"/>
    </row>
    <row r="129" spans="1:105" outlineLevel="1" x14ac:dyDescent="0.2">
      <c r="A129" s="199"/>
      <c r="B129" s="1013" t="s">
        <v>945</v>
      </c>
      <c r="C129" s="980"/>
      <c r="D129" s="980"/>
      <c r="E129" s="980"/>
      <c r="F129" s="980"/>
      <c r="G129" s="980"/>
      <c r="H129" s="980"/>
      <c r="I129" s="980"/>
      <c r="J129" s="980"/>
      <c r="K129" s="980"/>
      <c r="L129" s="980"/>
      <c r="M129" s="980"/>
      <c r="N129" s="980"/>
      <c r="O129" s="980"/>
      <c r="P129" s="980"/>
      <c r="Q129" s="980"/>
      <c r="R129" s="980"/>
      <c r="S129" s="980"/>
      <c r="T129" s="980"/>
      <c r="U129" s="980"/>
      <c r="V129" s="980"/>
      <c r="W129" s="980"/>
      <c r="X129" s="980"/>
      <c r="Y129" s="980"/>
      <c r="Z129" s="980"/>
      <c r="AA129" s="980"/>
      <c r="AB129" s="980"/>
      <c r="AC129" s="980"/>
      <c r="AD129" s="980"/>
      <c r="AE129" s="980"/>
      <c r="AF129" s="980"/>
      <c r="AG129" s="52">
        <v>1</v>
      </c>
      <c r="AH129" s="52">
        <v>1</v>
      </c>
      <c r="AI129" s="52">
        <v>1</v>
      </c>
      <c r="AJ129" s="52">
        <v>1</v>
      </c>
      <c r="AK129" s="52">
        <v>1</v>
      </c>
      <c r="AL129" s="52">
        <v>1</v>
      </c>
      <c r="AM129" s="124">
        <v>1</v>
      </c>
      <c r="AN129" s="124">
        <v>1</v>
      </c>
      <c r="AO129" s="125">
        <v>1</v>
      </c>
      <c r="AP129" s="124"/>
      <c r="AQ129" s="124"/>
      <c r="AR129" s="124"/>
      <c r="AS129" s="215"/>
      <c r="AT129" s="124"/>
      <c r="AU129" s="124"/>
      <c r="AV129" s="124"/>
      <c r="AW129" s="1420">
        <v>1</v>
      </c>
      <c r="AX129" s="124"/>
      <c r="AY129" s="124"/>
      <c r="AZ129" s="124"/>
      <c r="BA129" s="215"/>
      <c r="BB129" s="124"/>
      <c r="BC129" s="124"/>
      <c r="BD129" s="124"/>
      <c r="BE129" s="625">
        <v>1</v>
      </c>
      <c r="BF129" s="124"/>
      <c r="BG129" s="124"/>
      <c r="BH129" s="124"/>
      <c r="BI129" s="215"/>
      <c r="BJ129" s="124"/>
      <c r="BK129" s="124"/>
      <c r="BL129" s="124"/>
      <c r="BM129" s="1420">
        <v>1</v>
      </c>
      <c r="BN129" s="124"/>
      <c r="BO129" s="124"/>
      <c r="BP129" s="124"/>
      <c r="BQ129" s="215"/>
      <c r="BR129" s="124"/>
      <c r="BS129" s="124"/>
      <c r="BT129" s="124"/>
      <c r="BU129" s="1076">
        <v>1</v>
      </c>
      <c r="BV129" s="124"/>
      <c r="BW129" s="124"/>
      <c r="BX129" s="124"/>
      <c r="BY129" s="215"/>
      <c r="BZ129" s="124"/>
      <c r="CA129" s="124"/>
      <c r="CB129" s="124"/>
      <c r="CC129" s="1076">
        <v>1</v>
      </c>
      <c r="CD129" s="124"/>
      <c r="CE129" s="124"/>
      <c r="CF129" s="124"/>
      <c r="CG129" s="215"/>
      <c r="CH129" s="124"/>
      <c r="CI129" s="124"/>
      <c r="CJ129" s="124"/>
      <c r="CK129" s="1076">
        <v>1</v>
      </c>
      <c r="CL129" s="124"/>
      <c r="CM129" s="124"/>
      <c r="CN129" s="124"/>
      <c r="CO129" s="215"/>
      <c r="CP129" s="124"/>
      <c r="CQ129" s="124"/>
      <c r="CR129" s="124"/>
      <c r="CS129" s="1076">
        <v>1</v>
      </c>
      <c r="CT129" s="124"/>
      <c r="CU129" s="124"/>
      <c r="CV129" s="124"/>
      <c r="CW129" s="215"/>
      <c r="CX129" s="124"/>
      <c r="CY129" s="124"/>
      <c r="CZ129" s="124"/>
      <c r="DA129" s="1076">
        <v>1</v>
      </c>
    </row>
    <row r="130" spans="1:105" outlineLevel="1" x14ac:dyDescent="0.2">
      <c r="A130" s="199"/>
      <c r="B130" s="1013" t="s">
        <v>951</v>
      </c>
      <c r="C130" s="980"/>
      <c r="D130" s="980"/>
      <c r="E130" s="980"/>
      <c r="F130" s="980"/>
      <c r="G130" s="980"/>
      <c r="H130" s="980"/>
      <c r="I130" s="980"/>
      <c r="J130" s="980"/>
      <c r="K130" s="980"/>
      <c r="L130" s="980"/>
      <c r="M130" s="980"/>
      <c r="N130" s="980"/>
      <c r="O130" s="980"/>
      <c r="P130" s="980"/>
      <c r="Q130" s="980"/>
      <c r="R130" s="980"/>
      <c r="S130" s="980"/>
      <c r="T130" s="980"/>
      <c r="U130" s="980"/>
      <c r="V130" s="980"/>
      <c r="W130" s="980"/>
      <c r="X130" s="980"/>
      <c r="Y130" s="980"/>
      <c r="Z130" s="980"/>
      <c r="AA130" s="980"/>
      <c r="AB130" s="980"/>
      <c r="AC130" s="980"/>
      <c r="AD130" s="980"/>
      <c r="AE130" s="980"/>
      <c r="AF130" s="980"/>
      <c r="AG130" s="52">
        <v>0.7</v>
      </c>
      <c r="AH130" s="52">
        <v>0.7</v>
      </c>
      <c r="AI130" s="52">
        <v>0.7</v>
      </c>
      <c r="AJ130" s="52">
        <v>0.7</v>
      </c>
      <c r="AK130" s="52">
        <v>0.7</v>
      </c>
      <c r="AL130" s="52">
        <v>0.7</v>
      </c>
      <c r="AM130" s="124">
        <v>0.7</v>
      </c>
      <c r="AN130" s="124">
        <v>0.7</v>
      </c>
      <c r="AO130" s="125">
        <v>0.7</v>
      </c>
      <c r="AP130" s="124"/>
      <c r="AQ130" s="124"/>
      <c r="AR130" s="124"/>
      <c r="AS130" s="215"/>
      <c r="AT130" s="124"/>
      <c r="AU130" s="124"/>
      <c r="AV130" s="124"/>
      <c r="AW130" s="1420">
        <v>0.7</v>
      </c>
      <c r="AX130" s="124"/>
      <c r="AY130" s="124"/>
      <c r="AZ130" s="124"/>
      <c r="BA130" s="215"/>
      <c r="BB130" s="124"/>
      <c r="BC130" s="124"/>
      <c r="BD130" s="124"/>
      <c r="BE130" s="625">
        <v>0.7</v>
      </c>
      <c r="BF130" s="124"/>
      <c r="BG130" s="124"/>
      <c r="BH130" s="124"/>
      <c r="BI130" s="215"/>
      <c r="BJ130" s="124"/>
      <c r="BK130" s="124"/>
      <c r="BL130" s="124"/>
      <c r="BM130" s="1420">
        <v>0.7</v>
      </c>
      <c r="BN130" s="124"/>
      <c r="BO130" s="124"/>
      <c r="BP130" s="124"/>
      <c r="BQ130" s="215"/>
      <c r="BR130" s="124"/>
      <c r="BS130" s="124"/>
      <c r="BT130" s="124"/>
      <c r="BU130" s="1076">
        <v>0.7</v>
      </c>
      <c r="BV130" s="124"/>
      <c r="BW130" s="124"/>
      <c r="BX130" s="124"/>
      <c r="BY130" s="215"/>
      <c r="BZ130" s="124"/>
      <c r="CA130" s="124"/>
      <c r="CB130" s="124"/>
      <c r="CC130" s="1076">
        <v>0.7</v>
      </c>
      <c r="CD130" s="124"/>
      <c r="CE130" s="124"/>
      <c r="CF130" s="124"/>
      <c r="CG130" s="215"/>
      <c r="CH130" s="124"/>
      <c r="CI130" s="124"/>
      <c r="CJ130" s="124"/>
      <c r="CK130" s="1076">
        <v>0.7</v>
      </c>
      <c r="CL130" s="124"/>
      <c r="CM130" s="124"/>
      <c r="CN130" s="124"/>
      <c r="CO130" s="215"/>
      <c r="CP130" s="124"/>
      <c r="CQ130" s="124"/>
      <c r="CR130" s="124"/>
      <c r="CS130" s="1076">
        <v>0.7</v>
      </c>
      <c r="CT130" s="124"/>
      <c r="CU130" s="124"/>
      <c r="CV130" s="124"/>
      <c r="CW130" s="215"/>
      <c r="CX130" s="124"/>
      <c r="CY130" s="124"/>
      <c r="CZ130" s="124"/>
      <c r="DA130" s="1076">
        <v>0.7</v>
      </c>
    </row>
    <row r="131" spans="1:105" outlineLevel="1" x14ac:dyDescent="0.2">
      <c r="A131" s="199"/>
      <c r="B131" s="1013" t="s">
        <v>952</v>
      </c>
      <c r="C131" s="980"/>
      <c r="D131" s="980"/>
      <c r="E131" s="980"/>
      <c r="F131" s="980"/>
      <c r="G131" s="980"/>
      <c r="H131" s="980"/>
      <c r="I131" s="980"/>
      <c r="J131" s="980"/>
      <c r="K131" s="980"/>
      <c r="L131" s="980"/>
      <c r="M131" s="980"/>
      <c r="N131" s="980"/>
      <c r="O131" s="980"/>
      <c r="P131" s="980"/>
      <c r="Q131" s="980"/>
      <c r="R131" s="980"/>
      <c r="S131" s="980"/>
      <c r="T131" s="980"/>
      <c r="U131" s="980"/>
      <c r="V131" s="980"/>
      <c r="W131" s="980"/>
      <c r="X131" s="980"/>
      <c r="Y131" s="980"/>
      <c r="Z131" s="980"/>
      <c r="AA131" s="980"/>
      <c r="AB131" s="980"/>
      <c r="AC131" s="980"/>
      <c r="AD131" s="980"/>
      <c r="AE131" s="980"/>
      <c r="AF131" s="980"/>
      <c r="AG131" s="52">
        <v>0.5</v>
      </c>
      <c r="AH131" s="52">
        <v>0.5</v>
      </c>
      <c r="AI131" s="52">
        <v>0.5</v>
      </c>
      <c r="AJ131" s="52">
        <v>0.5</v>
      </c>
      <c r="AK131" s="52">
        <v>0.5</v>
      </c>
      <c r="AL131" s="52">
        <v>0.5</v>
      </c>
      <c r="AM131" s="124">
        <v>0.5</v>
      </c>
      <c r="AN131" s="124">
        <v>0.5</v>
      </c>
      <c r="AO131" s="125">
        <v>0.5</v>
      </c>
      <c r="AP131" s="124"/>
      <c r="AQ131" s="124"/>
      <c r="AR131" s="124"/>
      <c r="AS131" s="215"/>
      <c r="AT131" s="124"/>
      <c r="AU131" s="124"/>
      <c r="AV131" s="124"/>
      <c r="AW131" s="1420">
        <v>0.5</v>
      </c>
      <c r="AX131" s="124"/>
      <c r="AY131" s="124"/>
      <c r="AZ131" s="124"/>
      <c r="BA131" s="215"/>
      <c r="BB131" s="124"/>
      <c r="BC131" s="124"/>
      <c r="BD131" s="124"/>
      <c r="BE131" s="625">
        <v>0.5</v>
      </c>
      <c r="BF131" s="124"/>
      <c r="BG131" s="124"/>
      <c r="BH131" s="124"/>
      <c r="BI131" s="215"/>
      <c r="BJ131" s="124"/>
      <c r="BK131" s="124"/>
      <c r="BL131" s="124"/>
      <c r="BM131" s="1420">
        <v>0.5</v>
      </c>
      <c r="BN131" s="124"/>
      <c r="BO131" s="124"/>
      <c r="BP131" s="124"/>
      <c r="BQ131" s="215"/>
      <c r="BR131" s="124"/>
      <c r="BS131" s="124"/>
      <c r="BT131" s="124"/>
      <c r="BU131" s="1076">
        <v>0.5</v>
      </c>
      <c r="BV131" s="124"/>
      <c r="BW131" s="124"/>
      <c r="BX131" s="124"/>
      <c r="BY131" s="215"/>
      <c r="BZ131" s="124"/>
      <c r="CA131" s="124"/>
      <c r="CB131" s="124"/>
      <c r="CC131" s="1076">
        <v>0.5</v>
      </c>
      <c r="CD131" s="124"/>
      <c r="CE131" s="124"/>
      <c r="CF131" s="124"/>
      <c r="CG131" s="215"/>
      <c r="CH131" s="124"/>
      <c r="CI131" s="124"/>
      <c r="CJ131" s="124"/>
      <c r="CK131" s="1076">
        <v>0.5</v>
      </c>
      <c r="CL131" s="124"/>
      <c r="CM131" s="124"/>
      <c r="CN131" s="124"/>
      <c r="CO131" s="215"/>
      <c r="CP131" s="124"/>
      <c r="CQ131" s="124"/>
      <c r="CR131" s="124"/>
      <c r="CS131" s="1076">
        <v>0.5</v>
      </c>
      <c r="CT131" s="124"/>
      <c r="CU131" s="124"/>
      <c r="CV131" s="124"/>
      <c r="CW131" s="215"/>
      <c r="CX131" s="124"/>
      <c r="CY131" s="124"/>
      <c r="CZ131" s="124"/>
      <c r="DA131" s="1076">
        <v>0.5</v>
      </c>
    </row>
    <row r="132" spans="1:105" outlineLevel="1" x14ac:dyDescent="0.2">
      <c r="A132" s="199"/>
      <c r="B132" s="1013"/>
      <c r="C132" s="980"/>
      <c r="D132" s="980"/>
      <c r="E132" s="980"/>
      <c r="F132" s="980"/>
      <c r="G132" s="980"/>
      <c r="H132" s="980"/>
      <c r="I132" s="980"/>
      <c r="J132" s="980"/>
      <c r="K132" s="980"/>
      <c r="L132" s="980"/>
      <c r="M132" s="980"/>
      <c r="N132" s="980"/>
      <c r="O132" s="980"/>
      <c r="P132" s="980"/>
      <c r="Q132" s="980"/>
      <c r="R132" s="980"/>
      <c r="S132" s="980"/>
      <c r="T132" s="980"/>
      <c r="U132" s="980"/>
      <c r="V132" s="980"/>
      <c r="W132" s="980"/>
      <c r="X132" s="980"/>
      <c r="Y132" s="980"/>
      <c r="Z132" s="980"/>
      <c r="AA132" s="980"/>
      <c r="AB132" s="980"/>
      <c r="AC132" s="980"/>
      <c r="AD132" s="980"/>
      <c r="AE132" s="980"/>
      <c r="AF132" s="980"/>
      <c r="AG132" s="931"/>
      <c r="AH132" s="1073"/>
      <c r="AI132" s="931"/>
      <c r="AJ132" s="931"/>
      <c r="AK132" s="931"/>
      <c r="AL132" s="899"/>
      <c r="AM132" s="900"/>
      <c r="AN132" s="900"/>
      <c r="AO132" s="912"/>
      <c r="AP132" s="900"/>
      <c r="AQ132" s="900"/>
      <c r="AR132" s="900"/>
      <c r="AS132" s="954"/>
      <c r="AT132" s="900"/>
      <c r="AU132" s="900"/>
      <c r="AV132" s="900"/>
      <c r="AW132" s="955"/>
      <c r="AX132" s="900"/>
      <c r="AY132" s="900"/>
      <c r="AZ132" s="900"/>
      <c r="BA132" s="954"/>
      <c r="BB132" s="900"/>
      <c r="BC132" s="900"/>
      <c r="BD132" s="900"/>
      <c r="BE132" s="1077"/>
      <c r="BF132" s="900"/>
      <c r="BG132" s="900"/>
      <c r="BH132" s="900"/>
      <c r="BI132" s="954"/>
      <c r="BJ132" s="900"/>
      <c r="BK132" s="900"/>
      <c r="BL132" s="900"/>
      <c r="BM132" s="1077"/>
      <c r="BN132" s="900"/>
      <c r="BO132" s="900"/>
      <c r="BP132" s="900"/>
      <c r="BQ132" s="954"/>
      <c r="BR132" s="900"/>
      <c r="BS132" s="900"/>
      <c r="BT132" s="900"/>
      <c r="BU132" s="1077"/>
      <c r="BV132" s="900"/>
      <c r="BW132" s="900"/>
      <c r="BX132" s="900"/>
      <c r="BY132" s="954"/>
      <c r="BZ132" s="900"/>
      <c r="CA132" s="900"/>
      <c r="CB132" s="900"/>
      <c r="CC132" s="1077"/>
      <c r="CD132" s="900"/>
      <c r="CE132" s="900"/>
      <c r="CF132" s="900"/>
      <c r="CG132" s="954"/>
      <c r="CH132" s="900"/>
      <c r="CI132" s="900"/>
      <c r="CJ132" s="900"/>
      <c r="CK132" s="1077"/>
      <c r="CL132" s="900"/>
      <c r="CM132" s="900"/>
      <c r="CN132" s="900"/>
      <c r="CO132" s="954"/>
      <c r="CP132" s="900"/>
      <c r="CQ132" s="900"/>
      <c r="CR132" s="900"/>
      <c r="CS132" s="1077"/>
      <c r="CT132" s="900"/>
      <c r="CU132" s="900"/>
      <c r="CV132" s="900"/>
      <c r="CW132" s="954"/>
      <c r="CX132" s="900"/>
      <c r="CY132" s="900"/>
      <c r="CZ132" s="900"/>
      <c r="DA132" s="1077"/>
    </row>
    <row r="133" spans="1:105" s="186" customFormat="1" outlineLevel="1" x14ac:dyDescent="0.2">
      <c r="A133" s="338" t="s">
        <v>958</v>
      </c>
      <c r="B133" s="1019"/>
      <c r="C133" s="997"/>
      <c r="D133" s="997"/>
      <c r="E133" s="997"/>
      <c r="F133" s="997"/>
      <c r="G133" s="997"/>
      <c r="H133" s="997"/>
      <c r="I133" s="997"/>
      <c r="J133" s="997"/>
      <c r="K133" s="997"/>
      <c r="L133" s="997"/>
      <c r="M133" s="997"/>
      <c r="N133" s="997"/>
      <c r="O133" s="997"/>
      <c r="P133" s="997"/>
      <c r="Q133" s="997"/>
      <c r="R133" s="997"/>
      <c r="S133" s="997"/>
      <c r="T133" s="997"/>
      <c r="U133" s="997"/>
      <c r="V133" s="997"/>
      <c r="W133" s="997"/>
      <c r="X133" s="997"/>
      <c r="Y133" s="997"/>
      <c r="Z133" s="997"/>
      <c r="AA133" s="997"/>
      <c r="AB133" s="997"/>
      <c r="AC133" s="997"/>
      <c r="AD133" s="997"/>
      <c r="AE133" s="997" t="s">
        <v>959</v>
      </c>
      <c r="AF133" s="997"/>
      <c r="AG133" s="1078">
        <f>Propulsion!N144</f>
        <v>2770.2675000000004</v>
      </c>
      <c r="AH133" s="1078">
        <f t="shared" ref="AH133:AO133" si="106">SUMPRODUCT(AH135:AH137,AH124:AH126)*AH92</f>
        <v>3093.0080168587274</v>
      </c>
      <c r="AI133" s="1078">
        <f t="shared" si="106"/>
        <v>3425.8200676689339</v>
      </c>
      <c r="AJ133" s="1078">
        <f t="shared" si="106"/>
        <v>3739.2817486392978</v>
      </c>
      <c r="AK133" s="1078">
        <f t="shared" si="106"/>
        <v>4142.4864263244644</v>
      </c>
      <c r="AL133" s="1078">
        <f t="shared" si="106"/>
        <v>4418.9733139982973</v>
      </c>
      <c r="AM133" s="1079">
        <f t="shared" si="106"/>
        <v>2034.1899566654527</v>
      </c>
      <c r="AN133" s="1079">
        <f t="shared" si="106"/>
        <v>2294.7530399617922</v>
      </c>
      <c r="AO133" s="1080">
        <f t="shared" si="106"/>
        <v>3382.82425922626</v>
      </c>
      <c r="AP133" s="1079">
        <v>950</v>
      </c>
      <c r="AQ133" s="1079">
        <f>AT133-AP133</f>
        <v>1089.3282018316529</v>
      </c>
      <c r="AR133" s="1079">
        <v>1214</v>
      </c>
      <c r="AS133" s="1423">
        <f>AU133-AR133</f>
        <v>1278.5122466831308</v>
      </c>
      <c r="AT133" s="1079">
        <f>AW133*0.45</f>
        <v>2039.3282018316529</v>
      </c>
      <c r="AU133" s="1079">
        <f>AW133-AT133</f>
        <v>2492.5122466831308</v>
      </c>
      <c r="AV133" s="1079">
        <f>AP133+AQ133+AR133</f>
        <v>3253.3282018316531</v>
      </c>
      <c r="AW133" s="1421">
        <f>SUMPRODUCT(AW135:AW137,AW124:AW126)*AW92</f>
        <v>4531.8404485147839</v>
      </c>
      <c r="AX133" s="1079">
        <f>BE133*0.2</f>
        <v>1090.4858628469358</v>
      </c>
      <c r="AY133" s="1079">
        <f>BB133-AX133</f>
        <v>1145.0101559892826</v>
      </c>
      <c r="AZ133" s="1079">
        <f>BE133*0.26</f>
        <v>1417.6316217010165</v>
      </c>
      <c r="BA133" s="1423">
        <f>BC133-AZ133</f>
        <v>1799.3016736974439</v>
      </c>
      <c r="BB133" s="1079">
        <f>BE133*0.41</f>
        <v>2235.4960188362184</v>
      </c>
      <c r="BC133" s="1079">
        <f>BE133-BB133</f>
        <v>3216.9332953984604</v>
      </c>
      <c r="BD133" s="1079">
        <f>AX133+AY133+AZ133</f>
        <v>3653.1276405372346</v>
      </c>
      <c r="BE133" s="1421">
        <f>SUMPRODUCT(BE135:BE137,BE124:BE126)*BE92</f>
        <v>5452.4293142346787</v>
      </c>
      <c r="BF133" s="1079">
        <f>BM133*0.205</f>
        <v>1280.1969964943389</v>
      </c>
      <c r="BG133" s="1079">
        <f>BJ133-BF133</f>
        <v>1405.0942644450063</v>
      </c>
      <c r="BH133" s="1079">
        <f>BM133*0.235</f>
        <v>1467.54289842034</v>
      </c>
      <c r="BI133" s="1423">
        <f>BK133-BH133</f>
        <v>2092.0292381736763</v>
      </c>
      <c r="BJ133" s="1079">
        <f>BM133*0.43</f>
        <v>2685.2912609393452</v>
      </c>
      <c r="BK133" s="1079">
        <f>BM133-BJ133</f>
        <v>3559.5721365940162</v>
      </c>
      <c r="BL133" s="1079">
        <f>BF133+BG133+BH133</f>
        <v>4152.8341593596851</v>
      </c>
      <c r="BM133" s="1421">
        <f>SUMPRODUCT(BM135:BM137,BM124:BM126)*BM92</f>
        <v>6244.8633975333614</v>
      </c>
      <c r="BN133" s="1079">
        <f>BU133*0.225</f>
        <v>1565.7394974233314</v>
      </c>
      <c r="BO133" s="1079">
        <f>BR133-BN133</f>
        <v>1635.3279195310354</v>
      </c>
      <c r="BP133" s="1079">
        <f>BU133*0.225</f>
        <v>1565.7394974233314</v>
      </c>
      <c r="BQ133" s="1081">
        <f>BS133-BP133</f>
        <v>2192.0352963926634</v>
      </c>
      <c r="BR133" s="1079">
        <f>BU133*0.46</f>
        <v>3201.0674169543668</v>
      </c>
      <c r="BS133" s="1082">
        <f>BU133-BR133</f>
        <v>3757.7747938159951</v>
      </c>
      <c r="BT133" s="1082">
        <f>BN133+BO133+BP133</f>
        <v>4766.8069143776984</v>
      </c>
      <c r="BU133" s="1083">
        <f>SUMPRODUCT(BU135:BU137,BU124:BU126)*BU92</f>
        <v>6958.8422107703618</v>
      </c>
      <c r="BV133" s="1082">
        <f>CC133*0.2</f>
        <v>1475.6622983945811</v>
      </c>
      <c r="BW133" s="1082">
        <f>BZ133-BV133</f>
        <v>1844.5778729932265</v>
      </c>
      <c r="BX133" s="1082">
        <f>CC133*0.25</f>
        <v>1844.5778729932263</v>
      </c>
      <c r="BY133" s="1081">
        <f>CA133-BX133</f>
        <v>2213.4934475918712</v>
      </c>
      <c r="BZ133" s="1082">
        <f>CC133*0.45</f>
        <v>3320.2401713878075</v>
      </c>
      <c r="CA133" s="1082">
        <f>CC133-BZ133</f>
        <v>4058.0713205850975</v>
      </c>
      <c r="CB133" s="1082">
        <f>BV133+BW133+BX133</f>
        <v>5164.8180443810343</v>
      </c>
      <c r="CC133" s="1083">
        <f>SUMPRODUCT(CC135:CC137,CC124:CC126)*CC92</f>
        <v>7378.3114919729051</v>
      </c>
      <c r="CD133" s="1082">
        <f>CK133*0.2</f>
        <v>1446.309629032577</v>
      </c>
      <c r="CE133" s="1082">
        <f>CH133-CD133</f>
        <v>1807.887036290721</v>
      </c>
      <c r="CF133" s="1082">
        <f>CK133*0.25</f>
        <v>1807.8870362907212</v>
      </c>
      <c r="CG133" s="1081">
        <f>CI133-CF133</f>
        <v>2169.4644435488653</v>
      </c>
      <c r="CH133" s="1082">
        <f>CK133*0.45</f>
        <v>3254.196665323298</v>
      </c>
      <c r="CI133" s="1082">
        <f>CK133-CH133</f>
        <v>3977.3514798395868</v>
      </c>
      <c r="CJ133" s="1082">
        <f>CD133+CE133+CF133</f>
        <v>5062.0837016140194</v>
      </c>
      <c r="CK133" s="1083">
        <f>SUMPRODUCT(CK135:CK137,CK124:CK126)*CK92</f>
        <v>7231.5481451628848</v>
      </c>
      <c r="CL133" s="1082">
        <f>CS133*0.2</f>
        <v>1372.9883922482074</v>
      </c>
      <c r="CM133" s="1082">
        <f>CP133-CL133</f>
        <v>1716.2354903102589</v>
      </c>
      <c r="CN133" s="1082">
        <f>CS133*0.25</f>
        <v>1716.2354903102591</v>
      </c>
      <c r="CO133" s="1081">
        <f>CQ133-CN133</f>
        <v>2059.4825883723111</v>
      </c>
      <c r="CP133" s="1082">
        <f>CS133*0.45</f>
        <v>3089.2238825584664</v>
      </c>
      <c r="CQ133" s="1082">
        <f>CS133-CP133</f>
        <v>3775.7180786825702</v>
      </c>
      <c r="CR133" s="1082">
        <f>CL133+CM133+CN133</f>
        <v>4805.459372868725</v>
      </c>
      <c r="CS133" s="1083">
        <f>SUMPRODUCT(CS135:CS137,CS124:CS126)*CS92</f>
        <v>6864.9419612410366</v>
      </c>
      <c r="CT133" s="1082">
        <f>DA133*0.2</f>
        <v>1291.2343776627429</v>
      </c>
      <c r="CU133" s="1082">
        <f>CX133-CT133</f>
        <v>1614.0429720784284</v>
      </c>
      <c r="CV133" s="1082">
        <f>DA133*0.25</f>
        <v>1614.0429720784284</v>
      </c>
      <c r="CW133" s="1081">
        <f>CY133-CV133</f>
        <v>1936.851566494114</v>
      </c>
      <c r="CX133" s="1082">
        <f>DA133*0.45</f>
        <v>2905.2773497411713</v>
      </c>
      <c r="CY133" s="1082">
        <f>DA133-CX133</f>
        <v>3550.8945385725424</v>
      </c>
      <c r="CZ133" s="1082">
        <f>CT133+CU133+CV133</f>
        <v>4519.3203218195995</v>
      </c>
      <c r="DA133" s="1083">
        <f>SUMPRODUCT(DA135:DA137,DA124:DA126)*DA92</f>
        <v>6456.1718883137137</v>
      </c>
    </row>
    <row r="134" spans="1:105" outlineLevel="1" x14ac:dyDescent="0.2">
      <c r="A134" s="199"/>
      <c r="B134" s="1013" t="s">
        <v>960</v>
      </c>
      <c r="C134" s="980"/>
      <c r="D134" s="980"/>
      <c r="E134" s="980"/>
      <c r="F134" s="980"/>
      <c r="G134" s="980"/>
      <c r="H134" s="980"/>
      <c r="I134" s="980"/>
      <c r="J134" s="980"/>
      <c r="K134" s="980"/>
      <c r="L134" s="980"/>
      <c r="M134" s="980"/>
      <c r="N134" s="980"/>
      <c r="O134" s="980"/>
      <c r="P134" s="980"/>
      <c r="Q134" s="980"/>
      <c r="R134" s="980"/>
      <c r="S134" s="980"/>
      <c r="T134" s="980"/>
      <c r="U134" s="980"/>
      <c r="V134" s="980"/>
      <c r="W134" s="980"/>
      <c r="X134" s="980"/>
      <c r="Y134" s="980"/>
      <c r="Z134" s="980"/>
      <c r="AA134" s="980"/>
      <c r="AB134" s="980"/>
      <c r="AC134" s="980"/>
      <c r="AD134" s="980"/>
      <c r="AE134" s="980"/>
      <c r="AF134" s="980"/>
      <c r="AG134" s="1084">
        <f t="shared" ref="AG134:AO134" si="107">AG7/AG92</f>
        <v>1.4571152430044183</v>
      </c>
      <c r="AH134" s="1084">
        <f t="shared" si="107"/>
        <v>1.5673232860794524</v>
      </c>
      <c r="AI134" s="1084">
        <f t="shared" si="107"/>
        <v>1.6572806467905314</v>
      </c>
      <c r="AJ134" s="1084">
        <f t="shared" si="107"/>
        <v>1.7443391767871084</v>
      </c>
      <c r="AK134" s="1084">
        <f t="shared" si="107"/>
        <v>1.7708483112903466</v>
      </c>
      <c r="AL134" s="1084">
        <f t="shared" si="107"/>
        <v>1.8709400541929366</v>
      </c>
      <c r="AM134" s="1085">
        <f t="shared" si="107"/>
        <v>1.6807783050557337</v>
      </c>
      <c r="AN134" s="1085">
        <f t="shared" si="107"/>
        <v>1.6883860676323208</v>
      </c>
      <c r="AO134" s="1086">
        <f t="shared" si="107"/>
        <v>1.906265252920158</v>
      </c>
      <c r="AP134" s="1085"/>
      <c r="AQ134" s="1085"/>
      <c r="AR134" s="1085"/>
      <c r="AS134" s="1087"/>
      <c r="AT134" s="1085"/>
      <c r="AU134" s="1085"/>
      <c r="AV134" s="1085"/>
      <c r="AW134" s="1422">
        <f>AW7/AW92</f>
        <v>2.2340998066650735</v>
      </c>
      <c r="AX134" s="1085"/>
      <c r="AY134" s="1085"/>
      <c r="AZ134" s="1085"/>
      <c r="BA134" s="1087"/>
      <c r="BB134" s="1085"/>
      <c r="BC134" s="1085"/>
      <c r="BD134" s="1085"/>
      <c r="BE134" s="1422">
        <f>BE7/BE92</f>
        <v>2.4911213002519319</v>
      </c>
      <c r="BF134" s="1085"/>
      <c r="BG134" s="1085"/>
      <c r="BH134" s="1085"/>
      <c r="BI134" s="1087"/>
      <c r="BJ134" s="1085"/>
      <c r="BK134" s="1085"/>
      <c r="BL134" s="1085"/>
      <c r="BM134" s="1422">
        <f>BM7/BM92</f>
        <v>2.7099737014118039</v>
      </c>
      <c r="BN134" s="1085"/>
      <c r="BO134" s="1085"/>
      <c r="BP134" s="1085"/>
      <c r="BQ134" s="1087"/>
      <c r="BR134" s="1085"/>
      <c r="BS134" s="1085"/>
      <c r="BT134" s="1085"/>
      <c r="BU134" s="1088">
        <f>BU7/BU92</f>
        <v>2.8827416330398217</v>
      </c>
      <c r="BV134" s="1085"/>
      <c r="BW134" s="1085"/>
      <c r="BX134" s="1085"/>
      <c r="BY134" s="1087"/>
      <c r="BZ134" s="1085"/>
      <c r="CA134" s="1085"/>
      <c r="CB134" s="1085"/>
      <c r="CC134" s="1088">
        <f>CC7/CC92</f>
        <v>3.0344274498832995</v>
      </c>
      <c r="CD134" s="1085"/>
      <c r="CE134" s="1085"/>
      <c r="CF134" s="1085"/>
      <c r="CG134" s="1087"/>
      <c r="CH134" s="1085"/>
      <c r="CI134" s="1085"/>
      <c r="CJ134" s="1085"/>
      <c r="CK134" s="1088">
        <f>CK7/CK92</f>
        <v>3.0356170589906748</v>
      </c>
      <c r="CL134" s="1085"/>
      <c r="CM134" s="1085"/>
      <c r="CN134" s="1085"/>
      <c r="CO134" s="1087"/>
      <c r="CP134" s="1085"/>
      <c r="CQ134" s="1085"/>
      <c r="CR134" s="1085"/>
      <c r="CS134" s="1088">
        <f>CS7/CS92</f>
        <v>3.0506785589659318</v>
      </c>
      <c r="CT134" s="1085"/>
      <c r="CU134" s="1085"/>
      <c r="CV134" s="1085"/>
      <c r="CW134" s="1087"/>
      <c r="CX134" s="1085"/>
      <c r="CY134" s="1085"/>
      <c r="CZ134" s="1085"/>
      <c r="DA134" s="1088">
        <f>DA7/DA92</f>
        <v>3.0847971180246132</v>
      </c>
    </row>
    <row r="135" spans="1:105" outlineLevel="1" x14ac:dyDescent="0.2">
      <c r="A135" s="199"/>
      <c r="B135" s="1013" t="s">
        <v>961</v>
      </c>
      <c r="C135" s="980"/>
      <c r="D135" s="980"/>
      <c r="E135" s="980"/>
      <c r="F135" s="980"/>
      <c r="G135" s="980"/>
      <c r="H135" s="980"/>
      <c r="I135" s="980"/>
      <c r="J135" s="980"/>
      <c r="K135" s="980"/>
      <c r="L135" s="980"/>
      <c r="M135" s="980"/>
      <c r="N135" s="980"/>
      <c r="O135" s="980"/>
      <c r="P135" s="980"/>
      <c r="Q135" s="980"/>
      <c r="R135" s="980"/>
      <c r="S135" s="980"/>
      <c r="T135" s="980"/>
      <c r="U135" s="980"/>
      <c r="V135" s="980"/>
      <c r="W135" s="980"/>
      <c r="X135" s="980"/>
      <c r="Y135" s="980"/>
      <c r="Z135" s="980"/>
      <c r="AA135" s="980"/>
      <c r="AB135" s="980"/>
      <c r="AC135" s="980"/>
      <c r="AD135" s="980"/>
      <c r="AE135" s="980"/>
      <c r="AF135" s="980"/>
      <c r="AG135" s="1089">
        <f>AG133/(AG106+AG111+0.7*AG125*AG92+0.5*AG126*AG92)</f>
        <v>1.8739739699948001</v>
      </c>
      <c r="AH135" s="1089">
        <f>AG135*(1+AH$140)</f>
        <v>1.958302798644566</v>
      </c>
      <c r="AI135" s="1089">
        <f>AH135*(1+AI$140)</f>
        <v>2.0464264245835713</v>
      </c>
      <c r="AJ135" s="1089">
        <f t="shared" ref="AJ135:AM136" si="108">AI135*(1+AJ$140)</f>
        <v>2.1385156136898318</v>
      </c>
      <c r="AK135" s="1089">
        <f t="shared" si="108"/>
        <v>2.2347488163058742</v>
      </c>
      <c r="AL135" s="1089">
        <f t="shared" si="108"/>
        <v>2.346486257121168</v>
      </c>
      <c r="AM135" s="1090">
        <f t="shared" si="108"/>
        <v>2.1118376314090512</v>
      </c>
      <c r="AN135" s="1090">
        <f>AM135*(1+AN$139)</f>
        <v>2.1118376314090512</v>
      </c>
      <c r="AO135" s="1091">
        <f>AN135*(1+AO$139)</f>
        <v>2.3652581471781375</v>
      </c>
      <c r="AP135" s="1090"/>
      <c r="AQ135" s="1090"/>
      <c r="AR135" s="1090"/>
      <c r="AS135" s="1092"/>
      <c r="AT135" s="1090"/>
      <c r="AU135" s="1090"/>
      <c r="AV135" s="1090"/>
      <c r="AW135" s="1077">
        <f>AO135*(1+AW$139)</f>
        <v>2.7200468692548578</v>
      </c>
      <c r="AX135" s="1090"/>
      <c r="AY135" s="1090"/>
      <c r="AZ135" s="1090"/>
      <c r="BA135" s="1092"/>
      <c r="BB135" s="1090"/>
      <c r="BC135" s="1090"/>
      <c r="BD135" s="1090"/>
      <c r="BE135" s="1077">
        <f>AW135*(1+BE$139)</f>
        <v>2.992051556180344</v>
      </c>
      <c r="BF135" s="1090"/>
      <c r="BG135" s="1090"/>
      <c r="BH135" s="1090"/>
      <c r="BI135" s="1092"/>
      <c r="BJ135" s="1090"/>
      <c r="BK135" s="1090"/>
      <c r="BL135" s="1090"/>
      <c r="BM135" s="1077">
        <f>BE135*(1+BM$139)</f>
        <v>3.2912567117983786</v>
      </c>
      <c r="BN135" s="1090"/>
      <c r="BO135" s="1090"/>
      <c r="BP135" s="1090"/>
      <c r="BQ135" s="1092"/>
      <c r="BR135" s="1090"/>
      <c r="BS135" s="1090"/>
      <c r="BT135" s="1090"/>
      <c r="BU135" s="1093">
        <f>BM135*(1+BU$139)</f>
        <v>3.6862075172141844</v>
      </c>
      <c r="BV135" s="1090"/>
      <c r="BW135" s="1090"/>
      <c r="BX135" s="1090"/>
      <c r="BY135" s="1092"/>
      <c r="BZ135" s="1090"/>
      <c r="CA135" s="1090"/>
      <c r="CB135" s="1090"/>
      <c r="CC135" s="1093">
        <f>BU135*(1+CC$139)</f>
        <v>4.0548282689356032</v>
      </c>
      <c r="CD135" s="1090"/>
      <c r="CE135" s="1090"/>
      <c r="CF135" s="1090"/>
      <c r="CG135" s="1092"/>
      <c r="CH135" s="1090"/>
      <c r="CI135" s="1090"/>
      <c r="CJ135" s="1090"/>
      <c r="CK135" s="1093">
        <f>CC135*(1+CK$139)</f>
        <v>4.4197628131398075</v>
      </c>
      <c r="CL135" s="1090"/>
      <c r="CM135" s="1090"/>
      <c r="CN135" s="1090"/>
      <c r="CO135" s="1092"/>
      <c r="CP135" s="1090"/>
      <c r="CQ135" s="1090"/>
      <c r="CR135" s="1090"/>
      <c r="CS135" s="1093">
        <f>CK135*(1+CS$139)</f>
        <v>4.7733438381909927</v>
      </c>
      <c r="CT135" s="1090"/>
      <c r="CU135" s="1090"/>
      <c r="CV135" s="1090"/>
      <c r="CW135" s="1092"/>
      <c r="CX135" s="1090"/>
      <c r="CY135" s="1090"/>
      <c r="CZ135" s="1090"/>
      <c r="DA135" s="1093">
        <f>CS135*(1+DA$139)</f>
        <v>5.0120110301005427</v>
      </c>
    </row>
    <row r="136" spans="1:105" outlineLevel="1" x14ac:dyDescent="0.2">
      <c r="A136" s="199"/>
      <c r="B136" s="1013" t="s">
        <v>962</v>
      </c>
      <c r="C136" s="980"/>
      <c r="D136" s="980"/>
      <c r="E136" s="980"/>
      <c r="F136" s="980"/>
      <c r="G136" s="980"/>
      <c r="H136" s="980"/>
      <c r="I136" s="980"/>
      <c r="J136" s="980"/>
      <c r="K136" s="980"/>
      <c r="L136" s="980"/>
      <c r="M136" s="980"/>
      <c r="N136" s="980"/>
      <c r="O136" s="980"/>
      <c r="P136" s="980"/>
      <c r="Q136" s="980"/>
      <c r="R136" s="980"/>
      <c r="S136" s="980"/>
      <c r="T136" s="980"/>
      <c r="U136" s="980"/>
      <c r="V136" s="980"/>
      <c r="W136" s="980"/>
      <c r="X136" s="980"/>
      <c r="Y136" s="980"/>
      <c r="Z136" s="980"/>
      <c r="AA136" s="980"/>
      <c r="AB136" s="980"/>
      <c r="AC136" s="980"/>
      <c r="AD136" s="980"/>
      <c r="AE136" s="980"/>
      <c r="AF136" s="980"/>
      <c r="AG136" s="1089">
        <f>AG135*0.7</f>
        <v>1.3117817789963599</v>
      </c>
      <c r="AH136" s="1089">
        <f>AG136*(1+AH$140)</f>
        <v>1.370811959051196</v>
      </c>
      <c r="AI136" s="1089">
        <f>AH136*(1+AI$140)</f>
        <v>1.4324984972084998</v>
      </c>
      <c r="AJ136" s="1089">
        <f t="shared" si="108"/>
        <v>1.4969609295828821</v>
      </c>
      <c r="AK136" s="1089">
        <f t="shared" si="108"/>
        <v>1.5643241714141116</v>
      </c>
      <c r="AL136" s="1089">
        <f t="shared" si="108"/>
        <v>1.6425403799848173</v>
      </c>
      <c r="AM136" s="1090">
        <f t="shared" si="108"/>
        <v>1.4782863419863357</v>
      </c>
      <c r="AN136" s="1090">
        <f>AM136*(1+AN$140)</f>
        <v>1.4782863419863357</v>
      </c>
      <c r="AO136" s="1091">
        <f>AN136*(1+AO$140)</f>
        <v>1.6556807030246961</v>
      </c>
      <c r="AP136" s="1090"/>
      <c r="AQ136" s="1090"/>
      <c r="AR136" s="1090"/>
      <c r="AS136" s="1092"/>
      <c r="AT136" s="1090"/>
      <c r="AU136" s="1090"/>
      <c r="AV136" s="1090"/>
      <c r="AW136" s="1077">
        <f>AO136*(1+AW$140)</f>
        <v>1.9040328084784004</v>
      </c>
      <c r="AX136" s="1090"/>
      <c r="AY136" s="1090"/>
      <c r="AZ136" s="1090"/>
      <c r="BA136" s="1092"/>
      <c r="BB136" s="1090"/>
      <c r="BC136" s="1090"/>
      <c r="BD136" s="1090"/>
      <c r="BE136" s="1077">
        <f>AW136*(1+BE$140)</f>
        <v>2.0944360893262406</v>
      </c>
      <c r="BF136" s="1090"/>
      <c r="BG136" s="1090"/>
      <c r="BH136" s="1090"/>
      <c r="BI136" s="1092"/>
      <c r="BJ136" s="1090"/>
      <c r="BK136" s="1090"/>
      <c r="BL136" s="1090"/>
      <c r="BM136" s="1077">
        <f>BE136*(1+BM$140)</f>
        <v>2.3038796982588647</v>
      </c>
      <c r="BN136" s="1090"/>
      <c r="BO136" s="1090"/>
      <c r="BP136" s="1090"/>
      <c r="BQ136" s="1092"/>
      <c r="BR136" s="1090"/>
      <c r="BS136" s="1090"/>
      <c r="BT136" s="1090"/>
      <c r="BU136" s="1093">
        <f>BM136*(1+BU$140)</f>
        <v>2.5803452620499288</v>
      </c>
      <c r="BV136" s="1090"/>
      <c r="BW136" s="1090"/>
      <c r="BX136" s="1090"/>
      <c r="BY136" s="1092"/>
      <c r="BZ136" s="1090"/>
      <c r="CA136" s="1090"/>
      <c r="CB136" s="1090"/>
      <c r="CC136" s="1093">
        <f>BU136*(1+CC$140)</f>
        <v>2.838379788254922</v>
      </c>
      <c r="CD136" s="1090"/>
      <c r="CE136" s="1090"/>
      <c r="CF136" s="1090"/>
      <c r="CG136" s="1092"/>
      <c r="CH136" s="1090"/>
      <c r="CI136" s="1090"/>
      <c r="CJ136" s="1090"/>
      <c r="CK136" s="1093">
        <f>CC136*(1+CK$140)</f>
        <v>3.0938339691978651</v>
      </c>
      <c r="CL136" s="1090"/>
      <c r="CM136" s="1090"/>
      <c r="CN136" s="1090"/>
      <c r="CO136" s="1092"/>
      <c r="CP136" s="1090"/>
      <c r="CQ136" s="1090"/>
      <c r="CR136" s="1090"/>
      <c r="CS136" s="1093">
        <f>CK136*(1+CS$140)</f>
        <v>3.3413406867336946</v>
      </c>
      <c r="CT136" s="1090"/>
      <c r="CU136" s="1090"/>
      <c r="CV136" s="1090"/>
      <c r="CW136" s="1092"/>
      <c r="CX136" s="1090"/>
      <c r="CY136" s="1090"/>
      <c r="CZ136" s="1090"/>
      <c r="DA136" s="1093">
        <f>CS136*(1+DA$140)</f>
        <v>3.5084077210703795</v>
      </c>
    </row>
    <row r="137" spans="1:105" outlineLevel="1" x14ac:dyDescent="0.2">
      <c r="A137" s="199"/>
      <c r="B137" s="1013" t="s">
        <v>963</v>
      </c>
      <c r="C137" s="980"/>
      <c r="D137" s="980"/>
      <c r="E137" s="980"/>
      <c r="F137" s="980"/>
      <c r="G137" s="980"/>
      <c r="H137" s="980"/>
      <c r="I137" s="980"/>
      <c r="J137" s="980"/>
      <c r="K137" s="980"/>
      <c r="L137" s="980"/>
      <c r="M137" s="980"/>
      <c r="N137" s="980"/>
      <c r="O137" s="980"/>
      <c r="P137" s="980"/>
      <c r="Q137" s="980"/>
      <c r="R137" s="980"/>
      <c r="S137" s="980"/>
      <c r="T137" s="980"/>
      <c r="U137" s="980"/>
      <c r="V137" s="980"/>
      <c r="W137" s="980"/>
      <c r="X137" s="980"/>
      <c r="Y137" s="980"/>
      <c r="Z137" s="980"/>
      <c r="AA137" s="980"/>
      <c r="AB137" s="980"/>
      <c r="AC137" s="980"/>
      <c r="AD137" s="980"/>
      <c r="AE137" s="980"/>
      <c r="AF137" s="980"/>
      <c r="AG137" s="1089">
        <f>AG135*0.5</f>
        <v>0.93698698499740007</v>
      </c>
      <c r="AH137" s="1089">
        <f>AG137*(1+AH$141)</f>
        <v>0.97915139932228301</v>
      </c>
      <c r="AI137" s="1089">
        <f t="shared" ref="AI137:AO137" si="109">AH137*(1+AI$141)</f>
        <v>1.0232132122917856</v>
      </c>
      <c r="AJ137" s="1089">
        <f t="shared" si="109"/>
        <v>1.0692578068449159</v>
      </c>
      <c r="AK137" s="1089">
        <f t="shared" si="109"/>
        <v>1.1173744081529371</v>
      </c>
      <c r="AL137" s="1089">
        <f t="shared" si="109"/>
        <v>1.173243128560584</v>
      </c>
      <c r="AM137" s="1089">
        <f t="shared" si="109"/>
        <v>1.0559188157045256</v>
      </c>
      <c r="AN137" s="1089">
        <f t="shared" si="109"/>
        <v>1.0559188157045256</v>
      </c>
      <c r="AO137" s="1091">
        <f t="shared" si="109"/>
        <v>1.1826290735890688</v>
      </c>
      <c r="AP137" s="1090"/>
      <c r="AQ137" s="1090"/>
      <c r="AR137" s="1090"/>
      <c r="AS137" s="1092"/>
      <c r="AT137" s="1090"/>
      <c r="AU137" s="1090"/>
      <c r="AV137" s="1090"/>
      <c r="AW137" s="1077">
        <f>AO137*(1+AW$141)</f>
        <v>1.3600234346274289</v>
      </c>
      <c r="AX137" s="1090"/>
      <c r="AY137" s="1090"/>
      <c r="AZ137" s="1090"/>
      <c r="BA137" s="1092"/>
      <c r="BB137" s="1090"/>
      <c r="BC137" s="1090"/>
      <c r="BD137" s="1090"/>
      <c r="BE137" s="1077">
        <f>AW137*(1+BE$141)</f>
        <v>1.496025778090172</v>
      </c>
      <c r="BF137" s="1090"/>
      <c r="BG137" s="1090"/>
      <c r="BH137" s="1090"/>
      <c r="BI137" s="1092"/>
      <c r="BJ137" s="1090"/>
      <c r="BK137" s="1090"/>
      <c r="BL137" s="1090"/>
      <c r="BM137" s="1077">
        <f>BE137*(1+BM$141)</f>
        <v>1.6456283558991893</v>
      </c>
      <c r="BN137" s="1090"/>
      <c r="BO137" s="1090"/>
      <c r="BP137" s="1090"/>
      <c r="BQ137" s="1092"/>
      <c r="BR137" s="1090"/>
      <c r="BS137" s="1090"/>
      <c r="BT137" s="1090"/>
      <c r="BU137" s="1093">
        <f>BM137*(1+BU$141)</f>
        <v>1.8431037586070922</v>
      </c>
      <c r="BV137" s="1090"/>
      <c r="BW137" s="1090"/>
      <c r="BX137" s="1090"/>
      <c r="BY137" s="1092"/>
      <c r="BZ137" s="1090"/>
      <c r="CA137" s="1090"/>
      <c r="CB137" s="1090"/>
      <c r="CC137" s="1093">
        <f>BU137*(1+CC$141)</f>
        <v>2.0274141344678016</v>
      </c>
      <c r="CD137" s="1090"/>
      <c r="CE137" s="1090"/>
      <c r="CF137" s="1090"/>
      <c r="CG137" s="1092"/>
      <c r="CH137" s="1090"/>
      <c r="CI137" s="1090"/>
      <c r="CJ137" s="1090"/>
      <c r="CK137" s="1093">
        <f>CC137*(1+CK$141)</f>
        <v>2.2098814065699037</v>
      </c>
      <c r="CL137" s="1090"/>
      <c r="CM137" s="1090"/>
      <c r="CN137" s="1090"/>
      <c r="CO137" s="1092"/>
      <c r="CP137" s="1090"/>
      <c r="CQ137" s="1090"/>
      <c r="CR137" s="1090"/>
      <c r="CS137" s="1093">
        <f>CK137*(1+CS$141)</f>
        <v>2.3866719190954964</v>
      </c>
      <c r="CT137" s="1090"/>
      <c r="CU137" s="1090"/>
      <c r="CV137" s="1090"/>
      <c r="CW137" s="1092"/>
      <c r="CX137" s="1090"/>
      <c r="CY137" s="1090"/>
      <c r="CZ137" s="1090"/>
      <c r="DA137" s="1093">
        <f>CS137*(1+DA$141)</f>
        <v>2.5060055150502714</v>
      </c>
    </row>
    <row r="138" spans="1:105" outlineLevel="1" x14ac:dyDescent="0.2">
      <c r="A138" s="199"/>
      <c r="B138" s="1013"/>
      <c r="C138" s="980"/>
      <c r="D138" s="980"/>
      <c r="E138" s="980"/>
      <c r="F138" s="980"/>
      <c r="G138" s="980"/>
      <c r="H138" s="980"/>
      <c r="I138" s="980"/>
      <c r="J138" s="980"/>
      <c r="K138" s="980"/>
      <c r="L138" s="980"/>
      <c r="M138" s="980"/>
      <c r="N138" s="980"/>
      <c r="O138" s="980"/>
      <c r="P138" s="980"/>
      <c r="Q138" s="980"/>
      <c r="R138" s="980"/>
      <c r="S138" s="980"/>
      <c r="T138" s="980"/>
      <c r="U138" s="980"/>
      <c r="V138" s="980"/>
      <c r="W138" s="980"/>
      <c r="X138" s="980"/>
      <c r="Y138" s="980"/>
      <c r="Z138" s="980"/>
      <c r="AA138" s="980"/>
      <c r="AB138" s="980"/>
      <c r="AC138" s="980"/>
      <c r="AD138" s="980"/>
      <c r="AE138" s="980"/>
      <c r="AF138" s="980"/>
      <c r="AG138" s="1089"/>
      <c r="AH138" s="1089"/>
      <c r="AI138" s="931"/>
      <c r="AJ138" s="931"/>
      <c r="AK138" s="931"/>
      <c r="AL138" s="899"/>
      <c r="AM138" s="900"/>
      <c r="AN138" s="900"/>
      <c r="AO138" s="912"/>
      <c r="AP138" s="900"/>
      <c r="AQ138" s="900"/>
      <c r="AR138" s="900"/>
      <c r="AS138" s="954"/>
      <c r="AT138" s="900"/>
      <c r="AU138" s="900"/>
      <c r="AV138" s="900"/>
      <c r="AW138" s="955"/>
      <c r="AX138" s="900"/>
      <c r="AY138" s="900"/>
      <c r="AZ138" s="900"/>
      <c r="BA138" s="954"/>
      <c r="BB138" s="900"/>
      <c r="BC138" s="900"/>
      <c r="BD138" s="900"/>
      <c r="BE138" s="955"/>
      <c r="BF138" s="900"/>
      <c r="BG138" s="900"/>
      <c r="BH138" s="900"/>
      <c r="BI138" s="954"/>
      <c r="BJ138" s="900"/>
      <c r="BK138" s="900"/>
      <c r="BL138" s="900"/>
      <c r="BM138" s="955"/>
      <c r="BN138" s="900"/>
      <c r="BO138" s="900"/>
      <c r="BP138" s="900"/>
      <c r="BQ138" s="954"/>
      <c r="BR138" s="900"/>
      <c r="BS138" s="900"/>
      <c r="BT138" s="900"/>
      <c r="BU138" s="955"/>
      <c r="BV138" s="900"/>
      <c r="BW138" s="900"/>
      <c r="BX138" s="900"/>
      <c r="BY138" s="954"/>
      <c r="BZ138" s="900"/>
      <c r="CA138" s="900"/>
      <c r="CB138" s="900"/>
      <c r="CC138" s="955"/>
      <c r="CD138" s="900"/>
      <c r="CE138" s="900"/>
      <c r="CF138" s="900"/>
      <c r="CG138" s="954"/>
      <c r="CH138" s="900"/>
      <c r="CI138" s="900"/>
      <c r="CJ138" s="900"/>
      <c r="CK138" s="955"/>
      <c r="CL138" s="900"/>
      <c r="CM138" s="900"/>
      <c r="CN138" s="900"/>
      <c r="CO138" s="954"/>
      <c r="CP138" s="900"/>
      <c r="CQ138" s="900"/>
      <c r="CR138" s="900"/>
      <c r="CS138" s="955"/>
      <c r="CT138" s="900"/>
      <c r="CU138" s="900"/>
      <c r="CV138" s="900"/>
      <c r="CW138" s="954"/>
      <c r="CX138" s="900"/>
      <c r="CY138" s="900"/>
      <c r="CZ138" s="900"/>
      <c r="DA138" s="955"/>
    </row>
    <row r="139" spans="1:105" outlineLevel="1" x14ac:dyDescent="0.2">
      <c r="A139" s="199"/>
      <c r="B139" s="1013" t="s">
        <v>964</v>
      </c>
      <c r="C139" s="980"/>
      <c r="D139" s="980"/>
      <c r="E139" s="980"/>
      <c r="F139" s="980"/>
      <c r="G139" s="980"/>
      <c r="H139" s="980"/>
      <c r="I139" s="980"/>
      <c r="J139" s="980"/>
      <c r="K139" s="980"/>
      <c r="L139" s="980"/>
      <c r="M139" s="980"/>
      <c r="N139" s="980"/>
      <c r="O139" s="980"/>
      <c r="P139" s="980"/>
      <c r="Q139" s="980"/>
      <c r="R139" s="980"/>
      <c r="S139" s="980"/>
      <c r="T139" s="980"/>
      <c r="U139" s="980"/>
      <c r="V139" s="980"/>
      <c r="W139" s="980"/>
      <c r="X139" s="980"/>
      <c r="Y139" s="980"/>
      <c r="Z139" s="980"/>
      <c r="AA139" s="980"/>
      <c r="AB139" s="980"/>
      <c r="AC139" s="980"/>
      <c r="AD139" s="980"/>
      <c r="AE139" s="980"/>
      <c r="AF139" s="980"/>
      <c r="AG139" s="1089"/>
      <c r="AH139" s="103">
        <v>4.4999999999999998E-2</v>
      </c>
      <c r="AI139" s="103">
        <v>4.4999999999999998E-2</v>
      </c>
      <c r="AJ139" s="103">
        <v>4.4999999999999998E-2</v>
      </c>
      <c r="AK139" s="103">
        <v>4.4999999999999998E-2</v>
      </c>
      <c r="AL139" s="103">
        <v>0.05</v>
      </c>
      <c r="AM139" s="104">
        <v>-0.1</v>
      </c>
      <c r="AN139" s="104">
        <v>0</v>
      </c>
      <c r="AO139" s="105">
        <v>0.12</v>
      </c>
      <c r="AP139" s="104"/>
      <c r="AQ139" s="104"/>
      <c r="AR139" s="104"/>
      <c r="AS139" s="872"/>
      <c r="AT139" s="104"/>
      <c r="AU139" s="104"/>
      <c r="AV139" s="104"/>
      <c r="AW139" s="625">
        <v>0.15</v>
      </c>
      <c r="AX139" s="104"/>
      <c r="AY139" s="104"/>
      <c r="AZ139" s="104"/>
      <c r="BA139" s="872"/>
      <c r="BB139" s="104"/>
      <c r="BC139" s="104"/>
      <c r="BD139" s="104"/>
      <c r="BE139" s="625">
        <v>0.1</v>
      </c>
      <c r="BF139" s="104"/>
      <c r="BG139" s="104"/>
      <c r="BH139" s="104"/>
      <c r="BI139" s="872"/>
      <c r="BJ139" s="104"/>
      <c r="BK139" s="104"/>
      <c r="BL139" s="104"/>
      <c r="BM139" s="625">
        <v>0.1</v>
      </c>
      <c r="BN139" s="104"/>
      <c r="BO139" s="104"/>
      <c r="BP139" s="104"/>
      <c r="BQ139" s="872"/>
      <c r="BR139" s="104"/>
      <c r="BS139" s="104"/>
      <c r="BT139" s="104"/>
      <c r="BU139" s="882">
        <v>0.12</v>
      </c>
      <c r="BV139" s="104"/>
      <c r="BW139" s="104"/>
      <c r="BX139" s="104"/>
      <c r="BY139" s="872"/>
      <c r="BZ139" s="104"/>
      <c r="CA139" s="104"/>
      <c r="CB139" s="104"/>
      <c r="CC139" s="882">
        <v>0.1</v>
      </c>
      <c r="CD139" s="104"/>
      <c r="CE139" s="104"/>
      <c r="CF139" s="104"/>
      <c r="CG139" s="872"/>
      <c r="CH139" s="104"/>
      <c r="CI139" s="104"/>
      <c r="CJ139" s="104"/>
      <c r="CK139" s="882">
        <v>0.09</v>
      </c>
      <c r="CL139" s="104"/>
      <c r="CM139" s="104"/>
      <c r="CN139" s="104"/>
      <c r="CO139" s="872"/>
      <c r="CP139" s="104"/>
      <c r="CQ139" s="104"/>
      <c r="CR139" s="104"/>
      <c r="CS139" s="882">
        <v>0.08</v>
      </c>
      <c r="CT139" s="104"/>
      <c r="CU139" s="104"/>
      <c r="CV139" s="104"/>
      <c r="CW139" s="872"/>
      <c r="CX139" s="104"/>
      <c r="CY139" s="104"/>
      <c r="CZ139" s="104"/>
      <c r="DA139" s="882">
        <v>0.05</v>
      </c>
    </row>
    <row r="140" spans="1:105" outlineLevel="1" x14ac:dyDescent="0.2">
      <c r="A140" s="199"/>
      <c r="B140" s="1013" t="s">
        <v>965</v>
      </c>
      <c r="C140" s="980"/>
      <c r="D140" s="980"/>
      <c r="E140" s="980"/>
      <c r="F140" s="980"/>
      <c r="G140" s="980"/>
      <c r="H140" s="980"/>
      <c r="I140" s="980"/>
      <c r="J140" s="980"/>
      <c r="K140" s="980"/>
      <c r="L140" s="980"/>
      <c r="M140" s="980"/>
      <c r="N140" s="980"/>
      <c r="O140" s="980"/>
      <c r="P140" s="980"/>
      <c r="Q140" s="980"/>
      <c r="R140" s="980"/>
      <c r="S140" s="980"/>
      <c r="T140" s="980"/>
      <c r="U140" s="980"/>
      <c r="V140" s="980"/>
      <c r="W140" s="980"/>
      <c r="X140" s="980"/>
      <c r="Y140" s="980"/>
      <c r="Z140" s="980"/>
      <c r="AA140" s="980"/>
      <c r="AB140" s="980"/>
      <c r="AC140" s="980"/>
      <c r="AD140" s="980"/>
      <c r="AE140" s="980"/>
      <c r="AF140" s="980"/>
      <c r="AG140" s="1089"/>
      <c r="AH140" s="103">
        <v>4.4999999999999998E-2</v>
      </c>
      <c r="AI140" s="103">
        <v>4.4999999999999998E-2</v>
      </c>
      <c r="AJ140" s="103">
        <v>4.4999999999999998E-2</v>
      </c>
      <c r="AK140" s="103">
        <v>4.4999999999999998E-2</v>
      </c>
      <c r="AL140" s="103">
        <v>0.05</v>
      </c>
      <c r="AM140" s="104">
        <v>-0.1</v>
      </c>
      <c r="AN140" s="104">
        <v>0</v>
      </c>
      <c r="AO140" s="105">
        <v>0.12</v>
      </c>
      <c r="AP140" s="104"/>
      <c r="AQ140" s="104"/>
      <c r="AR140" s="104"/>
      <c r="AS140" s="872"/>
      <c r="AT140" s="104"/>
      <c r="AU140" s="104"/>
      <c r="AV140" s="104"/>
      <c r="AW140" s="625">
        <v>0.15</v>
      </c>
      <c r="AX140" s="104"/>
      <c r="AY140" s="104"/>
      <c r="AZ140" s="104"/>
      <c r="BA140" s="872"/>
      <c r="BB140" s="104"/>
      <c r="BC140" s="104"/>
      <c r="BD140" s="104"/>
      <c r="BE140" s="625">
        <v>0.1</v>
      </c>
      <c r="BF140" s="104"/>
      <c r="BG140" s="104"/>
      <c r="BH140" s="104"/>
      <c r="BI140" s="872"/>
      <c r="BJ140" s="104"/>
      <c r="BK140" s="104"/>
      <c r="BL140" s="104"/>
      <c r="BM140" s="625">
        <v>0.1</v>
      </c>
      <c r="BN140" s="104"/>
      <c r="BO140" s="104"/>
      <c r="BP140" s="104"/>
      <c r="BQ140" s="872"/>
      <c r="BR140" s="104"/>
      <c r="BS140" s="104"/>
      <c r="BT140" s="104"/>
      <c r="BU140" s="882">
        <v>0.12</v>
      </c>
      <c r="BV140" s="104"/>
      <c r="BW140" s="104"/>
      <c r="BX140" s="104"/>
      <c r="BY140" s="872"/>
      <c r="BZ140" s="104"/>
      <c r="CA140" s="104"/>
      <c r="CB140" s="104"/>
      <c r="CC140" s="882">
        <v>0.1</v>
      </c>
      <c r="CD140" s="104"/>
      <c r="CE140" s="104"/>
      <c r="CF140" s="104"/>
      <c r="CG140" s="872"/>
      <c r="CH140" s="104"/>
      <c r="CI140" s="104"/>
      <c r="CJ140" s="104"/>
      <c r="CK140" s="882">
        <v>0.09</v>
      </c>
      <c r="CL140" s="104"/>
      <c r="CM140" s="104"/>
      <c r="CN140" s="104"/>
      <c r="CO140" s="872"/>
      <c r="CP140" s="104"/>
      <c r="CQ140" s="104"/>
      <c r="CR140" s="104"/>
      <c r="CS140" s="882">
        <v>0.08</v>
      </c>
      <c r="CT140" s="104"/>
      <c r="CU140" s="104"/>
      <c r="CV140" s="104"/>
      <c r="CW140" s="872"/>
      <c r="CX140" s="104"/>
      <c r="CY140" s="104"/>
      <c r="CZ140" s="104"/>
      <c r="DA140" s="882">
        <v>0.05</v>
      </c>
    </row>
    <row r="141" spans="1:105" outlineLevel="1" x14ac:dyDescent="0.2">
      <c r="A141" s="199"/>
      <c r="B141" s="1013" t="s">
        <v>966</v>
      </c>
      <c r="C141" s="980"/>
      <c r="D141" s="980"/>
      <c r="E141" s="980"/>
      <c r="F141" s="980"/>
      <c r="G141" s="980"/>
      <c r="H141" s="980"/>
      <c r="I141" s="980"/>
      <c r="J141" s="980"/>
      <c r="K141" s="980"/>
      <c r="L141" s="980"/>
      <c r="M141" s="980"/>
      <c r="N141" s="980"/>
      <c r="O141" s="980"/>
      <c r="P141" s="980"/>
      <c r="Q141" s="980"/>
      <c r="R141" s="980"/>
      <c r="S141" s="980"/>
      <c r="T141" s="980"/>
      <c r="U141" s="980"/>
      <c r="V141" s="980"/>
      <c r="W141" s="980"/>
      <c r="X141" s="980"/>
      <c r="Y141" s="980"/>
      <c r="Z141" s="980"/>
      <c r="AA141" s="980"/>
      <c r="AB141" s="980"/>
      <c r="AC141" s="980"/>
      <c r="AD141" s="980"/>
      <c r="AE141" s="980"/>
      <c r="AF141" s="980"/>
      <c r="AG141" s="1089"/>
      <c r="AH141" s="103">
        <v>4.4999999999999998E-2</v>
      </c>
      <c r="AI141" s="103">
        <v>4.4999999999999998E-2</v>
      </c>
      <c r="AJ141" s="103">
        <v>4.4999999999999998E-2</v>
      </c>
      <c r="AK141" s="103">
        <v>4.4999999999999998E-2</v>
      </c>
      <c r="AL141" s="103">
        <v>0.05</v>
      </c>
      <c r="AM141" s="104">
        <v>-0.1</v>
      </c>
      <c r="AN141" s="104">
        <v>0</v>
      </c>
      <c r="AO141" s="105">
        <v>0.12</v>
      </c>
      <c r="AP141" s="104"/>
      <c r="AQ141" s="104"/>
      <c r="AR141" s="104"/>
      <c r="AS141" s="872"/>
      <c r="AT141" s="104"/>
      <c r="AU141" s="104"/>
      <c r="AV141" s="104"/>
      <c r="AW141" s="625">
        <v>0.15</v>
      </c>
      <c r="AX141" s="104"/>
      <c r="AY141" s="104"/>
      <c r="AZ141" s="104"/>
      <c r="BA141" s="872"/>
      <c r="BB141" s="104"/>
      <c r="BC141" s="104"/>
      <c r="BD141" s="104"/>
      <c r="BE141" s="625">
        <v>0.1</v>
      </c>
      <c r="BF141" s="104"/>
      <c r="BG141" s="104"/>
      <c r="BH141" s="104"/>
      <c r="BI141" s="872"/>
      <c r="BJ141" s="104"/>
      <c r="BK141" s="104"/>
      <c r="BL141" s="104"/>
      <c r="BM141" s="625">
        <v>0.1</v>
      </c>
      <c r="BN141" s="104"/>
      <c r="BO141" s="104"/>
      <c r="BP141" s="104"/>
      <c r="BQ141" s="872"/>
      <c r="BR141" s="104"/>
      <c r="BS141" s="104"/>
      <c r="BT141" s="104"/>
      <c r="BU141" s="882">
        <v>0.12</v>
      </c>
      <c r="BV141" s="104"/>
      <c r="BW141" s="104"/>
      <c r="BX141" s="104"/>
      <c r="BY141" s="872"/>
      <c r="BZ141" s="104"/>
      <c r="CA141" s="104"/>
      <c r="CB141" s="104"/>
      <c r="CC141" s="882">
        <v>0.1</v>
      </c>
      <c r="CD141" s="104"/>
      <c r="CE141" s="104"/>
      <c r="CF141" s="104"/>
      <c r="CG141" s="872"/>
      <c r="CH141" s="104"/>
      <c r="CI141" s="104"/>
      <c r="CJ141" s="104"/>
      <c r="CK141" s="882">
        <v>0.09</v>
      </c>
      <c r="CL141" s="104"/>
      <c r="CM141" s="104"/>
      <c r="CN141" s="104"/>
      <c r="CO141" s="872"/>
      <c r="CP141" s="104"/>
      <c r="CQ141" s="104"/>
      <c r="CR141" s="104"/>
      <c r="CS141" s="882">
        <v>0.08</v>
      </c>
      <c r="CT141" s="104"/>
      <c r="CU141" s="104"/>
      <c r="CV141" s="104"/>
      <c r="CW141" s="872"/>
      <c r="CX141" s="104"/>
      <c r="CY141" s="104"/>
      <c r="CZ141" s="104"/>
      <c r="DA141" s="882">
        <v>0.05</v>
      </c>
    </row>
    <row r="142" spans="1:105" outlineLevel="1" x14ac:dyDescent="0.2">
      <c r="A142" s="199"/>
      <c r="B142" s="1013"/>
      <c r="C142" s="980"/>
      <c r="D142" s="980"/>
      <c r="E142" s="980"/>
      <c r="F142" s="980"/>
      <c r="G142" s="980"/>
      <c r="H142" s="980"/>
      <c r="I142" s="980"/>
      <c r="J142" s="980"/>
      <c r="K142" s="980"/>
      <c r="L142" s="980"/>
      <c r="M142" s="980"/>
      <c r="N142" s="980"/>
      <c r="O142" s="980"/>
      <c r="P142" s="980"/>
      <c r="Q142" s="980"/>
      <c r="R142" s="980"/>
      <c r="S142" s="980"/>
      <c r="T142" s="980"/>
      <c r="U142" s="980"/>
      <c r="V142" s="980"/>
      <c r="W142" s="980"/>
      <c r="X142" s="980"/>
      <c r="Y142" s="980"/>
      <c r="Z142" s="980"/>
      <c r="AA142" s="980"/>
      <c r="AB142" s="980"/>
      <c r="AC142" s="980"/>
      <c r="AD142" s="980"/>
      <c r="AE142" s="980"/>
      <c r="AF142" s="980"/>
      <c r="AG142" s="1089"/>
      <c r="AH142" s="103"/>
      <c r="AI142" s="103"/>
      <c r="AJ142" s="103"/>
      <c r="AK142" s="103"/>
      <c r="AL142" s="103"/>
      <c r="AM142" s="104"/>
      <c r="AN142" s="104"/>
      <c r="AO142" s="105"/>
      <c r="AP142" s="104"/>
      <c r="AQ142" s="104"/>
      <c r="AR142" s="104"/>
      <c r="AS142" s="872"/>
      <c r="AT142" s="104"/>
      <c r="AU142" s="104"/>
      <c r="AV142" s="104"/>
      <c r="AW142" s="625"/>
      <c r="AX142" s="104"/>
      <c r="AY142" s="104"/>
      <c r="AZ142" s="104"/>
      <c r="BA142" s="872"/>
      <c r="BB142" s="104"/>
      <c r="BC142" s="104"/>
      <c r="BD142" s="104"/>
      <c r="BE142" s="625"/>
      <c r="BF142" s="104"/>
      <c r="BG142" s="104"/>
      <c r="BH142" s="104"/>
      <c r="BI142" s="872"/>
      <c r="BJ142" s="104"/>
      <c r="BK142" s="104"/>
      <c r="BL142" s="104"/>
      <c r="BM142" s="625"/>
      <c r="BN142" s="104"/>
      <c r="BO142" s="104"/>
      <c r="BP142" s="104"/>
      <c r="BQ142" s="872"/>
      <c r="BR142" s="104"/>
      <c r="BS142" s="104"/>
      <c r="BT142" s="104"/>
      <c r="BU142" s="625"/>
      <c r="BV142" s="104"/>
      <c r="BW142" s="104"/>
      <c r="BX142" s="104"/>
      <c r="BY142" s="872"/>
      <c r="BZ142" s="104"/>
      <c r="CA142" s="104"/>
      <c r="CB142" s="104"/>
      <c r="CC142" s="625"/>
      <c r="CD142" s="104"/>
      <c r="CE142" s="104"/>
      <c r="CF142" s="104"/>
      <c r="CG142" s="872"/>
      <c r="CH142" s="104"/>
      <c r="CI142" s="104"/>
      <c r="CJ142" s="104"/>
      <c r="CK142" s="625"/>
      <c r="CL142" s="104"/>
      <c r="CM142" s="104"/>
      <c r="CN142" s="104"/>
      <c r="CO142" s="872"/>
      <c r="CP142" s="104"/>
      <c r="CQ142" s="104"/>
      <c r="CR142" s="104"/>
      <c r="CS142" s="625"/>
      <c r="CT142" s="104"/>
      <c r="CU142" s="104"/>
      <c r="CV142" s="104"/>
      <c r="CW142" s="872"/>
      <c r="CX142" s="104"/>
      <c r="CY142" s="104"/>
      <c r="CZ142" s="104"/>
      <c r="DA142" s="625"/>
    </row>
    <row r="143" spans="1:105" x14ac:dyDescent="0.2">
      <c r="A143" s="199"/>
      <c r="B143" s="1013"/>
      <c r="C143" s="980"/>
      <c r="D143" s="980"/>
      <c r="E143" s="980"/>
      <c r="F143" s="980"/>
      <c r="G143" s="980"/>
      <c r="H143" s="980"/>
      <c r="I143" s="980"/>
      <c r="J143" s="980"/>
      <c r="K143" s="980"/>
      <c r="L143" s="980"/>
      <c r="M143" s="980"/>
      <c r="N143" s="980"/>
      <c r="O143" s="980"/>
      <c r="P143" s="980"/>
      <c r="Q143" s="980"/>
      <c r="R143" s="980"/>
      <c r="S143" s="980"/>
      <c r="T143" s="980"/>
      <c r="U143" s="980"/>
      <c r="V143" s="980"/>
      <c r="W143" s="980"/>
      <c r="X143" s="980"/>
      <c r="Y143" s="980"/>
      <c r="Z143" s="980"/>
      <c r="AA143" s="980"/>
      <c r="AB143" s="980"/>
      <c r="AC143" s="980"/>
      <c r="AD143" s="980"/>
      <c r="AE143" s="980"/>
      <c r="AF143" s="980"/>
      <c r="AG143" s="1089"/>
      <c r="AH143" s="1089"/>
      <c r="AI143" s="931"/>
      <c r="AJ143" s="931"/>
      <c r="AK143" s="931"/>
      <c r="AL143" s="899"/>
      <c r="AM143" s="900"/>
      <c r="AN143" s="900"/>
      <c r="AO143" s="912"/>
      <c r="AP143" s="900"/>
      <c r="AQ143" s="900"/>
      <c r="AR143" s="900"/>
      <c r="AS143" s="954"/>
      <c r="AT143" s="900"/>
      <c r="AU143" s="900"/>
      <c r="AV143" s="900"/>
      <c r="AW143" s="955"/>
      <c r="AX143" s="900"/>
      <c r="AY143" s="900"/>
      <c r="AZ143" s="900"/>
      <c r="BA143" s="954"/>
      <c r="BB143" s="900"/>
      <c r="BC143" s="900"/>
      <c r="BD143" s="900"/>
      <c r="BE143" s="955"/>
      <c r="BF143" s="900"/>
      <c r="BG143" s="900"/>
      <c r="BH143" s="900"/>
      <c r="BI143" s="954"/>
      <c r="BJ143" s="900"/>
      <c r="BK143" s="900"/>
      <c r="BL143" s="900"/>
      <c r="BM143" s="955"/>
      <c r="BN143" s="900"/>
      <c r="BO143" s="900"/>
      <c r="BP143" s="900"/>
      <c r="BQ143" s="954"/>
      <c r="BR143" s="900"/>
      <c r="BS143" s="900"/>
      <c r="BT143" s="900"/>
      <c r="BU143" s="955"/>
      <c r="BV143" s="900"/>
      <c r="BW143" s="900"/>
      <c r="BX143" s="900"/>
      <c r="BY143" s="954"/>
      <c r="BZ143" s="900"/>
      <c r="CA143" s="900"/>
      <c r="CB143" s="900"/>
      <c r="CC143" s="955"/>
      <c r="CD143" s="900"/>
      <c r="CE143" s="900"/>
      <c r="CF143" s="900"/>
      <c r="CG143" s="954"/>
      <c r="CH143" s="900"/>
      <c r="CI143" s="900"/>
      <c r="CJ143" s="900"/>
      <c r="CK143" s="955"/>
      <c r="CL143" s="900"/>
      <c r="CM143" s="900"/>
      <c r="CN143" s="900"/>
      <c r="CO143" s="954"/>
      <c r="CP143" s="900"/>
      <c r="CQ143" s="900"/>
      <c r="CR143" s="900"/>
      <c r="CS143" s="955"/>
      <c r="CT143" s="900"/>
      <c r="CU143" s="900"/>
      <c r="CV143" s="900"/>
      <c r="CW143" s="954"/>
      <c r="CX143" s="900"/>
      <c r="CY143" s="900"/>
      <c r="CZ143" s="900"/>
      <c r="DA143" s="955"/>
    </row>
    <row r="144" spans="1:105" x14ac:dyDescent="0.2">
      <c r="A144" s="1049" t="s">
        <v>967</v>
      </c>
      <c r="B144" s="1049"/>
      <c r="C144" s="1049"/>
      <c r="D144" s="1049"/>
      <c r="E144" s="1049"/>
      <c r="F144" s="1049"/>
      <c r="G144" s="1049"/>
      <c r="H144" s="1049"/>
      <c r="I144" s="1049"/>
      <c r="J144" s="1049"/>
      <c r="K144" s="1049"/>
      <c r="L144" s="1049"/>
      <c r="M144" s="1049"/>
      <c r="N144" s="1049"/>
      <c r="O144" s="1049"/>
      <c r="P144" s="1049"/>
      <c r="Q144" s="1049"/>
      <c r="R144" s="1049"/>
      <c r="S144" s="1049"/>
      <c r="T144" s="1049"/>
      <c r="U144" s="1049"/>
      <c r="V144" s="1049"/>
      <c r="W144" s="1049"/>
      <c r="X144" s="1049"/>
      <c r="Y144" s="1049"/>
      <c r="Z144" s="1049"/>
      <c r="AA144" s="1049"/>
      <c r="AB144" s="1049"/>
      <c r="AC144" s="1049"/>
      <c r="AD144" s="1049"/>
      <c r="AE144" s="1049"/>
      <c r="AF144" s="1049"/>
      <c r="AG144" s="1049">
        <f t="shared" ref="AG144:AM144" si="110">AG147*AG134</f>
        <v>0</v>
      </c>
      <c r="AH144" s="1049">
        <f t="shared" si="110"/>
        <v>0</v>
      </c>
      <c r="AI144" s="1049">
        <f t="shared" si="110"/>
        <v>0</v>
      </c>
      <c r="AJ144" s="1049">
        <f t="shared" si="110"/>
        <v>0</v>
      </c>
      <c r="AK144" s="1049">
        <f t="shared" si="110"/>
        <v>0</v>
      </c>
      <c r="AL144" s="1049">
        <f t="shared" si="110"/>
        <v>0</v>
      </c>
      <c r="AM144" s="1049">
        <f t="shared" si="110"/>
        <v>0</v>
      </c>
      <c r="AN144" s="1049">
        <f>AN147*AN135</f>
        <v>0</v>
      </c>
      <c r="AO144" s="1094">
        <f>AO147*AO135</f>
        <v>0</v>
      </c>
      <c r="AP144" s="419">
        <v>15</v>
      </c>
      <c r="AQ144" s="419">
        <f>AT144-AP144</f>
        <v>15</v>
      </c>
      <c r="AR144" s="419">
        <v>17.5</v>
      </c>
      <c r="AS144" s="779">
        <f>AU144-AR144</f>
        <v>20.501171731371443</v>
      </c>
      <c r="AT144" s="1049">
        <v>30</v>
      </c>
      <c r="AU144" s="1049">
        <f>AW144-AT144</f>
        <v>38.001171731371443</v>
      </c>
      <c r="AV144" s="1049">
        <f>AP144+AQ144+AR144</f>
        <v>47.5</v>
      </c>
      <c r="AW144" s="1367">
        <f>(AW147*AW135)*0.5</f>
        <v>68.001171731371443</v>
      </c>
      <c r="AX144" s="419">
        <f>BE144*0.2</f>
        <v>119.68206224721376</v>
      </c>
      <c r="AY144" s="419">
        <f>BB144-AX144</f>
        <v>134.64232002811545</v>
      </c>
      <c r="AZ144" s="419">
        <f>BE144*0.225</f>
        <v>134.64232002811548</v>
      </c>
      <c r="BA144" s="779">
        <f>BC144-AZ144</f>
        <v>209.4436089326241</v>
      </c>
      <c r="BB144" s="419">
        <f>BE144*0.425</f>
        <v>254.32438227532921</v>
      </c>
      <c r="BC144" s="419">
        <f>BE144-BB144</f>
        <v>344.08592896073958</v>
      </c>
      <c r="BD144" s="419">
        <f>AX144+AY144+AZ144</f>
        <v>388.96670230344466</v>
      </c>
      <c r="BE144" s="1367">
        <f>(BE147*BE135)*0.5</f>
        <v>598.41031123606876</v>
      </c>
      <c r="BF144" s="419">
        <f>BM144*0.2</f>
        <v>289.63059063825733</v>
      </c>
      <c r="BG144" s="419">
        <f>BJ144-BF144</f>
        <v>347.55670876590875</v>
      </c>
      <c r="BH144" s="419">
        <f>BM144*0.25</f>
        <v>362.03823829782164</v>
      </c>
      <c r="BI144" s="779">
        <f>BK144-BH144</f>
        <v>448.92741548929882</v>
      </c>
      <c r="BJ144" s="419">
        <f>BM144*0.44</f>
        <v>637.18729940416608</v>
      </c>
      <c r="BK144" s="419">
        <f>BM144-BJ144</f>
        <v>810.96565378712046</v>
      </c>
      <c r="BL144" s="419">
        <f>BF144+BG144+BH144</f>
        <v>999.22553770198772</v>
      </c>
      <c r="BM144" s="1367">
        <f>(BM147*BM135)*0.8</f>
        <v>1448.1529531912865</v>
      </c>
      <c r="BN144" s="419">
        <f>BU144*0.2</f>
        <v>648.77252302969657</v>
      </c>
      <c r="BO144" s="419">
        <f>BR144-BN144</f>
        <v>810.96565378712069</v>
      </c>
      <c r="BP144" s="419">
        <f>BU144*0.25</f>
        <v>810.96565378712069</v>
      </c>
      <c r="BQ144" s="730">
        <f>BS144-BP144</f>
        <v>973.1587845445448</v>
      </c>
      <c r="BR144" s="419">
        <f>BU144*0.45</f>
        <v>1459.7381768168173</v>
      </c>
      <c r="BS144" s="731">
        <f>BU144-BR144</f>
        <v>1784.1244383316655</v>
      </c>
      <c r="BT144" s="731">
        <f>BN144+BO144+BP144</f>
        <v>2270.7038306039381</v>
      </c>
      <c r="BU144" s="732">
        <f>BU147*(BU135*1.1)</f>
        <v>3243.8626151484827</v>
      </c>
      <c r="BV144" s="731">
        <f>CC144*0.2</f>
        <v>892.06221916583297</v>
      </c>
      <c r="BW144" s="731">
        <f>BZ144-BV144</f>
        <v>1115.0777739572909</v>
      </c>
      <c r="BX144" s="731">
        <f>CC144*0.25</f>
        <v>1115.0777739572911</v>
      </c>
      <c r="BY144" s="730">
        <f>CA144-BX144</f>
        <v>1338.0933287487494</v>
      </c>
      <c r="BZ144" s="731">
        <f>CC144*0.45</f>
        <v>2007.139993123124</v>
      </c>
      <c r="CA144" s="731">
        <f>CC144-BZ144</f>
        <v>2453.1711027060405</v>
      </c>
      <c r="CB144" s="731">
        <f>BV144+BW144+BX144</f>
        <v>3122.2177670804149</v>
      </c>
      <c r="CC144" s="732">
        <f>CC147*(CC135*1.1)</f>
        <v>4460.3110958291645</v>
      </c>
      <c r="CD144" s="731">
        <f>CK144*0.2</f>
        <v>1166.8173826689094</v>
      </c>
      <c r="CE144" s="731">
        <f>CH144-CD144</f>
        <v>1458.5217283361367</v>
      </c>
      <c r="CF144" s="731">
        <f>CK144*0.25</f>
        <v>1458.5217283361367</v>
      </c>
      <c r="CG144" s="730">
        <f>CI144-CF144</f>
        <v>1750.2260740033639</v>
      </c>
      <c r="CH144" s="731">
        <f>CK144*0.45</f>
        <v>2625.3391110050461</v>
      </c>
      <c r="CI144" s="731">
        <f>CK144-CH144</f>
        <v>3208.7478023395006</v>
      </c>
      <c r="CJ144" s="731">
        <f>CD144+CE144+CF144</f>
        <v>4083.8608393411828</v>
      </c>
      <c r="CK144" s="732">
        <f>CK147*(CK135*1.1)</f>
        <v>5834.0869133445467</v>
      </c>
      <c r="CL144" s="731">
        <f>CS144*0.2</f>
        <v>1470.189902162826</v>
      </c>
      <c r="CM144" s="731">
        <f>CP144-CL144</f>
        <v>1837.7373777035327</v>
      </c>
      <c r="CN144" s="731">
        <f>CS144*0.25</f>
        <v>1837.7373777035325</v>
      </c>
      <c r="CO144" s="730">
        <f>CQ144-CN144</f>
        <v>2205.2848532442385</v>
      </c>
      <c r="CP144" s="731">
        <f>CS144*0.45</f>
        <v>3307.9272798663587</v>
      </c>
      <c r="CQ144" s="731">
        <f>CS144-CP144</f>
        <v>4043.0222309477713</v>
      </c>
      <c r="CR144" s="731">
        <f>CL144+CM144+CN144</f>
        <v>5145.6646575698915</v>
      </c>
      <c r="CS144" s="732">
        <f>CS147*(CS135*1.1)</f>
        <v>7350.94951081413</v>
      </c>
      <c r="CT144" s="731">
        <f>DA144*0.2</f>
        <v>1764.2278825953913</v>
      </c>
      <c r="CU144" s="731">
        <f>CX144-CT144</f>
        <v>2205.284853244239</v>
      </c>
      <c r="CV144" s="731">
        <f>DA144*0.25</f>
        <v>2205.284853244239</v>
      </c>
      <c r="CW144" s="730">
        <f>CY144-CV144</f>
        <v>2646.3418238930867</v>
      </c>
      <c r="CX144" s="731">
        <f>DA144*0.45</f>
        <v>3969.5127358396303</v>
      </c>
      <c r="CY144" s="731">
        <f>DA144-CX144</f>
        <v>4851.6266771373257</v>
      </c>
      <c r="CZ144" s="731">
        <f>CT144+CU144+CV144</f>
        <v>6174.7975890838698</v>
      </c>
      <c r="DA144" s="732">
        <f>DA147*(DA135*1.1)</f>
        <v>8821.139412976956</v>
      </c>
    </row>
    <row r="145" spans="1:107" outlineLevel="1" x14ac:dyDescent="0.2">
      <c r="A145" s="997" t="s">
        <v>968</v>
      </c>
      <c r="B145" s="338"/>
      <c r="C145" s="338"/>
      <c r="D145" s="338"/>
      <c r="E145" s="338"/>
      <c r="F145" s="338"/>
      <c r="G145" s="338"/>
      <c r="H145" s="338"/>
      <c r="I145" s="338"/>
      <c r="J145" s="338"/>
      <c r="K145" s="338"/>
      <c r="L145" s="338"/>
      <c r="M145" s="338"/>
      <c r="N145" s="338"/>
      <c r="O145" s="338"/>
      <c r="P145" s="338"/>
      <c r="Q145" s="338"/>
      <c r="R145" s="338"/>
      <c r="S145" s="338"/>
      <c r="T145" s="338"/>
      <c r="U145" s="338"/>
      <c r="V145" s="338"/>
      <c r="W145" s="338"/>
      <c r="X145" s="338"/>
      <c r="Y145" s="338"/>
      <c r="Z145" s="338"/>
      <c r="AA145" s="338"/>
      <c r="AB145" s="338"/>
      <c r="AC145" s="338"/>
      <c r="AD145" s="338"/>
      <c r="AE145" s="338"/>
      <c r="AF145" s="338"/>
      <c r="AG145" s="1019">
        <f t="shared" ref="AG145:AO145" si="111">AG147*AG135*AG148</f>
        <v>0</v>
      </c>
      <c r="AH145" s="1019">
        <f t="shared" si="111"/>
        <v>0</v>
      </c>
      <c r="AI145" s="1019">
        <f t="shared" si="111"/>
        <v>0</v>
      </c>
      <c r="AJ145" s="1019">
        <f t="shared" si="111"/>
        <v>0</v>
      </c>
      <c r="AK145" s="1019">
        <f t="shared" si="111"/>
        <v>0</v>
      </c>
      <c r="AL145" s="1019">
        <f t="shared" si="111"/>
        <v>0</v>
      </c>
      <c r="AM145" s="1020">
        <f t="shared" si="111"/>
        <v>0</v>
      </c>
      <c r="AN145" s="1020">
        <f t="shared" si="111"/>
        <v>0</v>
      </c>
      <c r="AO145" s="1070">
        <f t="shared" si="111"/>
        <v>0</v>
      </c>
      <c r="AP145" s="1020"/>
      <c r="AQ145" s="1020"/>
      <c r="AR145" s="1020"/>
      <c r="AS145" s="1071"/>
      <c r="AT145" s="1020"/>
      <c r="AU145" s="1020"/>
      <c r="AV145" s="1020"/>
      <c r="AW145" s="1072">
        <f>AW147*AW135*AW148</f>
        <v>123.08212083378231</v>
      </c>
      <c r="AX145" s="1020"/>
      <c r="AY145" s="1020"/>
      <c r="AZ145" s="1020"/>
      <c r="BA145" s="1071"/>
      <c r="BB145" s="1020"/>
      <c r="BC145" s="1020"/>
      <c r="BD145" s="1020"/>
      <c r="BE145" s="1032">
        <f>BE147*BE135*BE148</f>
        <v>1077.1385602249238</v>
      </c>
      <c r="BF145" s="1724"/>
      <c r="BG145" s="1020"/>
      <c r="BH145" s="1020"/>
      <c r="BI145" s="1071"/>
      <c r="BJ145" s="1724"/>
      <c r="BK145" s="1020"/>
      <c r="BL145" s="1020"/>
      <c r="BM145" s="1072">
        <f>BM147*BM135*BM148</f>
        <v>1620.1211163827518</v>
      </c>
      <c r="BN145" s="1020"/>
      <c r="BO145" s="1020"/>
      <c r="BP145" s="1020"/>
      <c r="BQ145" s="1071"/>
      <c r="BR145" s="1724"/>
      <c r="BS145" s="1724"/>
      <c r="BT145" s="1020"/>
      <c r="BU145" s="1096">
        <f>BU147*BU135*BU148</f>
        <v>2624.5797522564994</v>
      </c>
      <c r="BV145" s="1020"/>
      <c r="BW145" s="1020"/>
      <c r="BX145" s="1020"/>
      <c r="BY145" s="1071"/>
      <c r="BZ145" s="1020"/>
      <c r="CA145" s="1020"/>
      <c r="CB145" s="1020"/>
      <c r="CC145" s="1096">
        <f>CC147*CC135*CC148</f>
        <v>3588.5230180080089</v>
      </c>
      <c r="CD145" s="1020"/>
      <c r="CE145" s="1020"/>
      <c r="CF145" s="1020"/>
      <c r="CG145" s="1071"/>
      <c r="CH145" s="1020"/>
      <c r="CI145" s="1020"/>
      <c r="CJ145" s="1020"/>
      <c r="CK145" s="1096">
        <f>CK147*CK135*CK148</f>
        <v>4667.2695306756368</v>
      </c>
      <c r="CL145" s="1020"/>
      <c r="CM145" s="1020"/>
      <c r="CN145" s="1020"/>
      <c r="CO145" s="1071"/>
      <c r="CP145" s="1020"/>
      <c r="CQ145" s="1020"/>
      <c r="CR145" s="1020"/>
      <c r="CS145" s="1096">
        <f>CS147*CS135*CS148</f>
        <v>5847.3462017839656</v>
      </c>
      <c r="CT145" s="1020"/>
      <c r="CU145" s="1020"/>
      <c r="CV145" s="1020"/>
      <c r="CW145" s="1071"/>
      <c r="CX145" s="1020"/>
      <c r="CY145" s="1020"/>
      <c r="CZ145" s="1020"/>
      <c r="DA145" s="1096">
        <f>DA147*DA135*DA148</f>
        <v>6976.7193538999554</v>
      </c>
    </row>
    <row r="146" spans="1:107" outlineLevel="1" x14ac:dyDescent="0.2">
      <c r="B146" s="4" t="s">
        <v>969</v>
      </c>
      <c r="AG146" s="4">
        <f>'Civil OE'!B207</f>
        <v>0</v>
      </c>
      <c r="AH146" s="4">
        <f>AG146+'Civil OE'!C207</f>
        <v>0</v>
      </c>
      <c r="AI146" s="4">
        <f>AH146+'Civil OE'!D207-AI69</f>
        <v>77</v>
      </c>
      <c r="AJ146" s="4">
        <f>AI146+'Civil OE'!E207-AJ69</f>
        <v>538</v>
      </c>
      <c r="AK146" s="4">
        <f>AJ146+'Civil OE'!F207-AK69</f>
        <v>1657</v>
      </c>
      <c r="AL146" s="4">
        <f>AK146+'Civil OE'!G207-AL69</f>
        <v>3393</v>
      </c>
      <c r="AM146" s="4">
        <f>AL146+'Civil OE'!H207-AM69</f>
        <v>4208</v>
      </c>
      <c r="AN146" s="4">
        <f>AM146+'Civil OE'!I207-AN69</f>
        <v>5053</v>
      </c>
      <c r="AO146" s="180">
        <f>AN146+'Civil OE'!J207-AO69</f>
        <v>6189</v>
      </c>
      <c r="AS146" s="179"/>
      <c r="AW146" s="314">
        <f>AO146+'Civil OE'!R207-AW69</f>
        <v>7759</v>
      </c>
      <c r="BA146" s="179"/>
      <c r="BE146" s="314">
        <f>AW146+'Civil OE'!Z207-BE69</f>
        <v>9166</v>
      </c>
      <c r="BI146" s="179"/>
      <c r="BM146" s="314">
        <f>BE146+'Civil OE'!AH207-BM69</f>
        <v>10968</v>
      </c>
      <c r="BQ146" s="179"/>
      <c r="BU146" s="603">
        <f>BM146+'Civil OE'!AP207-BU69</f>
        <v>13114</v>
      </c>
      <c r="BY146" s="179"/>
      <c r="CC146" s="603">
        <f>BU146+'Civil OE'!AX207-CC69</f>
        <v>15476</v>
      </c>
      <c r="CG146" s="179"/>
      <c r="CK146" s="603">
        <f>CC146+'Civil OE'!BF207-CK69</f>
        <v>18037</v>
      </c>
      <c r="CO146" s="179"/>
      <c r="CS146" s="603">
        <f>CK146+'Civil OE'!BN207-CS69</f>
        <v>20618</v>
      </c>
      <c r="CW146" s="179"/>
      <c r="DA146" s="603">
        <f>CS146+'Civil OE'!BV207-DA69</f>
        <v>23199</v>
      </c>
    </row>
    <row r="147" spans="1:107" outlineLevel="1" x14ac:dyDescent="0.2">
      <c r="B147" s="980" t="s">
        <v>940</v>
      </c>
      <c r="AG147" s="1013">
        <f t="shared" ref="AG147:AO147" si="112">Z62+V62+Q62</f>
        <v>0</v>
      </c>
      <c r="AH147" s="1013">
        <f t="shared" si="112"/>
        <v>0</v>
      </c>
      <c r="AI147" s="1013">
        <f t="shared" si="112"/>
        <v>0</v>
      </c>
      <c r="AJ147" s="1013">
        <f t="shared" si="112"/>
        <v>0</v>
      </c>
      <c r="AK147" s="1013">
        <f t="shared" si="112"/>
        <v>0</v>
      </c>
      <c r="AL147" s="1013">
        <f t="shared" si="112"/>
        <v>0</v>
      </c>
      <c r="AM147" s="1017">
        <f t="shared" si="112"/>
        <v>0</v>
      </c>
      <c r="AN147" s="1017">
        <f t="shared" si="112"/>
        <v>0</v>
      </c>
      <c r="AO147" s="1060">
        <f t="shared" si="112"/>
        <v>0</v>
      </c>
      <c r="AP147" s="1017"/>
      <c r="AQ147" s="1017"/>
      <c r="AR147" s="1017"/>
      <c r="AS147" s="1061"/>
      <c r="AT147" s="1017"/>
      <c r="AU147" s="1017"/>
      <c r="AV147" s="1017"/>
      <c r="AW147" s="1419">
        <v>50</v>
      </c>
      <c r="AX147" s="1017"/>
      <c r="AY147" s="1017"/>
      <c r="AZ147" s="1017"/>
      <c r="BA147" s="1061"/>
      <c r="BB147" s="1017"/>
      <c r="BC147" s="1017"/>
      <c r="BD147" s="1017"/>
      <c r="BE147" s="955">
        <v>400</v>
      </c>
      <c r="BF147" s="1017"/>
      <c r="BG147" s="1017"/>
      <c r="BH147" s="1017"/>
      <c r="BI147" s="1061"/>
      <c r="BJ147" s="1017"/>
      <c r="BK147" s="1017"/>
      <c r="BL147" s="1017"/>
      <c r="BM147" s="1419">
        <v>550</v>
      </c>
      <c r="BN147" s="1017"/>
      <c r="BO147" s="1017"/>
      <c r="BP147" s="1017"/>
      <c r="BQ147" s="1061"/>
      <c r="BR147" s="1017"/>
      <c r="BS147" s="1017"/>
      <c r="BT147" s="1017"/>
      <c r="BU147" s="1097">
        <v>800</v>
      </c>
      <c r="BV147" s="1017"/>
      <c r="BW147" s="1017"/>
      <c r="BX147" s="1017"/>
      <c r="BY147" s="1061"/>
      <c r="BZ147" s="1017"/>
      <c r="CA147" s="1017"/>
      <c r="CB147" s="1017"/>
      <c r="CC147" s="1097">
        <v>1000</v>
      </c>
      <c r="CD147" s="1017"/>
      <c r="CE147" s="1017"/>
      <c r="CF147" s="1017"/>
      <c r="CG147" s="1061"/>
      <c r="CH147" s="1017"/>
      <c r="CI147" s="1017"/>
      <c r="CJ147" s="1017"/>
      <c r="CK147" s="1097">
        <v>1200</v>
      </c>
      <c r="CL147" s="1017"/>
      <c r="CM147" s="1017"/>
      <c r="CN147" s="1017"/>
      <c r="CO147" s="1061"/>
      <c r="CP147" s="1017"/>
      <c r="CQ147" s="1017"/>
      <c r="CR147" s="1017"/>
      <c r="CS147" s="1097">
        <v>1400</v>
      </c>
      <c r="CT147" s="1017"/>
      <c r="CU147" s="1017"/>
      <c r="CV147" s="1017"/>
      <c r="CW147" s="1061"/>
      <c r="CX147" s="1017"/>
      <c r="CY147" s="1017"/>
      <c r="CZ147" s="1017"/>
      <c r="DA147" s="1097">
        <v>1600</v>
      </c>
      <c r="DB147" s="1537">
        <f>(DA147/BM147)^(1/5)-1</f>
        <v>0.23808784136769123</v>
      </c>
      <c r="DC147" s="4" t="s">
        <v>970</v>
      </c>
    </row>
    <row r="148" spans="1:107" outlineLevel="1" x14ac:dyDescent="0.2">
      <c r="A148" s="980"/>
      <c r="B148" s="1063" t="s">
        <v>971</v>
      </c>
      <c r="AG148" s="1074">
        <f t="shared" ref="AG148:AO148" si="113">AG155*AG154+AG157</f>
        <v>1</v>
      </c>
      <c r="AH148" s="1074">
        <f t="shared" si="113"/>
        <v>1</v>
      </c>
      <c r="AI148" s="1074">
        <f t="shared" si="113"/>
        <v>0.96400000000000008</v>
      </c>
      <c r="AJ148" s="1074">
        <f t="shared" si="113"/>
        <v>0.94399999999999995</v>
      </c>
      <c r="AK148" s="1074">
        <f t="shared" si="113"/>
        <v>0.92400000000000004</v>
      </c>
      <c r="AL148" s="1074">
        <f t="shared" si="113"/>
        <v>0.92200000000000004</v>
      </c>
      <c r="AM148" s="386">
        <f t="shared" si="113"/>
        <v>0.92</v>
      </c>
      <c r="AN148" s="386">
        <f t="shared" si="113"/>
        <v>0.91600000000000015</v>
      </c>
      <c r="AO148" s="1075">
        <f t="shared" si="113"/>
        <v>0.91000000000000014</v>
      </c>
      <c r="AP148" s="386"/>
      <c r="AQ148" s="386"/>
      <c r="AR148" s="386"/>
      <c r="AS148" s="387"/>
      <c r="AT148" s="386"/>
      <c r="AU148" s="386"/>
      <c r="AV148" s="386"/>
      <c r="AW148" s="873">
        <f>AW155*AW154+AW157</f>
        <v>0.90500000000000003</v>
      </c>
      <c r="AX148" s="386"/>
      <c r="AY148" s="386"/>
      <c r="AZ148" s="386"/>
      <c r="BA148" s="387"/>
      <c r="BB148" s="386"/>
      <c r="BC148" s="386"/>
      <c r="BD148" s="386"/>
      <c r="BE148" s="625">
        <f>BE155*BE154+BE157</f>
        <v>0.9</v>
      </c>
      <c r="BF148" s="386"/>
      <c r="BG148" s="386"/>
      <c r="BH148" s="386"/>
      <c r="BI148" s="387"/>
      <c r="BJ148" s="386"/>
      <c r="BK148" s="386"/>
      <c r="BL148" s="386"/>
      <c r="BM148" s="873">
        <f>BM155*BM154+BM157</f>
        <v>0.89500000000000002</v>
      </c>
      <c r="BN148" s="386"/>
      <c r="BO148" s="386"/>
      <c r="BP148" s="386"/>
      <c r="BQ148" s="387"/>
      <c r="BR148" s="386"/>
      <c r="BS148" s="386"/>
      <c r="BT148" s="386"/>
      <c r="BU148" s="874">
        <f>BU155*BU154+BU157</f>
        <v>0.89</v>
      </c>
      <c r="BV148" s="386"/>
      <c r="BW148" s="386"/>
      <c r="BX148" s="386"/>
      <c r="BY148" s="387"/>
      <c r="BZ148" s="386"/>
      <c r="CA148" s="386"/>
      <c r="CB148" s="386"/>
      <c r="CC148" s="874">
        <f>CC155*CC154+CC157</f>
        <v>0.88500000000000001</v>
      </c>
      <c r="CD148" s="386"/>
      <c r="CE148" s="386"/>
      <c r="CF148" s="386"/>
      <c r="CG148" s="387"/>
      <c r="CH148" s="386"/>
      <c r="CI148" s="386"/>
      <c r="CJ148" s="386"/>
      <c r="CK148" s="874">
        <f>CK155*CK154+CK157</f>
        <v>0.88</v>
      </c>
      <c r="CL148" s="386"/>
      <c r="CM148" s="386"/>
      <c r="CN148" s="386"/>
      <c r="CO148" s="387"/>
      <c r="CP148" s="386"/>
      <c r="CQ148" s="386"/>
      <c r="CR148" s="386"/>
      <c r="CS148" s="874">
        <f>CS155*CS154+CS157</f>
        <v>0.875</v>
      </c>
      <c r="CT148" s="386"/>
      <c r="CU148" s="386"/>
      <c r="CV148" s="386"/>
      <c r="CW148" s="387"/>
      <c r="CX148" s="386"/>
      <c r="CY148" s="386"/>
      <c r="CZ148" s="386"/>
      <c r="DA148" s="874">
        <f>DA155*DA154+DA157</f>
        <v>0.87</v>
      </c>
    </row>
    <row r="149" spans="1:107" outlineLevel="1" x14ac:dyDescent="0.2">
      <c r="A149" s="186" t="s">
        <v>972</v>
      </c>
      <c r="AG149" s="186">
        <f t="shared" ref="AG149:AO149" si="114">AG153*AG152*AG151</f>
        <v>0</v>
      </c>
      <c r="AH149" s="186">
        <f t="shared" si="114"/>
        <v>0</v>
      </c>
      <c r="AI149" s="186">
        <f t="shared" si="114"/>
        <v>0.1512023229957942</v>
      </c>
      <c r="AJ149" s="186">
        <f t="shared" si="114"/>
        <v>2.5752276765130939</v>
      </c>
      <c r="AK149" s="186">
        <f t="shared" si="114"/>
        <v>11.350345685688414</v>
      </c>
      <c r="AL149" s="186">
        <f t="shared" si="114"/>
        <v>29.100248902497739</v>
      </c>
      <c r="AM149" s="186">
        <f t="shared" si="114"/>
        <v>42.536536187217166</v>
      </c>
      <c r="AN149" s="186">
        <f t="shared" si="114"/>
        <v>59.092012006043305</v>
      </c>
      <c r="AO149" s="284">
        <f t="shared" si="114"/>
        <v>81.260631853878593</v>
      </c>
      <c r="AP149" s="186"/>
      <c r="AQ149" s="186"/>
      <c r="AR149" s="186"/>
      <c r="AS149" s="283"/>
      <c r="AT149" s="186"/>
      <c r="AU149" s="186"/>
      <c r="AV149" s="186"/>
      <c r="AW149" s="341">
        <f>AW153*AW152*AW151</f>
        <v>110.57961267043022</v>
      </c>
      <c r="AX149" s="186"/>
      <c r="AY149" s="186"/>
      <c r="AZ149" s="186"/>
      <c r="BA149" s="283"/>
      <c r="BB149" s="186"/>
      <c r="BC149" s="186"/>
      <c r="BD149" s="186"/>
      <c r="BE149" s="341">
        <f>BE153*BE152*BE151</f>
        <v>170.0864900182668</v>
      </c>
      <c r="BF149" s="186"/>
      <c r="BG149" s="186"/>
      <c r="BH149" s="186"/>
      <c r="BI149" s="283"/>
      <c r="BJ149" s="186"/>
      <c r="BK149" s="186"/>
      <c r="BL149" s="186"/>
      <c r="BM149" s="341">
        <f>BM153*BM152*BM151</f>
        <v>250.92101975044656</v>
      </c>
      <c r="BN149" s="186"/>
      <c r="BO149" s="186"/>
      <c r="BP149" s="186"/>
      <c r="BQ149" s="283"/>
      <c r="BR149" s="186"/>
      <c r="BS149" s="186"/>
      <c r="BT149" s="186"/>
      <c r="BU149" s="301">
        <f>BU153*BU152*BU151</f>
        <v>343.65902154867808</v>
      </c>
      <c r="BV149" s="186"/>
      <c r="BW149" s="186"/>
      <c r="BX149" s="186"/>
      <c r="BY149" s="283"/>
      <c r="BZ149" s="186"/>
      <c r="CA149" s="186"/>
      <c r="CB149" s="186"/>
      <c r="CC149" s="301">
        <f>CC153*CC152*CC151</f>
        <v>449.13660118338743</v>
      </c>
      <c r="CD149" s="186"/>
      <c r="CE149" s="186"/>
      <c r="CF149" s="186"/>
      <c r="CG149" s="283"/>
      <c r="CH149" s="186"/>
      <c r="CI149" s="186"/>
      <c r="CJ149" s="186"/>
      <c r="CK149" s="301">
        <f>CK153*CK152*CK151</f>
        <v>599.23669067383571</v>
      </c>
      <c r="CL149" s="186"/>
      <c r="CM149" s="186"/>
      <c r="CN149" s="186"/>
      <c r="CO149" s="283"/>
      <c r="CP149" s="186"/>
      <c r="CQ149" s="186"/>
      <c r="CR149" s="186"/>
      <c r="CS149" s="301">
        <f>CS153*CS152*CS151</f>
        <v>778.03401307884496</v>
      </c>
      <c r="CT149" s="186"/>
      <c r="CU149" s="186"/>
      <c r="CV149" s="186"/>
      <c r="CW149" s="283"/>
      <c r="CX149" s="186"/>
      <c r="CY149" s="186"/>
      <c r="CZ149" s="186"/>
      <c r="DA149" s="301">
        <f>DA153*DA152*DA151</f>
        <v>963.62678268573575</v>
      </c>
    </row>
    <row r="150" spans="1:107" outlineLevel="1" x14ac:dyDescent="0.2">
      <c r="A150" s="997"/>
      <c r="B150" s="1514" t="s">
        <v>973</v>
      </c>
      <c r="AG150" s="4">
        <f t="shared" ref="AG150:AM150" si="115">AG156*AG154*AG83</f>
        <v>0</v>
      </c>
      <c r="AH150" s="4">
        <f t="shared" si="115"/>
        <v>0</v>
      </c>
      <c r="AI150" s="4">
        <f t="shared" si="115"/>
        <v>2.7719999999999998</v>
      </c>
      <c r="AJ150" s="4">
        <f t="shared" si="115"/>
        <v>30.128000000000004</v>
      </c>
      <c r="AK150" s="4">
        <f t="shared" si="115"/>
        <v>125.93200000000002</v>
      </c>
      <c r="AL150" s="4">
        <f t="shared" si="115"/>
        <v>264.65400000000005</v>
      </c>
      <c r="AM150" s="4">
        <f t="shared" si="115"/>
        <v>336.64000000000004</v>
      </c>
      <c r="AN150" s="4">
        <f>AN156*AN154*AN83</f>
        <v>424.452</v>
      </c>
      <c r="AO150" s="180">
        <f>AO156*AO154*AO83</f>
        <v>557.0100000000001</v>
      </c>
      <c r="AS150" s="179"/>
      <c r="AW150" s="314">
        <f>AW156*AW154*AW83</f>
        <v>737.10500000000002</v>
      </c>
      <c r="BA150" s="179"/>
      <c r="BE150" s="314">
        <f>BE156*BE154*BE83</f>
        <v>916.6</v>
      </c>
      <c r="BI150" s="179"/>
      <c r="BM150" s="314">
        <f>BM156*BM154*BM83</f>
        <v>1151.6400000000001</v>
      </c>
      <c r="BQ150" s="179"/>
      <c r="BU150" s="603">
        <f>BU156*BU154*BU83</f>
        <v>1442.5400000000002</v>
      </c>
      <c r="BY150" s="179"/>
      <c r="CC150" s="603">
        <f>CC156*CC154*CC83</f>
        <v>1779.7399999999998</v>
      </c>
      <c r="CG150" s="179"/>
      <c r="CK150" s="603">
        <f>CK156*CK154*CK83</f>
        <v>2164.44</v>
      </c>
      <c r="CO150" s="179"/>
      <c r="CS150" s="603">
        <f>CS156*CS154*CS83</f>
        <v>2577.25</v>
      </c>
      <c r="CW150" s="179"/>
      <c r="DA150" s="603">
        <f>DA156*DA154*DA83</f>
        <v>3015.87</v>
      </c>
    </row>
    <row r="151" spans="1:107" outlineLevel="1" x14ac:dyDescent="0.2">
      <c r="A151" s="997"/>
      <c r="B151" s="1514" t="s">
        <v>974</v>
      </c>
      <c r="AH151" s="4">
        <f t="shared" ref="AH151:AO151" si="116">AVERAGE(AG150:AH150)</f>
        <v>0</v>
      </c>
      <c r="AI151" s="4">
        <f t="shared" si="116"/>
        <v>1.3859999999999999</v>
      </c>
      <c r="AJ151" s="4">
        <f t="shared" si="116"/>
        <v>16.450000000000003</v>
      </c>
      <c r="AK151" s="4">
        <f t="shared" si="116"/>
        <v>78.030000000000015</v>
      </c>
      <c r="AL151" s="4">
        <f>AVERAGE(AK150:AL150)</f>
        <v>195.29300000000003</v>
      </c>
      <c r="AM151" s="4">
        <f>AVERAGE(AL150:AM150)</f>
        <v>300.64700000000005</v>
      </c>
      <c r="AN151" s="4">
        <f>AVERAGE(AM150:AN150)</f>
        <v>380.54600000000005</v>
      </c>
      <c r="AO151" s="180">
        <f t="shared" si="116"/>
        <v>490.73100000000005</v>
      </c>
      <c r="AS151" s="179"/>
      <c r="AW151" s="314">
        <f>AVERAGE(AO150:AW150)</f>
        <v>647.05750000000012</v>
      </c>
      <c r="BA151" s="179"/>
      <c r="BE151" s="314">
        <f>AVERAGE(AW150:BE150)</f>
        <v>826.85249999999996</v>
      </c>
      <c r="BI151" s="179"/>
      <c r="BM151" s="314">
        <f>AVERAGE(BE150:BM150)</f>
        <v>1034.1200000000001</v>
      </c>
      <c r="BQ151" s="179"/>
      <c r="BU151" s="603">
        <f>AVERAGE(BM150:BU150)</f>
        <v>1297.0900000000001</v>
      </c>
      <c r="BY151" s="179"/>
      <c r="CC151" s="603">
        <f>AVERAGE(BU150:CC150)</f>
        <v>1611.1399999999999</v>
      </c>
      <c r="CG151" s="179"/>
      <c r="CK151" s="603">
        <f>AVERAGE(CC150:CK150)</f>
        <v>1972.09</v>
      </c>
      <c r="CO151" s="179"/>
      <c r="CS151" s="603">
        <f>AVERAGE(CK150:CS150)</f>
        <v>2370.8450000000003</v>
      </c>
      <c r="CW151" s="179"/>
      <c r="DA151" s="603">
        <f>AVERAGE(CS150:DA150)</f>
        <v>2796.56</v>
      </c>
    </row>
    <row r="152" spans="1:107" outlineLevel="1" x14ac:dyDescent="0.2">
      <c r="A152" s="997"/>
      <c r="B152" s="1098" t="s">
        <v>975</v>
      </c>
      <c r="C152" s="1341">
        <v>0.5</v>
      </c>
      <c r="AG152" s="15">
        <f t="shared" ref="AG152:AO152" si="117">AG135/8</f>
        <v>0.23424674624935002</v>
      </c>
      <c r="AH152" s="15">
        <f t="shared" si="117"/>
        <v>0.24478784983057075</v>
      </c>
      <c r="AI152" s="15">
        <f t="shared" si="117"/>
        <v>0.25580330307294641</v>
      </c>
      <c r="AJ152" s="15">
        <f t="shared" si="117"/>
        <v>0.26731445171122897</v>
      </c>
      <c r="AK152" s="15">
        <f t="shared" si="117"/>
        <v>0.27934360203823427</v>
      </c>
      <c r="AL152" s="15">
        <f t="shared" si="117"/>
        <v>0.293310782140146</v>
      </c>
      <c r="AM152" s="15">
        <f t="shared" si="117"/>
        <v>0.2639797039261314</v>
      </c>
      <c r="AN152" s="15">
        <f t="shared" si="117"/>
        <v>0.2639797039261314</v>
      </c>
      <c r="AO152" s="326">
        <f t="shared" si="117"/>
        <v>0.29565726839726719</v>
      </c>
      <c r="AP152" s="15"/>
      <c r="AQ152" s="15"/>
      <c r="AR152" s="15"/>
      <c r="AS152" s="325"/>
      <c r="AT152" s="15"/>
      <c r="AU152" s="15"/>
      <c r="AV152" s="15"/>
      <c r="AW152" s="1366">
        <f>AW135/8</f>
        <v>0.34000585865685723</v>
      </c>
      <c r="AX152" s="15"/>
      <c r="AY152" s="15"/>
      <c r="AZ152" s="15"/>
      <c r="BA152" s="325"/>
      <c r="BB152" s="15"/>
      <c r="BC152" s="15"/>
      <c r="BD152" s="15"/>
      <c r="BE152" s="1366">
        <f>BE135/8</f>
        <v>0.374006444522543</v>
      </c>
      <c r="BF152" s="15"/>
      <c r="BG152" s="15"/>
      <c r="BH152" s="15"/>
      <c r="BI152" s="325"/>
      <c r="BJ152" s="15"/>
      <c r="BK152" s="15"/>
      <c r="BL152" s="15"/>
      <c r="BM152" s="1366">
        <f>BM135/8</f>
        <v>0.41140708897479733</v>
      </c>
      <c r="BN152" s="15"/>
      <c r="BO152" s="15"/>
      <c r="BP152" s="15"/>
      <c r="BQ152" s="325"/>
      <c r="BR152" s="15"/>
      <c r="BS152" s="15"/>
      <c r="BT152" s="15"/>
      <c r="BU152" s="335">
        <f>BU135/8</f>
        <v>0.46077593965177305</v>
      </c>
      <c r="BV152" s="15"/>
      <c r="BW152" s="15"/>
      <c r="BX152" s="15"/>
      <c r="BY152" s="325"/>
      <c r="BZ152" s="15"/>
      <c r="CA152" s="15"/>
      <c r="CB152" s="15"/>
      <c r="CC152" s="335">
        <f>CC135/8</f>
        <v>0.5068535336169504</v>
      </c>
      <c r="CD152" s="15"/>
      <c r="CE152" s="15"/>
      <c r="CF152" s="15"/>
      <c r="CG152" s="325"/>
      <c r="CH152" s="15"/>
      <c r="CI152" s="15"/>
      <c r="CJ152" s="15"/>
      <c r="CK152" s="335">
        <f>CK135/8</f>
        <v>0.55247035164247593</v>
      </c>
      <c r="CL152" s="15"/>
      <c r="CM152" s="15"/>
      <c r="CN152" s="15"/>
      <c r="CO152" s="325"/>
      <c r="CP152" s="15"/>
      <c r="CQ152" s="15"/>
      <c r="CR152" s="15"/>
      <c r="CS152" s="335">
        <f>CS135/8</f>
        <v>0.59666797977387409</v>
      </c>
      <c r="CT152" s="15"/>
      <c r="CU152" s="15"/>
      <c r="CV152" s="15"/>
      <c r="CW152" s="325"/>
      <c r="CX152" s="15"/>
      <c r="CY152" s="15"/>
      <c r="CZ152" s="15"/>
      <c r="DA152" s="335">
        <f>DA135/8</f>
        <v>0.62650137876256784</v>
      </c>
    </row>
    <row r="153" spans="1:107" outlineLevel="1" x14ac:dyDescent="0.2">
      <c r="A153" s="997"/>
      <c r="B153" s="1098" t="s">
        <v>976</v>
      </c>
      <c r="AG153" s="103">
        <f>'Civil OE'!B184</f>
        <v>0</v>
      </c>
      <c r="AH153" s="103">
        <f>'Civil OE'!C184</f>
        <v>0</v>
      </c>
      <c r="AI153" s="103">
        <f>'Civil OE'!D184</f>
        <v>0.4264705882352941</v>
      </c>
      <c r="AJ153" s="103">
        <f>'Civil OE'!E184</f>
        <v>0.58563535911602205</v>
      </c>
      <c r="AK153" s="103">
        <f>'Civil OE'!F184</f>
        <v>0.52072538860103623</v>
      </c>
      <c r="AL153" s="103">
        <f>'Civil OE'!G184</f>
        <v>0.50802139037433158</v>
      </c>
      <c r="AM153" s="104">
        <f>'Civil OE'!H184</f>
        <v>0.53596287703016243</v>
      </c>
      <c r="AN153" s="104">
        <f>'Civil OE'!I184</f>
        <v>0.58823529411764708</v>
      </c>
      <c r="AO153" s="105">
        <f>'Civil OE'!J184</f>
        <v>0.56007751937984496</v>
      </c>
      <c r="AP153" s="104"/>
      <c r="AQ153" s="104"/>
      <c r="AR153" s="104"/>
      <c r="AS153" s="872"/>
      <c r="AT153" s="104"/>
      <c r="AU153" s="104"/>
      <c r="AV153" s="104"/>
      <c r="AW153" s="625">
        <f>'Civil OE'!R184</f>
        <v>0.50262697022767078</v>
      </c>
      <c r="AX153" s="104"/>
      <c r="AY153" s="104"/>
      <c r="AZ153" s="104"/>
      <c r="BA153" s="872"/>
      <c r="BB153" s="104"/>
      <c r="BC153" s="104"/>
      <c r="BD153" s="104"/>
      <c r="BE153" s="625">
        <f>'Civil OE'!Z184</f>
        <v>0.55000000000000004</v>
      </c>
      <c r="BF153" s="104"/>
      <c r="BG153" s="104"/>
      <c r="BH153" s="104"/>
      <c r="BI153" s="872"/>
      <c r="BJ153" s="104"/>
      <c r="BK153" s="104"/>
      <c r="BL153" s="104"/>
      <c r="BM153" s="625">
        <f>'Civil OE'!AH184</f>
        <v>0.5897858319604613</v>
      </c>
      <c r="BN153" s="104"/>
      <c r="BO153" s="104"/>
      <c r="BP153" s="104"/>
      <c r="BQ153" s="872"/>
      <c r="BR153" s="104"/>
      <c r="BS153" s="104"/>
      <c r="BT153" s="104"/>
      <c r="BU153" s="867">
        <f>'Civil OE'!AP184</f>
        <v>0.57499999999999996</v>
      </c>
      <c r="BV153" s="104"/>
      <c r="BW153" s="104"/>
      <c r="BX153" s="104"/>
      <c r="BY153" s="872"/>
      <c r="BZ153" s="104"/>
      <c r="CA153" s="104"/>
      <c r="CB153" s="104"/>
      <c r="CC153" s="867">
        <f>'Civil OE'!AX184</f>
        <v>0.55000000000000004</v>
      </c>
      <c r="CD153" s="104"/>
      <c r="CE153" s="104"/>
      <c r="CF153" s="104"/>
      <c r="CG153" s="872"/>
      <c r="CH153" s="104"/>
      <c r="CI153" s="104"/>
      <c r="CJ153" s="104"/>
      <c r="CK153" s="867">
        <f>'Civil OE'!BF184</f>
        <v>0.55000000000000004</v>
      </c>
      <c r="CL153" s="104"/>
      <c r="CM153" s="104"/>
      <c r="CN153" s="104"/>
      <c r="CO153" s="872"/>
      <c r="CP153" s="104"/>
      <c r="CQ153" s="104"/>
      <c r="CR153" s="104"/>
      <c r="CS153" s="867">
        <f>'Civil OE'!BN184</f>
        <v>0.55000000000000004</v>
      </c>
      <c r="CT153" s="104"/>
      <c r="CU153" s="104"/>
      <c r="CV153" s="104"/>
      <c r="CW153" s="872"/>
      <c r="CX153" s="104"/>
      <c r="CY153" s="104"/>
      <c r="CZ153" s="104"/>
      <c r="DA153" s="867">
        <f>'Civil OE'!BV184</f>
        <v>0.55000000000000004</v>
      </c>
    </row>
    <row r="154" spans="1:107" outlineLevel="1" x14ac:dyDescent="0.2">
      <c r="A154" s="997"/>
      <c r="B154" s="186" t="s">
        <v>977</v>
      </c>
      <c r="C154" s="186"/>
      <c r="D154" s="186"/>
      <c r="E154" s="186"/>
      <c r="F154" s="186"/>
      <c r="G154" s="186"/>
      <c r="H154" s="186"/>
      <c r="I154" s="186"/>
      <c r="J154" s="186"/>
      <c r="K154" s="186"/>
      <c r="L154" s="186"/>
      <c r="M154" s="186"/>
      <c r="N154" s="186"/>
      <c r="O154" s="186"/>
      <c r="P154" s="186"/>
      <c r="Q154" s="186"/>
      <c r="R154" s="186"/>
      <c r="S154" s="186"/>
      <c r="T154" s="186"/>
      <c r="U154" s="186"/>
      <c r="V154" s="186"/>
      <c r="W154" s="186"/>
      <c r="X154" s="186"/>
      <c r="Y154" s="186"/>
      <c r="Z154" s="186"/>
      <c r="AA154" s="186"/>
      <c r="AB154" s="186"/>
      <c r="AC154" s="186"/>
      <c r="AD154" s="186"/>
      <c r="AE154" s="186"/>
      <c r="AF154" s="186"/>
      <c r="AG154" s="1073"/>
      <c r="AH154" s="1073"/>
      <c r="AI154" s="1073">
        <v>0.18</v>
      </c>
      <c r="AJ154" s="1073">
        <v>0.28000000000000003</v>
      </c>
      <c r="AK154" s="1073">
        <v>0.38</v>
      </c>
      <c r="AL154" s="1073">
        <v>0.39</v>
      </c>
      <c r="AM154" s="462">
        <v>0.4</v>
      </c>
      <c r="AN154" s="1099">
        <v>0.42</v>
      </c>
      <c r="AO154" s="1100">
        <v>0.45</v>
      </c>
      <c r="AP154" s="1099"/>
      <c r="AQ154" s="1099"/>
      <c r="AR154" s="1099"/>
      <c r="AS154" s="1101"/>
      <c r="AT154" s="1099"/>
      <c r="AU154" s="1099"/>
      <c r="AV154" s="1099"/>
      <c r="AW154" s="1424">
        <v>0.47499999999999998</v>
      </c>
      <c r="AX154" s="1099"/>
      <c r="AY154" s="1099"/>
      <c r="AZ154" s="1099"/>
      <c r="BA154" s="1101"/>
      <c r="BB154" s="1099"/>
      <c r="BC154" s="1099"/>
      <c r="BD154" s="1099"/>
      <c r="BE154" s="1424">
        <v>0.5</v>
      </c>
      <c r="BF154" s="1099"/>
      <c r="BG154" s="1099"/>
      <c r="BH154" s="1099"/>
      <c r="BI154" s="1101"/>
      <c r="BJ154" s="1099"/>
      <c r="BK154" s="1099"/>
      <c r="BL154" s="1099"/>
      <c r="BM154" s="1424">
        <v>0.52500000000000002</v>
      </c>
      <c r="BN154" s="1099"/>
      <c r="BO154" s="1099"/>
      <c r="BP154" s="1099"/>
      <c r="BQ154" s="1101"/>
      <c r="BR154" s="1099"/>
      <c r="BS154" s="1099"/>
      <c r="BT154" s="1099"/>
      <c r="BU154" s="1102">
        <v>0.55000000000000004</v>
      </c>
      <c r="BV154" s="1099"/>
      <c r="BW154" s="1099"/>
      <c r="BX154" s="1099"/>
      <c r="BY154" s="1101"/>
      <c r="BZ154" s="1099"/>
      <c r="CA154" s="1099"/>
      <c r="CB154" s="1099"/>
      <c r="CC154" s="1102">
        <v>0.57499999999999996</v>
      </c>
      <c r="CD154" s="1099"/>
      <c r="CE154" s="1099"/>
      <c r="CF154" s="1099"/>
      <c r="CG154" s="1101"/>
      <c r="CH154" s="1099"/>
      <c r="CI154" s="1099"/>
      <c r="CJ154" s="1099"/>
      <c r="CK154" s="1102">
        <v>0.6</v>
      </c>
      <c r="CL154" s="1099"/>
      <c r="CM154" s="1099"/>
      <c r="CN154" s="1099"/>
      <c r="CO154" s="1101"/>
      <c r="CP154" s="1099"/>
      <c r="CQ154" s="1099"/>
      <c r="CR154" s="1099"/>
      <c r="CS154" s="1102">
        <v>0.625</v>
      </c>
      <c r="CT154" s="1099"/>
      <c r="CU154" s="1099"/>
      <c r="CV154" s="1099"/>
      <c r="CW154" s="1101"/>
      <c r="CX154" s="1099"/>
      <c r="CY154" s="1099"/>
      <c r="CZ154" s="1099"/>
      <c r="DA154" s="1102">
        <v>0.65</v>
      </c>
      <c r="DB154" s="4" t="s">
        <v>978</v>
      </c>
    </row>
    <row r="155" spans="1:107" outlineLevel="1" x14ac:dyDescent="0.2">
      <c r="A155" s="997"/>
      <c r="B155" s="1103" t="s">
        <v>979</v>
      </c>
      <c r="AG155" s="18">
        <v>0.8</v>
      </c>
      <c r="AH155" s="18">
        <f>AG155</f>
        <v>0.8</v>
      </c>
      <c r="AI155" s="18">
        <f t="shared" ref="AI155:AO156" si="118">AH155</f>
        <v>0.8</v>
      </c>
      <c r="AJ155" s="18">
        <f t="shared" si="118"/>
        <v>0.8</v>
      </c>
      <c r="AK155" s="18">
        <f t="shared" si="118"/>
        <v>0.8</v>
      </c>
      <c r="AL155" s="18">
        <f t="shared" si="118"/>
        <v>0.8</v>
      </c>
      <c r="AM155" s="19">
        <f t="shared" si="118"/>
        <v>0.8</v>
      </c>
      <c r="AN155" s="19">
        <f t="shared" si="118"/>
        <v>0.8</v>
      </c>
      <c r="AO155" s="494">
        <f t="shared" si="118"/>
        <v>0.8</v>
      </c>
      <c r="AP155" s="19"/>
      <c r="AQ155" s="19"/>
      <c r="AR155" s="19"/>
      <c r="AS155" s="643"/>
      <c r="AT155" s="19"/>
      <c r="AU155" s="19"/>
      <c r="AV155" s="19"/>
      <c r="AW155" s="1380">
        <f>AO155</f>
        <v>0.8</v>
      </c>
      <c r="AX155" s="19"/>
      <c r="AY155" s="19"/>
      <c r="AZ155" s="19"/>
      <c r="BA155" s="643"/>
      <c r="BB155" s="19"/>
      <c r="BC155" s="19"/>
      <c r="BD155" s="19"/>
      <c r="BE155" s="668">
        <f>AW155</f>
        <v>0.8</v>
      </c>
      <c r="BF155" s="19"/>
      <c r="BG155" s="19"/>
      <c r="BH155" s="19"/>
      <c r="BI155" s="643"/>
      <c r="BJ155" s="19"/>
      <c r="BK155" s="19"/>
      <c r="BL155" s="19"/>
      <c r="BM155" s="1380">
        <f>BE155</f>
        <v>0.8</v>
      </c>
      <c r="BN155" s="19"/>
      <c r="BO155" s="19"/>
      <c r="BP155" s="19"/>
      <c r="BQ155" s="643"/>
      <c r="BR155" s="19"/>
      <c r="BS155" s="19"/>
      <c r="BT155" s="19"/>
      <c r="BU155" s="722">
        <f>BM155</f>
        <v>0.8</v>
      </c>
      <c r="BV155" s="19"/>
      <c r="BW155" s="19"/>
      <c r="BX155" s="19"/>
      <c r="BY155" s="643"/>
      <c r="BZ155" s="19"/>
      <c r="CA155" s="19"/>
      <c r="CB155" s="19"/>
      <c r="CC155" s="722">
        <f>BU155</f>
        <v>0.8</v>
      </c>
      <c r="CD155" s="19"/>
      <c r="CE155" s="19"/>
      <c r="CF155" s="19"/>
      <c r="CG155" s="643"/>
      <c r="CH155" s="19"/>
      <c r="CI155" s="19"/>
      <c r="CJ155" s="19"/>
      <c r="CK155" s="722">
        <f>CC155</f>
        <v>0.8</v>
      </c>
      <c r="CL155" s="19"/>
      <c r="CM155" s="19"/>
      <c r="CN155" s="19"/>
      <c r="CO155" s="643"/>
      <c r="CP155" s="19"/>
      <c r="CQ155" s="19"/>
      <c r="CR155" s="19"/>
      <c r="CS155" s="722">
        <f>CK155</f>
        <v>0.8</v>
      </c>
      <c r="CT155" s="19"/>
      <c r="CU155" s="19"/>
      <c r="CV155" s="19"/>
      <c r="CW155" s="643"/>
      <c r="CX155" s="19"/>
      <c r="CY155" s="19"/>
      <c r="CZ155" s="19"/>
      <c r="DA155" s="722">
        <f>CS155</f>
        <v>0.8</v>
      </c>
    </row>
    <row r="156" spans="1:107" outlineLevel="1" x14ac:dyDescent="0.2">
      <c r="A156" s="997"/>
      <c r="B156" s="1103" t="s">
        <v>980</v>
      </c>
      <c r="AG156" s="18">
        <v>0.2</v>
      </c>
      <c r="AH156" s="18">
        <f>AG156</f>
        <v>0.2</v>
      </c>
      <c r="AI156" s="18">
        <f t="shared" si="118"/>
        <v>0.2</v>
      </c>
      <c r="AJ156" s="18">
        <f t="shared" si="118"/>
        <v>0.2</v>
      </c>
      <c r="AK156" s="18">
        <f t="shared" si="118"/>
        <v>0.2</v>
      </c>
      <c r="AL156" s="18">
        <f t="shared" si="118"/>
        <v>0.2</v>
      </c>
      <c r="AM156" s="19">
        <f t="shared" si="118"/>
        <v>0.2</v>
      </c>
      <c r="AN156" s="19">
        <f t="shared" si="118"/>
        <v>0.2</v>
      </c>
      <c r="AO156" s="494">
        <f t="shared" si="118"/>
        <v>0.2</v>
      </c>
      <c r="AP156" s="19"/>
      <c r="AQ156" s="19"/>
      <c r="AR156" s="19"/>
      <c r="AS156" s="643"/>
      <c r="AT156" s="19"/>
      <c r="AU156" s="19"/>
      <c r="AV156" s="19"/>
      <c r="AW156" s="1380">
        <f>AO156</f>
        <v>0.2</v>
      </c>
      <c r="AX156" s="19"/>
      <c r="AY156" s="19"/>
      <c r="AZ156" s="19"/>
      <c r="BA156" s="643"/>
      <c r="BB156" s="19"/>
      <c r="BC156" s="19"/>
      <c r="BD156" s="19"/>
      <c r="BE156" s="668">
        <f>AW156</f>
        <v>0.2</v>
      </c>
      <c r="BF156" s="19"/>
      <c r="BG156" s="19"/>
      <c r="BH156" s="19"/>
      <c r="BI156" s="643"/>
      <c r="BJ156" s="19"/>
      <c r="BK156" s="19"/>
      <c r="BL156" s="19"/>
      <c r="BM156" s="1380">
        <f>BE156</f>
        <v>0.2</v>
      </c>
      <c r="BN156" s="19"/>
      <c r="BO156" s="19"/>
      <c r="BP156" s="19"/>
      <c r="BQ156" s="643"/>
      <c r="BR156" s="19"/>
      <c r="BS156" s="19"/>
      <c r="BT156" s="19"/>
      <c r="BU156" s="722">
        <f>BM156</f>
        <v>0.2</v>
      </c>
      <c r="BV156" s="19"/>
      <c r="BW156" s="19"/>
      <c r="BX156" s="19"/>
      <c r="BY156" s="643"/>
      <c r="BZ156" s="19"/>
      <c r="CA156" s="19"/>
      <c r="CB156" s="19"/>
      <c r="CC156" s="722">
        <f>BU156</f>
        <v>0.2</v>
      </c>
      <c r="CD156" s="19"/>
      <c r="CE156" s="19"/>
      <c r="CF156" s="19"/>
      <c r="CG156" s="643"/>
      <c r="CH156" s="19"/>
      <c r="CI156" s="19"/>
      <c r="CJ156" s="19"/>
      <c r="CK156" s="722">
        <f>CC156</f>
        <v>0.2</v>
      </c>
      <c r="CL156" s="19"/>
      <c r="CM156" s="19"/>
      <c r="CN156" s="19"/>
      <c r="CO156" s="643"/>
      <c r="CP156" s="19"/>
      <c r="CQ156" s="19"/>
      <c r="CR156" s="19"/>
      <c r="CS156" s="722">
        <f>CK156</f>
        <v>0.2</v>
      </c>
      <c r="CT156" s="19"/>
      <c r="CU156" s="19"/>
      <c r="CV156" s="19"/>
      <c r="CW156" s="643"/>
      <c r="CX156" s="19"/>
      <c r="CY156" s="19"/>
      <c r="CZ156" s="19"/>
      <c r="DA156" s="722">
        <f>CS156</f>
        <v>0.2</v>
      </c>
    </row>
    <row r="157" spans="1:107" outlineLevel="1" x14ac:dyDescent="0.2">
      <c r="A157" s="997"/>
      <c r="B157" s="186" t="s">
        <v>981</v>
      </c>
      <c r="C157" s="186"/>
      <c r="D157" s="186"/>
      <c r="E157" s="186"/>
      <c r="F157" s="186"/>
      <c r="G157" s="186"/>
      <c r="H157" s="186"/>
      <c r="I157" s="186"/>
      <c r="J157" s="186"/>
      <c r="K157" s="186"/>
      <c r="L157" s="186"/>
      <c r="M157" s="186"/>
      <c r="N157" s="186"/>
      <c r="O157" s="186"/>
      <c r="P157" s="186"/>
      <c r="Q157" s="186"/>
      <c r="R157" s="186"/>
      <c r="S157" s="186"/>
      <c r="T157" s="186"/>
      <c r="U157" s="186"/>
      <c r="V157" s="186"/>
      <c r="W157" s="186"/>
      <c r="X157" s="186"/>
      <c r="Y157" s="186"/>
      <c r="Z157" s="186"/>
      <c r="AA157" s="186"/>
      <c r="AB157" s="186"/>
      <c r="AC157" s="186"/>
      <c r="AD157" s="186"/>
      <c r="AE157" s="186"/>
      <c r="AF157" s="186"/>
      <c r="AG157" s="1073">
        <f t="shared" ref="AG157:AO157" si="119">1-AG154</f>
        <v>1</v>
      </c>
      <c r="AH157" s="1073">
        <f t="shared" si="119"/>
        <v>1</v>
      </c>
      <c r="AI157" s="1073">
        <f t="shared" si="119"/>
        <v>0.82000000000000006</v>
      </c>
      <c r="AJ157" s="1073">
        <f t="shared" si="119"/>
        <v>0.72</v>
      </c>
      <c r="AK157" s="1073">
        <f t="shared" si="119"/>
        <v>0.62</v>
      </c>
      <c r="AL157" s="1073">
        <f t="shared" si="119"/>
        <v>0.61</v>
      </c>
      <c r="AM157" s="462">
        <f t="shared" si="119"/>
        <v>0.6</v>
      </c>
      <c r="AN157" s="462">
        <f t="shared" si="119"/>
        <v>0.58000000000000007</v>
      </c>
      <c r="AO157" s="99">
        <f t="shared" si="119"/>
        <v>0.55000000000000004</v>
      </c>
      <c r="AP157" s="462"/>
      <c r="AQ157" s="462"/>
      <c r="AR157" s="462"/>
      <c r="AS157" s="627"/>
      <c r="AT157" s="462"/>
      <c r="AU157" s="462"/>
      <c r="AV157" s="462"/>
      <c r="AW157" s="1425">
        <f>1-AW154</f>
        <v>0.52500000000000002</v>
      </c>
      <c r="AX157" s="462"/>
      <c r="AY157" s="462"/>
      <c r="AZ157" s="462"/>
      <c r="BA157" s="627"/>
      <c r="BB157" s="462"/>
      <c r="BC157" s="462"/>
      <c r="BD157" s="462"/>
      <c r="BE157" s="1618">
        <f>1-BE154</f>
        <v>0.5</v>
      </c>
      <c r="BF157" s="462"/>
      <c r="BG157" s="462"/>
      <c r="BH157" s="462"/>
      <c r="BI157" s="627"/>
      <c r="BJ157" s="462"/>
      <c r="BK157" s="462"/>
      <c r="BL157" s="462"/>
      <c r="BM157" s="1425">
        <f>1-BM154</f>
        <v>0.47499999999999998</v>
      </c>
      <c r="BN157" s="462"/>
      <c r="BO157" s="462"/>
      <c r="BP157" s="462"/>
      <c r="BQ157" s="627"/>
      <c r="BR157" s="462"/>
      <c r="BS157" s="462"/>
      <c r="BT157" s="462"/>
      <c r="BU157" s="1104">
        <f>1-BU154</f>
        <v>0.44999999999999996</v>
      </c>
      <c r="BV157" s="462"/>
      <c r="BW157" s="462"/>
      <c r="BX157" s="462"/>
      <c r="BY157" s="627"/>
      <c r="BZ157" s="462"/>
      <c r="CA157" s="462"/>
      <c r="CB157" s="462"/>
      <c r="CC157" s="1104">
        <f>1-CC154</f>
        <v>0.42500000000000004</v>
      </c>
      <c r="CD157" s="462"/>
      <c r="CE157" s="462"/>
      <c r="CF157" s="462"/>
      <c r="CG157" s="627"/>
      <c r="CH157" s="462"/>
      <c r="CI157" s="462"/>
      <c r="CJ157" s="462"/>
      <c r="CK157" s="1104">
        <f>1-CK154</f>
        <v>0.4</v>
      </c>
      <c r="CL157" s="462"/>
      <c r="CM157" s="462"/>
      <c r="CN157" s="462"/>
      <c r="CO157" s="627"/>
      <c r="CP157" s="462"/>
      <c r="CQ157" s="462"/>
      <c r="CR157" s="462"/>
      <c r="CS157" s="1104">
        <f>1-CS154</f>
        <v>0.375</v>
      </c>
      <c r="CT157" s="462"/>
      <c r="CU157" s="462"/>
      <c r="CV157" s="462"/>
      <c r="CW157" s="627"/>
      <c r="CX157" s="462"/>
      <c r="CY157" s="462"/>
      <c r="CZ157" s="462"/>
      <c r="DA157" s="1104">
        <f>1-DA154</f>
        <v>0.35</v>
      </c>
    </row>
    <row r="158" spans="1:107" outlineLevel="1" x14ac:dyDescent="0.2">
      <c r="A158" s="997" t="s">
        <v>982</v>
      </c>
      <c r="B158" s="186"/>
      <c r="C158" s="186"/>
      <c r="D158" s="186"/>
      <c r="E158" s="186"/>
      <c r="F158" s="186"/>
      <c r="G158" s="186"/>
      <c r="H158" s="186"/>
      <c r="I158" s="186"/>
      <c r="J158" s="186"/>
      <c r="K158" s="186"/>
      <c r="L158" s="186"/>
      <c r="M158" s="186"/>
      <c r="N158" s="186"/>
      <c r="O158" s="186"/>
      <c r="P158" s="186"/>
      <c r="Q158" s="186"/>
      <c r="R158" s="186"/>
      <c r="S158" s="186"/>
      <c r="T158" s="186"/>
      <c r="U158" s="186"/>
      <c r="V158" s="186"/>
      <c r="W158" s="186"/>
      <c r="X158" s="186"/>
      <c r="Y158" s="186"/>
      <c r="Z158" s="186"/>
      <c r="AA158" s="186"/>
      <c r="AB158" s="186"/>
      <c r="AC158" s="186"/>
      <c r="AD158" s="186"/>
      <c r="AE158" s="186"/>
      <c r="AF158" s="186"/>
      <c r="AG158" s="186">
        <f t="shared" ref="AG158:AO158" si="120">(1-AG148)*AG134*AG147</f>
        <v>0</v>
      </c>
      <c r="AH158" s="186">
        <f t="shared" si="120"/>
        <v>0</v>
      </c>
      <c r="AI158" s="186">
        <f t="shared" si="120"/>
        <v>0</v>
      </c>
      <c r="AJ158" s="186">
        <f t="shared" si="120"/>
        <v>0</v>
      </c>
      <c r="AK158" s="186">
        <f t="shared" si="120"/>
        <v>0</v>
      </c>
      <c r="AL158" s="186">
        <f t="shared" si="120"/>
        <v>0</v>
      </c>
      <c r="AM158" s="186">
        <f t="shared" si="120"/>
        <v>0</v>
      </c>
      <c r="AN158" s="186">
        <f t="shared" si="120"/>
        <v>0</v>
      </c>
      <c r="AO158" s="284">
        <f t="shared" si="120"/>
        <v>0</v>
      </c>
      <c r="AP158" s="186"/>
      <c r="AQ158" s="186"/>
      <c r="AR158" s="186"/>
      <c r="AS158" s="283"/>
      <c r="AT158" s="186"/>
      <c r="AU158" s="186"/>
      <c r="AV158" s="186"/>
      <c r="AW158" s="341">
        <f>(1-AW148)*AW134*AW147</f>
        <v>10.611974081659097</v>
      </c>
      <c r="AX158" s="186"/>
      <c r="AY158" s="186"/>
      <c r="AZ158" s="186"/>
      <c r="BA158" s="283"/>
      <c r="BB158" s="186"/>
      <c r="BC158" s="186"/>
      <c r="BD158" s="186"/>
      <c r="BE158" s="341">
        <f>(1-BE148)*BE134*BE147</f>
        <v>99.644852010077258</v>
      </c>
      <c r="BF158" s="186"/>
      <c r="BG158" s="186"/>
      <c r="BH158" s="186"/>
      <c r="BI158" s="283"/>
      <c r="BJ158" s="186"/>
      <c r="BK158" s="186"/>
      <c r="BL158" s="186"/>
      <c r="BM158" s="341">
        <f>(1-BM148)*BM134*BM147</f>
        <v>156.50098125653167</v>
      </c>
      <c r="BN158" s="186"/>
      <c r="BO158" s="186"/>
      <c r="BP158" s="186"/>
      <c r="BQ158" s="283"/>
      <c r="BR158" s="186"/>
      <c r="BS158" s="186"/>
      <c r="BT158" s="186"/>
      <c r="BU158" s="301">
        <f>(1-BU148)*BU134*BU147</f>
        <v>253.68126370750429</v>
      </c>
      <c r="BV158" s="186"/>
      <c r="BW158" s="186"/>
      <c r="BX158" s="186"/>
      <c r="BY158" s="283"/>
      <c r="BZ158" s="186"/>
      <c r="CA158" s="186"/>
      <c r="CB158" s="186"/>
      <c r="CC158" s="301">
        <f>(1-CC148)*CC134*CC147</f>
        <v>348.95915673657942</v>
      </c>
      <c r="CD158" s="186"/>
      <c r="CE158" s="186"/>
      <c r="CF158" s="186"/>
      <c r="CG158" s="283"/>
      <c r="CH158" s="186"/>
      <c r="CI158" s="186"/>
      <c r="CJ158" s="186"/>
      <c r="CK158" s="301">
        <f>(1-CK148)*CK134*CK147</f>
        <v>437.12885649465716</v>
      </c>
      <c r="CL158" s="186"/>
      <c r="CM158" s="186"/>
      <c r="CN158" s="186"/>
      <c r="CO158" s="283"/>
      <c r="CP158" s="186"/>
      <c r="CQ158" s="186"/>
      <c r="CR158" s="186"/>
      <c r="CS158" s="301">
        <f>(1-CS148)*CS134*CS147</f>
        <v>533.86874781903805</v>
      </c>
      <c r="CT158" s="186"/>
      <c r="CU158" s="186"/>
      <c r="CV158" s="186"/>
      <c r="CW158" s="283"/>
      <c r="CX158" s="186"/>
      <c r="CY158" s="186"/>
      <c r="CZ158" s="186"/>
      <c r="DA158" s="301">
        <f>(1-DA148)*DA134*DA147</f>
        <v>641.63780054911956</v>
      </c>
    </row>
    <row r="159" spans="1:107" outlineLevel="1" x14ac:dyDescent="0.2">
      <c r="A159" s="997"/>
      <c r="B159" s="186"/>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284"/>
      <c r="AP159" s="186"/>
      <c r="AQ159" s="186"/>
      <c r="AR159" s="186"/>
      <c r="AS159" s="283"/>
      <c r="AT159" s="186"/>
      <c r="AU159" s="186"/>
      <c r="AV159" s="186"/>
      <c r="AW159" s="341"/>
      <c r="AX159" s="186"/>
      <c r="AY159" s="186"/>
      <c r="AZ159" s="186"/>
      <c r="BA159" s="283"/>
      <c r="BB159" s="186"/>
      <c r="BC159" s="186"/>
      <c r="BD159" s="186"/>
      <c r="BE159" s="341"/>
      <c r="BF159" s="186"/>
      <c r="BG159" s="186"/>
      <c r="BH159" s="186"/>
      <c r="BI159" s="283"/>
      <c r="BJ159" s="186"/>
      <c r="BK159" s="186"/>
      <c r="BL159" s="186"/>
      <c r="BM159" s="341"/>
      <c r="BN159" s="186"/>
      <c r="BO159" s="186"/>
      <c r="BP159" s="186"/>
      <c r="BQ159" s="283"/>
      <c r="BR159" s="186"/>
      <c r="BS159" s="186"/>
      <c r="BT159" s="186"/>
      <c r="BU159" s="341"/>
      <c r="BV159" s="186"/>
      <c r="BW159" s="186"/>
      <c r="BX159" s="186"/>
      <c r="BY159" s="283"/>
      <c r="BZ159" s="186"/>
      <c r="CA159" s="186"/>
      <c r="CB159" s="186"/>
      <c r="CC159" s="341"/>
      <c r="CD159" s="186"/>
      <c r="CE159" s="186"/>
      <c r="CF159" s="186"/>
      <c r="CG159" s="283"/>
      <c r="CH159" s="186"/>
      <c r="CI159" s="186"/>
      <c r="CJ159" s="186"/>
      <c r="CK159" s="341"/>
      <c r="CL159" s="186"/>
      <c r="CM159" s="186"/>
      <c r="CN159" s="186"/>
      <c r="CO159" s="283"/>
      <c r="CP159" s="186"/>
      <c r="CQ159" s="186"/>
      <c r="CR159" s="186"/>
      <c r="CS159" s="341"/>
      <c r="CT159" s="186"/>
      <c r="CU159" s="186"/>
      <c r="CV159" s="186"/>
      <c r="CW159" s="283"/>
      <c r="CX159" s="186"/>
      <c r="CY159" s="186"/>
      <c r="CZ159" s="186"/>
      <c r="DA159" s="341"/>
    </row>
    <row r="160" spans="1:107" outlineLevel="1" x14ac:dyDescent="0.2">
      <c r="A160" s="997" t="s">
        <v>1151</v>
      </c>
      <c r="AO160" s="180"/>
      <c r="AS160" s="179"/>
      <c r="AW160" s="314"/>
      <c r="BA160" s="179"/>
      <c r="BE160" s="314">
        <f>800-BE147</f>
        <v>400</v>
      </c>
      <c r="BF160" s="11"/>
      <c r="BG160" s="11"/>
      <c r="BH160" s="11"/>
      <c r="BI160" s="181"/>
      <c r="BJ160" s="11"/>
      <c r="BK160" s="11"/>
      <c r="BL160" s="11"/>
      <c r="BM160" s="314">
        <f>1750-BM147</f>
        <v>1200</v>
      </c>
      <c r="BN160" s="11"/>
      <c r="BO160" s="11"/>
      <c r="BP160" s="11"/>
      <c r="BQ160" s="181"/>
      <c r="BR160" s="11"/>
      <c r="BS160" s="11"/>
      <c r="BT160" s="11"/>
      <c r="BU160" s="603">
        <f>2200-BU147</f>
        <v>1400</v>
      </c>
      <c r="BV160" s="11"/>
      <c r="BW160" s="11"/>
      <c r="BX160" s="11"/>
      <c r="BY160" s="181"/>
      <c r="BZ160" s="11"/>
      <c r="CA160" s="11"/>
      <c r="CB160" s="11"/>
      <c r="CC160" s="603">
        <f>2650-CC147</f>
        <v>1650</v>
      </c>
      <c r="CD160" s="11"/>
      <c r="CE160" s="11"/>
      <c r="CF160" s="11"/>
      <c r="CG160" s="181"/>
      <c r="CH160" s="11"/>
      <c r="CI160" s="11"/>
      <c r="CJ160" s="11"/>
      <c r="CK160" s="603">
        <f>3100-CK147</f>
        <v>1900</v>
      </c>
      <c r="CL160" s="11"/>
      <c r="CM160" s="11"/>
      <c r="CN160" s="11"/>
      <c r="CO160" s="181"/>
      <c r="CP160" s="11"/>
      <c r="CQ160" s="11"/>
      <c r="CR160" s="11"/>
      <c r="CS160" s="603">
        <f>3425-CS147</f>
        <v>2025</v>
      </c>
      <c r="CT160" s="11"/>
      <c r="CU160" s="11"/>
      <c r="CV160" s="11"/>
      <c r="CW160" s="181"/>
      <c r="CX160" s="11"/>
      <c r="CY160" s="11"/>
      <c r="CZ160" s="11"/>
      <c r="DA160" s="603">
        <f>3750-DA147</f>
        <v>2150</v>
      </c>
      <c r="DB160" s="4" t="s">
        <v>1152</v>
      </c>
    </row>
    <row r="161" spans="1:106" outlineLevel="1" x14ac:dyDescent="0.2">
      <c r="A161" s="997"/>
      <c r="B161" s="186"/>
      <c r="C161" s="186"/>
      <c r="D161" s="186"/>
      <c r="E161" s="186"/>
      <c r="F161" s="186"/>
      <c r="G161" s="186"/>
      <c r="H161" s="186"/>
      <c r="I161" s="186"/>
      <c r="J161" s="186"/>
      <c r="K161" s="186"/>
      <c r="L161" s="186"/>
      <c r="M161" s="186"/>
      <c r="N161" s="186"/>
      <c r="O161" s="186"/>
      <c r="P161" s="186"/>
      <c r="Q161" s="186"/>
      <c r="R161" s="186"/>
      <c r="S161" s="186"/>
      <c r="T161" s="186"/>
      <c r="U161" s="186"/>
      <c r="V161" s="186"/>
      <c r="W161" s="186"/>
      <c r="X161" s="186"/>
      <c r="Y161" s="186"/>
      <c r="Z161" s="186"/>
      <c r="AA161" s="186"/>
      <c r="AB161" s="186"/>
      <c r="AC161" s="186"/>
      <c r="AD161" s="186"/>
      <c r="AE161" s="186"/>
      <c r="AF161" s="186"/>
      <c r="AG161" s="186"/>
      <c r="AH161" s="186"/>
      <c r="AI161" s="186"/>
      <c r="AJ161" s="186"/>
      <c r="AK161" s="186"/>
      <c r="AL161" s="186"/>
      <c r="AM161" s="186"/>
      <c r="AN161" s="186"/>
      <c r="AO161" s="284"/>
      <c r="AP161" s="186"/>
      <c r="AQ161" s="186"/>
      <c r="AR161" s="186"/>
      <c r="AS161" s="283"/>
      <c r="AT161" s="186"/>
      <c r="AU161" s="186"/>
      <c r="AV161" s="186"/>
      <c r="AW161" s="341"/>
      <c r="AX161" s="186"/>
      <c r="AY161" s="186"/>
      <c r="AZ161" s="186"/>
      <c r="BA161" s="283"/>
      <c r="BB161" s="186"/>
      <c r="BC161" s="186"/>
      <c r="BD161" s="186"/>
      <c r="BE161" s="341"/>
      <c r="BF161" s="186"/>
      <c r="BG161" s="186"/>
      <c r="BH161" s="186"/>
      <c r="BI161" s="283"/>
      <c r="BJ161" s="186"/>
      <c r="BK161" s="186"/>
      <c r="BL161" s="186"/>
      <c r="BM161" s="341"/>
      <c r="BN161" s="186"/>
      <c r="BO161" s="186"/>
      <c r="BP161" s="186"/>
      <c r="BQ161" s="283"/>
      <c r="BR161" s="186"/>
      <c r="BS161" s="186"/>
      <c r="BT161" s="186"/>
      <c r="BU161" s="341"/>
      <c r="BV161" s="186"/>
      <c r="BW161" s="186"/>
      <c r="BX161" s="186"/>
      <c r="BY161" s="283"/>
      <c r="BZ161" s="186"/>
      <c r="CA161" s="186"/>
      <c r="CB161" s="186"/>
      <c r="CC161" s="341"/>
      <c r="CD161" s="186"/>
      <c r="CE161" s="186"/>
      <c r="CF161" s="186"/>
      <c r="CG161" s="283"/>
      <c r="CH161" s="186"/>
      <c r="CI161" s="186"/>
      <c r="CJ161" s="186"/>
      <c r="CK161" s="341"/>
      <c r="CL161" s="186"/>
      <c r="CM161" s="186"/>
      <c r="CN161" s="186"/>
      <c r="CO161" s="283"/>
      <c r="CP161" s="186"/>
      <c r="CQ161" s="186"/>
      <c r="CR161" s="186"/>
      <c r="CS161" s="341"/>
      <c r="CT161" s="186"/>
      <c r="CU161" s="186"/>
      <c r="CV161" s="186"/>
      <c r="CW161" s="283"/>
      <c r="CX161" s="186"/>
      <c r="CY161" s="186"/>
      <c r="CZ161" s="186"/>
      <c r="DA161" s="341"/>
    </row>
    <row r="162" spans="1:106" outlineLevel="1" x14ac:dyDescent="0.2">
      <c r="A162" s="997"/>
      <c r="B162" s="186"/>
      <c r="C162" s="186"/>
      <c r="D162" s="186"/>
      <c r="E162" s="186"/>
      <c r="F162" s="186"/>
      <c r="G162" s="186"/>
      <c r="H162" s="186"/>
      <c r="I162" s="186"/>
      <c r="J162" s="186"/>
      <c r="K162" s="186"/>
      <c r="L162" s="186"/>
      <c r="M162" s="186"/>
      <c r="N162" s="186"/>
      <c r="O162" s="186"/>
      <c r="P162" s="186"/>
      <c r="Q162" s="186"/>
      <c r="R162" s="186"/>
      <c r="S162" s="186"/>
      <c r="T162" s="186"/>
      <c r="U162" s="186"/>
      <c r="V162" s="186"/>
      <c r="W162" s="186"/>
      <c r="X162" s="186"/>
      <c r="Y162" s="186"/>
      <c r="Z162" s="186"/>
      <c r="AA162" s="186"/>
      <c r="AB162" s="186"/>
      <c r="AC162" s="186"/>
      <c r="AD162" s="186"/>
      <c r="AE162" s="186"/>
      <c r="AF162" s="186"/>
      <c r="AG162" s="186"/>
      <c r="AH162" s="186"/>
      <c r="AI162" s="186"/>
      <c r="AJ162" s="186"/>
      <c r="AK162" s="186"/>
      <c r="AL162" s="186"/>
      <c r="AM162" s="186"/>
      <c r="AN162" s="186"/>
      <c r="AO162" s="284"/>
      <c r="AP162" s="186"/>
      <c r="AQ162" s="186"/>
      <c r="AR162" s="186"/>
      <c r="AS162" s="283"/>
      <c r="AT162" s="186"/>
      <c r="AU162" s="186"/>
      <c r="AV162" s="186"/>
      <c r="AW162" s="341"/>
      <c r="AX162" s="186"/>
      <c r="AY162" s="186"/>
      <c r="AZ162" s="186"/>
      <c r="BA162" s="283"/>
      <c r="BB162" s="186"/>
      <c r="BC162" s="186"/>
      <c r="BD162" s="186"/>
      <c r="BE162" s="341"/>
      <c r="BF162" s="186"/>
      <c r="BG162" s="186"/>
      <c r="BH162" s="186"/>
      <c r="BI162" s="283"/>
      <c r="BJ162" s="186"/>
      <c r="BK162" s="186"/>
      <c r="BL162" s="186"/>
      <c r="BM162" s="341"/>
      <c r="BN162" s="186"/>
      <c r="BO162" s="186"/>
      <c r="BP162" s="186"/>
      <c r="BQ162" s="283"/>
      <c r="BR162" s="186"/>
      <c r="BS162" s="186"/>
      <c r="BT162" s="186"/>
      <c r="BU162" s="341"/>
      <c r="BV162" s="186"/>
      <c r="BW162" s="186"/>
      <c r="BX162" s="186"/>
      <c r="BY162" s="283"/>
      <c r="BZ162" s="186"/>
      <c r="CA162" s="186"/>
      <c r="CB162" s="186"/>
      <c r="CC162" s="341"/>
      <c r="CD162" s="186"/>
      <c r="CE162" s="186"/>
      <c r="CF162" s="186"/>
      <c r="CG162" s="283"/>
      <c r="CH162" s="186"/>
      <c r="CI162" s="186"/>
      <c r="CJ162" s="186"/>
      <c r="CK162" s="341"/>
      <c r="CL162" s="186"/>
      <c r="CM162" s="186"/>
      <c r="CN162" s="186"/>
      <c r="CO162" s="283"/>
      <c r="CP162" s="186"/>
      <c r="CQ162" s="186"/>
      <c r="CR162" s="186"/>
      <c r="CS162" s="341"/>
      <c r="CT162" s="186"/>
      <c r="CU162" s="186"/>
      <c r="CV162" s="186"/>
      <c r="CW162" s="283"/>
      <c r="CX162" s="186"/>
      <c r="CY162" s="186"/>
      <c r="CZ162" s="186"/>
      <c r="DA162" s="341"/>
    </row>
    <row r="163" spans="1:106" s="281" customFormat="1" outlineLevel="1" x14ac:dyDescent="0.2">
      <c r="A163" s="1532" t="s">
        <v>1154</v>
      </c>
      <c r="B163" s="1510"/>
      <c r="C163" s="1510"/>
      <c r="D163" s="1510"/>
      <c r="E163" s="1510"/>
      <c r="F163" s="1510"/>
      <c r="G163" s="1510"/>
      <c r="H163" s="1510"/>
      <c r="I163" s="1510"/>
      <c r="J163" s="1510"/>
      <c r="K163" s="1510"/>
      <c r="L163" s="1510"/>
      <c r="M163" s="1510"/>
      <c r="N163" s="1510"/>
      <c r="O163" s="1510"/>
      <c r="P163" s="1510"/>
      <c r="Q163" s="1510"/>
      <c r="R163" s="1510"/>
      <c r="S163" s="1510"/>
      <c r="T163" s="1510"/>
      <c r="U163" s="1510"/>
      <c r="V163" s="1510"/>
      <c r="W163" s="1510"/>
      <c r="X163" s="1510"/>
      <c r="Y163" s="1510"/>
      <c r="Z163" s="1510"/>
      <c r="AA163" s="1510"/>
      <c r="AB163" s="1510"/>
      <c r="AC163" s="1510"/>
      <c r="AD163" s="1510"/>
      <c r="AE163" s="1510"/>
      <c r="AF163" s="1510"/>
      <c r="AG163" s="1510"/>
      <c r="AH163" s="1510"/>
      <c r="AI163" s="1510"/>
      <c r="AJ163" s="1510"/>
      <c r="AK163" s="1510"/>
      <c r="AL163" s="1510"/>
      <c r="AM163" s="1510"/>
      <c r="AN163" s="1510"/>
      <c r="AO163" s="1495"/>
      <c r="AP163" s="1510"/>
      <c r="AQ163" s="1510"/>
      <c r="AR163" s="1510"/>
      <c r="AS163" s="1533"/>
      <c r="AT163" s="1510"/>
      <c r="AU163" s="1510"/>
      <c r="AV163" s="1510"/>
      <c r="AW163" s="1534"/>
      <c r="AX163" s="1510"/>
      <c r="AY163" s="1510"/>
      <c r="AZ163" s="1510"/>
      <c r="BA163" s="1533"/>
      <c r="BB163" s="1510"/>
      <c r="BC163" s="1510"/>
      <c r="BD163" s="1510"/>
      <c r="BE163" s="1534">
        <v>0.9</v>
      </c>
      <c r="BF163" s="1510"/>
      <c r="BG163" s="1510"/>
      <c r="BH163" s="1510"/>
      <c r="BI163" s="1533"/>
      <c r="BJ163" s="1510"/>
      <c r="BK163" s="1510"/>
      <c r="BL163" s="1510"/>
      <c r="BM163" s="1534">
        <v>0.87</v>
      </c>
      <c r="BN163" s="1510"/>
      <c r="BO163" s="1510"/>
      <c r="BP163" s="1510"/>
      <c r="BQ163" s="1533"/>
      <c r="BR163" s="1510"/>
      <c r="BS163" s="1510"/>
      <c r="BT163" s="1510"/>
      <c r="BU163" s="1536">
        <v>0.84</v>
      </c>
      <c r="BV163" s="1510"/>
      <c r="BW163" s="1510"/>
      <c r="BX163" s="1510"/>
      <c r="BY163" s="1533"/>
      <c r="BZ163" s="1510"/>
      <c r="CA163" s="1510"/>
      <c r="CB163" s="1510"/>
      <c r="CC163" s="1536">
        <v>0.81</v>
      </c>
      <c r="CD163" s="1510"/>
      <c r="CE163" s="1510"/>
      <c r="CF163" s="1510"/>
      <c r="CG163" s="1533"/>
      <c r="CH163" s="1510"/>
      <c r="CI163" s="1510"/>
      <c r="CJ163" s="1510"/>
      <c r="CK163" s="1536">
        <v>0.78</v>
      </c>
      <c r="CL163" s="1510"/>
      <c r="CM163" s="1510"/>
      <c r="CN163" s="1510"/>
      <c r="CO163" s="1533"/>
      <c r="CP163" s="1510"/>
      <c r="CQ163" s="1510"/>
      <c r="CR163" s="1510"/>
      <c r="CS163" s="1536">
        <v>0.75</v>
      </c>
      <c r="CT163" s="1510"/>
      <c r="CU163" s="1510"/>
      <c r="CV163" s="1510"/>
      <c r="CW163" s="1533"/>
      <c r="CX163" s="1510"/>
      <c r="CY163" s="1510"/>
      <c r="CZ163" s="1510"/>
      <c r="DA163" s="1536">
        <v>0.7</v>
      </c>
      <c r="DB163" s="281" t="s">
        <v>1175</v>
      </c>
    </row>
    <row r="164" spans="1:106" outlineLevel="1" x14ac:dyDescent="0.2">
      <c r="A164" s="980"/>
      <c r="B164" s="980" t="s">
        <v>1153</v>
      </c>
      <c r="AO164" s="180"/>
      <c r="AS164" s="179"/>
      <c r="AW164" s="314"/>
      <c r="BA164" s="179"/>
      <c r="BE164" s="1619">
        <f>BE163/2</f>
        <v>0.45</v>
      </c>
      <c r="BI164" s="179"/>
      <c r="BM164" s="1502">
        <f>BM163/2</f>
        <v>0.435</v>
      </c>
      <c r="BQ164" s="179"/>
      <c r="BU164" s="1535">
        <f>BU163/2</f>
        <v>0.42</v>
      </c>
      <c r="BY164" s="179"/>
      <c r="CC164" s="1535">
        <f>CC163/2</f>
        <v>0.40500000000000003</v>
      </c>
      <c r="CG164" s="179"/>
      <c r="CK164" s="1535">
        <f>CK163/2</f>
        <v>0.39</v>
      </c>
      <c r="CO164" s="179"/>
      <c r="CS164" s="1535">
        <f>CS163/2</f>
        <v>0.375</v>
      </c>
      <c r="CW164" s="179"/>
      <c r="DA164" s="1535">
        <f>DA163/2</f>
        <v>0.35</v>
      </c>
    </row>
    <row r="165" spans="1:106" outlineLevel="1" x14ac:dyDescent="0.2">
      <c r="A165" s="997"/>
      <c r="B165" s="186"/>
      <c r="C165" s="186"/>
      <c r="D165" s="186"/>
      <c r="E165" s="186"/>
      <c r="F165" s="186"/>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c r="AM165" s="186"/>
      <c r="AN165" s="186"/>
      <c r="AO165" s="284"/>
      <c r="AP165" s="186"/>
      <c r="AQ165" s="186"/>
      <c r="AR165" s="186"/>
      <c r="AS165" s="283"/>
      <c r="AT165" s="186"/>
      <c r="AU165" s="186"/>
      <c r="AV165" s="186"/>
      <c r="AW165" s="341"/>
      <c r="AX165" s="186"/>
      <c r="AY165" s="186"/>
      <c r="AZ165" s="186"/>
      <c r="BA165" s="283"/>
      <c r="BB165" s="186"/>
      <c r="BC165" s="186"/>
      <c r="BD165" s="186"/>
      <c r="BE165" s="341"/>
      <c r="BF165" s="186"/>
      <c r="BG165" s="186"/>
      <c r="BH165" s="186"/>
      <c r="BI165" s="283"/>
      <c r="BJ165" s="186"/>
      <c r="BK165" s="186"/>
      <c r="BL165" s="186"/>
      <c r="BM165" s="341"/>
      <c r="BN165" s="186"/>
      <c r="BO165" s="186"/>
      <c r="BP165" s="186"/>
      <c r="BQ165" s="283"/>
      <c r="BR165" s="186"/>
      <c r="BS165" s="186"/>
      <c r="BT165" s="186"/>
      <c r="BU165" s="341"/>
      <c r="BV165" s="186"/>
      <c r="BW165" s="186"/>
      <c r="BX165" s="186"/>
      <c r="BY165" s="283"/>
      <c r="BZ165" s="186"/>
      <c r="CA165" s="186"/>
      <c r="CB165" s="186"/>
      <c r="CC165" s="341"/>
      <c r="CD165" s="186"/>
      <c r="CE165" s="186"/>
      <c r="CF165" s="186"/>
      <c r="CG165" s="283"/>
      <c r="CH165" s="186"/>
      <c r="CI165" s="186"/>
      <c r="CJ165" s="186"/>
      <c r="CK165" s="341"/>
      <c r="CL165" s="186"/>
      <c r="CM165" s="186"/>
      <c r="CN165" s="186"/>
      <c r="CO165" s="283"/>
      <c r="CP165" s="186"/>
      <c r="CQ165" s="186"/>
      <c r="CR165" s="186"/>
      <c r="CS165" s="341"/>
      <c r="CT165" s="186"/>
      <c r="CU165" s="186"/>
      <c r="CV165" s="186"/>
      <c r="CW165" s="283"/>
      <c r="CX165" s="186"/>
      <c r="CY165" s="186"/>
      <c r="CZ165" s="186"/>
      <c r="DA165" s="341"/>
    </row>
    <row r="166" spans="1:106" outlineLevel="1" x14ac:dyDescent="0.2">
      <c r="A166" s="1532" t="s">
        <v>1155</v>
      </c>
      <c r="B166" s="186"/>
      <c r="C166" s="186"/>
      <c r="D166" s="186"/>
      <c r="E166" s="186"/>
      <c r="F166" s="186"/>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284"/>
      <c r="AP166" s="186"/>
      <c r="AQ166" s="186"/>
      <c r="AR166" s="186"/>
      <c r="AS166" s="283"/>
      <c r="AT166" s="186"/>
      <c r="AU166" s="186"/>
      <c r="AV166" s="186"/>
      <c r="AW166" s="341"/>
      <c r="AX166" s="186"/>
      <c r="AY166" s="186"/>
      <c r="AZ166" s="186"/>
      <c r="BA166" s="283"/>
      <c r="BB166" s="186"/>
      <c r="BC166" s="186"/>
      <c r="BD166" s="186"/>
      <c r="BE166" s="341">
        <f>(BE147+BE160)*BE163</f>
        <v>720</v>
      </c>
      <c r="BF166" s="186"/>
      <c r="BG166" s="186"/>
      <c r="BH166" s="186"/>
      <c r="BI166" s="283"/>
      <c r="BJ166" s="186"/>
      <c r="BK166" s="186"/>
      <c r="BL166" s="186"/>
      <c r="BM166" s="341">
        <f>(BM147+BM160)*BM163</f>
        <v>1522.5</v>
      </c>
      <c r="BN166" s="186"/>
      <c r="BO166" s="186"/>
      <c r="BP166" s="186"/>
      <c r="BQ166" s="283"/>
      <c r="BR166" s="186"/>
      <c r="BS166" s="186"/>
      <c r="BT166" s="186"/>
      <c r="BU166" s="301">
        <f>(BU147+BU160)*BU163</f>
        <v>1848</v>
      </c>
      <c r="BV166" s="186"/>
      <c r="BW166" s="186"/>
      <c r="BX166" s="186"/>
      <c r="BY166" s="283"/>
      <c r="BZ166" s="186"/>
      <c r="CA166" s="186"/>
      <c r="CB166" s="186"/>
      <c r="CC166" s="301">
        <f>(CC147+CC160)*CC163</f>
        <v>2146.5</v>
      </c>
      <c r="CD166" s="186"/>
      <c r="CE166" s="186"/>
      <c r="CF166" s="186"/>
      <c r="CG166" s="283"/>
      <c r="CH166" s="186"/>
      <c r="CI166" s="186"/>
      <c r="CJ166" s="186"/>
      <c r="CK166" s="301">
        <f>(CK147+CK160)*CK163</f>
        <v>2418</v>
      </c>
      <c r="CL166" s="186"/>
      <c r="CM166" s="186"/>
      <c r="CN166" s="186"/>
      <c r="CO166" s="283"/>
      <c r="CP166" s="186"/>
      <c r="CQ166" s="186"/>
      <c r="CR166" s="186"/>
      <c r="CS166" s="301">
        <f>(CS147+CS160)*CS163</f>
        <v>2568.75</v>
      </c>
      <c r="CT166" s="186"/>
      <c r="CU166" s="186"/>
      <c r="CV166" s="186"/>
      <c r="CW166" s="283"/>
      <c r="CX166" s="186"/>
      <c r="CY166" s="186"/>
      <c r="CZ166" s="186"/>
      <c r="DA166" s="301">
        <f>(DA147+DA160)*DA163</f>
        <v>2625</v>
      </c>
    </row>
    <row r="167" spans="1:106" outlineLevel="1" x14ac:dyDescent="0.2">
      <c r="A167" s="997"/>
      <c r="B167" s="4" t="s">
        <v>1156</v>
      </c>
      <c r="C167" s="186"/>
      <c r="D167" s="186"/>
      <c r="E167" s="186"/>
      <c r="F167" s="186"/>
      <c r="G167" s="186"/>
      <c r="H167" s="186"/>
      <c r="I167" s="186"/>
      <c r="J167" s="186"/>
      <c r="K167" s="186"/>
      <c r="L167" s="186"/>
      <c r="M167" s="186"/>
      <c r="N167" s="186"/>
      <c r="O167" s="186"/>
      <c r="P167" s="186"/>
      <c r="Q167" s="186"/>
      <c r="R167" s="186"/>
      <c r="S167" s="186"/>
      <c r="T167" s="186"/>
      <c r="U167" s="186"/>
      <c r="V167" s="186"/>
      <c r="W167" s="186"/>
      <c r="X167" s="186"/>
      <c r="Y167" s="186"/>
      <c r="Z167" s="186"/>
      <c r="AA167" s="186"/>
      <c r="AB167" s="186"/>
      <c r="AC167" s="186"/>
      <c r="AD167" s="186"/>
      <c r="AE167" s="186"/>
      <c r="AF167" s="186"/>
      <c r="AG167" s="186"/>
      <c r="AH167" s="186"/>
      <c r="AI167" s="186"/>
      <c r="AJ167" s="186"/>
      <c r="AK167" s="186"/>
      <c r="AL167" s="186"/>
      <c r="AM167" s="186"/>
      <c r="AN167" s="186"/>
      <c r="AO167" s="284"/>
      <c r="AP167" s="186"/>
      <c r="AQ167" s="186"/>
      <c r="AR167" s="186"/>
      <c r="AS167" s="283"/>
      <c r="AT167" s="186"/>
      <c r="AU167" s="186"/>
      <c r="AV167" s="186"/>
      <c r="AW167" s="341"/>
      <c r="AX167" s="186"/>
      <c r="AY167" s="186"/>
      <c r="AZ167" s="186"/>
      <c r="BA167" s="283"/>
      <c r="BB167" s="186"/>
      <c r="BC167" s="186"/>
      <c r="BD167" s="186"/>
      <c r="BE167" s="314">
        <f>BE166*0.5</f>
        <v>360</v>
      </c>
      <c r="BI167" s="179"/>
      <c r="BM167" s="314">
        <f>BM166*0.5</f>
        <v>761.25</v>
      </c>
      <c r="BQ167" s="179"/>
      <c r="BU167" s="603">
        <f>BU166*0.5</f>
        <v>924</v>
      </c>
      <c r="BY167" s="179"/>
      <c r="CC167" s="603">
        <f>CC166*0.5</f>
        <v>1073.25</v>
      </c>
      <c r="CG167" s="179"/>
      <c r="CK167" s="603">
        <f>CK166*0.5</f>
        <v>1209</v>
      </c>
      <c r="CO167" s="179"/>
      <c r="CS167" s="603">
        <f>CS166*0.5</f>
        <v>1284.375</v>
      </c>
      <c r="CW167" s="179"/>
      <c r="DA167" s="603">
        <f>DA166*0.5</f>
        <v>1312.5</v>
      </c>
      <c r="DB167" s="4" t="s">
        <v>1157</v>
      </c>
    </row>
    <row r="168" spans="1:106" outlineLevel="1" x14ac:dyDescent="0.2">
      <c r="A168" s="997"/>
      <c r="B168" s="186"/>
      <c r="C168" s="186"/>
      <c r="D168" s="186"/>
      <c r="E168" s="186"/>
      <c r="F168" s="186"/>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284"/>
      <c r="AP168" s="186"/>
      <c r="AQ168" s="186"/>
      <c r="AR168" s="186"/>
      <c r="AS168" s="283"/>
      <c r="AT168" s="186"/>
      <c r="AU168" s="186"/>
      <c r="AV168" s="186"/>
      <c r="AW168" s="341"/>
      <c r="AX168" s="186"/>
      <c r="AY168" s="186"/>
      <c r="AZ168" s="186"/>
      <c r="BA168" s="283"/>
      <c r="BB168" s="186"/>
      <c r="BC168" s="186"/>
      <c r="BD168" s="186"/>
      <c r="BE168" s="341"/>
      <c r="BF168" s="186"/>
      <c r="BG168" s="186"/>
      <c r="BH168" s="186"/>
      <c r="BI168" s="283"/>
      <c r="BJ168" s="186"/>
      <c r="BK168" s="186"/>
      <c r="BL168" s="186"/>
      <c r="BM168" s="341"/>
      <c r="BN168" s="186"/>
      <c r="BO168" s="186"/>
      <c r="BP168" s="186"/>
      <c r="BQ168" s="283"/>
      <c r="BR168" s="186"/>
      <c r="BS168" s="186"/>
      <c r="BT168" s="186"/>
      <c r="BU168" s="341"/>
      <c r="BV168" s="186"/>
      <c r="BW168" s="186"/>
      <c r="BX168" s="186"/>
      <c r="BY168" s="283"/>
      <c r="BZ168" s="186"/>
      <c r="CA168" s="186"/>
      <c r="CB168" s="186"/>
      <c r="CC168" s="341"/>
      <c r="CD168" s="186"/>
      <c r="CE168" s="186"/>
      <c r="CF168" s="186"/>
      <c r="CG168" s="283"/>
      <c r="CH168" s="186"/>
      <c r="CI168" s="186"/>
      <c r="CJ168" s="186"/>
      <c r="CK168" s="341"/>
      <c r="CL168" s="186"/>
      <c r="CM168" s="186"/>
      <c r="CN168" s="186"/>
      <c r="CO168" s="283"/>
      <c r="CP168" s="186"/>
      <c r="CQ168" s="186"/>
      <c r="CR168" s="186"/>
      <c r="CS168" s="341"/>
      <c r="CT168" s="186"/>
      <c r="CU168" s="186"/>
      <c r="CV168" s="186"/>
      <c r="CW168" s="283"/>
      <c r="CX168" s="186"/>
      <c r="CY168" s="186"/>
      <c r="CZ168" s="186"/>
      <c r="DA168" s="341"/>
    </row>
    <row r="169" spans="1:106" x14ac:dyDescent="0.2">
      <c r="A169" s="997"/>
      <c r="B169" s="186"/>
      <c r="C169" s="186"/>
      <c r="D169" s="186"/>
      <c r="E169" s="186"/>
      <c r="F169" s="186"/>
      <c r="G169" s="186"/>
      <c r="H169" s="186"/>
      <c r="I169" s="186"/>
      <c r="J169" s="186"/>
      <c r="K169" s="186"/>
      <c r="L169" s="186"/>
      <c r="M169" s="186"/>
      <c r="N169" s="186"/>
      <c r="O169" s="186"/>
      <c r="P169" s="186"/>
      <c r="Q169" s="186"/>
      <c r="R169" s="186"/>
      <c r="S169" s="186"/>
      <c r="T169" s="186"/>
      <c r="U169" s="186"/>
      <c r="V169" s="186"/>
      <c r="W169" s="186"/>
      <c r="X169" s="186"/>
      <c r="Y169" s="186"/>
      <c r="Z169" s="186"/>
      <c r="AA169" s="186"/>
      <c r="AB169" s="186"/>
      <c r="AC169" s="186"/>
      <c r="AD169" s="186"/>
      <c r="AE169" s="186"/>
      <c r="AF169" s="186"/>
      <c r="AG169" s="186"/>
      <c r="AH169" s="186"/>
      <c r="AI169" s="186"/>
      <c r="AJ169" s="186"/>
      <c r="AK169" s="186"/>
      <c r="AL169" s="186"/>
      <c r="AM169" s="186"/>
      <c r="AN169" s="186"/>
      <c r="AO169" s="284"/>
      <c r="AP169" s="186"/>
      <c r="AQ169" s="186"/>
      <c r="AR169" s="186"/>
      <c r="AS169" s="283"/>
      <c r="AT169" s="186"/>
      <c r="AU169" s="186"/>
      <c r="AV169" s="186"/>
      <c r="AW169" s="341"/>
      <c r="AX169" s="186"/>
      <c r="AY169" s="186"/>
      <c r="AZ169" s="186"/>
      <c r="BA169" s="283"/>
      <c r="BB169" s="186"/>
      <c r="BC169" s="186"/>
      <c r="BD169" s="186"/>
      <c r="BE169" s="341"/>
      <c r="BF169" s="186"/>
      <c r="BG169" s="186"/>
      <c r="BH169" s="186"/>
      <c r="BI169" s="283"/>
      <c r="BJ169" s="186"/>
      <c r="BK169" s="186"/>
      <c r="BL169" s="186"/>
      <c r="BM169" s="341"/>
      <c r="BN169" s="186"/>
      <c r="BO169" s="186"/>
      <c r="BP169" s="186"/>
      <c r="BQ169" s="283"/>
      <c r="BR169" s="186"/>
      <c r="BS169" s="186"/>
      <c r="BT169" s="186"/>
      <c r="BU169" s="341"/>
      <c r="BV169" s="186"/>
      <c r="BW169" s="186"/>
      <c r="BX169" s="186"/>
      <c r="BY169" s="283"/>
      <c r="BZ169" s="186"/>
      <c r="CA169" s="186"/>
      <c r="CB169" s="186"/>
      <c r="CC169" s="341"/>
      <c r="CD169" s="186"/>
      <c r="CE169" s="186"/>
      <c r="CF169" s="186"/>
      <c r="CG169" s="283"/>
      <c r="CH169" s="186"/>
      <c r="CI169" s="186"/>
      <c r="CJ169" s="186"/>
      <c r="CK169" s="341"/>
      <c r="CL169" s="186"/>
      <c r="CM169" s="186"/>
      <c r="CN169" s="186"/>
      <c r="CO169" s="283"/>
      <c r="CP169" s="186"/>
      <c r="CQ169" s="186"/>
      <c r="CR169" s="186"/>
      <c r="CS169" s="341"/>
      <c r="CT169" s="186"/>
      <c r="CU169" s="186"/>
      <c r="CV169" s="186"/>
      <c r="CW169" s="283"/>
      <c r="CX169" s="186"/>
      <c r="CY169" s="186"/>
      <c r="CZ169" s="186"/>
      <c r="DA169" s="341"/>
    </row>
    <row r="170" spans="1:106" x14ac:dyDescent="0.2">
      <c r="A170" s="1049" t="s">
        <v>983</v>
      </c>
      <c r="B170" s="1049"/>
      <c r="C170" s="1049"/>
      <c r="D170" s="1049"/>
      <c r="E170" s="1049"/>
      <c r="F170" s="1049"/>
      <c r="G170" s="1049"/>
      <c r="H170" s="1049"/>
      <c r="I170" s="1049"/>
      <c r="J170" s="1049"/>
      <c r="K170" s="1049"/>
      <c r="L170" s="1049"/>
      <c r="M170" s="1049"/>
      <c r="N170" s="1049"/>
      <c r="O170" s="1049"/>
      <c r="P170" s="1049"/>
      <c r="Q170" s="1049"/>
      <c r="R170" s="1049"/>
      <c r="S170" s="1049"/>
      <c r="T170" s="1049"/>
      <c r="U170" s="1049"/>
      <c r="V170" s="1049"/>
      <c r="W170" s="1049"/>
      <c r="X170" s="1049"/>
      <c r="Y170" s="1049"/>
      <c r="Z170" s="1049"/>
      <c r="AA170" s="1049"/>
      <c r="AB170" s="1049"/>
      <c r="AC170" s="1049"/>
      <c r="AD170" s="1049"/>
      <c r="AE170" s="1049"/>
      <c r="AF170" s="1049"/>
      <c r="AG170" s="419">
        <v>550</v>
      </c>
      <c r="AH170" s="419">
        <f t="shared" ref="AH170:AO170" si="121">AH171*AH173*AH174</f>
        <v>600.6</v>
      </c>
      <c r="AI170" s="419">
        <f t="shared" si="121"/>
        <v>655.8552000000002</v>
      </c>
      <c r="AJ170" s="419">
        <f t="shared" si="121"/>
        <v>658.89836812800013</v>
      </c>
      <c r="AK170" s="419">
        <f t="shared" si="121"/>
        <v>712.66447496724504</v>
      </c>
      <c r="AL170" s="419">
        <f t="shared" si="121"/>
        <v>778.22960666423171</v>
      </c>
      <c r="AM170" s="419">
        <f t="shared" si="121"/>
        <v>517.52268843171396</v>
      </c>
      <c r="AN170" s="419">
        <f t="shared" si="121"/>
        <v>491.64655401012828</v>
      </c>
      <c r="AO170" s="729">
        <f t="shared" si="121"/>
        <v>526.5534593448474</v>
      </c>
      <c r="AP170" s="1049">
        <v>130</v>
      </c>
      <c r="AQ170" s="1049">
        <f>AT170-AP170</f>
        <v>143.67616049448446</v>
      </c>
      <c r="AR170" s="1049">
        <f>AW170*0.25</f>
        <v>152.04231138582469</v>
      </c>
      <c r="AS170" s="1426">
        <f>AU170-AR170</f>
        <v>182.4507736629896</v>
      </c>
      <c r="AT170" s="1049">
        <f>AW170*0.45</f>
        <v>273.67616049448446</v>
      </c>
      <c r="AU170" s="1049">
        <f>AW170-AT170</f>
        <v>334.49308504881429</v>
      </c>
      <c r="AV170" s="1049">
        <f>AP170+AQ170+AR170</f>
        <v>425.71847188030915</v>
      </c>
      <c r="AW170" s="1367">
        <f>AW171*AW173*AW174</f>
        <v>608.16924554329876</v>
      </c>
      <c r="AX170" s="1049">
        <f>BE170*0.2</f>
        <v>137.93278488922019</v>
      </c>
      <c r="AY170" s="1049">
        <f>BB170-AX170</f>
        <v>155.17438300037273</v>
      </c>
      <c r="AZ170" s="1049">
        <f>BE170*0.25</f>
        <v>172.41598111152524</v>
      </c>
      <c r="BA170" s="1426">
        <f>BC170-AZ170</f>
        <v>224.14077544498281</v>
      </c>
      <c r="BB170" s="1049">
        <f>BE170*0.425</f>
        <v>293.10716788959292</v>
      </c>
      <c r="BC170" s="1049">
        <f>BE170-BB170</f>
        <v>396.55675655650805</v>
      </c>
      <c r="BD170" s="1049">
        <f>AX170+AY170+AZ170</f>
        <v>465.52314900111816</v>
      </c>
      <c r="BE170" s="1367">
        <f>BE171*BE173*BE174</f>
        <v>689.66392444610096</v>
      </c>
      <c r="BF170" s="1049">
        <f>BM170*0.2</f>
        <v>152.0708953403653</v>
      </c>
      <c r="BG170" s="1049">
        <f>BJ170-BF170</f>
        <v>182.48507440843835</v>
      </c>
      <c r="BH170" s="1049">
        <f>BM170*0.25</f>
        <v>190.08861917545661</v>
      </c>
      <c r="BI170" s="1426">
        <f>BK170-BH170</f>
        <v>235.70988777756619</v>
      </c>
      <c r="BJ170" s="1049">
        <f>BM170*0.44</f>
        <v>334.55596974880365</v>
      </c>
      <c r="BK170" s="1049">
        <f>BM170-BJ170</f>
        <v>425.79850695302281</v>
      </c>
      <c r="BL170" s="1049">
        <f>BF170+BG170+BH170</f>
        <v>524.64458892426023</v>
      </c>
      <c r="BM170" s="1367">
        <f>BM171*BM173*BM174</f>
        <v>760.35447670182646</v>
      </c>
      <c r="BN170" s="1049">
        <f>BU170*0.2</f>
        <v>167.65816211275276</v>
      </c>
      <c r="BO170" s="1049">
        <f>BR170-BN170</f>
        <v>209.57270264094095</v>
      </c>
      <c r="BP170" s="1095">
        <f>BU170*0.25</f>
        <v>209.57270264094095</v>
      </c>
      <c r="BQ170" s="1105">
        <f>BS170-BP170</f>
        <v>251.48724316912913</v>
      </c>
      <c r="BR170" s="1049">
        <f>BU170*0.45</f>
        <v>377.23086475369371</v>
      </c>
      <c r="BS170" s="1095">
        <f>BU170-BR170</f>
        <v>461.05994581007008</v>
      </c>
      <c r="BT170" s="1095">
        <f>BN170+BO170+BP170</f>
        <v>586.80356739463468</v>
      </c>
      <c r="BU170" s="732">
        <f>BU171*BU173*BU174</f>
        <v>838.29081056376378</v>
      </c>
      <c r="BV170" s="1095">
        <f>CC170*0.2</f>
        <v>184.84312372930995</v>
      </c>
      <c r="BW170" s="1095">
        <f>BZ170-BV170</f>
        <v>231.05390466163746</v>
      </c>
      <c r="BX170" s="1095">
        <f>CC170*0.25</f>
        <v>231.05390466163743</v>
      </c>
      <c r="BY170" s="1105">
        <f>CA170-BX170</f>
        <v>277.26468559396488</v>
      </c>
      <c r="BZ170" s="1095">
        <f>CC170*0.45</f>
        <v>415.89702839094741</v>
      </c>
      <c r="CA170" s="1095">
        <f>CC170-BZ170</f>
        <v>508.31859025560232</v>
      </c>
      <c r="CB170" s="1095">
        <f>BV170+BW170+BX170</f>
        <v>646.95093305258479</v>
      </c>
      <c r="CC170" s="732">
        <f>CC171*CC173*CC174</f>
        <v>924.21561864654973</v>
      </c>
      <c r="CD170" s="1095">
        <f>CK170*0.2</f>
        <v>203.78954391156421</v>
      </c>
      <c r="CE170" s="1095">
        <f>CH170-CD170</f>
        <v>254.73692988945524</v>
      </c>
      <c r="CF170" s="1095">
        <f>CK170*0.25</f>
        <v>254.73692988945524</v>
      </c>
      <c r="CG170" s="1105">
        <f>CI170-CF170</f>
        <v>305.68431586734619</v>
      </c>
      <c r="CH170" s="1095">
        <f>CK170*0.45</f>
        <v>458.52647380101945</v>
      </c>
      <c r="CI170" s="1095">
        <f>CK170-CH170</f>
        <v>560.42124575680145</v>
      </c>
      <c r="CJ170" s="1095">
        <f>CD170+CE170+CF170</f>
        <v>713.26340369047466</v>
      </c>
      <c r="CK170" s="732">
        <f>CK171*CK173*CK174</f>
        <v>1018.947719557821</v>
      </c>
      <c r="CL170" s="1095">
        <f>CS170*0.2</f>
        <v>224.67797216249957</v>
      </c>
      <c r="CM170" s="1095">
        <f>CP170-CL170</f>
        <v>280.84746520312444</v>
      </c>
      <c r="CN170" s="1095">
        <f>CS170*0.25</f>
        <v>280.84746520312444</v>
      </c>
      <c r="CO170" s="1105">
        <f>CQ170-CN170</f>
        <v>337.0169582437494</v>
      </c>
      <c r="CP170" s="1095">
        <f>CS170*0.45</f>
        <v>505.52543736562399</v>
      </c>
      <c r="CQ170" s="1095">
        <f>CS170-CP170</f>
        <v>617.86442344687384</v>
      </c>
      <c r="CR170" s="1095">
        <f>CL170+CM170+CN170</f>
        <v>786.37290256874849</v>
      </c>
      <c r="CS170" s="732">
        <f>CS171*CS173*CS174</f>
        <v>1123.3898608124978</v>
      </c>
      <c r="CT170" s="1095">
        <f>DA170*0.2</f>
        <v>247.70746430915585</v>
      </c>
      <c r="CU170" s="1095">
        <f>CX170-CT170</f>
        <v>309.63433038644473</v>
      </c>
      <c r="CV170" s="1095">
        <f>DA170*0.25</f>
        <v>309.63433038644479</v>
      </c>
      <c r="CW170" s="1105">
        <f>CY170-CV170</f>
        <v>371.56119646373378</v>
      </c>
      <c r="CX170" s="1095">
        <f>DA170*0.45</f>
        <v>557.34179469560058</v>
      </c>
      <c r="CY170" s="1095">
        <f>DA170-CX170</f>
        <v>681.19552685017857</v>
      </c>
      <c r="CZ170" s="1095">
        <f>CT170+CU170+CV170</f>
        <v>866.97612508204543</v>
      </c>
      <c r="DA170" s="732">
        <f>DA171*DA173*DA174</f>
        <v>1238.5373215457792</v>
      </c>
    </row>
    <row r="171" spans="1:106" outlineLevel="1" x14ac:dyDescent="0.2">
      <c r="A171" s="186"/>
      <c r="B171" s="4" t="s">
        <v>984</v>
      </c>
      <c r="AG171" s="4">
        <f>AG170/AG174/AG173</f>
        <v>580.16877637130801</v>
      </c>
      <c r="AH171" s="4">
        <f t="shared" ref="AH171:AO171" si="122">AG171*(1+AH172)</f>
        <v>609.17721518987344</v>
      </c>
      <c r="AI171" s="4">
        <f t="shared" si="122"/>
        <v>639.63607594936718</v>
      </c>
      <c r="AJ171" s="4">
        <f t="shared" si="122"/>
        <v>671.61787974683557</v>
      </c>
      <c r="AK171" s="4">
        <f t="shared" si="122"/>
        <v>698.48259493670901</v>
      </c>
      <c r="AL171" s="4">
        <f t="shared" si="122"/>
        <v>733.40672468354444</v>
      </c>
      <c r="AM171" s="4">
        <f>AL171*(1+AM172)</f>
        <v>513.38470727848107</v>
      </c>
      <c r="AN171" s="4">
        <f t="shared" si="122"/>
        <v>487.71547191455699</v>
      </c>
      <c r="AO171" s="180">
        <f t="shared" si="122"/>
        <v>497.46978135284814</v>
      </c>
      <c r="AS171" s="179"/>
      <c r="AW171" s="314">
        <f>AO171*(1+AW172)</f>
        <v>547.21675948813299</v>
      </c>
      <c r="BA171" s="179"/>
      <c r="BE171" s="314">
        <f>AW171*(1+BE172)</f>
        <v>590.99410024718372</v>
      </c>
      <c r="BI171" s="179"/>
      <c r="BM171" s="314">
        <f>BE171*(1+BM172)</f>
        <v>620.54380525954298</v>
      </c>
      <c r="BQ171" s="179"/>
      <c r="BU171" s="603">
        <f>BM171*(1+BU172)</f>
        <v>651.57099552252021</v>
      </c>
      <c r="BY171" s="179"/>
      <c r="CC171" s="603">
        <f>BU171*(1+CC172)</f>
        <v>684.14954529864622</v>
      </c>
      <c r="CG171" s="179"/>
      <c r="CK171" s="603">
        <f>CC171*(1+CK172)</f>
        <v>718.35702256357854</v>
      </c>
      <c r="CO171" s="179"/>
      <c r="CS171" s="603">
        <f>CK171*(1+CS172)</f>
        <v>754.27487369175753</v>
      </c>
      <c r="CW171" s="179"/>
      <c r="DA171" s="603">
        <f>CS171*(1+DA172)</f>
        <v>791.98861737634547</v>
      </c>
    </row>
    <row r="172" spans="1:106" outlineLevel="1" x14ac:dyDescent="0.2">
      <c r="B172" s="197" t="s">
        <v>20</v>
      </c>
      <c r="AH172" s="1002">
        <v>0.05</v>
      </c>
      <c r="AI172" s="1002">
        <v>0.05</v>
      </c>
      <c r="AJ172" s="1002">
        <v>0.05</v>
      </c>
      <c r="AK172" s="1002">
        <v>0.04</v>
      </c>
      <c r="AL172" s="1002">
        <v>0.05</v>
      </c>
      <c r="AM172" s="895">
        <v>-0.3</v>
      </c>
      <c r="AN172" s="895">
        <v>-0.05</v>
      </c>
      <c r="AO172" s="896">
        <v>0.02</v>
      </c>
      <c r="AP172" s="895"/>
      <c r="AQ172" s="895"/>
      <c r="AR172" s="895"/>
      <c r="AS172" s="1003"/>
      <c r="AT172" s="895"/>
      <c r="AU172" s="895"/>
      <c r="AV172" s="895"/>
      <c r="AW172" s="1397">
        <v>0.1</v>
      </c>
      <c r="AX172" s="895"/>
      <c r="AY172" s="895"/>
      <c r="AZ172" s="895"/>
      <c r="BA172" s="1003"/>
      <c r="BB172" s="895"/>
      <c r="BC172" s="895"/>
      <c r="BD172" s="895"/>
      <c r="BE172" s="1397">
        <v>0.08</v>
      </c>
      <c r="BF172" s="895"/>
      <c r="BG172" s="895"/>
      <c r="BH172" s="895"/>
      <c r="BI172" s="1003"/>
      <c r="BJ172" s="895"/>
      <c r="BK172" s="895"/>
      <c r="BL172" s="895"/>
      <c r="BM172" s="1397">
        <v>0.05</v>
      </c>
      <c r="BN172" s="895"/>
      <c r="BO172" s="895"/>
      <c r="BP172" s="895"/>
      <c r="BQ172" s="1003"/>
      <c r="BR172" s="895"/>
      <c r="BS172" s="895"/>
      <c r="BT172" s="895"/>
      <c r="BU172" s="898">
        <v>0.05</v>
      </c>
      <c r="BV172" s="895"/>
      <c r="BW172" s="895"/>
      <c r="BX172" s="895"/>
      <c r="BY172" s="1003"/>
      <c r="BZ172" s="895"/>
      <c r="CA172" s="895"/>
      <c r="CB172" s="895"/>
      <c r="CC172" s="999">
        <f>BU172</f>
        <v>0.05</v>
      </c>
      <c r="CD172" s="895"/>
      <c r="CE172" s="895"/>
      <c r="CF172" s="895"/>
      <c r="CG172" s="1003"/>
      <c r="CH172" s="895"/>
      <c r="CI172" s="895"/>
      <c r="CJ172" s="895"/>
      <c r="CK172" s="999">
        <f>CC172</f>
        <v>0.05</v>
      </c>
      <c r="CL172" s="895"/>
      <c r="CM172" s="895"/>
      <c r="CN172" s="895"/>
      <c r="CO172" s="1003"/>
      <c r="CP172" s="895"/>
      <c r="CQ172" s="895"/>
      <c r="CR172" s="895"/>
      <c r="CS172" s="999">
        <f>CK172</f>
        <v>0.05</v>
      </c>
      <c r="CT172" s="895"/>
      <c r="CU172" s="895"/>
      <c r="CV172" s="895"/>
      <c r="CW172" s="1003"/>
      <c r="CX172" s="895"/>
      <c r="CY172" s="895"/>
      <c r="CZ172" s="895"/>
      <c r="DA172" s="999">
        <f>CS172</f>
        <v>0.05</v>
      </c>
    </row>
    <row r="173" spans="1:106" outlineLevel="1" x14ac:dyDescent="0.2">
      <c r="B173" s="4" t="s">
        <v>985</v>
      </c>
      <c r="AG173" s="8">
        <v>4</v>
      </c>
      <c r="AH173" s="8">
        <f t="shared" ref="AH173:AO173" si="123">AG173*(1+AH175)*(1+AH176)</f>
        <v>4.16</v>
      </c>
      <c r="AI173" s="8">
        <f t="shared" si="123"/>
        <v>4.3264000000000005</v>
      </c>
      <c r="AJ173" s="8">
        <f t="shared" si="123"/>
        <v>4.1394995200000002</v>
      </c>
      <c r="AK173" s="8">
        <f t="shared" si="123"/>
        <v>4.3050795008000007</v>
      </c>
      <c r="AL173" s="8">
        <f t="shared" si="123"/>
        <v>4.4772826808320012</v>
      </c>
      <c r="AM173" s="8">
        <f t="shared" si="123"/>
        <v>4.2534185467904013</v>
      </c>
      <c r="AN173" s="8">
        <f t="shared" si="123"/>
        <v>4.2534185467904013</v>
      </c>
      <c r="AO173" s="306">
        <f t="shared" si="123"/>
        <v>4.4660894741299213</v>
      </c>
      <c r="AP173" s="8"/>
      <c r="AQ173" s="8"/>
      <c r="AR173" s="8"/>
      <c r="AS173" s="305"/>
      <c r="AT173" s="8"/>
      <c r="AU173" s="8"/>
      <c r="AV173" s="8"/>
      <c r="AW173" s="1232">
        <f>AO173*(1+AW175)*(1+AW176)</f>
        <v>4.6893939478364173</v>
      </c>
      <c r="AX173" s="8"/>
      <c r="AY173" s="8"/>
      <c r="AZ173" s="8"/>
      <c r="BA173" s="305"/>
      <c r="BB173" s="8"/>
      <c r="BC173" s="8"/>
      <c r="BD173" s="8"/>
      <c r="BE173" s="1232">
        <f>AW173*(1+BE175)*(1+BE176)</f>
        <v>4.9238636452282387</v>
      </c>
      <c r="BF173" s="8"/>
      <c r="BG173" s="8"/>
      <c r="BH173" s="8"/>
      <c r="BI173" s="305"/>
      <c r="BJ173" s="8"/>
      <c r="BK173" s="8"/>
      <c r="BL173" s="8"/>
      <c r="BM173" s="1232">
        <f>BE173*(1+BM175)*(1+BM176)</f>
        <v>5.1700568274896508</v>
      </c>
      <c r="BN173" s="8"/>
      <c r="BO173" s="8"/>
      <c r="BP173" s="8"/>
      <c r="BQ173" s="305"/>
      <c r="BR173" s="8"/>
      <c r="BS173" s="8"/>
      <c r="BT173" s="8"/>
      <c r="BU173" s="307">
        <f>BM173*(1+BU175)*(1+BU176)</f>
        <v>5.4285596688641338</v>
      </c>
      <c r="BV173" s="8"/>
      <c r="BW173" s="8"/>
      <c r="BX173" s="8"/>
      <c r="BY173" s="305"/>
      <c r="BZ173" s="8"/>
      <c r="CA173" s="8"/>
      <c r="CB173" s="8"/>
      <c r="CC173" s="307">
        <f>BU173*(1+CC175)*(1+CC176)</f>
        <v>5.6999876523073407</v>
      </c>
      <c r="CD173" s="8"/>
      <c r="CE173" s="8"/>
      <c r="CF173" s="8"/>
      <c r="CG173" s="305"/>
      <c r="CH173" s="8"/>
      <c r="CI173" s="8"/>
      <c r="CJ173" s="8"/>
      <c r="CK173" s="307">
        <f>CC173*(1+CK175)*(1+CK176)</f>
        <v>5.9849870349227077</v>
      </c>
      <c r="CL173" s="8"/>
      <c r="CM173" s="8"/>
      <c r="CN173" s="8"/>
      <c r="CO173" s="305"/>
      <c r="CP173" s="8"/>
      <c r="CQ173" s="8"/>
      <c r="CR173" s="8"/>
      <c r="CS173" s="307">
        <f>CK173*(1+CS175)*(1+CS176)</f>
        <v>6.2842363866688435</v>
      </c>
      <c r="CT173" s="8"/>
      <c r="CU173" s="8"/>
      <c r="CV173" s="8"/>
      <c r="CW173" s="305"/>
      <c r="CX173" s="8"/>
      <c r="CY173" s="8"/>
      <c r="CZ173" s="8"/>
      <c r="DA173" s="307">
        <f>CS173*(1+DA175)*(1+DA176)</f>
        <v>6.5984482060022858</v>
      </c>
    </row>
    <row r="174" spans="1:106" outlineLevel="1" x14ac:dyDescent="0.2">
      <c r="B174" s="4" t="s">
        <v>986</v>
      </c>
      <c r="AG174" s="18">
        <v>0.23699999999999999</v>
      </c>
      <c r="AH174" s="1002">
        <f>AG174</f>
        <v>0.23699999999999999</v>
      </c>
      <c r="AI174" s="1002">
        <f t="shared" ref="AI174:AO174" si="124">AH174</f>
        <v>0.23699999999999999</v>
      </c>
      <c r="AJ174" s="1002">
        <f t="shared" si="124"/>
        <v>0.23699999999999999</v>
      </c>
      <c r="AK174" s="1002">
        <f t="shared" si="124"/>
        <v>0.23699999999999999</v>
      </c>
      <c r="AL174" s="1002">
        <f t="shared" si="124"/>
        <v>0.23699999999999999</v>
      </c>
      <c r="AM174" s="895">
        <f t="shared" si="124"/>
        <v>0.23699999999999999</v>
      </c>
      <c r="AN174" s="895">
        <f t="shared" si="124"/>
        <v>0.23699999999999999</v>
      </c>
      <c r="AO174" s="896">
        <f t="shared" si="124"/>
        <v>0.23699999999999999</v>
      </c>
      <c r="AP174" s="895"/>
      <c r="AQ174" s="895"/>
      <c r="AR174" s="895"/>
      <c r="AS174" s="1003"/>
      <c r="AT174" s="895"/>
      <c r="AU174" s="895"/>
      <c r="AV174" s="895"/>
      <c r="AW174" s="1397">
        <f>AO174</f>
        <v>0.23699999999999999</v>
      </c>
      <c r="AX174" s="895"/>
      <c r="AY174" s="895"/>
      <c r="AZ174" s="895"/>
      <c r="BA174" s="1003"/>
      <c r="BB174" s="895"/>
      <c r="BC174" s="895"/>
      <c r="BD174" s="895"/>
      <c r="BE174" s="1397">
        <f>AW174</f>
        <v>0.23699999999999999</v>
      </c>
      <c r="BF174" s="895"/>
      <c r="BG174" s="895"/>
      <c r="BH174" s="895"/>
      <c r="BI174" s="1003"/>
      <c r="BJ174" s="895"/>
      <c r="BK174" s="895"/>
      <c r="BL174" s="895"/>
      <c r="BM174" s="1397">
        <f>BE174</f>
        <v>0.23699999999999999</v>
      </c>
      <c r="BN174" s="895"/>
      <c r="BO174" s="895"/>
      <c r="BP174" s="895"/>
      <c r="BQ174" s="1003"/>
      <c r="BR174" s="895"/>
      <c r="BS174" s="895"/>
      <c r="BT174" s="895"/>
      <c r="BU174" s="999">
        <f>BM174</f>
        <v>0.23699999999999999</v>
      </c>
      <c r="BV174" s="895"/>
      <c r="BW174" s="895"/>
      <c r="BX174" s="895"/>
      <c r="BY174" s="1003"/>
      <c r="BZ174" s="895"/>
      <c r="CA174" s="895"/>
      <c r="CB174" s="895"/>
      <c r="CC174" s="999">
        <f>BU174</f>
        <v>0.23699999999999999</v>
      </c>
      <c r="CD174" s="895"/>
      <c r="CE174" s="895"/>
      <c r="CF174" s="895"/>
      <c r="CG174" s="1003"/>
      <c r="CH174" s="895"/>
      <c r="CI174" s="895"/>
      <c r="CJ174" s="895"/>
      <c r="CK174" s="999">
        <f>CC174</f>
        <v>0.23699999999999999</v>
      </c>
      <c r="CL174" s="895"/>
      <c r="CM174" s="895"/>
      <c r="CN174" s="895"/>
      <c r="CO174" s="1003"/>
      <c r="CP174" s="895"/>
      <c r="CQ174" s="895"/>
      <c r="CR174" s="895"/>
      <c r="CS174" s="999">
        <f>CK174</f>
        <v>0.23699999999999999</v>
      </c>
      <c r="CT174" s="895"/>
      <c r="CU174" s="895"/>
      <c r="CV174" s="895"/>
      <c r="CW174" s="1003"/>
      <c r="CX174" s="895"/>
      <c r="CY174" s="895"/>
      <c r="CZ174" s="895"/>
      <c r="DA174" s="999">
        <f>CS174</f>
        <v>0.23699999999999999</v>
      </c>
    </row>
    <row r="175" spans="1:106" outlineLevel="1" x14ac:dyDescent="0.2">
      <c r="B175" s="197" t="s">
        <v>987</v>
      </c>
      <c r="AH175" s="1002">
        <v>0.04</v>
      </c>
      <c r="AI175" s="1002">
        <f>+AH175</f>
        <v>0.04</v>
      </c>
      <c r="AJ175" s="1002">
        <f>+AI175</f>
        <v>0.04</v>
      </c>
      <c r="AK175" s="1002">
        <f>+AJ175</f>
        <v>0.04</v>
      </c>
      <c r="AL175" s="1002">
        <f>+AK175</f>
        <v>0.04</v>
      </c>
      <c r="AM175" s="895">
        <v>-0.05</v>
      </c>
      <c r="AN175" s="895">
        <v>0</v>
      </c>
      <c r="AO175" s="896">
        <v>0.05</v>
      </c>
      <c r="AP175" s="895"/>
      <c r="AQ175" s="895"/>
      <c r="AR175" s="895"/>
      <c r="AS175" s="1003"/>
      <c r="AT175" s="895"/>
      <c r="AU175" s="895"/>
      <c r="AV175" s="895"/>
      <c r="AW175" s="1397">
        <v>0.05</v>
      </c>
      <c r="AX175" s="895"/>
      <c r="AY175" s="895"/>
      <c r="AZ175" s="895"/>
      <c r="BA175" s="1003"/>
      <c r="BB175" s="895"/>
      <c r="BC175" s="895"/>
      <c r="BD175" s="895"/>
      <c r="BE175" s="1397">
        <v>0.05</v>
      </c>
      <c r="BF175" s="895"/>
      <c r="BG175" s="895"/>
      <c r="BH175" s="895"/>
      <c r="BI175" s="1003"/>
      <c r="BJ175" s="895"/>
      <c r="BK175" s="895"/>
      <c r="BL175" s="895"/>
      <c r="BM175" s="1397">
        <v>0.05</v>
      </c>
      <c r="BN175" s="895"/>
      <c r="BO175" s="895"/>
      <c r="BP175" s="895"/>
      <c r="BQ175" s="1003"/>
      <c r="BR175" s="895"/>
      <c r="BS175" s="895"/>
      <c r="BT175" s="895"/>
      <c r="BU175" s="898">
        <v>0.05</v>
      </c>
      <c r="BV175" s="897"/>
      <c r="BW175" s="897"/>
      <c r="BX175" s="897"/>
      <c r="BY175" s="1005"/>
      <c r="BZ175" s="897"/>
      <c r="CA175" s="897"/>
      <c r="CB175" s="897"/>
      <c r="CC175" s="999">
        <f>+BU175</f>
        <v>0.05</v>
      </c>
      <c r="CD175" s="897"/>
      <c r="CE175" s="897"/>
      <c r="CF175" s="897"/>
      <c r="CG175" s="1005"/>
      <c r="CH175" s="897"/>
      <c r="CI175" s="897"/>
      <c r="CJ175" s="897"/>
      <c r="CK175" s="999">
        <f>+CC175</f>
        <v>0.05</v>
      </c>
      <c r="CL175" s="897"/>
      <c r="CM175" s="897"/>
      <c r="CN175" s="897"/>
      <c r="CO175" s="1005"/>
      <c r="CP175" s="897"/>
      <c r="CQ175" s="897"/>
      <c r="CR175" s="897"/>
      <c r="CS175" s="999">
        <f>+CK175</f>
        <v>0.05</v>
      </c>
      <c r="CT175" s="897"/>
      <c r="CU175" s="897"/>
      <c r="CV175" s="897"/>
      <c r="CW175" s="1005"/>
      <c r="CX175" s="897"/>
      <c r="CY175" s="897"/>
      <c r="CZ175" s="897"/>
      <c r="DA175" s="999">
        <f>+CS175</f>
        <v>0.05</v>
      </c>
    </row>
    <row r="176" spans="1:106" outlineLevel="1" x14ac:dyDescent="0.2">
      <c r="B176" s="197" t="s">
        <v>988</v>
      </c>
      <c r="AH176" s="1002"/>
      <c r="AI176" s="1002"/>
      <c r="AJ176" s="1002">
        <v>-0.08</v>
      </c>
      <c r="AK176" s="1002"/>
      <c r="AL176" s="1002"/>
      <c r="AM176" s="895"/>
      <c r="AN176" s="895"/>
      <c r="AO176" s="896"/>
      <c r="AP176" s="895"/>
      <c r="AQ176" s="895"/>
      <c r="AR176" s="895"/>
      <c r="AS176" s="1003"/>
      <c r="AT176" s="895"/>
      <c r="AU176" s="895"/>
      <c r="AV176" s="895"/>
      <c r="AW176" s="1106"/>
      <c r="AX176" s="895"/>
      <c r="AY176" s="895"/>
      <c r="AZ176" s="895"/>
      <c r="BA176" s="1003"/>
      <c r="BB176" s="895"/>
      <c r="BC176" s="895"/>
      <c r="BD176" s="895"/>
      <c r="BE176" s="1106"/>
      <c r="BF176" s="895"/>
      <c r="BG176" s="895"/>
      <c r="BH176" s="895"/>
      <c r="BI176" s="1003"/>
      <c r="BJ176" s="895"/>
      <c r="BK176" s="895"/>
      <c r="BL176" s="895"/>
      <c r="BM176" s="1397"/>
      <c r="BN176" s="895"/>
      <c r="BO176" s="895"/>
      <c r="BP176" s="895"/>
      <c r="BQ176" s="1003"/>
      <c r="BR176" s="895"/>
      <c r="BS176" s="895"/>
      <c r="BT176" s="895"/>
      <c r="BU176" s="1106"/>
      <c r="BV176" s="895"/>
      <c r="BW176" s="895"/>
      <c r="BX176" s="895"/>
      <c r="BY176" s="1003"/>
      <c r="BZ176" s="895"/>
      <c r="CA176" s="895"/>
      <c r="CB176" s="895"/>
      <c r="CC176" s="1106"/>
      <c r="CD176" s="895"/>
      <c r="CE176" s="895"/>
      <c r="CF176" s="895"/>
      <c r="CG176" s="1003"/>
      <c r="CH176" s="895"/>
      <c r="CI176" s="895"/>
      <c r="CJ176" s="895"/>
      <c r="CK176" s="1106"/>
      <c r="CL176" s="895"/>
      <c r="CM176" s="895"/>
      <c r="CN176" s="895"/>
      <c r="CO176" s="1003"/>
      <c r="CP176" s="895"/>
      <c r="CQ176" s="895"/>
      <c r="CR176" s="895"/>
      <c r="CS176" s="1106"/>
      <c r="CT176" s="895"/>
      <c r="CU176" s="895"/>
      <c r="CV176" s="895"/>
      <c r="CW176" s="1003"/>
      <c r="CX176" s="895"/>
      <c r="CY176" s="895"/>
      <c r="CZ176" s="895"/>
      <c r="DA176" s="1106"/>
    </row>
    <row r="177" spans="1:105" outlineLevel="1" x14ac:dyDescent="0.2">
      <c r="B177" s="197" t="s">
        <v>989</v>
      </c>
      <c r="AH177" s="1107">
        <f t="shared" ref="AH177:AO177" si="125">AH173/AG173-1</f>
        <v>4.0000000000000036E-2</v>
      </c>
      <c r="AI177" s="1107">
        <f t="shared" si="125"/>
        <v>4.0000000000000036E-2</v>
      </c>
      <c r="AJ177" s="1107">
        <f t="shared" si="125"/>
        <v>-4.3200000000000016E-2</v>
      </c>
      <c r="AK177" s="1107">
        <f t="shared" si="125"/>
        <v>4.0000000000000036E-2</v>
      </c>
      <c r="AL177" s="1107">
        <f t="shared" si="125"/>
        <v>4.0000000000000036E-2</v>
      </c>
      <c r="AM177" s="1108">
        <f t="shared" si="125"/>
        <v>-4.9999999999999933E-2</v>
      </c>
      <c r="AN177" s="1108">
        <f t="shared" si="125"/>
        <v>0</v>
      </c>
      <c r="AO177" s="1109">
        <f t="shared" si="125"/>
        <v>5.0000000000000044E-2</v>
      </c>
      <c r="AP177" s="1108"/>
      <c r="AQ177" s="1108"/>
      <c r="AR177" s="1108"/>
      <c r="AS177" s="1110"/>
      <c r="AT177" s="1108"/>
      <c r="AU177" s="1108"/>
      <c r="AV177" s="1108"/>
      <c r="AW177" s="1427">
        <f>AW173/AO173-1</f>
        <v>5.0000000000000044E-2</v>
      </c>
      <c r="AX177" s="1108"/>
      <c r="AY177" s="1108"/>
      <c r="AZ177" s="1108"/>
      <c r="BA177" s="1110"/>
      <c r="BB177" s="1108"/>
      <c r="BC177" s="1108"/>
      <c r="BD177" s="1108"/>
      <c r="BE177" s="1427">
        <f>BE173/AW173-1</f>
        <v>5.0000000000000044E-2</v>
      </c>
      <c r="BF177" s="1108"/>
      <c r="BG177" s="1108"/>
      <c r="BH177" s="1108"/>
      <c r="BI177" s="1110"/>
      <c r="BJ177" s="1108"/>
      <c r="BK177" s="1108"/>
      <c r="BL177" s="1108"/>
      <c r="BM177" s="1427">
        <f>BM173/BE173-1</f>
        <v>5.0000000000000044E-2</v>
      </c>
      <c r="BN177" s="1108"/>
      <c r="BO177" s="1108"/>
      <c r="BP177" s="1108"/>
      <c r="BQ177" s="1110"/>
      <c r="BR177" s="1108"/>
      <c r="BS177" s="1108"/>
      <c r="BT177" s="1108"/>
      <c r="BU177" s="1111">
        <f>BU173/BM173-1</f>
        <v>5.0000000000000044E-2</v>
      </c>
      <c r="BV177" s="1108"/>
      <c r="BW177" s="1108"/>
      <c r="BX177" s="1108"/>
      <c r="BY177" s="1110"/>
      <c r="BZ177" s="1108"/>
      <c r="CA177" s="1108"/>
      <c r="CB177" s="1108"/>
      <c r="CC177" s="1111">
        <f>CC173/BU173-1</f>
        <v>5.0000000000000044E-2</v>
      </c>
      <c r="CD177" s="1108"/>
      <c r="CE177" s="1108"/>
      <c r="CF177" s="1108"/>
      <c r="CG177" s="1110"/>
      <c r="CH177" s="1108"/>
      <c r="CI177" s="1108"/>
      <c r="CJ177" s="1108"/>
      <c r="CK177" s="1111">
        <f>CK173/CC173-1</f>
        <v>5.0000000000000044E-2</v>
      </c>
      <c r="CL177" s="1108"/>
      <c r="CM177" s="1108"/>
      <c r="CN177" s="1108"/>
      <c r="CO177" s="1110"/>
      <c r="CP177" s="1108"/>
      <c r="CQ177" s="1108"/>
      <c r="CR177" s="1108"/>
      <c r="CS177" s="1111">
        <f>CS173/CK173-1</f>
        <v>5.0000000000000044E-2</v>
      </c>
      <c r="CT177" s="1108"/>
      <c r="CU177" s="1108"/>
      <c r="CV177" s="1108"/>
      <c r="CW177" s="1110"/>
      <c r="CX177" s="1108"/>
      <c r="CY177" s="1108"/>
      <c r="CZ177" s="1108"/>
      <c r="DA177" s="1111">
        <f>DA173/CS173-1</f>
        <v>5.0000000000000044E-2</v>
      </c>
    </row>
    <row r="178" spans="1:105" outlineLevel="1" x14ac:dyDescent="0.2">
      <c r="B178" s="202"/>
      <c r="AG178" s="1019"/>
      <c r="AH178" s="1112"/>
      <c r="AI178" s="1112"/>
      <c r="AJ178" s="1112"/>
      <c r="AK178" s="1112"/>
      <c r="AL178" s="1112"/>
      <c r="AM178" s="1113"/>
      <c r="AN178" s="1113"/>
      <c r="AO178" s="1114"/>
      <c r="AP178" s="1113"/>
      <c r="AQ178" s="1113"/>
      <c r="AR178" s="1113"/>
      <c r="AS178" s="1115"/>
      <c r="AT178" s="1113"/>
      <c r="AU178" s="1113"/>
      <c r="AV178" s="1113"/>
      <c r="AW178" s="1116"/>
      <c r="AX178" s="1113"/>
      <c r="AY178" s="1113"/>
      <c r="AZ178" s="1113"/>
      <c r="BA178" s="1115"/>
      <c r="BB178" s="1113"/>
      <c r="BC178" s="1113"/>
      <c r="BD178" s="1113"/>
      <c r="BE178" s="1116"/>
      <c r="BF178" s="1113"/>
      <c r="BG178" s="1113"/>
      <c r="BH178" s="1113"/>
      <c r="BI178" s="1115"/>
      <c r="BJ178" s="1113"/>
      <c r="BK178" s="1113"/>
      <c r="BL178" s="1113"/>
      <c r="BM178" s="1116"/>
      <c r="BN178" s="1113"/>
      <c r="BO178" s="1113"/>
      <c r="BP178" s="1113"/>
      <c r="BQ178" s="1115"/>
      <c r="BR178" s="1113"/>
      <c r="BS178" s="1113"/>
      <c r="BT178" s="1113"/>
      <c r="BU178" s="1116"/>
      <c r="BV178" s="1113"/>
      <c r="BW178" s="1113"/>
      <c r="BX178" s="1113"/>
      <c r="BY178" s="1115"/>
      <c r="BZ178" s="1113"/>
      <c r="CA178" s="1113"/>
      <c r="CB178" s="1113"/>
      <c r="CC178" s="1116"/>
      <c r="CD178" s="1113"/>
      <c r="CE178" s="1113"/>
      <c r="CF178" s="1113"/>
      <c r="CG178" s="1115"/>
      <c r="CH178" s="1113"/>
      <c r="CI178" s="1113"/>
      <c r="CJ178" s="1113"/>
      <c r="CK178" s="1116"/>
      <c r="CL178" s="1113"/>
      <c r="CM178" s="1113"/>
      <c r="CN178" s="1113"/>
      <c r="CO178" s="1115"/>
      <c r="CP178" s="1113"/>
      <c r="CQ178" s="1113"/>
      <c r="CR178" s="1113"/>
      <c r="CS178" s="1116"/>
      <c r="CT178" s="1113"/>
      <c r="CU178" s="1113"/>
      <c r="CV178" s="1113"/>
      <c r="CW178" s="1115"/>
      <c r="CX178" s="1113"/>
      <c r="CY178" s="1113"/>
      <c r="CZ178" s="1113"/>
      <c r="DA178" s="1116"/>
    </row>
    <row r="179" spans="1:105" outlineLevel="1" x14ac:dyDescent="0.2">
      <c r="A179" s="186" t="s">
        <v>990</v>
      </c>
      <c r="AO179" s="180"/>
      <c r="AS179" s="179"/>
      <c r="AW179" s="314"/>
      <c r="BA179" s="179"/>
      <c r="BE179" s="314"/>
      <c r="BI179" s="179"/>
      <c r="BM179" s="314"/>
      <c r="BQ179" s="179"/>
      <c r="BU179" s="314"/>
      <c r="BY179" s="179"/>
      <c r="CC179" s="314"/>
      <c r="CG179" s="179"/>
      <c r="CK179" s="314"/>
      <c r="CO179" s="179"/>
      <c r="CS179" s="314"/>
      <c r="CW179" s="179"/>
      <c r="DA179" s="314"/>
    </row>
    <row r="180" spans="1:105" outlineLevel="1" x14ac:dyDescent="0.2">
      <c r="B180" s="4" t="s">
        <v>991</v>
      </c>
      <c r="AI180" s="103">
        <f>+AJ180</f>
        <v>0.88</v>
      </c>
      <c r="AJ180" s="103">
        <v>0.88</v>
      </c>
      <c r="AK180" s="103">
        <f>($AO$180-$AJ$180)/($AO$2-$AJ$2)+AJ180</f>
        <v>0.874</v>
      </c>
      <c r="AL180" s="103">
        <f>($AO$180-$AJ$180)/($AO$2-$AJ$2)+AK180</f>
        <v>0.86799999999999999</v>
      </c>
      <c r="AM180" s="104">
        <f>($AO$180-$AJ$180)/($AO$2-$AJ$2)+AL180</f>
        <v>0.86199999999999999</v>
      </c>
      <c r="AN180" s="104">
        <f>($AO$180-$AJ$180)/($AO$2-$AJ$2)+AM180</f>
        <v>0.85599999999999998</v>
      </c>
      <c r="AO180" s="105">
        <v>0.85</v>
      </c>
      <c r="AP180" s="104"/>
      <c r="AQ180" s="104"/>
      <c r="AR180" s="104"/>
      <c r="AS180" s="872"/>
      <c r="AT180" s="104"/>
      <c r="AU180" s="104"/>
      <c r="AV180" s="104"/>
      <c r="AW180" s="625">
        <f>+AO180</f>
        <v>0.85</v>
      </c>
      <c r="AX180" s="104"/>
      <c r="AY180" s="104"/>
      <c r="AZ180" s="104"/>
      <c r="BA180" s="872"/>
      <c r="BB180" s="104"/>
      <c r="BC180" s="104"/>
      <c r="BD180" s="104"/>
      <c r="BE180" s="625">
        <f>+AW180</f>
        <v>0.85</v>
      </c>
      <c r="BF180" s="104"/>
      <c r="BG180" s="104"/>
      <c r="BH180" s="104"/>
      <c r="BI180" s="872"/>
      <c r="BJ180" s="104"/>
      <c r="BK180" s="104"/>
      <c r="BL180" s="104"/>
      <c r="BM180" s="625">
        <f>+BE180</f>
        <v>0.85</v>
      </c>
      <c r="BN180" s="104"/>
      <c r="BO180" s="104"/>
      <c r="BP180" s="104"/>
      <c r="BQ180" s="872"/>
      <c r="BR180" s="104"/>
      <c r="BS180" s="104"/>
      <c r="BT180" s="104"/>
      <c r="BU180" s="867">
        <v>0.82499999999999996</v>
      </c>
      <c r="BV180" s="104"/>
      <c r="BW180" s="104"/>
      <c r="BX180" s="104"/>
      <c r="BY180" s="872"/>
      <c r="BZ180" s="104"/>
      <c r="CA180" s="104"/>
      <c r="CB180" s="104"/>
      <c r="CC180" s="867">
        <v>0.8</v>
      </c>
      <c r="CD180" s="104"/>
      <c r="CE180" s="104"/>
      <c r="CF180" s="104"/>
      <c r="CG180" s="872"/>
      <c r="CH180" s="104"/>
      <c r="CI180" s="104"/>
      <c r="CJ180" s="104"/>
      <c r="CK180" s="867">
        <f>+CC180</f>
        <v>0.8</v>
      </c>
      <c r="CL180" s="104"/>
      <c r="CM180" s="104"/>
      <c r="CN180" s="104"/>
      <c r="CO180" s="872"/>
      <c r="CP180" s="104"/>
      <c r="CQ180" s="104"/>
      <c r="CR180" s="104"/>
      <c r="CS180" s="867">
        <f>+CK180</f>
        <v>0.8</v>
      </c>
      <c r="CT180" s="104"/>
      <c r="CU180" s="104"/>
      <c r="CV180" s="104"/>
      <c r="CW180" s="872"/>
      <c r="CX180" s="104"/>
      <c r="CY180" s="104"/>
      <c r="CZ180" s="104"/>
      <c r="DA180" s="867">
        <f>+CS180</f>
        <v>0.8</v>
      </c>
    </row>
    <row r="181" spans="1:105" outlineLevel="1" x14ac:dyDescent="0.2">
      <c r="B181" s="4" t="s">
        <v>992</v>
      </c>
      <c r="AJ181" s="103">
        <v>0.12</v>
      </c>
      <c r="AK181" s="103">
        <f>1-AK180</f>
        <v>0.126</v>
      </c>
      <c r="AL181" s="103">
        <f>1-AL180</f>
        <v>0.13200000000000001</v>
      </c>
      <c r="AM181" s="104">
        <f>1-AM180</f>
        <v>0.13800000000000001</v>
      </c>
      <c r="AN181" s="104">
        <f>1-AN180</f>
        <v>0.14400000000000002</v>
      </c>
      <c r="AO181" s="105">
        <f>1-AO180</f>
        <v>0.15000000000000002</v>
      </c>
      <c r="AP181" s="104"/>
      <c r="AQ181" s="104"/>
      <c r="AR181" s="104"/>
      <c r="AS181" s="872"/>
      <c r="AT181" s="104"/>
      <c r="AU181" s="104"/>
      <c r="AV181" s="104"/>
      <c r="AW181" s="625">
        <f>1-AW180</f>
        <v>0.15000000000000002</v>
      </c>
      <c r="AX181" s="104"/>
      <c r="AY181" s="104"/>
      <c r="AZ181" s="104"/>
      <c r="BA181" s="872"/>
      <c r="BB181" s="104"/>
      <c r="BC181" s="104"/>
      <c r="BD181" s="104"/>
      <c r="BE181" s="625">
        <f>1-BE180</f>
        <v>0.15000000000000002</v>
      </c>
      <c r="BF181" s="104"/>
      <c r="BG181" s="104"/>
      <c r="BH181" s="104"/>
      <c r="BI181" s="872"/>
      <c r="BJ181" s="104"/>
      <c r="BK181" s="104"/>
      <c r="BL181" s="104"/>
      <c r="BM181" s="625">
        <f>1-BM180</f>
        <v>0.15000000000000002</v>
      </c>
      <c r="BN181" s="104"/>
      <c r="BO181" s="104"/>
      <c r="BP181" s="104"/>
      <c r="BQ181" s="872"/>
      <c r="BR181" s="104"/>
      <c r="BS181" s="104"/>
      <c r="BT181" s="104"/>
      <c r="BU181" s="867">
        <f>1-BU180</f>
        <v>0.17500000000000004</v>
      </c>
      <c r="BV181" s="104"/>
      <c r="BW181" s="104"/>
      <c r="BX181" s="104"/>
      <c r="BY181" s="872"/>
      <c r="BZ181" s="104"/>
      <c r="CA181" s="104"/>
      <c r="CB181" s="104"/>
      <c r="CC181" s="867">
        <f>1-CC180</f>
        <v>0.19999999999999996</v>
      </c>
      <c r="CD181" s="104"/>
      <c r="CE181" s="104"/>
      <c r="CF181" s="104"/>
      <c r="CG181" s="872"/>
      <c r="CH181" s="104"/>
      <c r="CI181" s="104"/>
      <c r="CJ181" s="104"/>
      <c r="CK181" s="867">
        <f>1-CK180</f>
        <v>0.19999999999999996</v>
      </c>
      <c r="CL181" s="104"/>
      <c r="CM181" s="104"/>
      <c r="CN181" s="104"/>
      <c r="CO181" s="872"/>
      <c r="CP181" s="104"/>
      <c r="CQ181" s="104"/>
      <c r="CR181" s="104"/>
      <c r="CS181" s="867">
        <f>1-CS180</f>
        <v>0.19999999999999996</v>
      </c>
      <c r="CT181" s="104"/>
      <c r="CU181" s="104"/>
      <c r="CV181" s="104"/>
      <c r="CW181" s="872"/>
      <c r="CX181" s="104"/>
      <c r="CY181" s="104"/>
      <c r="CZ181" s="104"/>
      <c r="DA181" s="867">
        <f>1-DA180</f>
        <v>0.19999999999999996</v>
      </c>
    </row>
    <row r="182" spans="1:105" outlineLevel="1" x14ac:dyDescent="0.2">
      <c r="AO182" s="180"/>
      <c r="AS182" s="179"/>
      <c r="AW182" s="314"/>
      <c r="BA182" s="179"/>
      <c r="BE182" s="314"/>
      <c r="BI182" s="179"/>
      <c r="BM182" s="314"/>
      <c r="BQ182" s="179"/>
      <c r="BU182" s="314"/>
      <c r="BY182" s="179"/>
      <c r="CC182" s="314"/>
      <c r="CG182" s="179"/>
      <c r="CK182" s="314"/>
      <c r="CO182" s="179"/>
      <c r="CS182" s="314"/>
      <c r="CW182" s="179"/>
      <c r="DA182" s="314"/>
    </row>
    <row r="183" spans="1:105" s="186" customFormat="1" outlineLevel="1" x14ac:dyDescent="0.2">
      <c r="A183" s="186" t="s">
        <v>990</v>
      </c>
      <c r="AG183" s="186">
        <f>AG7</f>
        <v>2770.2675000000004</v>
      </c>
      <c r="AH183" s="186">
        <f t="shared" ref="AH183:AO183" si="126">AH7+AH9</f>
        <v>3093.0080168587274</v>
      </c>
      <c r="AI183" s="186">
        <f t="shared" si="126"/>
        <v>3425.8200676689339</v>
      </c>
      <c r="AJ183" s="186">
        <f t="shared" si="126"/>
        <v>3739.2817486392978</v>
      </c>
      <c r="AK183" s="186">
        <f t="shared" si="126"/>
        <v>4142.4864263244644</v>
      </c>
      <c r="AL183" s="186">
        <f t="shared" si="126"/>
        <v>4418.9733139982973</v>
      </c>
      <c r="AM183" s="186">
        <f t="shared" si="126"/>
        <v>2034.1899566654527</v>
      </c>
      <c r="AN183" s="186">
        <f t="shared" si="126"/>
        <v>2294.7530399617922</v>
      </c>
      <c r="AO183" s="284">
        <f t="shared" si="126"/>
        <v>3382.82425922626</v>
      </c>
      <c r="AS183" s="283"/>
      <c r="AW183" s="341">
        <f>AW7+AW9</f>
        <v>4599.8416202461558</v>
      </c>
      <c r="BA183" s="283"/>
      <c r="BE183" s="341">
        <f>BE7+BE9</f>
        <v>6050.8396254707477</v>
      </c>
      <c r="BI183" s="283"/>
      <c r="BM183" s="341">
        <f>BM7+BM9</f>
        <v>7693.016350724648</v>
      </c>
      <c r="BQ183" s="283"/>
      <c r="BU183" s="301">
        <f>BU7+BU9</f>
        <v>10202.704825918845</v>
      </c>
      <c r="BY183" s="283"/>
      <c r="CC183" s="301">
        <f>CC7+CC9</f>
        <v>11838.62258780207</v>
      </c>
      <c r="CG183" s="283"/>
      <c r="CK183" s="301">
        <f>CK7+CK9</f>
        <v>13065.635058507432</v>
      </c>
      <c r="CO183" s="283"/>
      <c r="CS183" s="301">
        <f>CS7+CS9</f>
        <v>14215.891472055166</v>
      </c>
      <c r="CW183" s="283"/>
      <c r="DA183" s="301">
        <f>DA7+DA9</f>
        <v>15277.311301290669</v>
      </c>
    </row>
    <row r="184" spans="1:105" outlineLevel="1" x14ac:dyDescent="0.2">
      <c r="B184" s="4" t="s">
        <v>991</v>
      </c>
      <c r="AI184" s="4">
        <f>+AI180*AI183</f>
        <v>3014.721659548662</v>
      </c>
      <c r="AJ184" s="4">
        <f t="shared" ref="AJ184:AO184" si="127">AJ183*AJ180</f>
        <v>3290.5679388025819</v>
      </c>
      <c r="AK184" s="4">
        <f t="shared" si="127"/>
        <v>3620.533136607582</v>
      </c>
      <c r="AL184" s="4">
        <f t="shared" si="127"/>
        <v>3835.668836550522</v>
      </c>
      <c r="AM184" s="4">
        <f t="shared" si="127"/>
        <v>1753.4717426456202</v>
      </c>
      <c r="AN184" s="4">
        <f t="shared" si="127"/>
        <v>1964.3086022072941</v>
      </c>
      <c r="AO184" s="180">
        <f t="shared" si="127"/>
        <v>2875.400620342321</v>
      </c>
      <c r="AS184" s="179"/>
      <c r="AW184" s="314">
        <f>AW183*AW180</f>
        <v>3909.8653772092325</v>
      </c>
      <c r="BA184" s="179"/>
      <c r="BE184" s="314">
        <f>BE183*BE180</f>
        <v>5143.2136816501352</v>
      </c>
      <c r="BI184" s="179"/>
      <c r="BM184" s="314">
        <f>BM183*BM180</f>
        <v>6539.0638981159509</v>
      </c>
      <c r="BQ184" s="179"/>
      <c r="BU184" s="603">
        <f>BU183*BU180</f>
        <v>8417.2314813830471</v>
      </c>
      <c r="BY184" s="179"/>
      <c r="CC184" s="603">
        <f>CC183*CC180</f>
        <v>9470.8980702416575</v>
      </c>
      <c r="CG184" s="179"/>
      <c r="CK184" s="603">
        <f>CK183*CK180</f>
        <v>10452.508046805946</v>
      </c>
      <c r="CO184" s="179"/>
      <c r="CS184" s="603">
        <f>CS183*CS180</f>
        <v>11372.713177644133</v>
      </c>
      <c r="CW184" s="179"/>
      <c r="DA184" s="603">
        <f>DA183*DA180</f>
        <v>12221.849041032536</v>
      </c>
    </row>
    <row r="185" spans="1:105" outlineLevel="1" x14ac:dyDescent="0.2">
      <c r="B185" s="4" t="s">
        <v>992</v>
      </c>
      <c r="AI185" s="4">
        <f>+AI183-AI184</f>
        <v>411.09840812027187</v>
      </c>
      <c r="AJ185" s="4">
        <f t="shared" ref="AJ185:AO185" si="128">AJ183*AJ181</f>
        <v>448.71380983671571</v>
      </c>
      <c r="AK185" s="4">
        <f t="shared" si="128"/>
        <v>521.95328971688252</v>
      </c>
      <c r="AL185" s="4">
        <f t="shared" si="128"/>
        <v>583.3044774477753</v>
      </c>
      <c r="AM185" s="4">
        <f t="shared" si="128"/>
        <v>280.71821401983249</v>
      </c>
      <c r="AN185" s="4">
        <f t="shared" si="128"/>
        <v>330.4444377544981</v>
      </c>
      <c r="AO185" s="180">
        <f t="shared" si="128"/>
        <v>507.42363888393908</v>
      </c>
      <c r="AS185" s="179"/>
      <c r="AW185" s="314">
        <f>AW183*AW181</f>
        <v>689.97624303692351</v>
      </c>
      <c r="BA185" s="179"/>
      <c r="BE185" s="314">
        <f>BE183*BE181</f>
        <v>907.62594382061229</v>
      </c>
      <c r="BI185" s="179"/>
      <c r="BM185" s="314">
        <f>BM183*BM181</f>
        <v>1153.9524526086973</v>
      </c>
      <c r="BQ185" s="179"/>
      <c r="BU185" s="603">
        <f>BU183*BU181</f>
        <v>1785.4733445357983</v>
      </c>
      <c r="BY185" s="179"/>
      <c r="CC185" s="603">
        <f>CC183*CC181</f>
        <v>2367.7245175604135</v>
      </c>
      <c r="CG185" s="179"/>
      <c r="CK185" s="603">
        <f>CK183*CK181</f>
        <v>2613.127011701486</v>
      </c>
      <c r="CO185" s="179"/>
      <c r="CS185" s="603">
        <f>CS183*CS181</f>
        <v>2843.1782944110323</v>
      </c>
      <c r="CW185" s="179"/>
      <c r="DA185" s="603">
        <f>DA183*DA181</f>
        <v>3055.462260258133</v>
      </c>
    </row>
    <row r="186" spans="1:105" outlineLevel="1" x14ac:dyDescent="0.2">
      <c r="AO186" s="180"/>
      <c r="AS186" s="179"/>
      <c r="AW186" s="314"/>
      <c r="BA186" s="179"/>
      <c r="BE186" s="314"/>
      <c r="BI186" s="179"/>
      <c r="BM186" s="314"/>
      <c r="BQ186" s="179"/>
      <c r="BU186" s="314"/>
      <c r="BY186" s="179"/>
      <c r="CC186" s="314"/>
      <c r="CG186" s="179"/>
      <c r="CK186" s="314"/>
      <c r="CO186" s="179"/>
      <c r="CS186" s="314"/>
      <c r="CW186" s="179"/>
      <c r="DA186" s="314"/>
    </row>
    <row r="187" spans="1:105" outlineLevel="1" x14ac:dyDescent="0.2">
      <c r="A187" s="202" t="s">
        <v>993</v>
      </c>
      <c r="AO187" s="180"/>
      <c r="AS187" s="179"/>
      <c r="AW187" s="314"/>
      <c r="BA187" s="179"/>
      <c r="BE187" s="314"/>
      <c r="BI187" s="179"/>
      <c r="BM187" s="314"/>
      <c r="BQ187" s="179"/>
      <c r="BU187" s="314"/>
      <c r="BY187" s="179"/>
      <c r="CC187" s="314"/>
      <c r="CG187" s="179"/>
      <c r="CK187" s="314"/>
      <c r="CO187" s="179"/>
      <c r="CS187" s="314"/>
      <c r="CW187" s="179"/>
      <c r="DA187" s="314"/>
    </row>
    <row r="188" spans="1:105" outlineLevel="1" x14ac:dyDescent="0.2">
      <c r="B188" s="4" t="s">
        <v>994</v>
      </c>
      <c r="AI188" s="4">
        <f t="shared" ref="AI188:AO188" si="129">AI158-AI149</f>
        <v>-0.1512023229957942</v>
      </c>
      <c r="AJ188" s="4">
        <f t="shared" si="129"/>
        <v>-2.5752276765130939</v>
      </c>
      <c r="AK188" s="4">
        <f t="shared" si="129"/>
        <v>-11.350345685688414</v>
      </c>
      <c r="AL188" s="4">
        <f t="shared" si="129"/>
        <v>-29.100248902497739</v>
      </c>
      <c r="AM188" s="4">
        <f t="shared" si="129"/>
        <v>-42.536536187217166</v>
      </c>
      <c r="AN188" s="4">
        <f t="shared" si="129"/>
        <v>-59.092012006043305</v>
      </c>
      <c r="AO188" s="180">
        <f t="shared" si="129"/>
        <v>-81.260631853878593</v>
      </c>
      <c r="AS188" s="179"/>
      <c r="AW188" s="314">
        <f>AW158-AW149</f>
        <v>-99.967638588771123</v>
      </c>
      <c r="BA188" s="179"/>
      <c r="BE188" s="314">
        <f>BE158-BE149</f>
        <v>-70.441638008189543</v>
      </c>
      <c r="BI188" s="179"/>
      <c r="BM188" s="314">
        <f>BM158-BM149</f>
        <v>-94.420038493914888</v>
      </c>
      <c r="BQ188" s="179"/>
      <c r="BU188" s="603">
        <f>BU158-BU149</f>
        <v>-89.977757841173798</v>
      </c>
      <c r="BY188" s="179"/>
      <c r="CC188" s="603">
        <f>CC158-CC149</f>
        <v>-100.17744444680801</v>
      </c>
      <c r="CG188" s="179"/>
      <c r="CK188" s="603">
        <f>CK158-CK149</f>
        <v>-162.10783417917855</v>
      </c>
      <c r="CO188" s="179"/>
      <c r="CS188" s="603">
        <f>CS158-CS149</f>
        <v>-244.16526525980692</v>
      </c>
      <c r="CW188" s="179"/>
      <c r="DA188" s="603">
        <f>DA158-DA149</f>
        <v>-321.98898213661619</v>
      </c>
    </row>
    <row r="189" spans="1:105" outlineLevel="1" x14ac:dyDescent="0.2">
      <c r="B189" s="197" t="s">
        <v>995</v>
      </c>
      <c r="AI189" s="103">
        <f>+'Civil AM'!AI47</f>
        <v>0</v>
      </c>
      <c r="AJ189" s="103">
        <f>+'Civil AM'!AJ47</f>
        <v>0</v>
      </c>
      <c r="AK189" s="103">
        <f>+'Civil AM'!AK47</f>
        <v>0</v>
      </c>
      <c r="AL189" s="103">
        <f>+'Civil AM'!AL47</f>
        <v>0</v>
      </c>
      <c r="AM189" s="104">
        <f>+'Civil AM'!AM47</f>
        <v>0</v>
      </c>
      <c r="AN189" s="104">
        <f>+'Civil AM'!AN47</f>
        <v>0</v>
      </c>
      <c r="AO189" s="105">
        <f>+'Civil AM'!AO47</f>
        <v>0</v>
      </c>
      <c r="AP189" s="104"/>
      <c r="AQ189" s="104"/>
      <c r="AR189" s="104"/>
      <c r="AS189" s="872"/>
      <c r="AT189" s="104"/>
      <c r="AU189" s="104"/>
      <c r="AV189" s="104"/>
      <c r="AW189" s="1420">
        <f>+'Civil AM'!AW47</f>
        <v>0</v>
      </c>
      <c r="AX189" s="104"/>
      <c r="AY189" s="104"/>
      <c r="AZ189" s="104"/>
      <c r="BA189" s="872"/>
      <c r="BB189" s="104"/>
      <c r="BC189" s="104"/>
      <c r="BD189" s="104"/>
      <c r="BE189" s="1420">
        <f>+'Civil AM'!BE47</f>
        <v>0</v>
      </c>
      <c r="BF189" s="104"/>
      <c r="BG189" s="104"/>
      <c r="BH189" s="104"/>
      <c r="BI189" s="872"/>
      <c r="BJ189" s="104"/>
      <c r="BK189" s="104"/>
      <c r="BL189" s="104"/>
      <c r="BM189" s="1420">
        <f>+'Civil AM'!BM47</f>
        <v>0.1</v>
      </c>
      <c r="BN189" s="104"/>
      <c r="BO189" s="104"/>
      <c r="BP189" s="104"/>
      <c r="BQ189" s="872"/>
      <c r="BR189" s="104"/>
      <c r="BS189" s="104"/>
      <c r="BT189" s="104"/>
      <c r="BU189" s="826">
        <f>+'Civil AM'!BU47</f>
        <v>0.2</v>
      </c>
      <c r="BV189" s="104"/>
      <c r="BW189" s="104"/>
      <c r="BX189" s="104"/>
      <c r="BY189" s="872"/>
      <c r="BZ189" s="104"/>
      <c r="CA189" s="104"/>
      <c r="CB189" s="104"/>
      <c r="CC189" s="826">
        <f>+'Civil AM'!CC47</f>
        <v>0.22500000000000001</v>
      </c>
      <c r="CD189" s="104"/>
      <c r="CE189" s="104"/>
      <c r="CF189" s="104"/>
      <c r="CG189" s="872"/>
      <c r="CH189" s="104"/>
      <c r="CI189" s="104"/>
      <c r="CJ189" s="104"/>
      <c r="CK189" s="826">
        <f>+'Civil AM'!CK47</f>
        <v>0.25</v>
      </c>
      <c r="CL189" s="104"/>
      <c r="CM189" s="104"/>
      <c r="CN189" s="104"/>
      <c r="CO189" s="872"/>
      <c r="CP189" s="104"/>
      <c r="CQ189" s="104"/>
      <c r="CR189" s="104"/>
      <c r="CS189" s="826">
        <f>+'Civil AM'!CS47</f>
        <v>0.3</v>
      </c>
      <c r="CT189" s="104"/>
      <c r="CU189" s="104"/>
      <c r="CV189" s="104"/>
      <c r="CW189" s="872"/>
      <c r="CX189" s="104"/>
      <c r="CY189" s="104"/>
      <c r="CZ189" s="104"/>
      <c r="DA189" s="826">
        <f>+'Civil AM'!DA47</f>
        <v>0.35</v>
      </c>
    </row>
    <row r="190" spans="1:105" outlineLevel="1" x14ac:dyDescent="0.2">
      <c r="B190" s="4" t="s">
        <v>996</v>
      </c>
      <c r="AI190" s="4">
        <f t="shared" ref="AI190:AO190" si="130">-AI189*AI188</f>
        <v>0</v>
      </c>
      <c r="AJ190" s="4">
        <f t="shared" si="130"/>
        <v>0</v>
      </c>
      <c r="AK190" s="4">
        <f t="shared" si="130"/>
        <v>0</v>
      </c>
      <c r="AL190" s="4">
        <f t="shared" si="130"/>
        <v>0</v>
      </c>
      <c r="AM190" s="4">
        <f t="shared" si="130"/>
        <v>0</v>
      </c>
      <c r="AN190" s="4">
        <f t="shared" si="130"/>
        <v>0</v>
      </c>
      <c r="AO190" s="180">
        <f t="shared" si="130"/>
        <v>0</v>
      </c>
      <c r="AS190" s="179"/>
      <c r="AW190" s="314">
        <f>-AW189*AW188</f>
        <v>0</v>
      </c>
      <c r="BA190" s="179"/>
      <c r="BE190" s="314">
        <f>-BE189*BE188</f>
        <v>0</v>
      </c>
      <c r="BI190" s="179"/>
      <c r="BM190" s="314">
        <f>-BM189*BM188</f>
        <v>9.4420038493914884</v>
      </c>
      <c r="BQ190" s="179"/>
      <c r="BU190" s="603">
        <f>-BU189*BU188</f>
        <v>17.99555156823476</v>
      </c>
      <c r="BY190" s="179"/>
      <c r="CC190" s="603">
        <f>-CC189*CC188</f>
        <v>22.539925000531802</v>
      </c>
      <c r="CG190" s="179"/>
      <c r="CK190" s="603">
        <f>-CK189*CK188</f>
        <v>40.526958544794638</v>
      </c>
      <c r="CO190" s="179"/>
      <c r="CS190" s="603">
        <f>-CS189*CS188</f>
        <v>73.249579577942072</v>
      </c>
      <c r="CW190" s="179"/>
      <c r="DA190" s="603">
        <f>-DA189*DA188</f>
        <v>112.69614374781565</v>
      </c>
    </row>
    <row r="191" spans="1:105" outlineLevel="1" x14ac:dyDescent="0.2">
      <c r="AO191" s="180"/>
      <c r="AS191" s="179"/>
      <c r="AW191" s="314"/>
      <c r="BA191" s="179"/>
      <c r="BE191" s="314"/>
      <c r="BI191" s="179"/>
      <c r="BM191" s="314"/>
      <c r="BQ191" s="179"/>
      <c r="BU191" s="314"/>
      <c r="BY191" s="179"/>
      <c r="CC191" s="314"/>
      <c r="CG191" s="179"/>
      <c r="CK191" s="314"/>
      <c r="CO191" s="179"/>
      <c r="CS191" s="314"/>
      <c r="CW191" s="179"/>
      <c r="DA191" s="314"/>
    </row>
    <row r="192" spans="1:105" x14ac:dyDescent="0.2">
      <c r="A192" s="434"/>
      <c r="B192" s="434"/>
      <c r="C192" s="434"/>
      <c r="D192" s="434"/>
      <c r="E192" s="434"/>
      <c r="F192" s="434"/>
      <c r="G192" s="434"/>
      <c r="H192" s="434"/>
      <c r="I192" s="434"/>
      <c r="J192" s="434"/>
      <c r="K192" s="434"/>
      <c r="L192" s="434"/>
      <c r="M192" s="434"/>
      <c r="N192" s="434"/>
      <c r="O192" s="434"/>
      <c r="P192" s="434"/>
      <c r="Q192" s="434"/>
      <c r="R192" s="434"/>
      <c r="S192" s="434"/>
      <c r="T192" s="434"/>
      <c r="U192" s="434"/>
      <c r="V192" s="434"/>
      <c r="W192" s="434"/>
      <c r="X192" s="434"/>
      <c r="Y192" s="434"/>
      <c r="Z192" s="434"/>
      <c r="AA192" s="434"/>
      <c r="AB192" s="434"/>
      <c r="AC192" s="434"/>
      <c r="AD192" s="434"/>
      <c r="AE192" s="434"/>
      <c r="AF192" s="434"/>
      <c r="AG192" s="434"/>
      <c r="AH192" s="434"/>
      <c r="AI192" s="434"/>
      <c r="AJ192" s="434"/>
      <c r="AK192" s="434"/>
      <c r="AL192" s="434"/>
      <c r="AM192" s="434"/>
      <c r="AN192" s="434"/>
      <c r="AO192" s="437"/>
      <c r="AP192" s="434"/>
      <c r="AQ192" s="434"/>
      <c r="AR192" s="434"/>
      <c r="AS192" s="436"/>
      <c r="AT192" s="434"/>
      <c r="AU192" s="434"/>
      <c r="AV192" s="434"/>
      <c r="AW192" s="1117"/>
      <c r="AX192" s="434"/>
      <c r="AY192" s="434"/>
      <c r="AZ192" s="434"/>
      <c r="BA192" s="436"/>
      <c r="BB192" s="434"/>
      <c r="BC192" s="434"/>
      <c r="BD192" s="434"/>
      <c r="BE192" s="1117"/>
      <c r="BF192" s="434"/>
      <c r="BG192" s="434"/>
      <c r="BH192" s="434"/>
      <c r="BI192" s="436"/>
      <c r="BJ192" s="434"/>
      <c r="BK192" s="434"/>
      <c r="BL192" s="434"/>
      <c r="BM192" s="1117"/>
      <c r="BN192" s="434"/>
      <c r="BO192" s="434"/>
      <c r="BP192" s="434"/>
      <c r="BQ192" s="436"/>
      <c r="BR192" s="434"/>
      <c r="BS192" s="434"/>
      <c r="BT192" s="434"/>
      <c r="BU192" s="1117"/>
      <c r="BV192" s="434"/>
      <c r="BW192" s="434"/>
      <c r="BX192" s="434"/>
      <c r="BY192" s="436"/>
      <c r="BZ192" s="434"/>
      <c r="CA192" s="434"/>
      <c r="CB192" s="434"/>
      <c r="CC192" s="1117"/>
      <c r="CD192" s="434"/>
      <c r="CE192" s="434"/>
      <c r="CF192" s="434"/>
      <c r="CG192" s="436"/>
      <c r="CH192" s="434"/>
      <c r="CI192" s="434"/>
      <c r="CJ192" s="434"/>
      <c r="CK192" s="1117"/>
      <c r="CL192" s="434"/>
      <c r="CM192" s="434"/>
      <c r="CN192" s="434"/>
      <c r="CO192" s="436"/>
      <c r="CP192" s="434"/>
      <c r="CQ192" s="434"/>
      <c r="CR192" s="434"/>
      <c r="CS192" s="1117"/>
      <c r="CT192" s="434"/>
      <c r="CU192" s="434"/>
      <c r="CV192" s="434"/>
      <c r="CW192" s="436"/>
      <c r="CX192" s="434"/>
      <c r="CY192" s="434"/>
      <c r="CZ192" s="434"/>
      <c r="DA192" s="1117"/>
    </row>
  </sheetData>
  <pageMargins left="0.7" right="0.7" top="0.75" bottom="0.75" header="0.3" footer="0.3"/>
  <pageSetup paperSize="9" scale="68" fitToHeight="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9AAAB-B29D-44E9-92D0-54B17C3F8532}">
  <sheetPr codeName="Sheet18">
    <tabColor theme="8"/>
    <pageSetUpPr fitToPage="1"/>
  </sheetPr>
  <dimension ref="A1:CL561"/>
  <sheetViews>
    <sheetView showGridLines="0" zoomScaleNormal="100" workbookViewId="0">
      <pane xSplit="1" ySplit="3" topLeftCell="T4" activePane="bottomRight" state="frozen"/>
      <selection pane="topRight" activeCell="B1" sqref="B1"/>
      <selection pane="bottomLeft" activeCell="A4" sqref="A4"/>
      <selection pane="bottomRight" activeCell="T4" sqref="T4"/>
    </sheetView>
  </sheetViews>
  <sheetFormatPr defaultColWidth="8.85546875" defaultRowHeight="11.25" outlineLevelRow="1" outlineLevelCol="2" x14ac:dyDescent="0.2"/>
  <cols>
    <col min="1" max="1" width="28.7109375" style="4" customWidth="1"/>
    <col min="2" max="16" width="7.140625" style="4" hidden="1" customWidth="1" outlineLevel="1"/>
    <col min="17" max="17" width="7.140625" style="4" customWidth="1" collapsed="1"/>
    <col min="18" max="22" width="7.140625" style="4" customWidth="1"/>
    <col min="23" max="26" width="7.140625" style="4" hidden="1" customWidth="1" outlineLevel="2"/>
    <col min="27" max="29" width="7.140625" style="4" hidden="1" customWidth="1" outlineLevel="1"/>
    <col min="30" max="30" width="7.140625" style="4" customWidth="1" collapsed="1"/>
    <col min="31" max="34" width="7.140625" style="4" hidden="1" customWidth="1" outlineLevel="2"/>
    <col min="35" max="37" width="7.140625" style="4" hidden="1" customWidth="1" outlineLevel="1"/>
    <col min="38" max="38" width="7.140625" style="4" customWidth="1" collapsed="1"/>
    <col min="39" max="42" width="7.140625" style="4" hidden="1" customWidth="1" outlineLevel="2"/>
    <col min="43" max="45" width="7.140625" style="4" hidden="1" customWidth="1" outlineLevel="1"/>
    <col min="46" max="46" width="7.140625" style="4" customWidth="1" collapsed="1"/>
    <col min="47" max="50" width="7.140625" style="4" hidden="1" customWidth="1" outlineLevel="2"/>
    <col min="51" max="53" width="7.140625" style="4" hidden="1" customWidth="1" outlineLevel="1"/>
    <col min="54" max="54" width="7.140625" style="4" customWidth="1" collapsed="1"/>
    <col min="55" max="58" width="7.140625" style="4" hidden="1" customWidth="1" outlineLevel="2"/>
    <col min="59" max="61" width="7.140625" style="4" hidden="1" customWidth="1" outlineLevel="1"/>
    <col min="62" max="62" width="7.140625" style="4" customWidth="1" collapsed="1"/>
    <col min="63" max="66" width="7.140625" style="4" hidden="1" customWidth="1" outlineLevel="2"/>
    <col min="67" max="69" width="7.140625" style="4" hidden="1" customWidth="1" outlineLevel="1"/>
    <col min="70" max="70" width="7.140625" style="4" customWidth="1" collapsed="1"/>
    <col min="71" max="74" width="7.140625" style="4" hidden="1" customWidth="1" outlineLevel="2"/>
    <col min="75" max="77" width="7.140625" style="4" hidden="1" customWidth="1" outlineLevel="1"/>
    <col min="78" max="78" width="7.140625" style="4" customWidth="1" collapsed="1"/>
    <col min="79" max="82" width="7.140625" style="4" hidden="1" customWidth="1" outlineLevel="2"/>
    <col min="83" max="85" width="7.140625" style="4" hidden="1" customWidth="1" outlineLevel="1"/>
    <col min="86" max="86" width="7.140625" style="4" customWidth="1" collapsed="1"/>
    <col min="87" max="87" width="3.7109375" style="4" customWidth="1"/>
    <col min="88" max="88" width="8.85546875" style="4"/>
    <col min="89" max="89" width="13.140625" style="4" bestFit="1" customWidth="1"/>
    <col min="90" max="16384" width="8.85546875" style="4"/>
  </cols>
  <sheetData>
    <row r="1" spans="1:87" s="444" customFormat="1" ht="15.75" x14ac:dyDescent="0.25">
      <c r="A1" s="1118" t="s">
        <v>997</v>
      </c>
      <c r="B1" s="162"/>
      <c r="C1" s="162"/>
      <c r="D1" s="162"/>
      <c r="E1" s="162"/>
      <c r="F1" s="162"/>
      <c r="G1" s="162"/>
      <c r="H1" s="162"/>
      <c r="I1" s="162"/>
      <c r="J1" s="162"/>
      <c r="K1" s="162"/>
      <c r="L1" s="162"/>
      <c r="M1" s="162"/>
      <c r="N1" s="162"/>
      <c r="O1" s="162"/>
      <c r="P1" s="162"/>
      <c r="Q1" s="162"/>
      <c r="R1" s="162"/>
      <c r="S1" s="162"/>
      <c r="T1" s="162"/>
      <c r="U1" s="162"/>
      <c r="V1" s="1119"/>
      <c r="W1" s="162"/>
      <c r="X1" s="162"/>
      <c r="Y1" s="162"/>
      <c r="Z1" s="1428"/>
      <c r="AA1" s="162"/>
      <c r="AB1" s="162"/>
      <c r="AC1" s="162"/>
      <c r="AD1" s="1429"/>
      <c r="AE1" s="162"/>
      <c r="AF1" s="162"/>
      <c r="AG1" s="162"/>
      <c r="AH1" s="1428"/>
      <c r="AI1" s="162"/>
      <c r="AJ1" s="162"/>
      <c r="AK1" s="162"/>
      <c r="AL1" s="1429"/>
      <c r="AM1" s="162"/>
      <c r="AN1" s="162"/>
      <c r="AO1" s="162"/>
      <c r="AP1" s="1428"/>
      <c r="AQ1" s="162"/>
      <c r="AR1" s="162"/>
      <c r="AS1" s="162"/>
      <c r="AT1" s="1429"/>
      <c r="AU1" s="162"/>
      <c r="AV1" s="162"/>
      <c r="AW1" s="1121"/>
      <c r="AX1" s="1120"/>
      <c r="AY1" s="162"/>
      <c r="AZ1" s="1121"/>
      <c r="BA1" s="1121"/>
      <c r="BB1" s="1122"/>
      <c r="BC1" s="1121"/>
      <c r="BD1" s="1121"/>
      <c r="BE1" s="1121"/>
      <c r="BF1" s="1120"/>
      <c r="BG1" s="1121"/>
      <c r="BH1" s="1121"/>
      <c r="BI1" s="1121"/>
      <c r="BJ1" s="1122"/>
      <c r="BK1" s="1121"/>
      <c r="BL1" s="1121"/>
      <c r="BM1" s="1121"/>
      <c r="BN1" s="1120"/>
      <c r="BO1" s="1121"/>
      <c r="BP1" s="1121"/>
      <c r="BQ1" s="1121"/>
      <c r="BR1" s="1122"/>
      <c r="BS1" s="1121"/>
      <c r="BT1" s="1121"/>
      <c r="BU1" s="1121"/>
      <c r="BV1" s="1120"/>
      <c r="BW1" s="1121"/>
      <c r="BX1" s="1121"/>
      <c r="BY1" s="1121"/>
      <c r="BZ1" s="1122"/>
      <c r="CA1" s="1121"/>
      <c r="CB1" s="1121"/>
      <c r="CC1" s="1121"/>
      <c r="CD1" s="1120"/>
      <c r="CE1" s="1121"/>
      <c r="CF1" s="1121"/>
      <c r="CG1" s="1121"/>
      <c r="CH1" s="1122"/>
    </row>
    <row r="2" spans="1:87" x14ac:dyDescent="0.2">
      <c r="P2" s="574" t="s">
        <v>74</v>
      </c>
      <c r="Q2" s="575" t="s">
        <v>74</v>
      </c>
      <c r="R2" s="575" t="s">
        <v>74</v>
      </c>
      <c r="S2" s="575" t="s">
        <v>74</v>
      </c>
      <c r="T2" s="575" t="s">
        <v>74</v>
      </c>
      <c r="U2" s="575" t="s">
        <v>74</v>
      </c>
      <c r="V2" s="576" t="s">
        <v>74</v>
      </c>
      <c r="W2" s="575"/>
      <c r="X2" s="575"/>
      <c r="Y2" s="575"/>
      <c r="Z2" s="1123"/>
      <c r="AA2" s="575"/>
      <c r="AB2" s="575"/>
      <c r="AC2" s="575"/>
      <c r="AD2" s="1124" t="s">
        <v>74</v>
      </c>
      <c r="AE2" s="575"/>
      <c r="AF2" s="575"/>
      <c r="AG2" s="575"/>
      <c r="AH2" s="1123"/>
      <c r="AI2" s="575"/>
      <c r="AJ2" s="575"/>
      <c r="AK2" s="575"/>
      <c r="AL2" s="1124" t="s">
        <v>74</v>
      </c>
      <c r="AM2" s="575"/>
      <c r="AN2" s="575"/>
      <c r="AO2" s="575"/>
      <c r="AP2" s="1123"/>
      <c r="AQ2" s="575"/>
      <c r="AR2" s="575"/>
      <c r="AS2" s="575"/>
      <c r="AT2" s="1124" t="s">
        <v>74</v>
      </c>
      <c r="AU2" s="575"/>
      <c r="AV2" s="575"/>
      <c r="AW2" s="575"/>
      <c r="AX2" s="1123"/>
      <c r="AY2" s="575"/>
      <c r="AZ2" s="575"/>
      <c r="BA2" s="575"/>
      <c r="BB2" s="1124" t="s">
        <v>74</v>
      </c>
      <c r="BC2" s="575"/>
      <c r="BD2" s="575"/>
      <c r="BE2" s="575"/>
      <c r="BF2" s="1123"/>
      <c r="BG2" s="575"/>
      <c r="BH2" s="575"/>
      <c r="BI2" s="575"/>
      <c r="BJ2" s="1124" t="s">
        <v>74</v>
      </c>
      <c r="BK2" s="575"/>
      <c r="BL2" s="575"/>
      <c r="BM2" s="575"/>
      <c r="BN2" s="1123"/>
      <c r="BO2" s="575"/>
      <c r="BP2" s="575"/>
      <c r="BQ2" s="575"/>
      <c r="BR2" s="1124" t="s">
        <v>74</v>
      </c>
      <c r="BS2" s="575"/>
      <c r="BT2" s="575"/>
      <c r="BU2" s="575"/>
      <c r="BV2" s="1123"/>
      <c r="BW2" s="575"/>
      <c r="BX2" s="575"/>
      <c r="BY2" s="575"/>
      <c r="BZ2" s="1124" t="s">
        <v>74</v>
      </c>
      <c r="CA2" s="575"/>
      <c r="CB2" s="575"/>
      <c r="CC2" s="575"/>
      <c r="CD2" s="1123"/>
      <c r="CE2" s="575"/>
      <c r="CF2" s="575"/>
      <c r="CG2" s="575"/>
      <c r="CH2" s="1124" t="s">
        <v>74</v>
      </c>
    </row>
    <row r="3" spans="1:87" x14ac:dyDescent="0.2">
      <c r="A3" s="693" t="s">
        <v>75</v>
      </c>
      <c r="B3" s="838">
        <v>2004</v>
      </c>
      <c r="C3" s="838">
        <f t="shared" ref="C3:O3" si="0">B3+1</f>
        <v>2005</v>
      </c>
      <c r="D3" s="838">
        <f t="shared" si="0"/>
        <v>2006</v>
      </c>
      <c r="E3" s="838">
        <f t="shared" si="0"/>
        <v>2007</v>
      </c>
      <c r="F3" s="838">
        <f t="shared" si="0"/>
        <v>2008</v>
      </c>
      <c r="G3" s="838">
        <f t="shared" si="0"/>
        <v>2009</v>
      </c>
      <c r="H3" s="838">
        <f t="shared" si="0"/>
        <v>2010</v>
      </c>
      <c r="I3" s="838">
        <f t="shared" si="0"/>
        <v>2011</v>
      </c>
      <c r="J3" s="838">
        <f t="shared" si="0"/>
        <v>2012</v>
      </c>
      <c r="K3" s="838">
        <f t="shared" si="0"/>
        <v>2013</v>
      </c>
      <c r="L3" s="838">
        <f t="shared" si="0"/>
        <v>2014</v>
      </c>
      <c r="M3" s="838">
        <f t="shared" si="0"/>
        <v>2015</v>
      </c>
      <c r="N3" s="838">
        <f t="shared" si="0"/>
        <v>2016</v>
      </c>
      <c r="O3" s="838">
        <f t="shared" si="0"/>
        <v>2017</v>
      </c>
      <c r="P3" s="838" t="s">
        <v>76</v>
      </c>
      <c r="Q3" s="838">
        <f>O3+1</f>
        <v>2018</v>
      </c>
      <c r="R3" s="1125" t="s">
        <v>77</v>
      </c>
      <c r="S3" s="838">
        <f>Q3+1</f>
        <v>2019</v>
      </c>
      <c r="T3" s="838">
        <f>S3+1</f>
        <v>2020</v>
      </c>
      <c r="U3" s="838">
        <f>T3+1</f>
        <v>2021</v>
      </c>
      <c r="V3" s="1126">
        <f>U3+1</f>
        <v>2022</v>
      </c>
      <c r="W3" s="1125" t="str">
        <f>'Civil AM'!AP2</f>
        <v>1Q23</v>
      </c>
      <c r="X3" s="1125" t="str">
        <f>'Civil AM'!AQ2</f>
        <v>2Q23</v>
      </c>
      <c r="Y3" s="1125" t="str">
        <f>'Civil AM'!AR2</f>
        <v>3Q23</v>
      </c>
      <c r="Z3" s="1127" t="str">
        <f>'Civil AM'!AS2</f>
        <v>4Q23</v>
      </c>
      <c r="AA3" s="1125" t="str">
        <f>'Civil AM'!AT2</f>
        <v>1H23</v>
      </c>
      <c r="AB3" s="1125" t="str">
        <f>'Civil AM'!AU2</f>
        <v>2H23</v>
      </c>
      <c r="AC3" s="1125" t="str">
        <f>'Civil AM'!AV2</f>
        <v>9M23</v>
      </c>
      <c r="AD3" s="1430">
        <f>V3+1</f>
        <v>2023</v>
      </c>
      <c r="AE3" s="1125" t="str">
        <f>'Civil AM'!AX2</f>
        <v>1Q24</v>
      </c>
      <c r="AF3" s="1125" t="str">
        <f>'Civil AM'!AY2</f>
        <v>2Q24</v>
      </c>
      <c r="AG3" s="1125" t="str">
        <f>'Civil AM'!AZ2</f>
        <v>3Q24</v>
      </c>
      <c r="AH3" s="1127" t="str">
        <f>'Civil AM'!BA2</f>
        <v>4Q24</v>
      </c>
      <c r="AI3" s="1125" t="str">
        <f>'Civil AM'!BB2</f>
        <v>1H24</v>
      </c>
      <c r="AJ3" s="1125" t="str">
        <f>'Civil AM'!BC2</f>
        <v>2H24</v>
      </c>
      <c r="AK3" s="1125" t="str">
        <f>'Civil AM'!BD2</f>
        <v>9M24</v>
      </c>
      <c r="AL3" s="1430">
        <f>AD3+1</f>
        <v>2024</v>
      </c>
      <c r="AM3" s="1125" t="str">
        <f>'Civil AM'!BF2</f>
        <v>1Q25</v>
      </c>
      <c r="AN3" s="1125" t="str">
        <f>'Civil AM'!BG2</f>
        <v>2Q25</v>
      </c>
      <c r="AO3" s="1125" t="str">
        <f>'Civil AM'!BH2</f>
        <v>3Q25</v>
      </c>
      <c r="AP3" s="1127" t="str">
        <f>'Civil AM'!BI2</f>
        <v>4Q25</v>
      </c>
      <c r="AQ3" s="1125" t="str">
        <f>'Civil AM'!BJ2</f>
        <v>1H25</v>
      </c>
      <c r="AR3" s="1125" t="str">
        <f>'Civil AM'!BK2</f>
        <v>2H25</v>
      </c>
      <c r="AS3" s="1125" t="str">
        <f>'Civil AM'!BL2</f>
        <v>9M25</v>
      </c>
      <c r="AT3" s="1430">
        <f>AL3+1</f>
        <v>2025</v>
      </c>
      <c r="AU3" s="1125" t="str">
        <f>'Civil AM'!BN2</f>
        <v>1Q26</v>
      </c>
      <c r="AV3" s="1125" t="str">
        <f>'Civil AM'!BO2</f>
        <v>2Q26</v>
      </c>
      <c r="AW3" s="1125" t="str">
        <f>'Civil AM'!BP2</f>
        <v>3Q26e</v>
      </c>
      <c r="AX3" s="1127" t="str">
        <f>'Civil AM'!BQ2</f>
        <v>4Q26e</v>
      </c>
      <c r="AY3" s="1125" t="str">
        <f>'Civil AM'!BR2</f>
        <v>1H26</v>
      </c>
      <c r="AZ3" s="1125" t="str">
        <f>'Civil AM'!BS2</f>
        <v>2H26e</v>
      </c>
      <c r="BA3" s="1125" t="str">
        <f>'Civil AM'!BT2</f>
        <v>9M26e</v>
      </c>
      <c r="BB3" s="1128">
        <f>AT3+1</f>
        <v>2026</v>
      </c>
      <c r="BC3" s="1125" t="str">
        <f>'Civil AM'!BV2</f>
        <v>1Q27e</v>
      </c>
      <c r="BD3" s="1125" t="str">
        <f>'Civil AM'!BW2</f>
        <v>2Q27e</v>
      </c>
      <c r="BE3" s="1125" t="str">
        <f>'Civil AM'!BX2</f>
        <v>3Q27e</v>
      </c>
      <c r="BF3" s="1127" t="str">
        <f>'Civil AM'!BY2</f>
        <v>4Q27e</v>
      </c>
      <c r="BG3" s="1125" t="str">
        <f>'Civil AM'!BZ2</f>
        <v>1H27e</v>
      </c>
      <c r="BH3" s="1125" t="str">
        <f>'Civil AM'!CA2</f>
        <v>2H27e</v>
      </c>
      <c r="BI3" s="1125" t="str">
        <f>'Civil AM'!CB2</f>
        <v>9M27e</v>
      </c>
      <c r="BJ3" s="1128">
        <f>BB3+1</f>
        <v>2027</v>
      </c>
      <c r="BK3" s="1125" t="str">
        <f>'Civil AM'!CD2</f>
        <v>1Q28e</v>
      </c>
      <c r="BL3" s="1125" t="str">
        <f>'Civil AM'!CE2</f>
        <v>2Q28e</v>
      </c>
      <c r="BM3" s="1125" t="str">
        <f>'Civil AM'!CF2</f>
        <v>3Q28e</v>
      </c>
      <c r="BN3" s="1127" t="str">
        <f>'Civil AM'!CG2</f>
        <v>4Q28e</v>
      </c>
      <c r="BO3" s="1125" t="str">
        <f>'Civil AM'!CH2</f>
        <v>1H28e</v>
      </c>
      <c r="BP3" s="1125" t="str">
        <f>'Civil AM'!CI2</f>
        <v>2H28e</v>
      </c>
      <c r="BQ3" s="1125" t="str">
        <f>'Civil AM'!CJ2</f>
        <v>9M28e</v>
      </c>
      <c r="BR3" s="1128">
        <f>BJ3+1</f>
        <v>2028</v>
      </c>
      <c r="BS3" s="1125" t="str">
        <f>'Civil AM'!CL2</f>
        <v>1Q29e</v>
      </c>
      <c r="BT3" s="1125" t="str">
        <f>'Civil AM'!CM2</f>
        <v>2Q29e</v>
      </c>
      <c r="BU3" s="1125" t="str">
        <f>'Civil AM'!CN2</f>
        <v>3Q29e</v>
      </c>
      <c r="BV3" s="1127" t="str">
        <f>'Civil AM'!CO2</f>
        <v>4Q29e</v>
      </c>
      <c r="BW3" s="1125" t="str">
        <f>'Civil AM'!CP2</f>
        <v>1H29e</v>
      </c>
      <c r="BX3" s="1125" t="str">
        <f>'Civil AM'!CQ2</f>
        <v>2H29e</v>
      </c>
      <c r="BY3" s="1125" t="str">
        <f>'Civil AM'!CR2</f>
        <v>9M29e</v>
      </c>
      <c r="BZ3" s="1128">
        <f>BR3+1</f>
        <v>2029</v>
      </c>
      <c r="CA3" s="1125" t="str">
        <f>'Civil AM'!CT2</f>
        <v>1Q30e</v>
      </c>
      <c r="CB3" s="1125" t="str">
        <f>'Civil AM'!CU2</f>
        <v>2Q30e</v>
      </c>
      <c r="CC3" s="1125" t="str">
        <f>'Civil AM'!CV2</f>
        <v>3Q30e</v>
      </c>
      <c r="CD3" s="1127" t="str">
        <f>'Civil AM'!CW2</f>
        <v>4Q30e</v>
      </c>
      <c r="CE3" s="1125" t="str">
        <f>'Civil AM'!CX2</f>
        <v>1H30e</v>
      </c>
      <c r="CF3" s="1125" t="str">
        <f>'Civil AM'!CY2</f>
        <v>2H30e</v>
      </c>
      <c r="CG3" s="1125" t="str">
        <f>'Civil AM'!CZ2</f>
        <v>9M30e</v>
      </c>
      <c r="CH3" s="1128">
        <f>BZ3+1</f>
        <v>2030</v>
      </c>
    </row>
    <row r="4" spans="1:87" ht="15" x14ac:dyDescent="0.25">
      <c r="T4" s="474"/>
      <c r="V4" s="180"/>
      <c r="Z4" s="179"/>
      <c r="AD4" s="314"/>
      <c r="AH4" s="179"/>
      <c r="AL4" s="314"/>
      <c r="AP4" s="179"/>
      <c r="AT4" s="314"/>
      <c r="AX4" s="179"/>
      <c r="BB4" s="314"/>
      <c r="BF4" s="179"/>
      <c r="BJ4" s="314"/>
      <c r="BN4" s="179"/>
      <c r="BR4" s="314"/>
      <c r="BV4" s="179"/>
      <c r="BZ4" s="314"/>
      <c r="CD4" s="179"/>
      <c r="CH4" s="314"/>
    </row>
    <row r="5" spans="1:87" x14ac:dyDescent="0.2">
      <c r="A5" s="186" t="s">
        <v>326</v>
      </c>
      <c r="Q5" s="186"/>
      <c r="R5" s="186">
        <f>R15-R10</f>
        <v>5360</v>
      </c>
      <c r="S5" s="186">
        <f>S15-S10</f>
        <v>6254</v>
      </c>
      <c r="T5" s="186">
        <f>T15-T10</f>
        <v>4749</v>
      </c>
      <c r="U5" s="186">
        <f>U15-U10</f>
        <v>4187</v>
      </c>
      <c r="V5" s="284">
        <f>V15-V10</f>
        <v>4710</v>
      </c>
      <c r="W5" s="186">
        <v>1144</v>
      </c>
      <c r="X5" s="186">
        <f>AA5-W5</f>
        <v>1282</v>
      </c>
      <c r="Y5" s="186">
        <v>1250</v>
      </c>
      <c r="Z5" s="283">
        <f>AB5-Y5</f>
        <v>1692</v>
      </c>
      <c r="AA5" s="186">
        <v>2426</v>
      </c>
      <c r="AB5" s="186">
        <f>AD5-AA5</f>
        <v>2942</v>
      </c>
      <c r="AC5" s="186">
        <f>W5+X5+Y5</f>
        <v>3676</v>
      </c>
      <c r="AD5" s="341">
        <f>AD15-AD10</f>
        <v>5368</v>
      </c>
      <c r="AE5" s="186">
        <v>1470</v>
      </c>
      <c r="AF5" s="186">
        <f>AI5-AE5</f>
        <v>1682</v>
      </c>
      <c r="AG5" s="186">
        <v>1507</v>
      </c>
      <c r="AH5" s="283">
        <f>AJ5-AG5</f>
        <v>1819</v>
      </c>
      <c r="AI5" s="186">
        <v>3152</v>
      </c>
      <c r="AJ5" s="186">
        <f>AL5-AI5</f>
        <v>3326</v>
      </c>
      <c r="AK5" s="186">
        <f>AE5+AF5+AG5</f>
        <v>4659</v>
      </c>
      <c r="AL5" s="341">
        <f>AL15-AL10</f>
        <v>6478</v>
      </c>
      <c r="AM5" s="186">
        <v>1661</v>
      </c>
      <c r="AN5" s="186">
        <f>AQ5-AM5</f>
        <v>1703</v>
      </c>
      <c r="AO5" s="186">
        <v>1818</v>
      </c>
      <c r="AP5" s="283">
        <f>AR5-AO5</f>
        <v>2313</v>
      </c>
      <c r="AQ5" s="186">
        <v>3364</v>
      </c>
      <c r="AR5" s="186">
        <f>AT5-AQ5</f>
        <v>4131</v>
      </c>
      <c r="AS5" s="186">
        <f>AM5+AN5+AO5</f>
        <v>5182</v>
      </c>
      <c r="AT5" s="341">
        <f>AT15-AT10</f>
        <v>7495</v>
      </c>
      <c r="AU5" s="186">
        <v>2024</v>
      </c>
      <c r="AV5" s="186">
        <f>AY5-AU5</f>
        <v>2153</v>
      </c>
      <c r="AW5" s="285">
        <f>AO5*(1+AW6)</f>
        <v>2185.4442718531755</v>
      </c>
      <c r="AX5" s="728">
        <f>AZ5-AW5</f>
        <v>2647.4043626570292</v>
      </c>
      <c r="AY5" s="186">
        <v>4177</v>
      </c>
      <c r="AZ5" s="285">
        <f>BB5-AY5</f>
        <v>4832.8486345102046</v>
      </c>
      <c r="BA5" s="285">
        <f>AU5+AV5+AW5</f>
        <v>6362.4442718531755</v>
      </c>
      <c r="BB5" s="301">
        <f>AT5*(1+BB6)</f>
        <v>9009.8486345102046</v>
      </c>
      <c r="BC5" s="285">
        <f>AU5*(1+BC6)</f>
        <v>2211.4592848904267</v>
      </c>
      <c r="BD5" s="285">
        <f>BG5-BC5</f>
        <v>2352.4070357554792</v>
      </c>
      <c r="BE5" s="285">
        <f>AW5*(1+BE6)</f>
        <v>2387.8562384388847</v>
      </c>
      <c r="BF5" s="728">
        <f>BH5-BE5</f>
        <v>2892.6022523010429</v>
      </c>
      <c r="BG5" s="285">
        <f>AY5*(1+BG6)</f>
        <v>4563.8663206459059</v>
      </c>
      <c r="BH5" s="285">
        <f>BJ5-BG5</f>
        <v>5280.4584907399276</v>
      </c>
      <c r="BI5" s="285">
        <f>BC5+BD5+BE5</f>
        <v>6951.7225590847902</v>
      </c>
      <c r="BJ5" s="301">
        <f>BB5*(1+BJ6)</f>
        <v>9844.3248113858335</v>
      </c>
      <c r="BK5" s="285">
        <f>BC5*(1+BK6)</f>
        <v>2424.5878383285071</v>
      </c>
      <c r="BL5" s="285">
        <f>BO5-BK5</f>
        <v>2579.1193754551759</v>
      </c>
      <c r="BM5" s="285">
        <f>BE5*(1+BM6)</f>
        <v>2617.984981660034</v>
      </c>
      <c r="BN5" s="728">
        <f>BP5-BM5</f>
        <v>3171.3757019941036</v>
      </c>
      <c r="BO5" s="285">
        <f>BG5*(1+BO6)</f>
        <v>5003.7072137836831</v>
      </c>
      <c r="BP5" s="285">
        <f>BR5-BO5</f>
        <v>5789.3606836541376</v>
      </c>
      <c r="BQ5" s="285">
        <f>BK5+BL5+BM5</f>
        <v>7621.6921954437166</v>
      </c>
      <c r="BR5" s="301">
        <f>BJ5*(1+BR6)</f>
        <v>10793.067897437821</v>
      </c>
      <c r="BS5" s="285">
        <f>BK5*(1+BS6)</f>
        <v>2637.6703595577324</v>
      </c>
      <c r="BT5" s="285">
        <f>BW5-BS5</f>
        <v>2805.7827490749992</v>
      </c>
      <c r="BU5" s="285">
        <f>BM5*(1+BU6)</f>
        <v>2848.0640209151934</v>
      </c>
      <c r="BV5" s="728">
        <f>BX5-BU5</f>
        <v>3450.0889412768156</v>
      </c>
      <c r="BW5" s="285">
        <f>BO5*(1+BW6)</f>
        <v>5443.4531086327315</v>
      </c>
      <c r="BX5" s="285">
        <f>BZ5-BW5</f>
        <v>6298.152962192009</v>
      </c>
      <c r="BY5" s="285">
        <f>BS5+BT5+BU5</f>
        <v>8291.5171295479249</v>
      </c>
      <c r="BZ5" s="301">
        <f>BR5*(1+BZ6)</f>
        <v>11741.606070824741</v>
      </c>
      <c r="CA5" s="285">
        <f>BS5*(1+CA6)</f>
        <v>2780.8276218751084</v>
      </c>
      <c r="CB5" s="285">
        <f>CE5-CA5</f>
        <v>2958.0641649689273</v>
      </c>
      <c r="CC5" s="285">
        <f>BU5*(1+CC6)</f>
        <v>3002.6402160267012</v>
      </c>
      <c r="CD5" s="728">
        <f>CF5-CC5</f>
        <v>3637.3395147971009</v>
      </c>
      <c r="CE5" s="285">
        <f>BW5*(1+CE6)</f>
        <v>5738.8917868440358</v>
      </c>
      <c r="CF5" s="285">
        <f>CH5-CE5</f>
        <v>6639.9797308238021</v>
      </c>
      <c r="CG5" s="285">
        <f>CA5+CB5+CC5</f>
        <v>8741.5320028707374</v>
      </c>
      <c r="CH5" s="301">
        <f>BZ5*(1+CH6)</f>
        <v>12378.871517667838</v>
      </c>
    </row>
    <row r="6" spans="1:87" x14ac:dyDescent="0.2">
      <c r="A6" s="1129" t="s">
        <v>998</v>
      </c>
      <c r="S6" s="1130">
        <f>S5/R5-1</f>
        <v>0.16679104477611939</v>
      </c>
      <c r="T6" s="1130">
        <f>T5/S5-1</f>
        <v>-0.24064598656859615</v>
      </c>
      <c r="U6" s="1130">
        <f>U5/T5-1</f>
        <v>-0.11834070330595914</v>
      </c>
      <c r="V6" s="100">
        <f>V5/U5-1</f>
        <v>0.12491043706711258</v>
      </c>
      <c r="W6" s="653">
        <f>W5/Quarterlies!CM179-1</f>
        <v>6.9158878504672838E-2</v>
      </c>
      <c r="X6" s="653">
        <f>X5/Quarterlies!CN179-1</f>
        <v>0.16123188405797095</v>
      </c>
      <c r="Y6" s="653">
        <f>Y5/Quarterlies!CO179-1</f>
        <v>0.12107623318385641</v>
      </c>
      <c r="Z6" s="654">
        <f>Z5/Quarterlies!CP179-1</f>
        <v>0.19071076706544687</v>
      </c>
      <c r="AA6" s="653">
        <f>AA5/Quarterlies!CQ179-1</f>
        <v>0.1159153633854646</v>
      </c>
      <c r="AB6" s="653">
        <f>AB5/Quarterlies!CR179-1</f>
        <v>0.16009463722397466</v>
      </c>
      <c r="AC6" s="653">
        <f>AC5/Quarterlies!CS179-1</f>
        <v>0.11766494375190018</v>
      </c>
      <c r="AD6" s="1434">
        <f t="shared" ref="AD6:AR6" si="1">AD5/V5-1</f>
        <v>0.13970276008492566</v>
      </c>
      <c r="AE6" s="653">
        <f t="shared" si="1"/>
        <v>0.284965034965035</v>
      </c>
      <c r="AF6" s="653">
        <f t="shared" si="1"/>
        <v>0.31201248049921992</v>
      </c>
      <c r="AG6" s="653">
        <f t="shared" si="1"/>
        <v>0.2056</v>
      </c>
      <c r="AH6" s="654">
        <f t="shared" si="1"/>
        <v>7.5059101654846305E-2</v>
      </c>
      <c r="AI6" s="653">
        <f t="shared" si="1"/>
        <v>0.29925803792250627</v>
      </c>
      <c r="AJ6" s="653">
        <f t="shared" si="1"/>
        <v>0.13052345343303884</v>
      </c>
      <c r="AK6" s="653">
        <f t="shared" si="1"/>
        <v>0.26741022850924923</v>
      </c>
      <c r="AL6" s="1434">
        <f t="shared" si="1"/>
        <v>0.2067809239940388</v>
      </c>
      <c r="AM6" s="653">
        <f t="shared" si="1"/>
        <v>0.12993197278911572</v>
      </c>
      <c r="AN6" s="653">
        <f t="shared" si="1"/>
        <v>1.2485136741973824E-2</v>
      </c>
      <c r="AO6" s="653">
        <f t="shared" si="1"/>
        <v>0.20637027206370262</v>
      </c>
      <c r="AP6" s="654">
        <f t="shared" si="1"/>
        <v>0.27157778999450244</v>
      </c>
      <c r="AQ6" s="653">
        <f t="shared" ref="AQ6" si="2">AQ5/AI5-1</f>
        <v>6.7258883248730861E-2</v>
      </c>
      <c r="AR6" s="653">
        <f t="shared" si="1"/>
        <v>0.24203247143716178</v>
      </c>
      <c r="AS6" s="653">
        <f t="shared" ref="AS6:AV6" si="3">AS5/AK5-1</f>
        <v>0.1122558488946126</v>
      </c>
      <c r="AT6" s="1434">
        <f t="shared" si="3"/>
        <v>0.15699289904291458</v>
      </c>
      <c r="AU6" s="653">
        <f t="shared" si="3"/>
        <v>0.2185430463576159</v>
      </c>
      <c r="AV6" s="653">
        <f t="shared" si="3"/>
        <v>0.26423957721667635</v>
      </c>
      <c r="AW6" s="655">
        <f>AW7+AW8</f>
        <v>0.20211456097534408</v>
      </c>
      <c r="AX6" s="1131">
        <f>AX5/AP5-1</f>
        <v>0.14457603227714189</v>
      </c>
      <c r="AY6" s="653">
        <f t="shared" ref="AY6" si="4">AY5/AQ5-1</f>
        <v>0.24167657550535071</v>
      </c>
      <c r="AZ6" s="655">
        <f>AZ5/AR5-1</f>
        <v>0.16989799915521786</v>
      </c>
      <c r="BA6" s="655">
        <f>BA5/AS5-1</f>
        <v>0.22779704204036588</v>
      </c>
      <c r="BB6" s="656">
        <f>BB7+BB8</f>
        <v>0.20211456097534408</v>
      </c>
      <c r="BC6" s="655">
        <f>BC7+BC8</f>
        <v>9.261822376009235E-2</v>
      </c>
      <c r="BD6" s="655">
        <f>BD5/AV5-1</f>
        <v>9.2618223760092544E-2</v>
      </c>
      <c r="BE6" s="655">
        <f>BE7+BE8</f>
        <v>9.261822376009235E-2</v>
      </c>
      <c r="BF6" s="1131">
        <f>BF5/AX5-1</f>
        <v>9.2618223760092544E-2</v>
      </c>
      <c r="BG6" s="655">
        <f>BG7+BG8</f>
        <v>9.261822376009235E-2</v>
      </c>
      <c r="BH6" s="655">
        <f>BH5/AZ5-1</f>
        <v>9.2618223760092322E-2</v>
      </c>
      <c r="BI6" s="655">
        <f>BI5/BA5-1</f>
        <v>9.2618223760092322E-2</v>
      </c>
      <c r="BJ6" s="656">
        <f>BJ7+BJ8</f>
        <v>9.261822376009235E-2</v>
      </c>
      <c r="BK6" s="655">
        <f>BK7+BK8</f>
        <v>9.6374622356495437E-2</v>
      </c>
      <c r="BL6" s="655">
        <f>BL5/BD5-1</f>
        <v>9.6374622356495188E-2</v>
      </c>
      <c r="BM6" s="655">
        <f>BM7+BM8</f>
        <v>9.6374622356495437E-2</v>
      </c>
      <c r="BN6" s="1131">
        <f>BN5/BF5-1</f>
        <v>9.6374622356495188E-2</v>
      </c>
      <c r="BO6" s="655">
        <f>BO7+BO8</f>
        <v>9.6374622356495437E-2</v>
      </c>
      <c r="BP6" s="655">
        <f>BP5/BH5-1</f>
        <v>9.637462235649541E-2</v>
      </c>
      <c r="BQ6" s="655">
        <f>BQ5/BI5-1</f>
        <v>9.637462235649541E-2</v>
      </c>
      <c r="BR6" s="656">
        <f>BR7+BR8</f>
        <v>9.6374622356495437E-2</v>
      </c>
      <c r="BS6" s="655">
        <f>BS7+BS8</f>
        <v>8.7884018001229608E-2</v>
      </c>
      <c r="BT6" s="655">
        <f>BT5/BL5-1</f>
        <v>8.7884018001229691E-2</v>
      </c>
      <c r="BU6" s="655">
        <f>BU7+BU8</f>
        <v>8.7884018001229608E-2</v>
      </c>
      <c r="BV6" s="1131">
        <f>BV5/BN5-1</f>
        <v>8.7884018001229691E-2</v>
      </c>
      <c r="BW6" s="655">
        <f>BW7+BW8</f>
        <v>8.7884018001229608E-2</v>
      </c>
      <c r="BX6" s="655">
        <f>BX5/BP5-1</f>
        <v>8.7884018001229691E-2</v>
      </c>
      <c r="BY6" s="655">
        <f>BY5/BQ5-1</f>
        <v>8.7884018001229913E-2</v>
      </c>
      <c r="BZ6" s="656">
        <f>BZ7+BZ8</f>
        <v>8.7884018001229608E-2</v>
      </c>
      <c r="CA6" s="655">
        <f>CA7+CA8</f>
        <v>5.427412936519474E-2</v>
      </c>
      <c r="CB6" s="655">
        <f>CB5/BT5-1</f>
        <v>5.4274129365194712E-2</v>
      </c>
      <c r="CC6" s="655">
        <f>CC7+CC8</f>
        <v>5.427412936519474E-2</v>
      </c>
      <c r="CD6" s="1131">
        <f>CD5/BV5-1</f>
        <v>5.4274129365194712E-2</v>
      </c>
      <c r="CE6" s="655">
        <f>CE7+CE8</f>
        <v>5.427412936519474E-2</v>
      </c>
      <c r="CF6" s="655">
        <f>CF5/BX5-1</f>
        <v>5.4274129365194712E-2</v>
      </c>
      <c r="CG6" s="655">
        <f>CG5/BY5-1</f>
        <v>5.4274129365194712E-2</v>
      </c>
      <c r="CH6" s="656">
        <f>CH7+CH8</f>
        <v>5.427412936519474E-2</v>
      </c>
    </row>
    <row r="7" spans="1:87" x14ac:dyDescent="0.2">
      <c r="A7" s="1132" t="s">
        <v>729</v>
      </c>
      <c r="S7" s="21">
        <v>6.8000000000000005E-2</v>
      </c>
      <c r="T7" s="21">
        <v>-0.23</v>
      </c>
      <c r="U7" s="21">
        <v>-0.10199999999999999</v>
      </c>
      <c r="V7" s="1431">
        <v>3.2000000000000001E-2</v>
      </c>
      <c r="W7" s="151">
        <v>0</v>
      </c>
      <c r="X7" s="24">
        <f>(AA7*Quarterlies!CQ179-W7*Quarterlies!CM179)/Quarterlies!CN179</f>
        <v>0.15753623188405799</v>
      </c>
      <c r="Y7" s="151">
        <v>0.16</v>
      </c>
      <c r="Z7" s="818">
        <f>(AB7*Quarterlies!CR179-Y7*Quarterlies!CO179)/Quarterlies!CP179</f>
        <v>0.19621393384940178</v>
      </c>
      <c r="AA7" s="151">
        <v>0.08</v>
      </c>
      <c r="AB7" s="151">
        <f>(AD7*Quarterlies!CT179-AA7*Quarterlies!CQ179)/Quarterlies!CR179</f>
        <v>0.18029179810725551</v>
      </c>
      <c r="AC7" s="24">
        <f>(W7*Quarterlies!CM179+X7*Quarterlies!CN179+Y7*Quarterlies!CO179)/Quarterlies!CS179</f>
        <v>0.10712070538157496</v>
      </c>
      <c r="AD7" s="1415">
        <v>0.13400000000000001</v>
      </c>
      <c r="AE7" s="151">
        <v>0.26700000000000002</v>
      </c>
      <c r="AF7" s="151">
        <f>(AI7*AA5-AE7*W5)/X5</f>
        <v>0.27078471138845556</v>
      </c>
      <c r="AG7" s="151">
        <v>0.19</v>
      </c>
      <c r="AH7" s="818">
        <f>(AJ7*AB5-AG7*Y5)/Z5</f>
        <v>5.4521276595744614E-2</v>
      </c>
      <c r="AI7" s="151">
        <v>0.26900000000000002</v>
      </c>
      <c r="AJ7" s="151">
        <f>(AL7*AD5-AI7*AA5)/AB5</f>
        <v>0.11208361658735551</v>
      </c>
      <c r="AK7" s="151">
        <f>(AE7*W5+AF7*X5+AG7*Y5)/AC5</f>
        <v>0.24213656147986945</v>
      </c>
      <c r="AL7" s="1415">
        <v>0.183</v>
      </c>
      <c r="AM7" s="151">
        <v>9.0999999999999998E-2</v>
      </c>
      <c r="AN7" s="151">
        <f>(AQ7*AI5-AM7*AE5)/AF5</f>
        <v>2.3537455410225925E-2</v>
      </c>
      <c r="AO7" s="151">
        <v>0.11899999999999999</v>
      </c>
      <c r="AP7" s="818">
        <f>(AR7*AJ5-AO7*AG5)/AH5</f>
        <v>0.19784881803188567</v>
      </c>
      <c r="AQ7" s="151">
        <v>5.5E-2</v>
      </c>
      <c r="AR7" s="151">
        <f>(AT7*AL5-AQ7*AI5)/AJ5</f>
        <v>0.1621226698737222</v>
      </c>
      <c r="AS7" s="151">
        <f>(AM7*AE5+AN7*AF5+AO7*AG5)/AK5</f>
        <v>7.5701438076840516E-2</v>
      </c>
      <c r="AT7" s="1415">
        <v>0.11</v>
      </c>
      <c r="AU7" s="151">
        <v>0.153</v>
      </c>
      <c r="AV7" s="151">
        <f>(AY7*AQ5-AU7*AM5)/AN5</f>
        <v>0.14707398708162067</v>
      </c>
      <c r="AW7" s="1138">
        <v>0.125</v>
      </c>
      <c r="AX7" s="1133">
        <f>(AZ7*AR5-AW7*AO5)/AP5</f>
        <v>8.8640293990488561E-2</v>
      </c>
      <c r="AY7" s="151">
        <v>0.15</v>
      </c>
      <c r="AZ7" s="155">
        <f>(BB7*AT5-AY7*AQ5)/AR5</f>
        <v>0.10464173323650448</v>
      </c>
      <c r="BA7" s="155">
        <f>(AU7*AM5+AV7*AN5+AW7*AO5)/AS5</f>
        <v>0.14122925511385565</v>
      </c>
      <c r="BB7" s="1134">
        <v>0.125</v>
      </c>
      <c r="BC7" s="155">
        <f>BJ7</f>
        <v>0.1</v>
      </c>
      <c r="BD7" s="155">
        <f>(BG7*AY5-BC7*AU5)/AV5</f>
        <v>0.10000000000000002</v>
      </c>
      <c r="BE7" s="155">
        <f>BJ7</f>
        <v>0.1</v>
      </c>
      <c r="BF7" s="1133">
        <f>(BH7*AZ5-BE7*AW5)/AX5</f>
        <v>9.9999999999999992E-2</v>
      </c>
      <c r="BG7" s="155">
        <f>BJ7</f>
        <v>0.1</v>
      </c>
      <c r="BH7" s="155">
        <f>(BJ7*BB5-BG7*AY5)/AZ5</f>
        <v>9.9999999999999992E-2</v>
      </c>
      <c r="BI7" s="155">
        <f>(BC7*AU5+BD7*AV5+BE7*AW5)/BA5</f>
        <v>0.1</v>
      </c>
      <c r="BJ7" s="1134">
        <v>0.1</v>
      </c>
      <c r="BK7" s="155">
        <f>BR7</f>
        <v>0.1</v>
      </c>
      <c r="BL7" s="155">
        <f>(BO7*BG5-BK7*BC5)/BD5</f>
        <v>0.1</v>
      </c>
      <c r="BM7" s="155">
        <f>BR7</f>
        <v>0.1</v>
      </c>
      <c r="BN7" s="1133">
        <f>(BP7*BH5-BM7*BE5)/BF5</f>
        <v>9.9999999999999964E-2</v>
      </c>
      <c r="BO7" s="155">
        <f>BR7</f>
        <v>0.1</v>
      </c>
      <c r="BP7" s="155">
        <f>(BR7*BJ5-BO7*BG5)/BH5</f>
        <v>9.9999999999999992E-2</v>
      </c>
      <c r="BQ7" s="155">
        <f>(BK7*BC5+BL7*BD5+BM7*BE5)/BI5</f>
        <v>0.1</v>
      </c>
      <c r="BR7" s="1134">
        <v>0.1</v>
      </c>
      <c r="BS7" s="155">
        <f>BZ7</f>
        <v>0.1</v>
      </c>
      <c r="BT7" s="155">
        <f>(BW7*BO5-BS7*BK5)/BL5</f>
        <v>0.1</v>
      </c>
      <c r="BU7" s="155">
        <f>BZ7</f>
        <v>0.1</v>
      </c>
      <c r="BV7" s="1133">
        <f>(BX7*BP5-BU7*BM5)/BN5</f>
        <v>9.9999999999999978E-2</v>
      </c>
      <c r="BW7" s="155">
        <f>BZ7</f>
        <v>0.1</v>
      </c>
      <c r="BX7" s="155">
        <f>(BZ7*BR5-BW7*BO5)/BP5</f>
        <v>9.9999999999999992E-2</v>
      </c>
      <c r="BY7" s="155">
        <f>(BS7*BK5+BT7*BL5+BU7*BM5)/BQ5</f>
        <v>0.10000000000000002</v>
      </c>
      <c r="BZ7" s="1134">
        <v>0.1</v>
      </c>
      <c r="CA7" s="155">
        <f>CH7</f>
        <v>0.1</v>
      </c>
      <c r="CB7" s="155">
        <f>(CE7*BW5-CA7*BS5)/BT5</f>
        <v>0.10000000000000002</v>
      </c>
      <c r="CC7" s="155">
        <f>CH7</f>
        <v>0.1</v>
      </c>
      <c r="CD7" s="1133">
        <f>(CF7*BX5-CC7*BU5)/BV5</f>
        <v>0.1</v>
      </c>
      <c r="CE7" s="155">
        <f>CH7</f>
        <v>0.1</v>
      </c>
      <c r="CF7" s="155">
        <f>(CH7*BZ5-CE7*BW5)/BX5</f>
        <v>0.1</v>
      </c>
      <c r="CG7" s="155">
        <f>(CA7*BS5+CB7*BT5+CC7*BU5)/BY5</f>
        <v>0.10000000000000002</v>
      </c>
      <c r="CH7" s="1134">
        <v>0.1</v>
      </c>
    </row>
    <row r="8" spans="1:87" x14ac:dyDescent="0.2">
      <c r="A8" s="1132" t="s">
        <v>999</v>
      </c>
      <c r="S8" s="21">
        <f>S6-S7</f>
        <v>9.8791044776119386E-2</v>
      </c>
      <c r="T8" s="21">
        <f t="shared" ref="T8:V8" si="5">T6-T7</f>
        <v>-1.0645986568596139E-2</v>
      </c>
      <c r="U8" s="21">
        <f t="shared" si="5"/>
        <v>-1.6340703305959145E-2</v>
      </c>
      <c r="V8" s="1431">
        <f t="shared" si="5"/>
        <v>9.2910437067112578E-2</v>
      </c>
      <c r="W8" s="151">
        <f>W6-W7</f>
        <v>6.9158878504672838E-2</v>
      </c>
      <c r="X8" s="24">
        <f>(AA8*Quarterlies!CQ179-W8*Quarterlies!CM179)/Quarterlies!CN179</f>
        <v>3.6956521739131194E-3</v>
      </c>
      <c r="Y8" s="151">
        <f>Y6-Y7</f>
        <v>-3.8923766816143596E-2</v>
      </c>
      <c r="Z8" s="818">
        <f>(AB8*Quarterlies!CR179-Y8*Quarterlies!CO179)/Quarterlies!CP179</f>
        <v>-5.5031667839550314E-3</v>
      </c>
      <c r="AA8" s="151">
        <f>AA6-AA7</f>
        <v>3.5915363385464597E-2</v>
      </c>
      <c r="AB8" s="151">
        <f>(AD8*Quarterlies!CT179-AA8*Quarterlies!CQ179)/Quarterlies!CR179</f>
        <v>-2.019716088328084E-2</v>
      </c>
      <c r="AC8" s="24">
        <f>(W8*Quarterlies!CM179+X8*Quarterlies!CN179+Y8*Quarterlies!CO179)/Quarterlies!CS179</f>
        <v>1.0544238370325301E-2</v>
      </c>
      <c r="AD8" s="1415">
        <f>AD6-AD7</f>
        <v>5.702760084925651E-3</v>
      </c>
      <c r="AE8" s="151">
        <f>AE6-AE7</f>
        <v>1.7965034965034987E-2</v>
      </c>
      <c r="AF8" s="151">
        <f>(AI8*AA5-AE8*W5)/X5</f>
        <v>4.1227769110764555E-2</v>
      </c>
      <c r="AG8" s="151">
        <f>AG6-AG7</f>
        <v>1.5600000000000003E-2</v>
      </c>
      <c r="AH8" s="818">
        <f>(AJ8*AB5-AG8*Y5)/Z5</f>
        <v>2.053782505910173E-2</v>
      </c>
      <c r="AI8" s="151">
        <f>AI6-AI7</f>
        <v>3.0258037922506253E-2</v>
      </c>
      <c r="AJ8" s="151">
        <f>(AL8*AD5-AI8*AA5)/AB5</f>
        <v>1.8439836845683254E-2</v>
      </c>
      <c r="AK8" s="151">
        <f>(AE8*W5+AF8*X5+AG8*Y5)/AC5</f>
        <v>2.5273667029379811E-2</v>
      </c>
      <c r="AL8" s="1415">
        <f>AL6-AL7</f>
        <v>2.3780923994038805E-2</v>
      </c>
      <c r="AM8" s="151">
        <f>AM6-AM7</f>
        <v>3.8931972789115726E-2</v>
      </c>
      <c r="AN8" s="151">
        <f>(AQ8*AI5-AM8*AE5)/AF5</f>
        <v>-1.1052318668252344E-2</v>
      </c>
      <c r="AO8" s="151">
        <f>AO6-AO7</f>
        <v>8.7370272063702625E-2</v>
      </c>
      <c r="AP8" s="818">
        <f>(AR8*AJ5-AO8*AG5)/AH5</f>
        <v>7.3728971962617448E-2</v>
      </c>
      <c r="AQ8" s="151">
        <f>AQ6-AQ7</f>
        <v>1.225888324873086E-2</v>
      </c>
      <c r="AR8" s="151">
        <f>(AT8*AL5-AQ8*AI5)/AJ5</f>
        <v>7.9909801563439867E-2</v>
      </c>
      <c r="AS8" s="151">
        <f>(AM8*AE5+AN8*AF5+AO8*AG5)/AK5</f>
        <v>3.6554410817771957E-2</v>
      </c>
      <c r="AT8" s="1415">
        <f>AT6-AT7</f>
        <v>4.6992899042914579E-2</v>
      </c>
      <c r="AU8" s="151">
        <f>AU6-AU7</f>
        <v>6.5543046357615903E-2</v>
      </c>
      <c r="AV8" s="151">
        <f>(AY8*AQ5-AU8*AM5)/AN5</f>
        <v>0.11716559013505566</v>
      </c>
      <c r="AW8" s="155">
        <f>BB8</f>
        <v>7.7114560975344096E-2</v>
      </c>
      <c r="AX8" s="1133">
        <f>(AZ8*AR5-AW8*AO5)/AP5</f>
        <v>5.5935738286653089E-2</v>
      </c>
      <c r="AY8" s="151">
        <f>AY6-AY7</f>
        <v>9.1676575505350716E-2</v>
      </c>
      <c r="AZ8" s="155">
        <f>(BB8*AT5-AY8*AQ5)/AR5</f>
        <v>6.5256265918713183E-2</v>
      </c>
      <c r="BA8" s="155">
        <f>(AU8*AM5+AV8*AN5+AW8*AO5)/AS5</f>
        <v>8.6567786926510112E-2</v>
      </c>
      <c r="BB8" s="1136">
        <f>BB18+BB19</f>
        <v>7.7114560975344096E-2</v>
      </c>
      <c r="BC8" s="155">
        <f>BJ8</f>
        <v>-7.3817762399076559E-3</v>
      </c>
      <c r="BD8" s="155">
        <f>(BG8*AY5-BC8*AU5)/AV5</f>
        <v>-7.3817762399076567E-3</v>
      </c>
      <c r="BE8" s="155">
        <f>BJ8</f>
        <v>-7.3817762399076559E-3</v>
      </c>
      <c r="BF8" s="1133">
        <f>(BH8*AZ5-BE8*AW5)/AX5</f>
        <v>-7.3817762399076541E-3</v>
      </c>
      <c r="BG8" s="155">
        <f>BJ8</f>
        <v>-7.3817762399076559E-3</v>
      </c>
      <c r="BH8" s="155">
        <f>(BJ8*BB5-BG8*AY5)/AZ5</f>
        <v>-7.381776239907655E-3</v>
      </c>
      <c r="BI8" s="155">
        <f>(BC8*AU5+BD8*AV5+BE8*AW5)/BA5</f>
        <v>-7.3817762399076559E-3</v>
      </c>
      <c r="BJ8" s="1136">
        <f>BJ18+BJ19</f>
        <v>-7.3817762399076559E-3</v>
      </c>
      <c r="BK8" s="155">
        <f>BR8</f>
        <v>-3.6253776435045681E-3</v>
      </c>
      <c r="BL8" s="155">
        <f>(BO8*BG5-BK8*BC5)/BD5</f>
        <v>-3.6253776435045686E-3</v>
      </c>
      <c r="BM8" s="155">
        <f>BR8</f>
        <v>-3.6253776435045681E-3</v>
      </c>
      <c r="BN8" s="1133">
        <f>(BP8*BH5-BM8*BE5)/BF5</f>
        <v>-3.6253776435045677E-3</v>
      </c>
      <c r="BO8" s="155">
        <f>BR8</f>
        <v>-3.6253776435045681E-3</v>
      </c>
      <c r="BP8" s="155">
        <f>(BR8*BJ5-BO8*BG5)/BH5</f>
        <v>-3.6253776435045677E-3</v>
      </c>
      <c r="BQ8" s="155">
        <f>(BK8*BC5+BL8*BD5+BM8*BE5)/BI5</f>
        <v>-3.6253776435045686E-3</v>
      </c>
      <c r="BR8" s="1136">
        <f>BR18+BR19</f>
        <v>-3.6253776435045681E-3</v>
      </c>
      <c r="BS8" s="155">
        <f>BZ8</f>
        <v>-1.2115981998770398E-2</v>
      </c>
      <c r="BT8" s="155">
        <f>(BW8*BO5-BS8*BK5)/BL5</f>
        <v>-1.2115981998770398E-2</v>
      </c>
      <c r="BU8" s="155">
        <f>BZ8</f>
        <v>-1.2115981998770398E-2</v>
      </c>
      <c r="BV8" s="1133">
        <f>(BX8*BP5-BU8*BM5)/BN5</f>
        <v>-1.2115981998770399E-2</v>
      </c>
      <c r="BW8" s="155">
        <f>BZ8</f>
        <v>-1.2115981998770398E-2</v>
      </c>
      <c r="BX8" s="155">
        <f>(BZ8*BR5-BW8*BO5)/BP5</f>
        <v>-1.2115981998770399E-2</v>
      </c>
      <c r="BY8" s="155">
        <f>(BS8*BK5+BT8*BL5+BU8*BM5)/BQ5</f>
        <v>-1.2115981998770399E-2</v>
      </c>
      <c r="BZ8" s="1136">
        <f>BZ18+BZ19</f>
        <v>-1.2115981998770398E-2</v>
      </c>
      <c r="CA8" s="155">
        <f>CH8</f>
        <v>-4.5725870634805266E-2</v>
      </c>
      <c r="CB8" s="155">
        <f>(CE8*BW5-CA8*BS5)/BT5</f>
        <v>-4.5725870634805266E-2</v>
      </c>
      <c r="CC8" s="155">
        <f>CH8</f>
        <v>-4.5725870634805266E-2</v>
      </c>
      <c r="CD8" s="1133">
        <f>(CF8*BX5-CC8*BU5)/BV5</f>
        <v>-4.5725870634805259E-2</v>
      </c>
      <c r="CE8" s="155">
        <f>CH8</f>
        <v>-4.5725870634805266E-2</v>
      </c>
      <c r="CF8" s="155">
        <f>(CH8*BZ5-CE8*BW5)/BX5</f>
        <v>-4.5725870634805266E-2</v>
      </c>
      <c r="CG8" s="155">
        <f>(CA8*BS5+CB8*BT5+CC8*BU5)/BY5</f>
        <v>-4.5725870634805259E-2</v>
      </c>
      <c r="CH8" s="1136">
        <f>CH18+CH19</f>
        <v>-4.5725870634805266E-2</v>
      </c>
    </row>
    <row r="9" spans="1:87" x14ac:dyDescent="0.2">
      <c r="A9" s="1135"/>
      <c r="V9" s="180"/>
      <c r="Z9" s="179"/>
      <c r="AD9" s="314"/>
      <c r="AH9" s="179"/>
      <c r="AL9" s="314"/>
      <c r="AP9" s="179"/>
      <c r="AT9" s="314"/>
      <c r="AX9" s="179"/>
      <c r="BB9" s="314"/>
      <c r="BF9" s="179"/>
      <c r="BJ9" s="314"/>
      <c r="BN9" s="179"/>
      <c r="BR9" s="314"/>
      <c r="BV9" s="179"/>
      <c r="BZ9" s="314"/>
      <c r="CD9" s="179"/>
      <c r="CH9" s="314"/>
    </row>
    <row r="10" spans="1:87" x14ac:dyDescent="0.2">
      <c r="A10" s="186" t="s">
        <v>324</v>
      </c>
      <c r="Q10" s="186"/>
      <c r="R10" s="186">
        <v>2582</v>
      </c>
      <c r="S10" s="186">
        <v>3002</v>
      </c>
      <c r="T10" s="186">
        <v>2144</v>
      </c>
      <c r="U10" s="186">
        <v>2138</v>
      </c>
      <c r="V10" s="284">
        <v>2825</v>
      </c>
      <c r="W10" s="186">
        <v>822</v>
      </c>
      <c r="X10" s="186">
        <f>AA10-W10</f>
        <v>852</v>
      </c>
      <c r="Y10" s="186">
        <v>884</v>
      </c>
      <c r="Z10" s="283">
        <f>AB10-Y10</f>
        <v>909</v>
      </c>
      <c r="AA10" s="186">
        <v>1674</v>
      </c>
      <c r="AB10" s="186">
        <f>AD10-AA10</f>
        <v>1793</v>
      </c>
      <c r="AC10" s="186">
        <f>W10+X10+Y10</f>
        <v>2558</v>
      </c>
      <c r="AD10" s="341">
        <v>3467</v>
      </c>
      <c r="AE10" s="186">
        <v>974</v>
      </c>
      <c r="AF10" s="186">
        <f>AI10-AE10</f>
        <v>1044</v>
      </c>
      <c r="AG10" s="186">
        <v>1020</v>
      </c>
      <c r="AH10" s="283">
        <f>AJ10-AG10</f>
        <v>1102</v>
      </c>
      <c r="AI10" s="186">
        <v>2018</v>
      </c>
      <c r="AJ10" s="186">
        <f>AL10-AI10</f>
        <v>2122</v>
      </c>
      <c r="AK10" s="186">
        <f>AE10+AF10+AG10</f>
        <v>3038</v>
      </c>
      <c r="AL10" s="341">
        <v>4140</v>
      </c>
      <c r="AM10" s="186">
        <v>1122</v>
      </c>
      <c r="AN10" s="186">
        <f>AQ10-AM10</f>
        <v>1123</v>
      </c>
      <c r="AO10" s="186">
        <v>1186</v>
      </c>
      <c r="AP10" s="283">
        <f>AR10-AO10</f>
        <v>1376</v>
      </c>
      <c r="AQ10" s="186">
        <v>2245</v>
      </c>
      <c r="AR10" s="186">
        <f>AT10-AQ10</f>
        <v>2562</v>
      </c>
      <c r="AS10" s="186">
        <f>AM10+AN10+AO10</f>
        <v>3431</v>
      </c>
      <c r="AT10" s="341">
        <v>4807</v>
      </c>
      <c r="AU10" s="186">
        <v>1343</v>
      </c>
      <c r="AV10" s="186">
        <f>AY10-AU10</f>
        <v>1411</v>
      </c>
      <c r="AW10" s="285">
        <f>AO10*(1+AW11)</f>
        <v>1396.0578693167581</v>
      </c>
      <c r="AX10" s="728">
        <f>AZ10-AW10</f>
        <v>1508.3318252917215</v>
      </c>
      <c r="AY10" s="186">
        <v>2754</v>
      </c>
      <c r="AZ10" s="285">
        <f>BB10-AY10</f>
        <v>2904.3896946084797</v>
      </c>
      <c r="BA10" s="285">
        <f>AU10+AV10+AW10</f>
        <v>4150.0578693167581</v>
      </c>
      <c r="BB10" s="301">
        <f>AT10*(1+BB11)</f>
        <v>5658.3896946084797</v>
      </c>
      <c r="BC10" s="285">
        <f>AU10*(1+BC11)</f>
        <v>1433.8112745098042</v>
      </c>
      <c r="BD10" s="285">
        <f>BG10-BC10</f>
        <v>1506.4093137254904</v>
      </c>
      <c r="BE10" s="285">
        <f>AW10*(1+BE11)</f>
        <v>1490.4568227062566</v>
      </c>
      <c r="BF10" s="728">
        <f>BH10-BE10</f>
        <v>1610.3225441587654</v>
      </c>
      <c r="BG10" s="285">
        <f>AY10*(1+BG11)</f>
        <v>2940.2205882352946</v>
      </c>
      <c r="BH10" s="285">
        <f>BJ10-BG10</f>
        <v>3100.779366865022</v>
      </c>
      <c r="BI10" s="285">
        <f>BC10+BD10+BE10</f>
        <v>4430.677410941551</v>
      </c>
      <c r="BJ10" s="301">
        <f>BB10*(1+BJ11)</f>
        <v>6040.9999551003166</v>
      </c>
      <c r="BK10" s="285">
        <f>BC10*(1+BK11)</f>
        <v>1536.149012758427</v>
      </c>
      <c r="BL10" s="285">
        <f>BO10-BK10</f>
        <v>1613.9287096069547</v>
      </c>
      <c r="BM10" s="285">
        <f>BE10*(1+BM11)</f>
        <v>1596.8376155655778</v>
      </c>
      <c r="BN10" s="728">
        <f>BP10-BM10</f>
        <v>1725.2587076202485</v>
      </c>
      <c r="BO10" s="285">
        <f>BG10*(1+BO11)</f>
        <v>3150.0777223653818</v>
      </c>
      <c r="BP10" s="285">
        <f>BR10-BO10</f>
        <v>3322.0963231858263</v>
      </c>
      <c r="BQ10" s="285">
        <f>BK10+BL10+BM10</f>
        <v>4746.9153379309591</v>
      </c>
      <c r="BR10" s="301">
        <f>BJ10*(1+BR11)</f>
        <v>6472.1740455512081</v>
      </c>
      <c r="BS10" s="285">
        <f>BK10*(1+BS11)</f>
        <v>1632.7482349292989</v>
      </c>
      <c r="BT10" s="285">
        <f>BW10-BS10</f>
        <v>1715.4190316345796</v>
      </c>
      <c r="BU10" s="285">
        <f>BM10*(1+BU11)</f>
        <v>1697.2531809278441</v>
      </c>
      <c r="BV10" s="728">
        <f>BX10-BU10</f>
        <v>1833.749907247018</v>
      </c>
      <c r="BW10" s="285">
        <f>BO10*(1+BW11)</f>
        <v>3348.1672665638785</v>
      </c>
      <c r="BX10" s="285">
        <f>BZ10-BW10</f>
        <v>3531.0030881748621</v>
      </c>
      <c r="BY10" s="285">
        <f>BS10+BT10+BU10</f>
        <v>5045.4204474917224</v>
      </c>
      <c r="BZ10" s="301">
        <f>BR10*(1+BZ11)</f>
        <v>6879.1703547387406</v>
      </c>
      <c r="CA10" s="285">
        <f>BS10*(1+CA11)</f>
        <v>1680.5455179794126</v>
      </c>
      <c r="CB10" s="285">
        <f>CE10-CA10</f>
        <v>1765.6364302821676</v>
      </c>
      <c r="CC10" s="285">
        <f>BU10*(1+CC11)</f>
        <v>1746.9387901118143</v>
      </c>
      <c r="CD10" s="728">
        <f>CF10-CC10</f>
        <v>1887.4313392551812</v>
      </c>
      <c r="CE10" s="285">
        <f>BW10*(1+CE11)</f>
        <v>3446.1819482615801</v>
      </c>
      <c r="CF10" s="285">
        <f>CH10-CE10</f>
        <v>3634.3701293669956</v>
      </c>
      <c r="CG10" s="285">
        <f>CA10+CB10+CC10</f>
        <v>5193.1207383733945</v>
      </c>
      <c r="CH10" s="301">
        <f>BZ10*(1+CH11)</f>
        <v>7080.5520776285757</v>
      </c>
    </row>
    <row r="11" spans="1:87" x14ac:dyDescent="0.2">
      <c r="A11" s="1129" t="s">
        <v>998</v>
      </c>
      <c r="S11" s="1130">
        <f>S10/R10-1</f>
        <v>0.16266460108443059</v>
      </c>
      <c r="T11" s="1130">
        <f>T10/S10-1</f>
        <v>-0.28580946035976018</v>
      </c>
      <c r="U11" s="1130">
        <f>U10/T10-1</f>
        <v>-2.7985074626866169E-3</v>
      </c>
      <c r="V11" s="100">
        <f>V10/U10-1</f>
        <v>0.32132834424695988</v>
      </c>
      <c r="W11" s="653">
        <f>W10/Quarterlies!CM180-1</f>
        <v>0.27244582043343657</v>
      </c>
      <c r="X11" s="653">
        <f>X10/Quarterlies!CN180-1</f>
        <v>0.24198250728862969</v>
      </c>
      <c r="Y11" s="653">
        <f>Y10/Quarterlies!CO180-1</f>
        <v>0.25390070921985819</v>
      </c>
      <c r="Z11" s="654">
        <f>Z10/Quarterlies!CP180-1</f>
        <v>0.15355329949238583</v>
      </c>
      <c r="AA11" s="653">
        <f>AA10/Quarterlies!CQ180-1</f>
        <v>0.2567567567567568</v>
      </c>
      <c r="AB11" s="653">
        <f>AB10/Quarterlies!CR180-1</f>
        <v>0.2009377093101139</v>
      </c>
      <c r="AC11" s="653">
        <f>AC10/Quarterlies!CS180-1</f>
        <v>0.25576828669612173</v>
      </c>
      <c r="AD11" s="1434">
        <f t="shared" ref="AD11:AR11" si="6">AD10/V10-1</f>
        <v>0.22725663716814148</v>
      </c>
      <c r="AE11" s="653">
        <f t="shared" si="6"/>
        <v>0.18491484184914841</v>
      </c>
      <c r="AF11" s="653">
        <f t="shared" si="6"/>
        <v>0.22535211267605626</v>
      </c>
      <c r="AG11" s="653">
        <f t="shared" si="6"/>
        <v>0.15384615384615374</v>
      </c>
      <c r="AH11" s="654">
        <f t="shared" si="6"/>
        <v>0.21232123212321241</v>
      </c>
      <c r="AI11" s="653">
        <f t="shared" si="6"/>
        <v>0.20549581839904429</v>
      </c>
      <c r="AJ11" s="653">
        <f t="shared" si="6"/>
        <v>0.18349135527049643</v>
      </c>
      <c r="AK11" s="653">
        <f t="shared" si="6"/>
        <v>0.18764659890539481</v>
      </c>
      <c r="AL11" s="1434">
        <f t="shared" si="6"/>
        <v>0.19411595038938567</v>
      </c>
      <c r="AM11" s="653">
        <f t="shared" si="6"/>
        <v>0.15195071868583154</v>
      </c>
      <c r="AN11" s="653">
        <f t="shared" si="6"/>
        <v>7.5670498084291271E-2</v>
      </c>
      <c r="AO11" s="653">
        <f t="shared" si="6"/>
        <v>0.16274509803921577</v>
      </c>
      <c r="AP11" s="654">
        <f t="shared" si="6"/>
        <v>0.24863883847549917</v>
      </c>
      <c r="AQ11" s="653">
        <f t="shared" ref="AQ11" si="7">AQ10/AI10-1</f>
        <v>0.11248761149653119</v>
      </c>
      <c r="AR11" s="653">
        <f t="shared" si="6"/>
        <v>0.20735155513666359</v>
      </c>
      <c r="AS11" s="653">
        <f t="shared" ref="AS11:AV11" si="8">AS10/AK10-1</f>
        <v>0.12936142198815004</v>
      </c>
      <c r="AT11" s="1434">
        <f t="shared" si="8"/>
        <v>0.1611111111111112</v>
      </c>
      <c r="AU11" s="653">
        <f t="shared" si="8"/>
        <v>0.19696969696969702</v>
      </c>
      <c r="AV11" s="653">
        <f t="shared" si="8"/>
        <v>0.25645592163846831</v>
      </c>
      <c r="AW11" s="655">
        <f>AW12+AW13</f>
        <v>0.17711456097534412</v>
      </c>
      <c r="AX11" s="1131">
        <f>AX10/AP10-1</f>
        <v>9.6171384659681447E-2</v>
      </c>
      <c r="AY11" s="653">
        <f t="shared" ref="AY11" si="9">AY10/AQ10-1</f>
        <v>0.22672605790645872</v>
      </c>
      <c r="AZ11" s="655">
        <f>AZ10/AR10-1</f>
        <v>0.1336415669822324</v>
      </c>
      <c r="BA11" s="655">
        <f>BA10/AS10-1</f>
        <v>0.20957676167786587</v>
      </c>
      <c r="BB11" s="656">
        <f>BB12+BB13</f>
        <v>0.17711456097534412</v>
      </c>
      <c r="BC11" s="655">
        <f>BC12+BC13</f>
        <v>6.7618223760092341E-2</v>
      </c>
      <c r="BD11" s="655">
        <f>BD10/AV10-1</f>
        <v>6.7618223760092411E-2</v>
      </c>
      <c r="BE11" s="655">
        <f>BE12+BE13</f>
        <v>6.7618223760092341E-2</v>
      </c>
      <c r="BF11" s="1131">
        <f>BF10/AX10-1</f>
        <v>6.7618223760092189E-2</v>
      </c>
      <c r="BG11" s="655">
        <f>BG12+BG13</f>
        <v>6.7618223760092341E-2</v>
      </c>
      <c r="BH11" s="655">
        <f>BH10/AZ10-1</f>
        <v>6.7618223760092411E-2</v>
      </c>
      <c r="BI11" s="655">
        <f>BI10/BA10-1</f>
        <v>6.7618223760092411E-2</v>
      </c>
      <c r="BJ11" s="656">
        <f>BJ12+BJ13</f>
        <v>6.7618223760092341E-2</v>
      </c>
      <c r="BK11" s="655">
        <f>BK12+BK13</f>
        <v>7.1374622356495429E-2</v>
      </c>
      <c r="BL11" s="655">
        <f>BL10/BD10-1</f>
        <v>7.1374622356495498E-2</v>
      </c>
      <c r="BM11" s="655">
        <f>BM12+BM13</f>
        <v>7.1374622356495429E-2</v>
      </c>
      <c r="BN11" s="1131">
        <f>BN10/BF10-1</f>
        <v>7.1374622356495721E-2</v>
      </c>
      <c r="BO11" s="655">
        <f>BO12+BO13</f>
        <v>7.1374622356495429E-2</v>
      </c>
      <c r="BP11" s="655">
        <f>BP10/BH10-1</f>
        <v>7.1374622356495498E-2</v>
      </c>
      <c r="BQ11" s="655">
        <f>BQ10/BI10-1</f>
        <v>7.1374622356495498E-2</v>
      </c>
      <c r="BR11" s="656">
        <f>BR12+BR13</f>
        <v>7.1374622356495429E-2</v>
      </c>
      <c r="BS11" s="655">
        <f>BS12+BS13</f>
        <v>6.28840180012296E-2</v>
      </c>
      <c r="BT11" s="655">
        <f>BT10/BL10-1</f>
        <v>6.2884018001229558E-2</v>
      </c>
      <c r="BU11" s="655">
        <f>BU12+BU13</f>
        <v>6.28840180012296E-2</v>
      </c>
      <c r="BV11" s="1131">
        <f>BV10/BN10-1</f>
        <v>6.2884018001229336E-2</v>
      </c>
      <c r="BW11" s="655">
        <f>BW12+BW13</f>
        <v>6.28840180012296E-2</v>
      </c>
      <c r="BX11" s="655">
        <f>BX10/BP10-1</f>
        <v>6.2884018001229558E-2</v>
      </c>
      <c r="BY11" s="655">
        <f>BY10/BQ10-1</f>
        <v>6.2884018001229558E-2</v>
      </c>
      <c r="BZ11" s="656">
        <f>BZ12+BZ13</f>
        <v>6.28840180012296E-2</v>
      </c>
      <c r="CA11" s="655">
        <f>CA12+CA13</f>
        <v>2.9274129365194711E-2</v>
      </c>
      <c r="CB11" s="655">
        <f>CB10/BT10-1</f>
        <v>2.9274129365194801E-2</v>
      </c>
      <c r="CC11" s="655">
        <f>CC12+CC13</f>
        <v>2.9274129365194711E-2</v>
      </c>
      <c r="CD11" s="1131">
        <f>CD10/BV10-1</f>
        <v>2.9274129365194801E-2</v>
      </c>
      <c r="CE11" s="655">
        <f>CE12+CE13</f>
        <v>2.9274129365194711E-2</v>
      </c>
      <c r="CF11" s="655">
        <f>CF10/BX10-1</f>
        <v>2.9274129365194801E-2</v>
      </c>
      <c r="CG11" s="655">
        <f>CG10/BY10-1</f>
        <v>2.9274129365194801E-2</v>
      </c>
      <c r="CH11" s="656">
        <f>CH12+CH13</f>
        <v>2.9274129365194711E-2</v>
      </c>
    </row>
    <row r="12" spans="1:87" x14ac:dyDescent="0.2">
      <c r="A12" s="1132" t="str">
        <f>A7</f>
        <v>Organic</v>
      </c>
      <c r="S12" s="21">
        <v>8.6999999999999994E-2</v>
      </c>
      <c r="T12" s="21">
        <v>-0.29099999999999998</v>
      </c>
      <c r="U12" s="21">
        <v>2.5999999999999999E-2</v>
      </c>
      <c r="V12" s="1431">
        <v>0.251</v>
      </c>
      <c r="W12" s="151">
        <v>0.25</v>
      </c>
      <c r="X12" s="24">
        <f>(AA12*Quarterlies!CQ180-W12*Quarterlies!CM180)/Quarterlies!CN180</f>
        <v>0.25</v>
      </c>
      <c r="Y12" s="151">
        <v>0.3</v>
      </c>
      <c r="Z12" s="818">
        <f>(AB12*Quarterlies!CR180-Y12*Quarterlies!CO180)/Quarterlies!CP180</f>
        <v>0.16583121827411162</v>
      </c>
      <c r="AA12" s="151">
        <v>0.25</v>
      </c>
      <c r="AB12" s="151">
        <f>(AD12*Quarterlies!CT180-AA12*Quarterlies!CQ180)/Quarterlies!CR180</f>
        <v>0.229186202277294</v>
      </c>
      <c r="AC12" s="24">
        <f>(W12*Quarterlies!CM180+X12*Quarterlies!CN180+Y12*Quarterlies!CO180)/Quarterlies!CS180</f>
        <v>0.26730486008836524</v>
      </c>
      <c r="AD12" s="1415">
        <v>0.23899999999999999</v>
      </c>
      <c r="AE12" s="151">
        <v>0.17</v>
      </c>
      <c r="AF12" s="151">
        <f>(AI12*AA10-AE12*W10)/X10</f>
        <v>0.1798239436619718</v>
      </c>
      <c r="AG12" s="151">
        <v>0.126</v>
      </c>
      <c r="AH12" s="818">
        <f>(AJ12*AB10-AG12*Y10)/Z10</f>
        <v>0.19595379537953797</v>
      </c>
      <c r="AI12" s="151">
        <v>0.17499999999999999</v>
      </c>
      <c r="AJ12" s="151">
        <f>(AL12*AD10-AI12*AA10)/AB10</f>
        <v>0.16146458449525936</v>
      </c>
      <c r="AK12" s="151">
        <f>(AE12*W10+AF12*X10+AG12*Y10)/AC10</f>
        <v>0.15806645817044565</v>
      </c>
      <c r="AL12" s="1415">
        <v>0.16800000000000001</v>
      </c>
      <c r="AM12" s="151">
        <v>0.13200000000000001</v>
      </c>
      <c r="AN12" s="151">
        <f>(AQ12*AI10-AM12*AE10)/AF10</f>
        <v>0.10687164750957853</v>
      </c>
      <c r="AO12" s="151">
        <v>0.115</v>
      </c>
      <c r="AP12" s="818">
        <f>(AR12*AJ10-AO12*AG10)/AH10</f>
        <v>0.13397277676950997</v>
      </c>
      <c r="AQ12" s="151">
        <v>0.11899999999999999</v>
      </c>
      <c r="AR12" s="151">
        <f>(AT12*AL10-AQ12*AI10)/AJ10</f>
        <v>0.12485296889726673</v>
      </c>
      <c r="AS12" s="151">
        <f>(AM12*AE10+AN12*AF10+AO12*AG10)/AK10</f>
        <v>0.1176570111915734</v>
      </c>
      <c r="AT12" s="1415">
        <v>0.122</v>
      </c>
      <c r="AU12" s="151">
        <v>0.107</v>
      </c>
      <c r="AV12" s="151">
        <f>(AY12*AQ10-AU12*AM10)/AN10</f>
        <v>0.14098486197684773</v>
      </c>
      <c r="AW12" s="1138">
        <v>0.1</v>
      </c>
      <c r="AX12" s="1133">
        <f>(AZ12*AR10-AW12*AO10)/AP10</f>
        <v>6.0843023255813984E-2</v>
      </c>
      <c r="AY12" s="151">
        <v>0.124</v>
      </c>
      <c r="AZ12" s="155">
        <f>(BB12*AT10-AY12*AQ10)/AR10</f>
        <v>7.8969555035128827E-2</v>
      </c>
      <c r="BA12" s="155">
        <f>(AU12*AM10+AV12*AN10+AW12*AO10)/AS10</f>
        <v>0.11570387642086856</v>
      </c>
      <c r="BB12" s="1134">
        <v>0.1</v>
      </c>
      <c r="BC12" s="155">
        <f>BJ12</f>
        <v>7.4999999999999997E-2</v>
      </c>
      <c r="BD12" s="155">
        <f>(BG12*AY10-BC12*AU10)/AV10</f>
        <v>7.4999999999999997E-2</v>
      </c>
      <c r="BE12" s="155">
        <f>BJ12</f>
        <v>7.4999999999999997E-2</v>
      </c>
      <c r="BF12" s="1133">
        <f>(BH12*AZ10-BE12*AW10)/AX10</f>
        <v>7.4999999999999997E-2</v>
      </c>
      <c r="BG12" s="155">
        <f>BJ12</f>
        <v>7.4999999999999997E-2</v>
      </c>
      <c r="BH12" s="155">
        <f>(BJ12*BB10-BG12*AY10)/AZ10</f>
        <v>7.4999999999999997E-2</v>
      </c>
      <c r="BI12" s="155">
        <f>(BC12*AU10+BD12*AV10+BE12*AW10)/BA10</f>
        <v>7.4999999999999997E-2</v>
      </c>
      <c r="BJ12" s="1134">
        <v>7.4999999999999997E-2</v>
      </c>
      <c r="BK12" s="155">
        <f>BR12</f>
        <v>7.4999999999999997E-2</v>
      </c>
      <c r="BL12" s="155">
        <f>(BO12*BG10-BK12*BC10)/BD10</f>
        <v>7.4999999999999997E-2</v>
      </c>
      <c r="BM12" s="155">
        <f>BR12</f>
        <v>7.4999999999999997E-2</v>
      </c>
      <c r="BN12" s="1133">
        <f>(BP12*BH10-BM12*BE10)/BF10</f>
        <v>7.4999999999999997E-2</v>
      </c>
      <c r="BO12" s="155">
        <f>BR12</f>
        <v>7.4999999999999997E-2</v>
      </c>
      <c r="BP12" s="155">
        <f>(BR12*BJ10-BO12*BG10)/BH10</f>
        <v>7.4999999999999997E-2</v>
      </c>
      <c r="BQ12" s="155">
        <f>(BK12*BC10+BL12*BD10+BM12*BE10)/BI10</f>
        <v>7.5000000000000011E-2</v>
      </c>
      <c r="BR12" s="1134">
        <v>7.4999999999999997E-2</v>
      </c>
      <c r="BS12" s="155">
        <f>BZ12</f>
        <v>7.4999999999999997E-2</v>
      </c>
      <c r="BT12" s="155">
        <f>(BW12*BO10-BS12*BK10)/BL10</f>
        <v>7.4999999999999997E-2</v>
      </c>
      <c r="BU12" s="155">
        <f>BZ12</f>
        <v>7.4999999999999997E-2</v>
      </c>
      <c r="BV12" s="1133">
        <f>(BX12*BP10-BU12*BM10)/BN10</f>
        <v>7.4999999999999997E-2</v>
      </c>
      <c r="BW12" s="155">
        <f>BZ12</f>
        <v>7.4999999999999997E-2</v>
      </c>
      <c r="BX12" s="155">
        <f>(BZ12*BR10-BW12*BO10)/BP10</f>
        <v>7.4999999999999997E-2</v>
      </c>
      <c r="BY12" s="155">
        <f>(BS12*BK10+BT12*BL10+BU12*BM10)/BQ10</f>
        <v>7.4999999999999997E-2</v>
      </c>
      <c r="BZ12" s="1134">
        <v>7.4999999999999997E-2</v>
      </c>
      <c r="CA12" s="155">
        <f>CH12</f>
        <v>7.4999999999999997E-2</v>
      </c>
      <c r="CB12" s="155">
        <f>(CE12*BW10-CA12*BS10)/BT10</f>
        <v>7.4999999999999997E-2</v>
      </c>
      <c r="CC12" s="155">
        <f>CH12</f>
        <v>7.4999999999999997E-2</v>
      </c>
      <c r="CD12" s="1133">
        <f>(CF12*BX10-CC12*BU10)/BV10</f>
        <v>7.4999999999999997E-2</v>
      </c>
      <c r="CE12" s="155">
        <f>CH12</f>
        <v>7.4999999999999997E-2</v>
      </c>
      <c r="CF12" s="155">
        <f>(CH12*BZ10-CE12*BW10)/BX10</f>
        <v>7.4999999999999997E-2</v>
      </c>
      <c r="CG12" s="155">
        <f>(CA12*BS10+CB12*BT10+CC12*BU10)/BY10</f>
        <v>7.5000000000000011E-2</v>
      </c>
      <c r="CH12" s="1134">
        <v>7.4999999999999997E-2</v>
      </c>
    </row>
    <row r="13" spans="1:87" x14ac:dyDescent="0.2">
      <c r="A13" s="1132" t="str">
        <f>A8</f>
        <v>Scope and FX (split not disclosed at sub-segment level)</v>
      </c>
      <c r="T13" s="21"/>
      <c r="U13" s="21"/>
      <c r="V13" s="1431"/>
      <c r="W13" s="151">
        <f>W11-W12</f>
        <v>2.244582043343657E-2</v>
      </c>
      <c r="X13" s="24">
        <f>(AA13*Quarterlies!CQ180-W13*Quarterlies!CM180)/Quarterlies!CN180</f>
        <v>-8.0174927113702155E-3</v>
      </c>
      <c r="Y13" s="151">
        <f>Y11-Y12</f>
        <v>-4.6099290780141799E-2</v>
      </c>
      <c r="Z13" s="818">
        <f>(AB13*Quarterlies!CR180-Y13*Quarterlies!CO180)/Quarterlies!CP180</f>
        <v>-1.2277918781726354E-2</v>
      </c>
      <c r="AA13" s="151">
        <f>AA11-AA12</f>
        <v>6.7567567567567988E-3</v>
      </c>
      <c r="AB13" s="151">
        <f>(AD13*Quarterlies!CT180-AA13*Quarterlies!CQ180)/Quarterlies!CR180</f>
        <v>-2.8248492967180402E-2</v>
      </c>
      <c r="AC13" s="24">
        <f>(W13*Quarterlies!CM180+X13*Quarterlies!CN180+Y13*Quarterlies!CO180)/Quarterlies!CS180</f>
        <v>-1.1536573392243453E-2</v>
      </c>
      <c r="AD13" s="1415">
        <f>AD11-AD12</f>
        <v>-1.1743362831858506E-2</v>
      </c>
      <c r="AE13" s="151">
        <f>AE11-AE12</f>
        <v>1.4914841849148402E-2</v>
      </c>
      <c r="AF13" s="151">
        <f>(AI13*AA10-AE13*W10)/X10</f>
        <v>4.5528169014084713E-2</v>
      </c>
      <c r="AG13" s="151">
        <f>AG11-AG12</f>
        <v>2.7846153846153743E-2</v>
      </c>
      <c r="AH13" s="818">
        <f>(AJ13*AB10-AG13*Y10)/Z10</f>
        <v>1.6367436743674375E-2</v>
      </c>
      <c r="AI13" s="151">
        <f>AI11-AI12</f>
        <v>3.0495818399044305E-2</v>
      </c>
      <c r="AJ13" s="151">
        <f>(AL13*AD10-AI13*AA10)/AB10</f>
        <v>2.2026770775236987E-2</v>
      </c>
      <c r="AK13" s="151">
        <f>(AE13*W10+AF13*X10+AG13*Y10)/AC10</f>
        <v>2.958014073494921E-2</v>
      </c>
      <c r="AL13" s="1415">
        <f>AL11-AL12</f>
        <v>2.6115950389385661E-2</v>
      </c>
      <c r="AM13" s="151">
        <f>AM11-AM12</f>
        <v>1.9950718685831537E-2</v>
      </c>
      <c r="AN13" s="151">
        <f>(AQ13*AI10-AM13*AE10)/AF10</f>
        <v>-3.1201149425287313E-2</v>
      </c>
      <c r="AO13" s="151">
        <f>AO11-AO12</f>
        <v>4.7745098039215769E-2</v>
      </c>
      <c r="AP13" s="818">
        <f>(AR13*AJ10-AO13*AG10)/AH10</f>
        <v>0.11466606170598943</v>
      </c>
      <c r="AQ13" s="151">
        <f>AQ11-AQ12</f>
        <v>-6.5123885034688023E-3</v>
      </c>
      <c r="AR13" s="151">
        <f>(AT13*AL10-AQ13*AI10)/AJ10</f>
        <v>8.2498586239397001E-2</v>
      </c>
      <c r="AS13" s="151">
        <f>(AM13*AE10+AN13*AF10+AO13*AG10)/AK10</f>
        <v>1.1704410796576711E-2</v>
      </c>
      <c r="AT13" s="1415">
        <f>AT11-AT12</f>
        <v>3.9111111111111208E-2</v>
      </c>
      <c r="AU13" s="151">
        <f>AU11-AU12</f>
        <v>8.9969696969697019E-2</v>
      </c>
      <c r="AV13" s="151">
        <f>(AY13*AQ10-AU13*AM10)/AN10</f>
        <v>0.11547105966162047</v>
      </c>
      <c r="AW13" s="155">
        <f>BB13</f>
        <v>7.711456097534411E-2</v>
      </c>
      <c r="AX13" s="1133">
        <f>(AZ13*AR10-AW13*AO10)/AP10</f>
        <v>3.5328361403867151E-2</v>
      </c>
      <c r="AY13" s="151">
        <f>AY11-AY12</f>
        <v>0.10272605790645872</v>
      </c>
      <c r="AZ13" s="155">
        <f>(BB13*AT10-AY13*AQ10)/AR10</f>
        <v>5.4672011947103562E-2</v>
      </c>
      <c r="BA13" s="155">
        <f>(AU13*AM10+AV13*AN10+AW13*AO10)/AS10</f>
        <v>9.3872885256997371E-2</v>
      </c>
      <c r="BB13" s="1136">
        <f>(((BB18+BB19)*AT15)-(BB8*AT5))/AT10</f>
        <v>7.711456097534411E-2</v>
      </c>
      <c r="BC13" s="155">
        <f>BJ13</f>
        <v>-7.3817762399076585E-3</v>
      </c>
      <c r="BD13" s="155">
        <f>(BG13*AY10-BC13*AU10)/AV10</f>
        <v>-7.3817762399076602E-3</v>
      </c>
      <c r="BE13" s="155">
        <f>BJ13</f>
        <v>-7.3817762399076585E-3</v>
      </c>
      <c r="BF13" s="1133">
        <f>(BH13*AZ10-BE13*AW10)/AX10</f>
        <v>-7.3817762399076585E-3</v>
      </c>
      <c r="BG13" s="155">
        <f>BJ13</f>
        <v>-7.3817762399076585E-3</v>
      </c>
      <c r="BH13" s="155">
        <f>(BJ13*BB10-BG13*AY10)/AZ10</f>
        <v>-7.3817762399076585E-3</v>
      </c>
      <c r="BI13" s="155">
        <f>(BC13*AU10+BD13*AV10+BE13*AW10)/BA10</f>
        <v>-7.3817762399076585E-3</v>
      </c>
      <c r="BJ13" s="1136">
        <f>(((BJ18+BJ19)*BB15)-(BJ8*BB5))/BB10</f>
        <v>-7.3817762399076585E-3</v>
      </c>
      <c r="BK13" s="155">
        <f>BR13</f>
        <v>-3.6253776435045686E-3</v>
      </c>
      <c r="BL13" s="155">
        <f>(BO13*BG10-BK13*BC10)/BD10</f>
        <v>-3.6253776435045686E-3</v>
      </c>
      <c r="BM13" s="155">
        <f>BR13</f>
        <v>-3.6253776435045686E-3</v>
      </c>
      <c r="BN13" s="1133">
        <f>(BP13*BH10-BM13*BE10)/BF10</f>
        <v>-3.6253776435045694E-3</v>
      </c>
      <c r="BO13" s="155">
        <f>BR13</f>
        <v>-3.6253776435045686E-3</v>
      </c>
      <c r="BP13" s="155">
        <f>(BR13*BJ10-BO13*BG10)/BH10</f>
        <v>-3.625377643504569E-3</v>
      </c>
      <c r="BQ13" s="155">
        <f>(BK13*BC10+BL13*BD10+BM13*BE10)/BI10</f>
        <v>-3.6253776435045686E-3</v>
      </c>
      <c r="BR13" s="1136">
        <f>(((BR18+BR19)*BJ15)-(BR8*BJ5))/BJ10</f>
        <v>-3.6253776435045686E-3</v>
      </c>
      <c r="BS13" s="155">
        <f>BZ13</f>
        <v>-1.2115981998770396E-2</v>
      </c>
      <c r="BT13" s="155">
        <f>(BW13*BO10-BS13*BK10)/BL10</f>
        <v>-1.2115981998770398E-2</v>
      </c>
      <c r="BU13" s="155">
        <f>BZ13</f>
        <v>-1.2115981998770396E-2</v>
      </c>
      <c r="BV13" s="1133">
        <f>(BX13*BP10-BU13*BM10)/BN10</f>
        <v>-1.2115981998770394E-2</v>
      </c>
      <c r="BW13" s="155">
        <f>BZ13</f>
        <v>-1.2115981998770396E-2</v>
      </c>
      <c r="BX13" s="155">
        <f>(BZ13*BR10-BW13*BO10)/BP10</f>
        <v>-1.2115981998770394E-2</v>
      </c>
      <c r="BY13" s="155">
        <f>(BS13*BK10+BT13*BL10+BU13*BM10)/BQ10</f>
        <v>-1.2115981998770398E-2</v>
      </c>
      <c r="BZ13" s="1136">
        <f>(((BZ18+BZ19)*BR15)-(BZ8*BR5))/BR10</f>
        <v>-1.2115981998770396E-2</v>
      </c>
      <c r="CA13" s="155">
        <f>CH13</f>
        <v>-4.5725870634805287E-2</v>
      </c>
      <c r="CB13" s="155">
        <f>(CE13*BW10-CA13*BS10)/BT10</f>
        <v>-4.5725870634805287E-2</v>
      </c>
      <c r="CC13" s="155">
        <f>CH13</f>
        <v>-4.5725870634805287E-2</v>
      </c>
      <c r="CD13" s="1133">
        <f>(CF13*BX10-CC13*BU10)/BV10</f>
        <v>-4.5725870634805287E-2</v>
      </c>
      <c r="CE13" s="155">
        <f>CH13</f>
        <v>-4.5725870634805287E-2</v>
      </c>
      <c r="CF13" s="155">
        <f>(CH13*BZ10-CE13*BW10)/BX10</f>
        <v>-4.5725870634805287E-2</v>
      </c>
      <c r="CG13" s="155">
        <f>(CA13*BS10+CB13*BT10+CC13*BU10)/BY10</f>
        <v>-4.5725870634805287E-2</v>
      </c>
      <c r="CH13" s="1136">
        <f>(((CH18+CH19)*BZ15)-(CH8*BZ5))/BZ10</f>
        <v>-4.5725870634805287E-2</v>
      </c>
    </row>
    <row r="14" spans="1:87" ht="15" x14ac:dyDescent="0.25">
      <c r="A14" s="1132"/>
      <c r="T14" s="30"/>
      <c r="U14" s="28"/>
      <c r="V14" s="518"/>
      <c r="W14" s="155"/>
      <c r="X14" s="155"/>
      <c r="Y14" s="155"/>
      <c r="Z14" s="1133"/>
      <c r="AA14" s="155"/>
      <c r="AB14" s="155"/>
      <c r="AC14" s="155"/>
      <c r="AD14" s="1137"/>
      <c r="AE14" s="155"/>
      <c r="AF14" s="151"/>
      <c r="AG14" s="155"/>
      <c r="AH14" s="1133"/>
      <c r="AI14" s="155"/>
      <c r="AJ14" s="155"/>
      <c r="AK14" s="155"/>
      <c r="AL14" s="1137"/>
      <c r="AM14" s="155"/>
      <c r="AN14" s="151"/>
      <c r="AO14" s="155"/>
      <c r="AP14" s="1133"/>
      <c r="AQ14" s="155"/>
      <c r="AR14" s="155"/>
      <c r="AS14" s="155"/>
      <c r="AT14" s="1137"/>
      <c r="AU14" s="155"/>
      <c r="AV14" s="151"/>
      <c r="AW14" s="155"/>
      <c r="AX14" s="1133"/>
      <c r="AY14" s="155"/>
      <c r="AZ14" s="155"/>
      <c r="BA14" s="155"/>
      <c r="BB14" s="1136"/>
      <c r="BC14" s="155"/>
      <c r="BD14" s="155"/>
      <c r="BE14" s="155"/>
      <c r="BF14" s="1133"/>
      <c r="BG14" s="155"/>
      <c r="BH14" s="155"/>
      <c r="BI14" s="155"/>
      <c r="BJ14" s="1136"/>
      <c r="BK14" s="155"/>
      <c r="BL14" s="155"/>
      <c r="BM14" s="155"/>
      <c r="BN14" s="1133"/>
      <c r="BO14" s="155"/>
      <c r="BP14" s="155"/>
      <c r="BQ14" s="155"/>
      <c r="BR14" s="1136"/>
      <c r="BS14" s="155"/>
      <c r="BT14" s="155"/>
      <c r="BU14" s="155"/>
      <c r="BV14" s="1133"/>
      <c r="BW14" s="155"/>
      <c r="BX14" s="155"/>
      <c r="BY14" s="155"/>
      <c r="BZ14" s="1136"/>
      <c r="CA14" s="155"/>
      <c r="CB14" s="155"/>
      <c r="CC14" s="155"/>
      <c r="CD14" s="1133"/>
      <c r="CE14" s="155"/>
      <c r="CF14" s="155"/>
      <c r="CG14" s="155"/>
      <c r="CH14" s="1136"/>
    </row>
    <row r="15" spans="1:87" x14ac:dyDescent="0.2">
      <c r="A15" s="419" t="s">
        <v>266</v>
      </c>
      <c r="B15" s="420"/>
      <c r="C15" s="420"/>
      <c r="D15" s="420"/>
      <c r="E15" s="420"/>
      <c r="F15" s="420"/>
      <c r="G15" s="420"/>
      <c r="H15" s="420"/>
      <c r="I15" s="420"/>
      <c r="J15" s="420"/>
      <c r="K15" s="420"/>
      <c r="L15" s="420"/>
      <c r="M15" s="420"/>
      <c r="N15" s="420"/>
      <c r="O15" s="420"/>
      <c r="P15" s="420"/>
      <c r="Q15" s="419"/>
      <c r="R15" s="419">
        <f>Divisional!R5</f>
        <v>7942</v>
      </c>
      <c r="S15" s="419">
        <f>Divisional!S5</f>
        <v>9256</v>
      </c>
      <c r="T15" s="419">
        <f>Divisional!T5</f>
        <v>6893</v>
      </c>
      <c r="U15" s="419">
        <f>Divisional!U5</f>
        <v>6325</v>
      </c>
      <c r="V15" s="729">
        <f>Divisional!V5</f>
        <v>7535</v>
      </c>
      <c r="W15" s="419">
        <f>W5+W10</f>
        <v>1966</v>
      </c>
      <c r="X15" s="419">
        <f>AA15-W15</f>
        <v>2134</v>
      </c>
      <c r="Y15" s="419">
        <f>Y5+Y10</f>
        <v>2134</v>
      </c>
      <c r="Z15" s="779">
        <f>Z5+Z10</f>
        <v>2601</v>
      </c>
      <c r="AA15" s="419">
        <f>AA5+AA10</f>
        <v>4100</v>
      </c>
      <c r="AB15" s="419">
        <f>AB5+AB10</f>
        <v>4735</v>
      </c>
      <c r="AC15" s="419">
        <f>AC5+AC10</f>
        <v>6234</v>
      </c>
      <c r="AD15" s="1367">
        <f>Divisional!W5</f>
        <v>8835</v>
      </c>
      <c r="AE15" s="419">
        <f>AE5+AE10</f>
        <v>2444</v>
      </c>
      <c r="AF15" s="419">
        <f>AF5+AF10</f>
        <v>2726</v>
      </c>
      <c r="AG15" s="419">
        <f>AG5+AG10</f>
        <v>2527</v>
      </c>
      <c r="AH15" s="779">
        <f>AJ15-AG15</f>
        <v>2921</v>
      </c>
      <c r="AI15" s="419">
        <f>AI5+AI10</f>
        <v>5170</v>
      </c>
      <c r="AJ15" s="419">
        <f>AL15-AI15</f>
        <v>5448</v>
      </c>
      <c r="AK15" s="419">
        <f>AK5+AK10</f>
        <v>7697</v>
      </c>
      <c r="AL15" s="1367">
        <f>Divisional!X5</f>
        <v>10618</v>
      </c>
      <c r="AM15" s="419">
        <f>AM5+AM10</f>
        <v>2783</v>
      </c>
      <c r="AN15" s="419">
        <f>AN5+AN10</f>
        <v>2826</v>
      </c>
      <c r="AO15" s="419">
        <f>AO5+AO10</f>
        <v>3004</v>
      </c>
      <c r="AP15" s="779">
        <f>AR15-AO15</f>
        <v>3689</v>
      </c>
      <c r="AQ15" s="419">
        <f>AQ5+AQ10</f>
        <v>5609</v>
      </c>
      <c r="AR15" s="419">
        <f>AT15-AQ15</f>
        <v>6693</v>
      </c>
      <c r="AS15" s="419">
        <f>AS5+AS10</f>
        <v>8613</v>
      </c>
      <c r="AT15" s="1367">
        <f>Divisional!Y5</f>
        <v>12302</v>
      </c>
      <c r="AU15" s="419">
        <f>AU5+AU10</f>
        <v>3367</v>
      </c>
      <c r="AV15" s="419">
        <f>AV5+AV10</f>
        <v>3564</v>
      </c>
      <c r="AW15" s="731">
        <f>AW5+AW10</f>
        <v>3581.5021411699336</v>
      </c>
      <c r="AX15" s="730">
        <f>AZ15-AW15</f>
        <v>4155.7361879487516</v>
      </c>
      <c r="AY15" s="419">
        <f>AY5+AY10</f>
        <v>6931</v>
      </c>
      <c r="AZ15" s="731">
        <f>BB15-AY15</f>
        <v>7737.2383291186852</v>
      </c>
      <c r="BA15" s="731">
        <f>BA5+BA10</f>
        <v>10512.502141169934</v>
      </c>
      <c r="BB15" s="732">
        <f>BB5+BB10</f>
        <v>14668.238329118685</v>
      </c>
      <c r="BC15" s="731">
        <f>BC5+BC10</f>
        <v>3645.2705594002309</v>
      </c>
      <c r="BD15" s="731">
        <f>BG15-BC15</f>
        <v>3858.8163494809696</v>
      </c>
      <c r="BE15" s="731">
        <f>BE5+BE10</f>
        <v>3878.3130611451415</v>
      </c>
      <c r="BF15" s="730">
        <f>BH15-BE15</f>
        <v>4502.9247964598071</v>
      </c>
      <c r="BG15" s="731">
        <f>BG5+BG10</f>
        <v>7504.0869088812005</v>
      </c>
      <c r="BH15" s="731">
        <f>BJ15-BG15</f>
        <v>8381.2378576049487</v>
      </c>
      <c r="BI15" s="731">
        <f>BI5+BI10</f>
        <v>11382.399970026341</v>
      </c>
      <c r="BJ15" s="732">
        <f>BJ5+BJ10</f>
        <v>15885.32476648615</v>
      </c>
      <c r="BK15" s="731">
        <f>BK5+BK10</f>
        <v>3960.7368510869342</v>
      </c>
      <c r="BL15" s="731">
        <f>BO15-BK15</f>
        <v>4193.0480850621298</v>
      </c>
      <c r="BM15" s="731">
        <f>BM5+BM10</f>
        <v>4214.8225972256114</v>
      </c>
      <c r="BN15" s="730">
        <f>BP15-BM15</f>
        <v>4896.634409614353</v>
      </c>
      <c r="BO15" s="731">
        <f>BO5+BO10</f>
        <v>8153.7849361490644</v>
      </c>
      <c r="BP15" s="731">
        <f>BR15-BO15</f>
        <v>9111.4570068399644</v>
      </c>
      <c r="BQ15" s="731">
        <f>BQ5+BQ10</f>
        <v>12368.607533374676</v>
      </c>
      <c r="BR15" s="732">
        <f>BR5+BR10</f>
        <v>17265.241942989029</v>
      </c>
      <c r="BS15" s="731">
        <f>BS5+BS10</f>
        <v>4270.4185944870314</v>
      </c>
      <c r="BT15" s="731">
        <f>BW15-BS15</f>
        <v>4521.2017807095781</v>
      </c>
      <c r="BU15" s="731">
        <f>BU5+BU10</f>
        <v>4545.3172018430378</v>
      </c>
      <c r="BV15" s="730">
        <f>BX15-BU15</f>
        <v>5283.8388485238356</v>
      </c>
      <c r="BW15" s="731">
        <f>BW5+BW10</f>
        <v>8791.6203751966095</v>
      </c>
      <c r="BX15" s="731">
        <f>BZ15-BW15</f>
        <v>9829.1560503668734</v>
      </c>
      <c r="BY15" s="731">
        <f>BY5+BY10</f>
        <v>13336.937577039647</v>
      </c>
      <c r="BZ15" s="732">
        <f>BZ5+BZ10</f>
        <v>18620.776425563483</v>
      </c>
      <c r="CA15" s="731">
        <f>CA5+CA10</f>
        <v>4461.3731398545206</v>
      </c>
      <c r="CB15" s="731">
        <f>CE15-CA15</f>
        <v>4723.7005952510954</v>
      </c>
      <c r="CC15" s="731">
        <f>CC5+CC10</f>
        <v>4749.579006138516</v>
      </c>
      <c r="CD15" s="730">
        <f>CF15-CC15</f>
        <v>5524.7708540522835</v>
      </c>
      <c r="CE15" s="731">
        <f>CE5+CE10</f>
        <v>9185.0737351056159</v>
      </c>
      <c r="CF15" s="731">
        <f>CH15-CE15</f>
        <v>10274.3498601908</v>
      </c>
      <c r="CG15" s="731">
        <f>CG5+CG10</f>
        <v>13934.652741244132</v>
      </c>
      <c r="CH15" s="732">
        <f>CH5+CH10</f>
        <v>19459.423595296415</v>
      </c>
      <c r="CI15" s="1537">
        <f>(BR15/AL15)^(1/4)-1</f>
        <v>0.12923020664188201</v>
      </c>
    </row>
    <row r="16" spans="1:87" x14ac:dyDescent="0.2">
      <c r="A16" s="1129" t="s">
        <v>998</v>
      </c>
      <c r="S16" s="1130">
        <f>S15/R15-1</f>
        <v>0.16544950893981358</v>
      </c>
      <c r="T16" s="1130">
        <f>T15/S15-1</f>
        <v>-0.25529386343993088</v>
      </c>
      <c r="U16" s="1130">
        <f>U15/T15-1</f>
        <v>-8.2402437255186367E-2</v>
      </c>
      <c r="V16" s="100">
        <f>V15/U15-1</f>
        <v>0.19130434782608696</v>
      </c>
      <c r="W16" s="653">
        <f>W15/Quarterlies!CM181-1</f>
        <v>0.14568764568764569</v>
      </c>
      <c r="X16" s="653">
        <f>X15/Quarterlies!CN181-1</f>
        <v>0.19217877094972069</v>
      </c>
      <c r="Y16" s="653">
        <f>Y15/Quarterlies!CO181-1</f>
        <v>0.17252747252747258</v>
      </c>
      <c r="Z16" s="654">
        <f>Z15/Quarterlies!CP181-1</f>
        <v>0.17745586238116795</v>
      </c>
      <c r="AA16" s="653">
        <f>AA15/Quarterlies!CQ181-1</f>
        <v>0.16942384483742146</v>
      </c>
      <c r="AB16" s="653">
        <f>AB15/Quarterlies!CR181-1</f>
        <v>0.17522958550508805</v>
      </c>
      <c r="AC16" s="653">
        <f>AC15/Quarterlies!CS181-1</f>
        <v>0.17048441607209908</v>
      </c>
      <c r="AD16" s="1434">
        <f t="shared" ref="AD16:CH16" si="10">AD15/V15-1</f>
        <v>0.17252820172528205</v>
      </c>
      <c r="AE16" s="653">
        <f t="shared" si="10"/>
        <v>0.24313326551373349</v>
      </c>
      <c r="AF16" s="653">
        <f t="shared" si="10"/>
        <v>0.27741330834114342</v>
      </c>
      <c r="AG16" s="653">
        <f t="shared" si="10"/>
        <v>0.18416119962511712</v>
      </c>
      <c r="AH16" s="654">
        <f t="shared" si="10"/>
        <v>0.12302960399846219</v>
      </c>
      <c r="AI16" s="653">
        <f t="shared" si="10"/>
        <v>0.26097560975609757</v>
      </c>
      <c r="AJ16" s="653">
        <f t="shared" si="10"/>
        <v>0.15058078141499465</v>
      </c>
      <c r="AK16" s="653">
        <f t="shared" si="10"/>
        <v>0.23468078280397808</v>
      </c>
      <c r="AL16" s="1434">
        <f t="shared" si="10"/>
        <v>0.20181097906055467</v>
      </c>
      <c r="AM16" s="653">
        <f t="shared" si="10"/>
        <v>0.1387070376432078</v>
      </c>
      <c r="AN16" s="653">
        <f t="shared" si="10"/>
        <v>3.6683785766691068E-2</v>
      </c>
      <c r="AO16" s="653">
        <f t="shared" si="10"/>
        <v>0.18876137712702801</v>
      </c>
      <c r="AP16" s="654">
        <f t="shared" si="10"/>
        <v>0.26292365628209513</v>
      </c>
      <c r="AQ16" s="653">
        <f t="shared" si="10"/>
        <v>8.4912959381044484E-2</v>
      </c>
      <c r="AR16" s="653">
        <f t="shared" si="10"/>
        <v>0.2285242290748899</v>
      </c>
      <c r="AS16" s="653">
        <f t="shared" si="10"/>
        <v>0.11900740548265554</v>
      </c>
      <c r="AT16" s="1434">
        <f t="shared" si="10"/>
        <v>0.15859860614051602</v>
      </c>
      <c r="AU16" s="653">
        <f t="shared" si="10"/>
        <v>0.20984549047790146</v>
      </c>
      <c r="AV16" s="653">
        <f t="shared" si="10"/>
        <v>0.26114649681528657</v>
      </c>
      <c r="AW16" s="655">
        <f t="shared" si="10"/>
        <v>0.19224438787281417</v>
      </c>
      <c r="AX16" s="1131">
        <f t="shared" si="10"/>
        <v>0.12652105935178959</v>
      </c>
      <c r="AY16" s="653">
        <f t="shared" si="10"/>
        <v>0.23569263683366026</v>
      </c>
      <c r="AZ16" s="655">
        <f t="shared" si="10"/>
        <v>0.15601947245161885</v>
      </c>
      <c r="BA16" s="655">
        <f t="shared" si="10"/>
        <v>0.22053896913618187</v>
      </c>
      <c r="BB16" s="656">
        <f t="shared" si="10"/>
        <v>0.19234582418457857</v>
      </c>
      <c r="BC16" s="655">
        <f t="shared" si="10"/>
        <v>8.2646438788307464E-2</v>
      </c>
      <c r="BD16" s="655">
        <f t="shared" si="10"/>
        <v>8.2720636779172185E-2</v>
      </c>
      <c r="BE16" s="655">
        <f t="shared" si="10"/>
        <v>8.2873305187596946E-2</v>
      </c>
      <c r="BF16" s="1131">
        <f t="shared" si="10"/>
        <v>8.3544429388436647E-2</v>
      </c>
      <c r="BG16" s="655">
        <f t="shared" si="10"/>
        <v>8.2684592249487876E-2</v>
      </c>
      <c r="BH16" s="655">
        <f t="shared" si="10"/>
        <v>8.3233771675690127E-2</v>
      </c>
      <c r="BI16" s="655">
        <f t="shared" si="10"/>
        <v>8.2748884820640356E-2</v>
      </c>
      <c r="BJ16" s="656">
        <f t="shared" si="10"/>
        <v>8.2974274760136968E-2</v>
      </c>
      <c r="BK16" s="655">
        <f t="shared" si="10"/>
        <v>8.65412557301668E-2</v>
      </c>
      <c r="BL16" s="655">
        <f t="shared" si="10"/>
        <v>8.6615092637439384E-2</v>
      </c>
      <c r="BM16" s="655">
        <f t="shared" si="10"/>
        <v>8.6766986257965861E-2</v>
      </c>
      <c r="BN16" s="1131">
        <f t="shared" si="10"/>
        <v>8.7434196872237413E-2</v>
      </c>
      <c r="BO16" s="655">
        <f t="shared" si="10"/>
        <v>8.6579224782023401E-2</v>
      </c>
      <c r="BP16" s="655">
        <f t="shared" si="10"/>
        <v>8.7125453499978134E-2</v>
      </c>
      <c r="BQ16" s="655">
        <f t="shared" si="10"/>
        <v>8.6643200550441835E-2</v>
      </c>
      <c r="BR16" s="656">
        <f t="shared" si="10"/>
        <v>8.6867419885184871E-2</v>
      </c>
      <c r="BS16" s="655">
        <f t="shared" si="10"/>
        <v>7.8187911755640105E-2</v>
      </c>
      <c r="BT16" s="655">
        <f t="shared" si="10"/>
        <v>7.8261371916173994E-2</v>
      </c>
      <c r="BU16" s="655">
        <f t="shared" si="10"/>
        <v>7.841245912342143E-2</v>
      </c>
      <c r="BV16" s="1131">
        <f t="shared" si="10"/>
        <v>7.9075627567625206E-2</v>
      </c>
      <c r="BW16" s="655">
        <f t="shared" si="10"/>
        <v>7.8225688320495257E-2</v>
      </c>
      <c r="BX16" s="655">
        <f t="shared" si="10"/>
        <v>7.8768855846889529E-2</v>
      </c>
      <c r="BY16" s="655">
        <f t="shared" si="10"/>
        <v>7.8289333787339377E-2</v>
      </c>
      <c r="BZ16" s="656">
        <f t="shared" si="10"/>
        <v>7.8512336348979028E-2</v>
      </c>
      <c r="CA16" s="655">
        <f t="shared" si="10"/>
        <v>4.4715650501804483E-2</v>
      </c>
      <c r="CB16" s="655">
        <f t="shared" si="10"/>
        <v>4.4788714232023574E-2</v>
      </c>
      <c r="CC16" s="655">
        <f t="shared" si="10"/>
        <v>4.4938954802242081E-2</v>
      </c>
      <c r="CD16" s="1131">
        <f t="shared" si="10"/>
        <v>4.5597909481239762E-2</v>
      </c>
      <c r="CE16" s="655">
        <f t="shared" si="10"/>
        <v>4.475322444757035E-2</v>
      </c>
      <c r="CF16" s="655">
        <f t="shared" si="10"/>
        <v>4.5293187690036651E-2</v>
      </c>
      <c r="CG16" s="655">
        <f t="shared" si="10"/>
        <v>4.4816522590124919E-2</v>
      </c>
      <c r="CH16" s="656">
        <f t="shared" si="10"/>
        <v>4.5038249241938111E-2</v>
      </c>
    </row>
    <row r="17" spans="1:90" x14ac:dyDescent="0.2">
      <c r="A17" s="1135" t="s">
        <v>729</v>
      </c>
      <c r="S17" s="21">
        <v>7.3999999999999996E-2</v>
      </c>
      <c r="T17" s="24">
        <f>Divisional!T27</f>
        <v>-0.25</v>
      </c>
      <c r="U17" s="24">
        <f>Divisional!U27</f>
        <v>-6.3E-2</v>
      </c>
      <c r="V17" s="1431">
        <f>Divisional!V27</f>
        <v>0.106</v>
      </c>
      <c r="W17" s="151">
        <v>0.10299999999999999</v>
      </c>
      <c r="X17" s="24">
        <f>(AA17*Quarterlies!CQ181-W17*Quarterlies!CM181)/Quarterlies!CN181</f>
        <v>0.18330502793296088</v>
      </c>
      <c r="Y17" s="151">
        <v>0.21199999999999999</v>
      </c>
      <c r="Z17" s="818">
        <v>0.187</v>
      </c>
      <c r="AA17" s="151">
        <v>0.14399999999999999</v>
      </c>
      <c r="AB17" s="151">
        <f>(AD17*Quarterlies!CT181-AA17*Quarterlies!CQ181)/Quarterlies!CR181</f>
        <v>0.19823554231819304</v>
      </c>
      <c r="AC17" s="24">
        <f>(W17*Quarterlies!CM180+X17*Quarterlies!CN180+Y17*Quarterlies!CO180)/Quarterlies!CS180</f>
        <v>0.1677688999322588</v>
      </c>
      <c r="AD17" s="1433">
        <f>Divisional!W27</f>
        <v>0.17299999999999999</v>
      </c>
      <c r="AE17" s="151">
        <v>0.22700000000000001</v>
      </c>
      <c r="AF17" s="151">
        <f t="shared" ref="AF17:CH17" si="11">((X$10*AF12)+(X$5*AF7))/X$15</f>
        <v>0.23446860356138707</v>
      </c>
      <c r="AG17" s="151">
        <v>0.16300000000000001</v>
      </c>
      <c r="AH17" s="818">
        <v>0.104</v>
      </c>
      <c r="AI17" s="151">
        <v>0.23100000000000001</v>
      </c>
      <c r="AJ17" s="151">
        <f t="shared" si="11"/>
        <v>0.13078268215417105</v>
      </c>
      <c r="AK17" s="151">
        <f t="shared" si="11"/>
        <v>0.20764003849855628</v>
      </c>
      <c r="AL17" s="1415">
        <f>Divisional!X27</f>
        <v>0.17699999999999999</v>
      </c>
      <c r="AM17" s="151">
        <v>0.108</v>
      </c>
      <c r="AN17" s="151">
        <v>8.2000000000000003E-2</v>
      </c>
      <c r="AO17" s="151">
        <v>0.11700000000000001</v>
      </c>
      <c r="AP17" s="818">
        <v>0.17299999999999999</v>
      </c>
      <c r="AQ17" s="151">
        <v>0.08</v>
      </c>
      <c r="AR17" s="151">
        <f t="shared" si="11"/>
        <v>0.14760609397944199</v>
      </c>
      <c r="AS17" s="151">
        <f t="shared" si="11"/>
        <v>9.2261270624918804E-2</v>
      </c>
      <c r="AT17" s="1415">
        <f>Divisional!Y27</f>
        <v>0.114</v>
      </c>
      <c r="AU17" s="151">
        <v>0.13500000000000001</v>
      </c>
      <c r="AV17" s="151">
        <v>0.14499999999999999</v>
      </c>
      <c r="AW17" s="155">
        <f t="shared" si="11"/>
        <v>0.11512982689747005</v>
      </c>
      <c r="AX17" s="1133">
        <f t="shared" si="11"/>
        <v>7.8271889400921682E-2</v>
      </c>
      <c r="AY17" s="151">
        <v>0.14000000000000001</v>
      </c>
      <c r="AZ17" s="155">
        <f t="shared" si="11"/>
        <v>9.4814731809353056E-2</v>
      </c>
      <c r="BA17" s="155">
        <f t="shared" si="11"/>
        <v>0.13106118657842794</v>
      </c>
      <c r="BB17" s="1136">
        <f t="shared" si="11"/>
        <v>0.11523126320923427</v>
      </c>
      <c r="BC17" s="155">
        <f t="shared" si="11"/>
        <v>9.0028215028215022E-2</v>
      </c>
      <c r="BD17" s="155">
        <f t="shared" si="11"/>
        <v>9.0102413019079702E-2</v>
      </c>
      <c r="BE17" s="155">
        <f t="shared" si="11"/>
        <v>9.0255081427504602E-2</v>
      </c>
      <c r="BF17" s="1133">
        <f t="shared" si="11"/>
        <v>9.0926205628344817E-2</v>
      </c>
      <c r="BG17" s="155">
        <f t="shared" si="11"/>
        <v>9.0066368489395476E-2</v>
      </c>
      <c r="BH17" s="155">
        <f t="shared" si="11"/>
        <v>9.0615547915598102E-2</v>
      </c>
      <c r="BI17" s="155">
        <f t="shared" si="11"/>
        <v>9.0130661060548178E-2</v>
      </c>
      <c r="BJ17" s="1136">
        <f t="shared" si="11"/>
        <v>9.0356051000044568E-2</v>
      </c>
      <c r="BK17" s="155">
        <f t="shared" si="11"/>
        <v>9.0166633373671215E-2</v>
      </c>
      <c r="BL17" s="155">
        <f t="shared" si="11"/>
        <v>9.0240470280944382E-2</v>
      </c>
      <c r="BM17" s="155">
        <f t="shared" si="11"/>
        <v>9.0392363901470527E-2</v>
      </c>
      <c r="BN17" s="1133">
        <f t="shared" si="11"/>
        <v>9.1059574515741426E-2</v>
      </c>
      <c r="BO17" s="155">
        <f t="shared" si="11"/>
        <v>9.0204602425527955E-2</v>
      </c>
      <c r="BP17" s="155">
        <f t="shared" si="11"/>
        <v>9.0750831143482452E-2</v>
      </c>
      <c r="BQ17" s="155">
        <f t="shared" si="11"/>
        <v>9.0268578193946361E-2</v>
      </c>
      <c r="BR17" s="1136">
        <f t="shared" si="11"/>
        <v>9.0492797528689439E-2</v>
      </c>
      <c r="BS17" s="155">
        <f t="shared" si="11"/>
        <v>9.0303893754410461E-2</v>
      </c>
      <c r="BT17" s="155">
        <f t="shared" si="11"/>
        <v>9.0377353914944211E-2</v>
      </c>
      <c r="BU17" s="155">
        <f t="shared" si="11"/>
        <v>9.0528441122191675E-2</v>
      </c>
      <c r="BV17" s="1133">
        <f t="shared" si="11"/>
        <v>9.1191609566395354E-2</v>
      </c>
      <c r="BW17" s="155">
        <f t="shared" si="11"/>
        <v>9.0341670319265488E-2</v>
      </c>
      <c r="BX17" s="155">
        <f t="shared" si="11"/>
        <v>9.0884837845659761E-2</v>
      </c>
      <c r="BY17" s="155">
        <f t="shared" si="11"/>
        <v>9.0405315786109761E-2</v>
      </c>
      <c r="BZ17" s="1136">
        <f t="shared" si="11"/>
        <v>9.0628318347749245E-2</v>
      </c>
      <c r="CA17" s="155">
        <f t="shared" si="11"/>
        <v>9.0441521136609859E-2</v>
      </c>
      <c r="CB17" s="155">
        <f t="shared" si="11"/>
        <v>9.0514584866828535E-2</v>
      </c>
      <c r="CC17" s="155">
        <f t="shared" si="11"/>
        <v>9.0664825437047375E-2</v>
      </c>
      <c r="CD17" s="1133">
        <f t="shared" si="11"/>
        <v>9.1323780116045139E-2</v>
      </c>
      <c r="CE17" s="155">
        <f t="shared" si="11"/>
        <v>9.0479095082375532E-2</v>
      </c>
      <c r="CF17" s="155">
        <f t="shared" si="11"/>
        <v>9.1019058324841945E-2</v>
      </c>
      <c r="CG17" s="155">
        <f t="shared" si="11"/>
        <v>9.0542393224930226E-2</v>
      </c>
      <c r="CH17" s="1136">
        <f t="shared" si="11"/>
        <v>9.0764119876743293E-2</v>
      </c>
    </row>
    <row r="18" spans="1:90" x14ac:dyDescent="0.2">
      <c r="A18" s="1135" t="s">
        <v>94</v>
      </c>
      <c r="S18" s="21">
        <v>5.6000000000000001E-2</v>
      </c>
      <c r="T18" s="21">
        <v>-1E-3</v>
      </c>
      <c r="U18" s="21">
        <v>0</v>
      </c>
      <c r="V18" s="1431">
        <v>7.0000000000000001E-3</v>
      </c>
      <c r="W18" s="151">
        <f>15/Quarterlies!CM$181</f>
        <v>8.7412587412587419E-3</v>
      </c>
      <c r="X18" s="24">
        <f>(AA18*Quarterlies!CQ181-W18*Quarterlies!CM181)/Quarterlies!CN181</f>
        <v>1.11731843575419E-2</v>
      </c>
      <c r="Y18" s="151">
        <v>0</v>
      </c>
      <c r="Z18" s="818">
        <v>1.7999999999999999E-2</v>
      </c>
      <c r="AA18" s="151">
        <f>35/Quarterlies!CQ181</f>
        <v>9.9828864803194525E-3</v>
      </c>
      <c r="AB18" s="151">
        <f>(AD18*Quarterlies!CT181-AA18*Quarterlies!CQ181)/Quarterlies!CR181</f>
        <v>1.0014892032762474E-2</v>
      </c>
      <c r="AC18" s="24">
        <f>(W18*Quarterlies!CM180+X18*Quarterlies!CN180+Y18*Quarterlies!CO180)/Quarterlies!CS180</f>
        <v>6.5349325557814879E-3</v>
      </c>
      <c r="AD18" s="1433">
        <v>0.01</v>
      </c>
      <c r="AE18" s="151">
        <v>2.1000000000000001E-2</v>
      </c>
      <c r="AF18" s="151">
        <f>(AI18*AA15-AE18*W15)/X15</f>
        <v>3.2527647610121835E-2</v>
      </c>
      <c r="AG18" s="151">
        <v>2.7E-2</v>
      </c>
      <c r="AH18" s="818">
        <v>1.2E-2</v>
      </c>
      <c r="AI18" s="151">
        <v>2.7E-2</v>
      </c>
      <c r="AJ18" s="151">
        <f>(AL18*AD15-AI18*AA15)/AB15</f>
        <v>1.7670538542766626E-2</v>
      </c>
      <c r="AK18" s="151">
        <f>(AE18*W15+AF18*X15+AG18*Y15)/AC15</f>
        <v>2.7000000000000003E-2</v>
      </c>
      <c r="AL18" s="1433">
        <v>2.1999999999999999E-2</v>
      </c>
      <c r="AM18" s="151">
        <v>1.2999999999999999E-2</v>
      </c>
      <c r="AN18" s="151">
        <v>0.01</v>
      </c>
      <c r="AO18" s="151">
        <v>0.108</v>
      </c>
      <c r="AP18" s="818">
        <v>0.13700000000000001</v>
      </c>
      <c r="AQ18" s="151">
        <v>1.2E-2</v>
      </c>
      <c r="AR18" s="151">
        <f>(AT18*AL15-AQ18*AI15)/AJ15</f>
        <v>0.12309140969162997</v>
      </c>
      <c r="AS18" s="151">
        <f>(AM18*AE15+AN18*AF15+AO18*AG15)/AK15</f>
        <v>4.3126932571131607E-2</v>
      </c>
      <c r="AT18" s="1433">
        <v>6.9000000000000006E-2</v>
      </c>
      <c r="AU18" s="151">
        <v>0.13600000000000001</v>
      </c>
      <c r="AV18" s="151">
        <v>0.13</v>
      </c>
      <c r="AW18" s="1138">
        <v>0.06</v>
      </c>
      <c r="AX18" s="1133">
        <f>(AZ18*AR15-AW18*AO15)/AP15</f>
        <v>5.7132827324478164E-2</v>
      </c>
      <c r="AY18" s="151">
        <v>0.13300000000000001</v>
      </c>
      <c r="AZ18" s="155">
        <f>(BB18*AT15-AY18*AQ15)/AR15</f>
        <v>5.8419692215747783E-2</v>
      </c>
      <c r="BA18" s="155">
        <f>(AU18*AM15+AV18*AN15+AW18*AO15)/AS15</f>
        <v>0.10752443980030187</v>
      </c>
      <c r="BB18" s="1134">
        <f>(1000-38+175)/AT15</f>
        <v>9.2423996098195418E-2</v>
      </c>
      <c r="BC18" s="155">
        <f>BJ18</f>
        <v>0</v>
      </c>
      <c r="BD18" s="155">
        <f>(BG18*AY15-BC18*AU15)/AV15</f>
        <v>0</v>
      </c>
      <c r="BE18" s="155">
        <f>BJ18</f>
        <v>0</v>
      </c>
      <c r="BF18" s="1133">
        <f>(BH18*AZ15-BE18*AW15)/AX15</f>
        <v>0</v>
      </c>
      <c r="BG18" s="155">
        <f>BJ18</f>
        <v>0</v>
      </c>
      <c r="BH18" s="155">
        <f>(BJ18*BB15-BG18*AY15)/AZ15</f>
        <v>0</v>
      </c>
      <c r="BI18" s="155">
        <f>(BC18*AU15+BD18*AV15+BE18*AW15)/BA15</f>
        <v>0</v>
      </c>
      <c r="BJ18" s="1134">
        <v>0</v>
      </c>
      <c r="BK18" s="155">
        <f>BR18</f>
        <v>0</v>
      </c>
      <c r="BL18" s="155">
        <f>(BO18*BG15-BK18*BC15)/BD15</f>
        <v>0</v>
      </c>
      <c r="BM18" s="155">
        <f>BR18</f>
        <v>0</v>
      </c>
      <c r="BN18" s="1133">
        <f>(BP18*BH15-BM18*BE15)/BF15</f>
        <v>0</v>
      </c>
      <c r="BO18" s="155">
        <f>BR18</f>
        <v>0</v>
      </c>
      <c r="BP18" s="155">
        <f>(BR18*BJ15-BO18*BG15)/BH15</f>
        <v>0</v>
      </c>
      <c r="BQ18" s="155">
        <f>(BK18*BC15+BL18*BD15+BM18*BE15)/BI15</f>
        <v>0</v>
      </c>
      <c r="BR18" s="1134">
        <v>0</v>
      </c>
      <c r="BS18" s="155">
        <f>BZ18</f>
        <v>0</v>
      </c>
      <c r="BT18" s="155">
        <f>(BW18*BO15-BS18*BK15)/BL15</f>
        <v>0</v>
      </c>
      <c r="BU18" s="155">
        <f>BZ18</f>
        <v>0</v>
      </c>
      <c r="BV18" s="1133">
        <f>(BX18*BP15-BU18*BM15)/BN15</f>
        <v>0</v>
      </c>
      <c r="BW18" s="155">
        <f>BZ18</f>
        <v>0</v>
      </c>
      <c r="BX18" s="155">
        <f>(BZ18*BR15-BW18*BO15)/BP15</f>
        <v>0</v>
      </c>
      <c r="BY18" s="155">
        <f>(BS18*BK15+BT18*BL15+BU18*BM15)/BQ15</f>
        <v>0</v>
      </c>
      <c r="BZ18" s="1134">
        <v>0</v>
      </c>
      <c r="CA18" s="155">
        <f>CH18</f>
        <v>0</v>
      </c>
      <c r="CB18" s="155">
        <f>(CE18*BW15-CA18*BS15)/BT15</f>
        <v>0</v>
      </c>
      <c r="CC18" s="155">
        <f>CH18</f>
        <v>0</v>
      </c>
      <c r="CD18" s="1133">
        <f>(CF18*BX15-CC18*BU15)/BV15</f>
        <v>0</v>
      </c>
      <c r="CE18" s="155">
        <f>CH18</f>
        <v>0</v>
      </c>
      <c r="CF18" s="155">
        <f>(CH18*BZ15-CE18*BW15)/BX15</f>
        <v>0</v>
      </c>
      <c r="CG18" s="155">
        <f>(CA18*BS15+CB18*BT15+CC18*BU15)/BY15</f>
        <v>0</v>
      </c>
      <c r="CH18" s="1134">
        <v>0</v>
      </c>
    </row>
    <row r="19" spans="1:90" x14ac:dyDescent="0.2">
      <c r="A19" s="1135" t="s">
        <v>275</v>
      </c>
      <c r="S19" s="21">
        <v>3.5000000000000003E-2</v>
      </c>
      <c r="T19" s="21">
        <v>-4.0000000000000001E-3</v>
      </c>
      <c r="U19" s="21">
        <v>-1.9E-2</v>
      </c>
      <c r="V19" s="1431">
        <v>7.8E-2</v>
      </c>
      <c r="W19" s="151">
        <f>W16-W17-W18</f>
        <v>3.3946386946386957E-2</v>
      </c>
      <c r="X19" s="24">
        <f>(AA19*Quarterlies!CQ181-W19*Quarterlies!CM181)/Quarterlies!CN181</f>
        <v>-2.2994413407823214E-3</v>
      </c>
      <c r="Y19" s="151">
        <f>Y16-Y17-Y18</f>
        <v>-3.9472527472527413E-2</v>
      </c>
      <c r="Z19" s="818">
        <f>Z16-Z17-Z18</f>
        <v>-2.7544137618832048E-2</v>
      </c>
      <c r="AA19" s="151">
        <f>AA16-AA17-AA18</f>
        <v>1.5440958357102014E-2</v>
      </c>
      <c r="AB19" s="151">
        <f>(AD19*Quarterlies!CT181-AA19*Quarterlies!CQ181)/Quarterlies!CR181</f>
        <v>-3.3020848845867291E-2</v>
      </c>
      <c r="AC19" s="24">
        <f>(W19*Quarterlies!CM180+X19*Quarterlies!CN180+Y19*Quarterlies!CO180)/Quarterlies!CS180</f>
        <v>-3.6701927641347686E-3</v>
      </c>
      <c r="AD19" s="1415">
        <f>AD16-AD17-AD18</f>
        <v>-1.0471798274717939E-2</v>
      </c>
      <c r="AE19" s="151">
        <f>AE16-AE17-AE18</f>
        <v>-4.8667344862665211E-3</v>
      </c>
      <c r="AF19" s="151">
        <f>(AI19*AA15-AE19*W15)/X15</f>
        <v>1.0200562324273653E-2</v>
      </c>
      <c r="AG19" s="151">
        <f>AG16-AG17-AG18</f>
        <v>-5.8388003748828833E-3</v>
      </c>
      <c r="AH19" s="818">
        <f>AH16-AH17-AH18</f>
        <v>7.0296039984621937E-3</v>
      </c>
      <c r="AI19" s="151">
        <f>AI16-AI17-AI18</f>
        <v>2.9756097560975601E-3</v>
      </c>
      <c r="AJ19" s="151">
        <f>(AL19*AD15-AI19*AA15)/AB15</f>
        <v>2.6684266103486043E-3</v>
      </c>
      <c r="AK19" s="151">
        <f>(AE19*W15+AF19*X15+AG19*Y15)/AC15</f>
        <v>-4.170676932949598E-5</v>
      </c>
      <c r="AL19" s="1415">
        <f t="shared" ref="AL19:AQ19" si="12">AL16-AL17-AL18</f>
        <v>2.8109790605546844E-3</v>
      </c>
      <c r="AM19" s="151">
        <f t="shared" si="12"/>
        <v>1.7707037643207801E-2</v>
      </c>
      <c r="AN19" s="151">
        <f t="shared" si="12"/>
        <v>-5.5316214233308937E-2</v>
      </c>
      <c r="AO19" s="151">
        <f t="shared" si="12"/>
        <v>-3.6238622872971998E-2</v>
      </c>
      <c r="AP19" s="818">
        <f t="shared" si="12"/>
        <v>-4.7076343717904867E-2</v>
      </c>
      <c r="AQ19" s="151">
        <f t="shared" si="12"/>
        <v>-7.0870406189555181E-3</v>
      </c>
      <c r="AR19" s="151">
        <f>(AT19*AL15-AQ19*AI15)/AJ15</f>
        <v>-4.0832232011747606E-2</v>
      </c>
      <c r="AS19" s="151">
        <f>(AM19*AE15+AN19*AF15+AO19*AG15)/AK15</f>
        <v>-2.5866051708457911E-2</v>
      </c>
      <c r="AT19" s="1415">
        <f>AT16-AT17-AT18</f>
        <v>-2.4401393859483991E-2</v>
      </c>
      <c r="AU19" s="151">
        <f t="shared" ref="AU19:AV19" si="13">AU16-AU17-AU18</f>
        <v>-6.1154509522098555E-2</v>
      </c>
      <c r="AV19" s="151">
        <f t="shared" si="13"/>
        <v>-1.3853503184713428E-2</v>
      </c>
      <c r="AW19" s="155">
        <f>BB19</f>
        <v>-1.5309435122851323E-2</v>
      </c>
      <c r="AX19" s="1133">
        <f>(AZ19*AR15-AW19*AO15)/AP15</f>
        <v>1.8137672059563053E-2</v>
      </c>
      <c r="AY19" s="151">
        <f t="shared" ref="AY19" si="14">AY16-AY17-AY18</f>
        <v>-3.7307363166339758E-2</v>
      </c>
      <c r="AZ19" s="155">
        <f>(BB19*AT15-AY19*AQ15)/AR15</f>
        <v>3.1257028415781758E-3</v>
      </c>
      <c r="BA19" s="155">
        <f>(AU19*AM15+AV19*AN15+AW19*AO15)/AS15</f>
        <v>-2.9645018357023777E-2</v>
      </c>
      <c r="BB19" s="1136">
        <f>Quarterlies!DZ129</f>
        <v>-1.5309435122851323E-2</v>
      </c>
      <c r="BC19" s="155">
        <f>BJ19</f>
        <v>-7.3817762399076559E-3</v>
      </c>
      <c r="BD19" s="155">
        <f>(BG19*AY15-BC19*AU15)/AV15</f>
        <v>-7.3817762399076559E-3</v>
      </c>
      <c r="BE19" s="155">
        <f>BJ19</f>
        <v>-7.3817762399076559E-3</v>
      </c>
      <c r="BF19" s="1133">
        <f>(BH19*AZ15-BE19*AW15)/AX15</f>
        <v>-7.3817762399076576E-3</v>
      </c>
      <c r="BG19" s="155">
        <f>BJ19</f>
        <v>-7.3817762399076559E-3</v>
      </c>
      <c r="BH19" s="155">
        <f>(BJ19*BB15-BG19*AY15)/AZ15</f>
        <v>-7.3817762399076567E-3</v>
      </c>
      <c r="BI19" s="155">
        <f>(BC19*AU15+BD19*AV15+BE19*AW15)/BA15</f>
        <v>-7.381776239907655E-3</v>
      </c>
      <c r="BJ19" s="1136">
        <f>Quarterlies!EH129</f>
        <v>-7.3817762399076559E-3</v>
      </c>
      <c r="BK19" s="155">
        <f>BR19</f>
        <v>-3.6253776435045681E-3</v>
      </c>
      <c r="BL19" s="155">
        <f>(BO19*BG15-BK19*BC15)/BD15</f>
        <v>-3.6253776435045673E-3</v>
      </c>
      <c r="BM19" s="155">
        <f>BR19</f>
        <v>-3.6253776435045681E-3</v>
      </c>
      <c r="BN19" s="1133">
        <f>(BP19*BH15-BM19*BE15)/BF15</f>
        <v>-3.6253776435045699E-3</v>
      </c>
      <c r="BO19" s="155">
        <f>BR19</f>
        <v>-3.6253776435045681E-3</v>
      </c>
      <c r="BP19" s="155">
        <f>(BR19*BJ15-BO19*BG15)/BH15</f>
        <v>-3.625377643504569E-3</v>
      </c>
      <c r="BQ19" s="155">
        <f>(BK19*BC15+BL19*BD15+BM19*BE15)/BI15</f>
        <v>-3.6253776435045681E-3</v>
      </c>
      <c r="BR19" s="1136">
        <f>Quarterlies!EP129</f>
        <v>-3.6253776435045681E-3</v>
      </c>
      <c r="BS19" s="155">
        <f>BZ19</f>
        <v>-1.2115981998770398E-2</v>
      </c>
      <c r="BT19" s="155">
        <f>(BW19*BO15-BS19*BK15)/BL15</f>
        <v>-1.2115981998770399E-2</v>
      </c>
      <c r="BU19" s="155">
        <f>BZ19</f>
        <v>-1.2115981998770398E-2</v>
      </c>
      <c r="BV19" s="1133">
        <f>(BX19*BP15-BU19*BM15)/BN15</f>
        <v>-1.2115981998770396E-2</v>
      </c>
      <c r="BW19" s="155">
        <f>BZ19</f>
        <v>-1.2115981998770398E-2</v>
      </c>
      <c r="BX19" s="155">
        <f>(BZ19*BR15-BW19*BO15)/BP15</f>
        <v>-1.2115981998770396E-2</v>
      </c>
      <c r="BY19" s="155">
        <f>(BS19*BK15+BT19*BL15+BU19*BM15)/BQ15</f>
        <v>-1.2115981998770399E-2</v>
      </c>
      <c r="BZ19" s="1136">
        <f>Quarterlies!EX129</f>
        <v>-1.2115981998770398E-2</v>
      </c>
      <c r="CA19" s="155">
        <f>CH19</f>
        <v>-4.5725870634805266E-2</v>
      </c>
      <c r="CB19" s="155">
        <f>(CE19*BW15-CA19*BS15)/BT15</f>
        <v>-4.5725870634805266E-2</v>
      </c>
      <c r="CC19" s="155">
        <f>CH19</f>
        <v>-4.5725870634805266E-2</v>
      </c>
      <c r="CD19" s="1133">
        <f>(CF19*BX15-CC19*BU15)/BV15</f>
        <v>-4.5725870634805259E-2</v>
      </c>
      <c r="CE19" s="155">
        <f>CH19</f>
        <v>-4.5725870634805266E-2</v>
      </c>
      <c r="CF19" s="155">
        <f>(CH19*BZ15-CE19*BW15)/BX15</f>
        <v>-4.5725870634805266E-2</v>
      </c>
      <c r="CG19" s="155">
        <f>(CA19*BS15+CB19*BT15+CC19*BU15)/BY15</f>
        <v>-4.5725870634805259E-2</v>
      </c>
      <c r="CH19" s="1136">
        <f>Quarterlies!FF129</f>
        <v>-4.5725870634805266E-2</v>
      </c>
    </row>
    <row r="20" spans="1:90" x14ac:dyDescent="0.2">
      <c r="V20" s="180"/>
      <c r="Z20" s="179"/>
      <c r="AD20" s="314"/>
      <c r="AH20" s="1527"/>
      <c r="AL20" s="1583"/>
      <c r="AP20" s="179"/>
      <c r="AT20" s="1583"/>
      <c r="AX20" s="179"/>
      <c r="BB20" s="314"/>
      <c r="BF20" s="179"/>
      <c r="BJ20" s="314"/>
      <c r="BN20" s="179"/>
      <c r="BR20" s="314"/>
      <c r="BV20" s="179"/>
      <c r="BZ20" s="314"/>
      <c r="CD20" s="179"/>
      <c r="CH20" s="314"/>
    </row>
    <row r="21" spans="1:90" x14ac:dyDescent="0.2">
      <c r="A21" s="419" t="s">
        <v>1000</v>
      </c>
      <c r="B21" s="420"/>
      <c r="C21" s="420"/>
      <c r="D21" s="420"/>
      <c r="E21" s="420"/>
      <c r="F21" s="420"/>
      <c r="G21" s="420"/>
      <c r="H21" s="420"/>
      <c r="I21" s="420"/>
      <c r="J21" s="420"/>
      <c r="K21" s="420"/>
      <c r="L21" s="420"/>
      <c r="M21" s="420"/>
      <c r="N21" s="420"/>
      <c r="O21" s="420"/>
      <c r="P21" s="420"/>
      <c r="Q21" s="419"/>
      <c r="R21" s="419">
        <f>Divisional!R39</f>
        <v>992</v>
      </c>
      <c r="S21" s="419">
        <f>Divisional!S39</f>
        <v>1209</v>
      </c>
      <c r="T21" s="419">
        <f>Divisional!T39</f>
        <v>687</v>
      </c>
      <c r="U21" s="419">
        <f>Divisional!U39</f>
        <v>650</v>
      </c>
      <c r="V21" s="729">
        <f>Divisional!V39</f>
        <v>874</v>
      </c>
      <c r="W21" s="419"/>
      <c r="X21" s="419"/>
      <c r="Y21" s="419"/>
      <c r="Z21" s="779"/>
      <c r="AA21" s="419">
        <v>466</v>
      </c>
      <c r="AB21" s="419">
        <f>AD21-AA21</f>
        <v>526</v>
      </c>
      <c r="AC21" s="419"/>
      <c r="AD21" s="1367">
        <f>Divisional!W39</f>
        <v>992</v>
      </c>
      <c r="AE21" s="419"/>
      <c r="AF21" s="419"/>
      <c r="AG21" s="419"/>
      <c r="AH21" s="779"/>
      <c r="AI21" s="419">
        <v>657</v>
      </c>
      <c r="AJ21" s="419">
        <f>AL21-AI21</f>
        <v>641</v>
      </c>
      <c r="AK21" s="419"/>
      <c r="AL21" s="1367">
        <f>Divisional!X39</f>
        <v>1298</v>
      </c>
      <c r="AM21" s="419"/>
      <c r="AN21" s="419"/>
      <c r="AO21" s="419"/>
      <c r="AP21" s="779"/>
      <c r="AQ21" s="419">
        <v>703</v>
      </c>
      <c r="AR21" s="419">
        <f>AT21-AQ21</f>
        <v>862</v>
      </c>
      <c r="AS21" s="419"/>
      <c r="AT21" s="1367">
        <f>Divisional!Y39</f>
        <v>1565</v>
      </c>
      <c r="AU21" s="419"/>
      <c r="AV21" s="419"/>
      <c r="AW21" s="419"/>
      <c r="AX21" s="779"/>
      <c r="AY21" s="419">
        <v>907</v>
      </c>
      <c r="AZ21" s="731">
        <f>BB21-AY21</f>
        <v>1073.2121744310227</v>
      </c>
      <c r="BA21" s="419"/>
      <c r="BB21" s="732">
        <f>BB22*BB15</f>
        <v>1980.2121744310227</v>
      </c>
      <c r="BC21" s="419"/>
      <c r="BD21" s="419"/>
      <c r="BE21" s="419"/>
      <c r="BF21" s="779"/>
      <c r="BG21" s="731">
        <f>BG22*BG15</f>
        <v>1088.0926017877739</v>
      </c>
      <c r="BH21" s="731">
        <f>BJ21-BG21</f>
        <v>1215.2794893527177</v>
      </c>
      <c r="BI21" s="419"/>
      <c r="BJ21" s="732">
        <f>BJ22*BJ15</f>
        <v>2303.3720911404916</v>
      </c>
      <c r="BK21" s="419"/>
      <c r="BL21" s="419"/>
      <c r="BM21" s="419"/>
      <c r="BN21" s="779"/>
      <c r="BO21" s="731">
        <f>BO22*BO15</f>
        <v>1223.0677404223595</v>
      </c>
      <c r="BP21" s="731">
        <f>BR21-BO21</f>
        <v>1366.7185510259949</v>
      </c>
      <c r="BQ21" s="419"/>
      <c r="BR21" s="732">
        <f>BR22*BR15</f>
        <v>2589.7862914483544</v>
      </c>
      <c r="BS21" s="419"/>
      <c r="BT21" s="419"/>
      <c r="BU21" s="419"/>
      <c r="BV21" s="779"/>
      <c r="BW21" s="731">
        <f>BW22*BW15</f>
        <v>1318.7430562794914</v>
      </c>
      <c r="BX21" s="731">
        <f>BZ21-BW21</f>
        <v>1474.3734075550308</v>
      </c>
      <c r="BY21" s="419"/>
      <c r="BZ21" s="732">
        <f>BZ22*BZ15</f>
        <v>2793.1164638345222</v>
      </c>
      <c r="CA21" s="419"/>
      <c r="CB21" s="419"/>
      <c r="CC21" s="419"/>
      <c r="CD21" s="779"/>
      <c r="CE21" s="731">
        <f>CE22*CE15</f>
        <v>1377.7610602658424</v>
      </c>
      <c r="CF21" s="731">
        <f>CH21-CE21</f>
        <v>1541.1524790286198</v>
      </c>
      <c r="CG21" s="419"/>
      <c r="CH21" s="732">
        <f>CH22*CH15</f>
        <v>2918.9135392944622</v>
      </c>
      <c r="CJ21" s="186"/>
      <c r="CK21" s="186"/>
      <c r="CL21" s="186"/>
    </row>
    <row r="22" spans="1:90" x14ac:dyDescent="0.2">
      <c r="A22" s="186" t="s">
        <v>99</v>
      </c>
      <c r="Q22" s="1130"/>
      <c r="R22" s="1130">
        <f>R21/R15</f>
        <v>0.12490556534877864</v>
      </c>
      <c r="S22" s="1130">
        <f>S21/S15</f>
        <v>0.1306179775280899</v>
      </c>
      <c r="T22" s="1130">
        <f>T21/T15</f>
        <v>9.966632815900188E-2</v>
      </c>
      <c r="U22" s="1130">
        <f>U21/U15</f>
        <v>0.10276679841897234</v>
      </c>
      <c r="V22" s="100">
        <f>V21/V15</f>
        <v>0.11599203715992037</v>
      </c>
      <c r="W22" s="653"/>
      <c r="X22" s="653"/>
      <c r="Y22" s="653"/>
      <c r="Z22" s="654"/>
      <c r="AA22" s="653">
        <f>AA21/AA15</f>
        <v>0.11365853658536586</v>
      </c>
      <c r="AB22" s="653">
        <f>AB21/AB15</f>
        <v>0.11108764519535375</v>
      </c>
      <c r="AC22" s="653"/>
      <c r="AD22" s="1434">
        <f>AD21/AD15</f>
        <v>0.11228070175438597</v>
      </c>
      <c r="AE22" s="653"/>
      <c r="AF22" s="653"/>
      <c r="AG22" s="653"/>
      <c r="AH22" s="654"/>
      <c r="AI22" s="653">
        <f>AI21/AI15</f>
        <v>0.12707930367504836</v>
      </c>
      <c r="AJ22" s="653">
        <f>AJ21/AJ15</f>
        <v>0.11765785609397944</v>
      </c>
      <c r="AK22" s="653"/>
      <c r="AL22" s="1434">
        <f>AL21/AL15</f>
        <v>0.12224524392540968</v>
      </c>
      <c r="AM22" s="653"/>
      <c r="AN22" s="653"/>
      <c r="AO22" s="653"/>
      <c r="AP22" s="654"/>
      <c r="AQ22" s="653">
        <f>AQ21/AQ15</f>
        <v>0.12533428418612944</v>
      </c>
      <c r="AR22" s="653">
        <f>AR21/AR15</f>
        <v>0.12879127446585986</v>
      </c>
      <c r="AS22" s="653"/>
      <c r="AT22" s="1434">
        <f>AT21/AT15</f>
        <v>0.12721508697772721</v>
      </c>
      <c r="AU22" s="653"/>
      <c r="AV22" s="653"/>
      <c r="AW22" s="653"/>
      <c r="AX22" s="654"/>
      <c r="AY22" s="653">
        <f>AY21/AY15</f>
        <v>0.13086134756889337</v>
      </c>
      <c r="AZ22" s="655">
        <f>AZ21/AZ15</f>
        <v>0.13870739516864122</v>
      </c>
      <c r="BA22" s="653"/>
      <c r="BB22" s="1139">
        <v>0.13500000000000001</v>
      </c>
      <c r="BC22" s="653"/>
      <c r="BD22" s="653"/>
      <c r="BE22" s="653"/>
      <c r="BF22" s="654"/>
      <c r="BG22" s="655">
        <f>BJ22</f>
        <v>0.14499999999999999</v>
      </c>
      <c r="BH22" s="655">
        <f>BH21/BH15</f>
        <v>0.14500000000000002</v>
      </c>
      <c r="BI22" s="653"/>
      <c r="BJ22" s="1139">
        <v>0.14499999999999999</v>
      </c>
      <c r="BK22" s="653"/>
      <c r="BL22" s="653"/>
      <c r="BM22" s="653"/>
      <c r="BN22" s="654"/>
      <c r="BO22" s="655">
        <f>BR22</f>
        <v>0.15</v>
      </c>
      <c r="BP22" s="655">
        <f>BP21/BP15</f>
        <v>0.15000000000000002</v>
      </c>
      <c r="BQ22" s="653"/>
      <c r="BR22" s="1139">
        <v>0.15</v>
      </c>
      <c r="BS22" s="653"/>
      <c r="BT22" s="653"/>
      <c r="BU22" s="653"/>
      <c r="BV22" s="654"/>
      <c r="BW22" s="655">
        <f>BZ22</f>
        <v>0.15</v>
      </c>
      <c r="BX22" s="655">
        <f>BX21/BX15</f>
        <v>0.14999999999999997</v>
      </c>
      <c r="BY22" s="653"/>
      <c r="BZ22" s="656">
        <f>BR22</f>
        <v>0.15</v>
      </c>
      <c r="CA22" s="653"/>
      <c r="CB22" s="653"/>
      <c r="CC22" s="653"/>
      <c r="CD22" s="654"/>
      <c r="CE22" s="655">
        <f>CH22</f>
        <v>0.15</v>
      </c>
      <c r="CF22" s="655">
        <f>CF21/CF15</f>
        <v>0.15</v>
      </c>
      <c r="CG22" s="653"/>
      <c r="CH22" s="656">
        <f>BZ22</f>
        <v>0.15</v>
      </c>
    </row>
    <row r="23" spans="1:90" x14ac:dyDescent="0.2">
      <c r="A23" s="186"/>
      <c r="Q23" s="1130"/>
      <c r="R23" s="1130"/>
      <c r="S23" s="1130"/>
      <c r="T23" s="1140"/>
      <c r="V23" s="180"/>
      <c r="Z23" s="179"/>
      <c r="AD23" s="314"/>
      <c r="AH23" s="179"/>
      <c r="AL23" s="314"/>
      <c r="AP23" s="179"/>
      <c r="AT23" s="314"/>
      <c r="AX23" s="179"/>
      <c r="BB23" s="314"/>
      <c r="BF23" s="179"/>
      <c r="BJ23" s="314"/>
      <c r="BN23" s="179"/>
      <c r="BR23" s="314"/>
      <c r="BV23" s="179"/>
      <c r="BZ23" s="314"/>
      <c r="CD23" s="179"/>
      <c r="CH23" s="314"/>
    </row>
    <row r="24" spans="1:90" x14ac:dyDescent="0.2">
      <c r="A24" s="4" t="s">
        <v>1001</v>
      </c>
      <c r="R24" s="4">
        <v>-9</v>
      </c>
      <c r="S24" s="4">
        <v>-21</v>
      </c>
      <c r="T24" s="4">
        <v>-233</v>
      </c>
      <c r="U24" s="4">
        <v>-86</v>
      </c>
      <c r="V24" s="180">
        <v>40</v>
      </c>
      <c r="Z24" s="179"/>
      <c r="AA24" s="4">
        <v>-7</v>
      </c>
      <c r="AB24" s="4">
        <f>AD24-AA24</f>
        <v>-6</v>
      </c>
      <c r="AD24" s="314">
        <v>-13</v>
      </c>
      <c r="AH24" s="179"/>
      <c r="AI24" s="4">
        <v>-12</v>
      </c>
      <c r="AJ24" s="4">
        <f>AL24-AI24</f>
        <v>77</v>
      </c>
      <c r="AL24" s="314">
        <v>65</v>
      </c>
      <c r="AP24" s="179"/>
      <c r="AQ24" s="4">
        <v>-8</v>
      </c>
      <c r="AR24" s="4">
        <f>AT24-AQ24</f>
        <v>-160</v>
      </c>
      <c r="AT24" s="314">
        <v>-168</v>
      </c>
      <c r="AX24" s="179"/>
      <c r="AY24" s="4">
        <v>-50</v>
      </c>
      <c r="AZ24" s="11">
        <f>BB24-AY24</f>
        <v>0</v>
      </c>
      <c r="BB24" s="605">
        <v>-50</v>
      </c>
      <c r="BF24" s="179"/>
      <c r="BG24" s="571">
        <v>0</v>
      </c>
      <c r="BH24" s="11">
        <f>BJ24-BG24</f>
        <v>0</v>
      </c>
      <c r="BJ24" s="605">
        <v>0</v>
      </c>
      <c r="BN24" s="179"/>
      <c r="BO24" s="571">
        <v>0</v>
      </c>
      <c r="BP24" s="11">
        <f>BR24-BO24</f>
        <v>0</v>
      </c>
      <c r="BR24" s="605">
        <v>0</v>
      </c>
      <c r="BV24" s="179"/>
      <c r="BW24" s="571">
        <v>0</v>
      </c>
      <c r="BX24" s="11">
        <f>BZ24-BW24</f>
        <v>0</v>
      </c>
      <c r="BZ24" s="605">
        <v>0</v>
      </c>
      <c r="CD24" s="179"/>
      <c r="CE24" s="571">
        <v>0</v>
      </c>
      <c r="CF24" s="11">
        <f>CH24-CE24</f>
        <v>0</v>
      </c>
      <c r="CH24" s="605">
        <v>0</v>
      </c>
    </row>
    <row r="25" spans="1:90" x14ac:dyDescent="0.2">
      <c r="A25" s="186" t="s">
        <v>468</v>
      </c>
      <c r="Q25" s="186"/>
      <c r="R25" s="186">
        <f>R21+R24</f>
        <v>983</v>
      </c>
      <c r="S25" s="186">
        <f>S21+S24</f>
        <v>1188</v>
      </c>
      <c r="T25" s="186">
        <f>T21+T24</f>
        <v>454</v>
      </c>
      <c r="U25" s="186">
        <f>U21+U24</f>
        <v>564</v>
      </c>
      <c r="V25" s="284">
        <f>V21+V24</f>
        <v>914</v>
      </c>
      <c r="W25" s="186"/>
      <c r="X25" s="186"/>
      <c r="Y25" s="186"/>
      <c r="Z25" s="283"/>
      <c r="AA25" s="186">
        <f>AA21+AA24</f>
        <v>459</v>
      </c>
      <c r="AB25" s="186">
        <f>AB21+AB24</f>
        <v>520</v>
      </c>
      <c r="AC25" s="186"/>
      <c r="AD25" s="341">
        <f>AD21+AD24</f>
        <v>979</v>
      </c>
      <c r="AE25" s="186"/>
      <c r="AF25" s="186"/>
      <c r="AG25" s="186"/>
      <c r="AH25" s="283"/>
      <c r="AI25" s="186">
        <f>AI21+AI24</f>
        <v>645</v>
      </c>
      <c r="AJ25" s="186">
        <f>AJ21+AJ24</f>
        <v>718</v>
      </c>
      <c r="AK25" s="186"/>
      <c r="AL25" s="341">
        <f>AL21+AL24</f>
        <v>1363</v>
      </c>
      <c r="AM25" s="186"/>
      <c r="AN25" s="186"/>
      <c r="AO25" s="186"/>
      <c r="AP25" s="283"/>
      <c r="AQ25" s="186">
        <f>AQ21+AQ24</f>
        <v>695</v>
      </c>
      <c r="AR25" s="186">
        <f>AR21+AR24</f>
        <v>702</v>
      </c>
      <c r="AS25" s="186"/>
      <c r="AT25" s="341">
        <f>AT21+AT24</f>
        <v>1397</v>
      </c>
      <c r="AU25" s="186"/>
      <c r="AV25" s="186"/>
      <c r="AW25" s="186"/>
      <c r="AX25" s="283"/>
      <c r="AY25" s="186">
        <f>AY21+AY24</f>
        <v>857</v>
      </c>
      <c r="AZ25" s="285">
        <f>AZ21+AZ24</f>
        <v>1073.2121744310227</v>
      </c>
      <c r="BA25" s="186"/>
      <c r="BB25" s="301">
        <f>BB21+BB24</f>
        <v>1930.2121744310227</v>
      </c>
      <c r="BC25" s="186"/>
      <c r="BD25" s="186"/>
      <c r="BE25" s="186"/>
      <c r="BF25" s="283"/>
      <c r="BG25" s="285">
        <f>BG21+BG24</f>
        <v>1088.0926017877739</v>
      </c>
      <c r="BH25" s="285">
        <f>BH21+BH24</f>
        <v>1215.2794893527177</v>
      </c>
      <c r="BI25" s="186"/>
      <c r="BJ25" s="301">
        <f>BJ21+BJ24</f>
        <v>2303.3720911404916</v>
      </c>
      <c r="BK25" s="186"/>
      <c r="BL25" s="186"/>
      <c r="BM25" s="186"/>
      <c r="BN25" s="283"/>
      <c r="BO25" s="285">
        <f>BO21+BO24</f>
        <v>1223.0677404223595</v>
      </c>
      <c r="BP25" s="285">
        <f>BP21+BP24</f>
        <v>1366.7185510259949</v>
      </c>
      <c r="BQ25" s="186"/>
      <c r="BR25" s="301">
        <f>BR21+BR24</f>
        <v>2589.7862914483544</v>
      </c>
      <c r="BS25" s="186"/>
      <c r="BT25" s="186"/>
      <c r="BU25" s="186"/>
      <c r="BV25" s="283"/>
      <c r="BW25" s="285">
        <f>BW21+BW24</f>
        <v>1318.7430562794914</v>
      </c>
      <c r="BX25" s="285">
        <f>BX21+BX24</f>
        <v>1474.3734075550308</v>
      </c>
      <c r="BY25" s="186"/>
      <c r="BZ25" s="301">
        <f>BZ21+BZ24</f>
        <v>2793.1164638345222</v>
      </c>
      <c r="CA25" s="186"/>
      <c r="CB25" s="186"/>
      <c r="CC25" s="186"/>
      <c r="CD25" s="283"/>
      <c r="CE25" s="285">
        <f>CE21+CE24</f>
        <v>1377.7610602658424</v>
      </c>
      <c r="CF25" s="285">
        <f>CF21+CF24</f>
        <v>1541.1524790286198</v>
      </c>
      <c r="CG25" s="186"/>
      <c r="CH25" s="301">
        <f>CH21+CH24</f>
        <v>2918.9135392944622</v>
      </c>
    </row>
    <row r="26" spans="1:90" x14ac:dyDescent="0.2">
      <c r="A26" s="186"/>
      <c r="Q26" s="186"/>
      <c r="R26" s="186"/>
      <c r="S26" s="186"/>
      <c r="V26" s="180"/>
      <c r="Z26" s="179"/>
      <c r="AD26" s="314"/>
      <c r="AH26" s="179"/>
      <c r="AL26" s="314"/>
      <c r="AP26" s="179"/>
      <c r="AT26" s="314"/>
      <c r="AX26" s="179"/>
      <c r="BB26" s="314"/>
      <c r="BF26" s="179"/>
      <c r="BJ26" s="314"/>
      <c r="BN26" s="179"/>
      <c r="BR26" s="314"/>
      <c r="BV26" s="179"/>
      <c r="BZ26" s="314"/>
      <c r="CD26" s="179"/>
      <c r="CH26" s="314"/>
    </row>
    <row r="27" spans="1:90" ht="11.25" customHeight="1" x14ac:dyDescent="0.2">
      <c r="A27" s="4" t="s">
        <v>388</v>
      </c>
      <c r="R27" s="4">
        <f>Divisional!R108</f>
        <v>316</v>
      </c>
      <c r="S27" s="4">
        <f>Divisional!S108</f>
        <v>391</v>
      </c>
      <c r="T27" s="4">
        <f>Divisional!T108</f>
        <v>332</v>
      </c>
      <c r="U27" s="4">
        <f>Divisional!U108</f>
        <v>400</v>
      </c>
      <c r="V27" s="180">
        <f>Divisional!V108</f>
        <v>344</v>
      </c>
      <c r="Z27" s="179"/>
      <c r="AA27" s="4">
        <f>AA28*AA15</f>
        <v>205</v>
      </c>
      <c r="AB27" s="4">
        <f>AD27-AA27</f>
        <v>238</v>
      </c>
      <c r="AD27" s="314">
        <f>Divisional!W108</f>
        <v>443</v>
      </c>
      <c r="AH27" s="179"/>
      <c r="AI27" s="4">
        <f>AI28*AI15</f>
        <v>258.5</v>
      </c>
      <c r="AJ27" s="4">
        <f>AL27-AI27</f>
        <v>194.5</v>
      </c>
      <c r="AL27" s="314">
        <f>Divisional!X108</f>
        <v>453</v>
      </c>
      <c r="AP27" s="179"/>
      <c r="AQ27" s="4">
        <f>AQ28*AQ15</f>
        <v>280.45</v>
      </c>
      <c r="AR27" s="4">
        <f>AT27-AQ27</f>
        <v>174.55</v>
      </c>
      <c r="AT27" s="314">
        <f>Divisional!Y108</f>
        <v>455</v>
      </c>
      <c r="AX27" s="179"/>
      <c r="AY27" s="4">
        <f>AY28*AY15</f>
        <v>242.58500000000004</v>
      </c>
      <c r="AZ27" s="11">
        <f>BB27-AY27</f>
        <v>270.80334151915395</v>
      </c>
      <c r="BB27" s="603">
        <f>BB28*BB15</f>
        <v>513.38834151915398</v>
      </c>
      <c r="BF27" s="179"/>
      <c r="BG27" s="11">
        <f>BG28*BG15</f>
        <v>262.64304181084202</v>
      </c>
      <c r="BH27" s="11">
        <f>BJ27-BG27</f>
        <v>293.34332501617331</v>
      </c>
      <c r="BJ27" s="603">
        <f>BJ28*BJ15</f>
        <v>555.98636682701533</v>
      </c>
      <c r="BN27" s="179"/>
      <c r="BO27" s="11">
        <f>BO28*BO15</f>
        <v>285.3824727652173</v>
      </c>
      <c r="BP27" s="11">
        <f>BR27-BO27</f>
        <v>318.90099523939881</v>
      </c>
      <c r="BR27" s="603">
        <f>BR28*BR15</f>
        <v>604.28346800461611</v>
      </c>
      <c r="BV27" s="179"/>
      <c r="BW27" s="11">
        <f>BW28*BW15</f>
        <v>307.70671313188137</v>
      </c>
      <c r="BX27" s="11">
        <f>BZ27-BW27</f>
        <v>344.02046176284063</v>
      </c>
      <c r="BZ27" s="603">
        <f>BZ28*BZ15</f>
        <v>651.727174894722</v>
      </c>
      <c r="CD27" s="179"/>
      <c r="CE27" s="11">
        <f>CE28*CE15</f>
        <v>321.47758072869658</v>
      </c>
      <c r="CF27" s="11">
        <f>CH27-CE27</f>
        <v>359.60224510667797</v>
      </c>
      <c r="CH27" s="603">
        <f>CH28*CH15</f>
        <v>681.07982583537455</v>
      </c>
    </row>
    <row r="28" spans="1:90" ht="11.25" customHeight="1" x14ac:dyDescent="0.25">
      <c r="A28" s="4" t="s">
        <v>1002</v>
      </c>
      <c r="Q28" s="30"/>
      <c r="R28" s="21">
        <f>R27/R15</f>
        <v>3.9788466381264168E-2</v>
      </c>
      <c r="S28" s="21">
        <f>S27/S15</f>
        <v>4.2242869490060501E-2</v>
      </c>
      <c r="T28" s="21">
        <f>T27/T15</f>
        <v>4.8164804874510372E-2</v>
      </c>
      <c r="U28" s="21">
        <f>U27/U15</f>
        <v>6.3241106719367585E-2</v>
      </c>
      <c r="V28" s="1431">
        <f>V27/V15</f>
        <v>4.5653616456536164E-2</v>
      </c>
      <c r="W28" s="24"/>
      <c r="X28" s="24"/>
      <c r="Y28" s="24"/>
      <c r="Z28" s="1432"/>
      <c r="AA28" s="24">
        <v>0.05</v>
      </c>
      <c r="AB28" s="101">
        <f>AB27/AB15</f>
        <v>5.0263991552270328E-2</v>
      </c>
      <c r="AC28" s="24"/>
      <c r="AD28" s="1433">
        <f>AD27/AD15</f>
        <v>5.0141482739105826E-2</v>
      </c>
      <c r="AE28" s="28"/>
      <c r="AF28" s="28"/>
      <c r="AG28" s="28"/>
      <c r="AH28" s="1141"/>
      <c r="AI28" s="151">
        <v>0.05</v>
      </c>
      <c r="AJ28" s="101">
        <f>AJ27/AJ15</f>
        <v>3.5701174743024963E-2</v>
      </c>
      <c r="AK28" s="28"/>
      <c r="AL28" s="1433">
        <f>AL27/AL15</f>
        <v>4.2663401770578264E-2</v>
      </c>
      <c r="AM28" s="28"/>
      <c r="AN28" s="28"/>
      <c r="AO28" s="28"/>
      <c r="AP28" s="1141"/>
      <c r="AQ28" s="151">
        <v>0.05</v>
      </c>
      <c r="AR28" s="101">
        <f>AR27/AR15</f>
        <v>2.6079486030180787E-2</v>
      </c>
      <c r="AS28" s="28"/>
      <c r="AT28" s="1433">
        <f>AT27/AT15</f>
        <v>3.6985855958380748E-2</v>
      </c>
      <c r="AU28" s="28"/>
      <c r="AV28" s="28"/>
      <c r="AW28" s="28"/>
      <c r="AX28" s="1141"/>
      <c r="AY28" s="151">
        <v>3.5000000000000003E-2</v>
      </c>
      <c r="AZ28" s="22">
        <f>AZ27/AZ15</f>
        <v>3.4999999999999996E-2</v>
      </c>
      <c r="BA28" s="28"/>
      <c r="BB28" s="1134">
        <v>3.5000000000000003E-2</v>
      </c>
      <c r="BC28" s="28"/>
      <c r="BD28" s="28"/>
      <c r="BE28" s="28"/>
      <c r="BF28" s="1141"/>
      <c r="BG28" s="155">
        <f>BJ28</f>
        <v>3.5000000000000003E-2</v>
      </c>
      <c r="BH28" s="22">
        <f>BH27/BH15</f>
        <v>3.500000000000001E-2</v>
      </c>
      <c r="BI28" s="28"/>
      <c r="BJ28" s="1134">
        <v>3.5000000000000003E-2</v>
      </c>
      <c r="BK28" s="28"/>
      <c r="BL28" s="28"/>
      <c r="BM28" s="28"/>
      <c r="BN28" s="1141"/>
      <c r="BO28" s="155">
        <f>BR28</f>
        <v>3.5000000000000003E-2</v>
      </c>
      <c r="BP28" s="155">
        <f>BP27/BP12</f>
        <v>4252.0132698586513</v>
      </c>
      <c r="BQ28" s="28"/>
      <c r="BR28" s="1136">
        <f>BJ28</f>
        <v>3.5000000000000003E-2</v>
      </c>
      <c r="BS28" s="1716"/>
      <c r="BT28" s="1716"/>
      <c r="BU28" s="1716"/>
      <c r="BV28" s="1717"/>
      <c r="BW28" s="155">
        <f>BZ28</f>
        <v>3.5000000000000003E-2</v>
      </c>
      <c r="BX28" s="155">
        <f>BX27/BX12</f>
        <v>4586.9394901712085</v>
      </c>
      <c r="BY28" s="1716"/>
      <c r="BZ28" s="1136">
        <f>BR28</f>
        <v>3.5000000000000003E-2</v>
      </c>
      <c r="CA28" s="1716"/>
      <c r="CB28" s="1716"/>
      <c r="CC28" s="1716"/>
      <c r="CD28" s="1717"/>
      <c r="CE28" s="155">
        <f>CH28</f>
        <v>3.5000000000000003E-2</v>
      </c>
      <c r="CF28" s="155">
        <f>CF27/CF12</f>
        <v>4794.6966014223735</v>
      </c>
      <c r="CG28" s="1716"/>
      <c r="CH28" s="1136">
        <f>BZ28</f>
        <v>3.5000000000000003E-2</v>
      </c>
    </row>
    <row r="29" spans="1:90" x14ac:dyDescent="0.2">
      <c r="V29" s="180"/>
      <c r="Z29" s="179"/>
      <c r="AD29" s="314"/>
      <c r="AH29" s="179"/>
      <c r="AL29" s="314"/>
      <c r="AP29" s="179"/>
      <c r="AT29" s="314"/>
      <c r="AX29" s="179"/>
      <c r="BB29" s="314"/>
      <c r="BF29" s="179"/>
      <c r="BJ29" s="314"/>
      <c r="BN29" s="179"/>
      <c r="BR29" s="314"/>
      <c r="BV29" s="179"/>
      <c r="BZ29" s="314"/>
      <c r="CD29" s="179"/>
      <c r="CH29" s="314"/>
    </row>
    <row r="30" spans="1:90" ht="11.25" customHeight="1" x14ac:dyDescent="0.2">
      <c r="A30" s="4" t="s">
        <v>1003</v>
      </c>
      <c r="R30" s="4">
        <f>Divisional!R97</f>
        <v>286</v>
      </c>
      <c r="S30" s="4">
        <f>Divisional!S97</f>
        <v>292</v>
      </c>
      <c r="T30" s="4">
        <f>Divisional!T97</f>
        <v>167</v>
      </c>
      <c r="U30" s="4">
        <f>Divisional!U97</f>
        <v>163</v>
      </c>
      <c r="V30" s="180">
        <f>Divisional!V97</f>
        <v>190</v>
      </c>
      <c r="Z30" s="179"/>
      <c r="AA30" s="4">
        <f>AA31*AA15</f>
        <v>99.332656318003771</v>
      </c>
      <c r="AB30" s="4">
        <f>AD30-AA30</f>
        <v>227.66734368199621</v>
      </c>
      <c r="AD30" s="314">
        <f>Divisional!W97</f>
        <v>327</v>
      </c>
      <c r="AH30" s="179"/>
      <c r="AI30" s="4">
        <f>AI31*AI15</f>
        <v>155.1</v>
      </c>
      <c r="AJ30" s="4">
        <f>AL30-AI30</f>
        <v>229.9</v>
      </c>
      <c r="AL30" s="314">
        <f>Divisional!X97</f>
        <v>385</v>
      </c>
      <c r="AP30" s="179"/>
      <c r="AQ30" s="4">
        <f>AQ31*AQ15</f>
        <v>196.31500000000003</v>
      </c>
      <c r="AR30" s="4">
        <f>AT30-AQ30</f>
        <v>239.68499999999997</v>
      </c>
      <c r="AT30" s="314">
        <f>Divisional!Y97</f>
        <v>436</v>
      </c>
      <c r="AX30" s="179"/>
      <c r="AY30" s="4">
        <f>AY31*AY15</f>
        <v>242.58500000000004</v>
      </c>
      <c r="AZ30" s="11">
        <f>BB30-AY30</f>
        <v>270.80334151915395</v>
      </c>
      <c r="BB30" s="603">
        <f>BB31*BB15</f>
        <v>513.38834151915398</v>
      </c>
      <c r="BF30" s="179"/>
      <c r="BG30" s="11">
        <f>BG31*BG15</f>
        <v>262.64304181084202</v>
      </c>
      <c r="BH30" s="11">
        <f>BJ30-BG30</f>
        <v>293.34332501617331</v>
      </c>
      <c r="BJ30" s="603">
        <f>BJ31*BJ15</f>
        <v>555.98636682701533</v>
      </c>
      <c r="BN30" s="179"/>
      <c r="BO30" s="11">
        <f>BO31*BO15</f>
        <v>285.3824727652173</v>
      </c>
      <c r="BP30" s="11">
        <f>BR30-BO30</f>
        <v>318.90099523939881</v>
      </c>
      <c r="BR30" s="603">
        <f>BR31*BR15</f>
        <v>604.28346800461611</v>
      </c>
      <c r="BV30" s="179"/>
      <c r="BW30" s="11">
        <f>BW31*BW15</f>
        <v>307.70671313188137</v>
      </c>
      <c r="BX30" s="11">
        <f>BZ30-BW30</f>
        <v>344.02046176284063</v>
      </c>
      <c r="BZ30" s="603">
        <f>BZ31*BZ15</f>
        <v>651.727174894722</v>
      </c>
      <c r="CD30" s="179"/>
      <c r="CE30" s="11">
        <f>CE31*CE15</f>
        <v>321.47758072869658</v>
      </c>
      <c r="CF30" s="11">
        <f>CH30-CE30</f>
        <v>359.60224510667797</v>
      </c>
      <c r="CH30" s="603">
        <f>CH31*CH15</f>
        <v>681.07982583537455</v>
      </c>
    </row>
    <row r="31" spans="1:90" ht="11.25" customHeight="1" x14ac:dyDescent="0.25">
      <c r="A31" s="4" t="s">
        <v>1002</v>
      </c>
      <c r="R31" s="21">
        <f>R30/R15</f>
        <v>3.6011080332409975E-2</v>
      </c>
      <c r="S31" s="21">
        <f>S30/S15</f>
        <v>3.1547104580812446E-2</v>
      </c>
      <c r="T31" s="21">
        <f>T30/T15</f>
        <v>2.4227477150732629E-2</v>
      </c>
      <c r="U31" s="24">
        <f t="shared" ref="U31:AD31" si="15">U30/U15</f>
        <v>2.5770750988142292E-2</v>
      </c>
      <c r="V31" s="1431">
        <f t="shared" si="15"/>
        <v>2.5215660252156602E-2</v>
      </c>
      <c r="W31" s="24">
        <f t="shared" si="15"/>
        <v>0</v>
      </c>
      <c r="X31" s="24">
        <f t="shared" si="15"/>
        <v>0</v>
      </c>
      <c r="Y31" s="24">
        <f t="shared" si="15"/>
        <v>0</v>
      </c>
      <c r="Z31" s="1432">
        <f t="shared" si="15"/>
        <v>0</v>
      </c>
      <c r="AA31" s="24">
        <v>2.4227477150732629E-2</v>
      </c>
      <c r="AB31" s="151">
        <f t="shared" si="15"/>
        <v>4.8081804367897829E-2</v>
      </c>
      <c r="AC31" s="24">
        <f t="shared" si="15"/>
        <v>0</v>
      </c>
      <c r="AD31" s="1415">
        <f t="shared" si="15"/>
        <v>3.7011884550084889E-2</v>
      </c>
      <c r="AE31" s="28"/>
      <c r="AF31" s="28"/>
      <c r="AG31" s="28"/>
      <c r="AH31" s="1141"/>
      <c r="AI31" s="151">
        <v>0.03</v>
      </c>
      <c r="AJ31" s="151">
        <f>AJ30/AJ15</f>
        <v>4.2198972099853155E-2</v>
      </c>
      <c r="AK31" s="28"/>
      <c r="AL31" s="1415">
        <f>AL30/AL15</f>
        <v>3.6259182520248637E-2</v>
      </c>
      <c r="AM31" s="28"/>
      <c r="AN31" s="28"/>
      <c r="AO31" s="28"/>
      <c r="AP31" s="1141"/>
      <c r="AQ31" s="151">
        <v>3.5000000000000003E-2</v>
      </c>
      <c r="AR31" s="151">
        <f>AR30/AR15</f>
        <v>3.5811295383236214E-2</v>
      </c>
      <c r="AS31" s="28"/>
      <c r="AT31" s="1415">
        <f>AT30/AT15</f>
        <v>3.5441391643635183E-2</v>
      </c>
      <c r="AU31" s="28"/>
      <c r="AV31" s="28"/>
      <c r="AW31" s="28"/>
      <c r="AX31" s="1141"/>
      <c r="AY31" s="151">
        <v>3.5000000000000003E-2</v>
      </c>
      <c r="AZ31" s="155">
        <f>AZ30/AZ15</f>
        <v>3.4999999999999996E-2</v>
      </c>
      <c r="BA31" s="28"/>
      <c r="BB31" s="1134">
        <v>3.5000000000000003E-2</v>
      </c>
      <c r="BC31" s="28"/>
      <c r="BD31" s="28"/>
      <c r="BE31" s="28"/>
      <c r="BF31" s="1141"/>
      <c r="BG31" s="155">
        <f>BJ31</f>
        <v>3.5000000000000003E-2</v>
      </c>
      <c r="BH31" s="155">
        <f>BH30/BH15</f>
        <v>3.500000000000001E-2</v>
      </c>
      <c r="BI31" s="28"/>
      <c r="BJ31" s="1134">
        <v>3.5000000000000003E-2</v>
      </c>
      <c r="BK31" s="28"/>
      <c r="BL31" s="28"/>
      <c r="BM31" s="28"/>
      <c r="BN31" s="1141"/>
      <c r="BO31" s="155">
        <f>BR31</f>
        <v>3.5000000000000003E-2</v>
      </c>
      <c r="BP31" s="155">
        <f>BP30/BP15</f>
        <v>3.5000000000000003E-2</v>
      </c>
      <c r="BQ31" s="28"/>
      <c r="BR31" s="1136">
        <f>BJ31</f>
        <v>3.5000000000000003E-2</v>
      </c>
      <c r="BS31" s="1716"/>
      <c r="BT31" s="1716"/>
      <c r="BU31" s="1716"/>
      <c r="BV31" s="1717"/>
      <c r="BW31" s="155">
        <f>BZ31</f>
        <v>3.5000000000000003E-2</v>
      </c>
      <c r="BX31" s="155">
        <f>BX30/BX15</f>
        <v>3.5000000000000003E-2</v>
      </c>
      <c r="BY31" s="1716"/>
      <c r="BZ31" s="1136">
        <f>BR31</f>
        <v>3.5000000000000003E-2</v>
      </c>
      <c r="CA31" s="1716"/>
      <c r="CB31" s="1716"/>
      <c r="CC31" s="1716"/>
      <c r="CD31" s="1717"/>
      <c r="CE31" s="155">
        <f>CH31</f>
        <v>3.5000000000000003E-2</v>
      </c>
      <c r="CF31" s="155">
        <f>CF30/CF15</f>
        <v>3.4999999999999996E-2</v>
      </c>
      <c r="CG31" s="1716"/>
      <c r="CH31" s="1136">
        <f>BZ31</f>
        <v>3.5000000000000003E-2</v>
      </c>
    </row>
    <row r="32" spans="1:90" ht="12" x14ac:dyDescent="0.2">
      <c r="A32" s="186"/>
      <c r="U32" s="1142"/>
      <c r="V32" s="1143"/>
      <c r="W32" s="1142"/>
      <c r="X32" s="1142"/>
      <c r="Y32" s="1142"/>
      <c r="Z32" s="1144"/>
      <c r="AA32" s="1142"/>
      <c r="AB32" s="1142"/>
      <c r="AC32" s="1142"/>
      <c r="AD32" s="1145"/>
      <c r="AE32" s="1142"/>
      <c r="AF32" s="1142"/>
      <c r="AG32" s="1142"/>
      <c r="AH32" s="1144"/>
      <c r="AI32" s="1142"/>
      <c r="AJ32" s="1142"/>
      <c r="AK32" s="1142"/>
      <c r="AL32" s="1145"/>
      <c r="AM32" s="1142"/>
      <c r="AN32" s="1142"/>
      <c r="AO32" s="1142"/>
      <c r="AP32" s="1144"/>
      <c r="AQ32" s="1142"/>
      <c r="AR32" s="1142"/>
      <c r="AS32" s="1142"/>
      <c r="AT32" s="1145"/>
      <c r="AU32" s="1142"/>
      <c r="AV32" s="1142"/>
      <c r="AW32" s="1142"/>
      <c r="AX32" s="1144"/>
      <c r="AY32" s="1142"/>
      <c r="AZ32" s="1142"/>
      <c r="BA32" s="1142"/>
      <c r="BB32" s="1145"/>
      <c r="BC32" s="1142"/>
      <c r="BD32" s="1142"/>
      <c r="BE32" s="1142"/>
      <c r="BF32" s="1144"/>
      <c r="BG32" s="1142"/>
      <c r="BH32" s="1142"/>
      <c r="BI32" s="1142"/>
      <c r="BJ32" s="1145"/>
      <c r="BK32" s="1142"/>
      <c r="BL32" s="1142"/>
      <c r="BM32" s="1142"/>
      <c r="BN32" s="1144"/>
      <c r="BO32" s="1142"/>
      <c r="BP32" s="1142"/>
      <c r="BQ32" s="1142"/>
      <c r="BR32" s="1145"/>
      <c r="BS32" s="1142"/>
      <c r="BT32" s="1142"/>
      <c r="BU32" s="1142"/>
      <c r="BV32" s="1144"/>
      <c r="BW32" s="1142"/>
      <c r="BX32" s="1142"/>
      <c r="BY32" s="1142"/>
      <c r="BZ32" s="1145"/>
      <c r="CA32" s="1142"/>
      <c r="CB32" s="1142"/>
      <c r="CC32" s="1142"/>
      <c r="CD32" s="1144"/>
      <c r="CE32" s="1142"/>
      <c r="CF32" s="1142"/>
      <c r="CG32" s="1142"/>
      <c r="CH32" s="1145"/>
    </row>
    <row r="33" spans="1:87" ht="11.25" customHeight="1" x14ac:dyDescent="0.2">
      <c r="A33" s="186" t="s">
        <v>112</v>
      </c>
      <c r="Q33" s="186"/>
      <c r="R33" s="186">
        <f>Divisional!R125</f>
        <v>406</v>
      </c>
      <c r="S33" s="186">
        <f>Divisional!S125</f>
        <v>706</v>
      </c>
      <c r="T33" s="186">
        <f>Divisional!T125</f>
        <v>811</v>
      </c>
      <c r="U33" s="186">
        <f>Divisional!U125</f>
        <v>692</v>
      </c>
      <c r="V33" s="284">
        <f>Divisional!V125</f>
        <v>607</v>
      </c>
      <c r="W33" s="186"/>
      <c r="X33" s="186"/>
      <c r="Y33" s="186"/>
      <c r="Z33" s="283"/>
      <c r="AA33" s="186">
        <v>-42</v>
      </c>
      <c r="AB33" s="186">
        <f>AD33-AA33</f>
        <v>580</v>
      </c>
      <c r="AC33" s="186"/>
      <c r="AD33" s="341">
        <f>Divisional!W125</f>
        <v>538</v>
      </c>
      <c r="AE33" s="186"/>
      <c r="AF33" s="186"/>
      <c r="AG33" s="186"/>
      <c r="AH33" s="283"/>
      <c r="AI33" s="186">
        <v>105</v>
      </c>
      <c r="AJ33" s="186">
        <f>AL33-AI33</f>
        <v>464</v>
      </c>
      <c r="AK33" s="186"/>
      <c r="AL33" s="341">
        <f>Divisional!X125</f>
        <v>569</v>
      </c>
      <c r="AM33" s="186"/>
      <c r="AN33" s="186"/>
      <c r="AO33" s="186"/>
      <c r="AP33" s="283"/>
      <c r="AQ33" s="186">
        <v>214</v>
      </c>
      <c r="AR33" s="186">
        <f>AT33-AQ33</f>
        <v>879</v>
      </c>
      <c r="AS33" s="186"/>
      <c r="AT33" s="341">
        <f>Divisional!Y125</f>
        <v>1093</v>
      </c>
      <c r="AU33" s="186"/>
      <c r="AV33" s="186"/>
      <c r="AW33" s="186"/>
      <c r="AX33" s="283"/>
      <c r="AY33" s="186">
        <v>217</v>
      </c>
      <c r="AZ33" s="186"/>
      <c r="BA33" s="186"/>
      <c r="BB33" s="1145"/>
      <c r="BC33" s="186"/>
      <c r="BD33" s="186"/>
      <c r="BE33" s="186"/>
      <c r="BF33" s="283"/>
      <c r="BG33" s="186"/>
      <c r="BH33" s="186"/>
      <c r="BI33" s="186"/>
      <c r="BJ33" s="1145"/>
      <c r="BK33" s="186"/>
      <c r="BL33" s="186"/>
      <c r="BM33" s="186"/>
      <c r="BN33" s="283"/>
      <c r="BO33" s="186"/>
      <c r="BP33" s="186"/>
      <c r="BQ33" s="186"/>
      <c r="BR33" s="1145"/>
      <c r="BS33" s="186"/>
      <c r="BT33" s="186"/>
      <c r="BU33" s="186"/>
      <c r="BV33" s="283"/>
      <c r="BW33" s="186"/>
      <c r="BX33" s="186"/>
      <c r="BY33" s="186"/>
      <c r="BZ33" s="1145"/>
      <c r="CA33" s="186"/>
      <c r="CB33" s="186"/>
      <c r="CC33" s="186"/>
      <c r="CD33" s="283"/>
      <c r="CE33" s="186"/>
      <c r="CF33" s="186"/>
      <c r="CG33" s="186"/>
      <c r="CH33" s="1145"/>
    </row>
    <row r="34" spans="1:87" ht="11.25" customHeight="1" x14ac:dyDescent="0.25">
      <c r="A34" s="4" t="s">
        <v>1004</v>
      </c>
      <c r="Q34" s="30"/>
      <c r="R34" s="21">
        <f>R33/R21</f>
        <v>0.40927419354838712</v>
      </c>
      <c r="S34" s="21">
        <f>S33/S21</f>
        <v>0.58395368072787424</v>
      </c>
      <c r="T34" s="21">
        <f>T33/T21</f>
        <v>1.180494905385735</v>
      </c>
      <c r="U34" s="21">
        <f>U33/U21</f>
        <v>1.0646153846153845</v>
      </c>
      <c r="V34" s="1431">
        <f>V33/V21</f>
        <v>0.69450800915331812</v>
      </c>
      <c r="W34" s="24"/>
      <c r="X34" s="24"/>
      <c r="Y34" s="24"/>
      <c r="Z34" s="1432"/>
      <c r="AA34" s="24">
        <f>AA33/AA21</f>
        <v>-9.012875536480687E-2</v>
      </c>
      <c r="AB34" s="24">
        <f>AB33/AB21</f>
        <v>1.102661596958175</v>
      </c>
      <c r="AC34" s="24"/>
      <c r="AD34" s="1433">
        <f>AD33/AD21</f>
        <v>0.54233870967741937</v>
      </c>
      <c r="AE34" s="28"/>
      <c r="AF34" s="28"/>
      <c r="AG34" s="28"/>
      <c r="AH34" s="1141"/>
      <c r="AI34" s="24">
        <f>AI33/AI21</f>
        <v>0.15981735159817351</v>
      </c>
      <c r="AJ34" s="24">
        <f>AJ33/AJ21</f>
        <v>0.72386895475819035</v>
      </c>
      <c r="AK34" s="24"/>
      <c r="AL34" s="1433">
        <f>AL33/AL21</f>
        <v>0.43836671802773497</v>
      </c>
      <c r="AM34" s="28"/>
      <c r="AN34" s="28"/>
      <c r="AO34" s="28"/>
      <c r="AP34" s="1141"/>
      <c r="AQ34" s="24">
        <f>AQ33/AQ21</f>
        <v>0.30440967283072545</v>
      </c>
      <c r="AR34" s="24">
        <f>AR33/AR21</f>
        <v>1.0197215777262181</v>
      </c>
      <c r="AS34" s="24"/>
      <c r="AT34" s="1433">
        <f>AT33/AT21</f>
        <v>0.69840255591054312</v>
      </c>
      <c r="AU34" s="28"/>
      <c r="AV34" s="28"/>
      <c r="AW34" s="28"/>
      <c r="AX34" s="1141"/>
      <c r="AY34" s="24">
        <f>AY33/AY21</f>
        <v>0.23925027563395809</v>
      </c>
      <c r="AZ34" s="28"/>
      <c r="BA34" s="28"/>
      <c r="BB34" s="1145"/>
      <c r="BC34" s="28"/>
      <c r="BD34" s="28"/>
      <c r="BE34" s="28"/>
      <c r="BF34" s="1141"/>
      <c r="BG34" s="28"/>
      <c r="BH34" s="28"/>
      <c r="BI34" s="28"/>
      <c r="BJ34" s="1145"/>
      <c r="BK34" s="28"/>
      <c r="BL34" s="28"/>
      <c r="BM34" s="28"/>
      <c r="BN34" s="1141"/>
      <c r="BO34" s="28"/>
      <c r="BP34" s="28"/>
      <c r="BQ34" s="28"/>
      <c r="BR34" s="1145"/>
      <c r="BS34" s="28"/>
      <c r="BT34" s="28"/>
      <c r="BU34" s="28"/>
      <c r="BV34" s="1141"/>
      <c r="BW34" s="28"/>
      <c r="BX34" s="28"/>
      <c r="BY34" s="28"/>
      <c r="BZ34" s="1145"/>
      <c r="CA34" s="28"/>
      <c r="CB34" s="28"/>
      <c r="CC34" s="28"/>
      <c r="CD34" s="1141"/>
      <c r="CE34" s="28"/>
      <c r="CF34" s="28"/>
      <c r="CG34" s="28"/>
      <c r="CH34" s="1145"/>
    </row>
    <row r="35" spans="1:87" ht="11.25" customHeight="1" x14ac:dyDescent="0.25">
      <c r="Q35" s="23"/>
      <c r="R35" s="23"/>
      <c r="S35" s="23"/>
      <c r="T35" s="1142"/>
      <c r="U35" s="1142"/>
      <c r="V35" s="1143"/>
      <c r="W35" s="1142"/>
      <c r="X35" s="1142"/>
      <c r="Y35" s="1142"/>
      <c r="Z35" s="1144"/>
      <c r="AA35" s="1142"/>
      <c r="AB35" s="1142"/>
      <c r="AC35" s="1142"/>
      <c r="AD35" s="1145"/>
      <c r="AE35" s="1142"/>
      <c r="AF35" s="1142"/>
      <c r="AG35" s="1142"/>
      <c r="AH35" s="1144"/>
      <c r="AI35" s="1142"/>
      <c r="AJ35" s="1142"/>
      <c r="AK35" s="1142"/>
      <c r="AL35" s="1145"/>
      <c r="AM35" s="1142"/>
      <c r="AN35" s="1142"/>
      <c r="AO35" s="1142"/>
      <c r="AP35" s="1144"/>
      <c r="AQ35" s="1142"/>
      <c r="AR35" s="1142"/>
      <c r="AS35" s="1142"/>
      <c r="AT35" s="1145"/>
      <c r="AU35" s="1142"/>
      <c r="AV35" s="1142"/>
      <c r="AW35" s="1142"/>
      <c r="AX35" s="1144"/>
      <c r="AY35" s="1142"/>
      <c r="AZ35" s="1142"/>
      <c r="BA35" s="1142"/>
      <c r="BB35" s="1145"/>
      <c r="BC35" s="1142"/>
      <c r="BD35" s="1142"/>
      <c r="BE35" s="1142"/>
      <c r="BF35" s="1144"/>
      <c r="BG35" s="1142"/>
      <c r="BH35" s="1142"/>
      <c r="BI35" s="1142"/>
      <c r="BJ35" s="1145"/>
      <c r="BK35" s="1142"/>
      <c r="BL35" s="1142"/>
      <c r="BM35" s="1142"/>
      <c r="BN35" s="1144"/>
      <c r="BO35" s="1142"/>
      <c r="BP35" s="1142"/>
      <c r="BQ35" s="1142"/>
      <c r="BR35" s="1145"/>
      <c r="BS35" s="1142"/>
      <c r="BT35" s="1142"/>
      <c r="BU35" s="1142"/>
      <c r="BV35" s="1144"/>
      <c r="BW35" s="1142"/>
      <c r="BX35" s="1142"/>
      <c r="BY35" s="1142"/>
      <c r="BZ35" s="1145"/>
      <c r="CA35" s="1142"/>
      <c r="CB35" s="1142"/>
      <c r="CC35" s="1142"/>
      <c r="CD35" s="1144"/>
      <c r="CE35" s="1142"/>
      <c r="CF35" s="1142"/>
      <c r="CG35" s="1142"/>
      <c r="CH35" s="1145"/>
    </row>
    <row r="36" spans="1:87" ht="11.25" customHeight="1" x14ac:dyDescent="0.25">
      <c r="A36" s="219" t="s">
        <v>377</v>
      </c>
      <c r="Q36" s="23"/>
      <c r="R36" s="23"/>
      <c r="S36" s="23"/>
      <c r="T36" s="1142"/>
      <c r="U36" s="1142"/>
      <c r="V36" s="1143"/>
      <c r="W36" s="1142"/>
      <c r="X36" s="1142"/>
      <c r="Y36" s="1142"/>
      <c r="Z36" s="1144"/>
      <c r="AA36" s="1142"/>
      <c r="AB36" s="1142"/>
      <c r="AC36" s="1142"/>
      <c r="AD36" s="1145"/>
      <c r="AE36" s="1142"/>
      <c r="AF36" s="1142"/>
      <c r="AG36" s="1142"/>
      <c r="AH36" s="1144"/>
      <c r="AI36" s="1142"/>
      <c r="AJ36" s="1142"/>
      <c r="AK36" s="1142"/>
      <c r="AL36" s="1145"/>
      <c r="AM36" s="1142"/>
      <c r="AN36" s="1142"/>
      <c r="AO36" s="1142"/>
      <c r="AP36" s="1144"/>
      <c r="AQ36" s="1142"/>
      <c r="AR36" s="1142"/>
      <c r="AS36" s="1142"/>
      <c r="AT36" s="1145"/>
      <c r="AU36" s="1142"/>
      <c r="AV36" s="1142"/>
      <c r="AW36" s="1142"/>
      <c r="AX36" s="1144"/>
      <c r="AY36" s="1142"/>
      <c r="AZ36" s="1142"/>
      <c r="BA36" s="1142"/>
      <c r="BB36" s="1145"/>
      <c r="BC36" s="1142"/>
      <c r="BD36" s="1142"/>
      <c r="BE36" s="1142"/>
      <c r="BF36" s="1144"/>
      <c r="BG36" s="1142"/>
      <c r="BH36" s="1142"/>
      <c r="BI36" s="1142"/>
      <c r="BJ36" s="1145"/>
      <c r="BK36" s="1142"/>
      <c r="BL36" s="1142"/>
      <c r="BM36" s="1142"/>
      <c r="BN36" s="1144"/>
      <c r="BO36" s="1142"/>
      <c r="BP36" s="1142"/>
      <c r="BQ36" s="1142"/>
      <c r="BR36" s="1145"/>
      <c r="BS36" s="1142"/>
      <c r="BT36" s="1142"/>
      <c r="BU36" s="1142"/>
      <c r="BV36" s="1144"/>
      <c r="BW36" s="1142"/>
      <c r="BX36" s="1142"/>
      <c r="BY36" s="1142"/>
      <c r="BZ36" s="1145"/>
      <c r="CA36" s="1142"/>
      <c r="CB36" s="1142"/>
      <c r="CC36" s="1142"/>
      <c r="CD36" s="1144"/>
      <c r="CE36" s="1142"/>
      <c r="CF36" s="1142"/>
      <c r="CG36" s="1142"/>
      <c r="CH36" s="1145"/>
    </row>
    <row r="37" spans="1:87" ht="11.25" customHeight="1" x14ac:dyDescent="0.2">
      <c r="A37" s="4" t="s">
        <v>1005</v>
      </c>
      <c r="R37" s="4">
        <f>Divisional!R66</f>
        <v>502</v>
      </c>
      <c r="S37" s="4">
        <f>Divisional!S66</f>
        <v>527</v>
      </c>
      <c r="T37" s="4">
        <f>Divisional!T66</f>
        <v>357</v>
      </c>
      <c r="U37" s="4">
        <f>Divisional!U66</f>
        <v>379</v>
      </c>
      <c r="V37" s="180">
        <f>Divisional!V66</f>
        <v>425</v>
      </c>
      <c r="Z37" s="179"/>
      <c r="AA37" s="4">
        <v>253</v>
      </c>
      <c r="AB37" s="4">
        <f>AD37-AA37</f>
        <v>231</v>
      </c>
      <c r="AD37" s="314">
        <f>Divisional!W66</f>
        <v>484</v>
      </c>
      <c r="AH37" s="179"/>
      <c r="AI37" s="4">
        <v>251</v>
      </c>
      <c r="AJ37" s="4">
        <f>AL37-AI37</f>
        <v>260</v>
      </c>
      <c r="AL37" s="314">
        <f>Divisional!X66</f>
        <v>511</v>
      </c>
      <c r="AP37" s="179"/>
      <c r="AQ37" s="4">
        <v>268</v>
      </c>
      <c r="AR37" s="4">
        <f>AT37-AQ37</f>
        <v>301</v>
      </c>
      <c r="AT37" s="314">
        <f>Divisional!Y66</f>
        <v>569</v>
      </c>
      <c r="AX37" s="179"/>
      <c r="AY37" s="4">
        <v>311</v>
      </c>
      <c r="AZ37" s="11">
        <f>BB37-AY37</f>
        <v>422.41191645593426</v>
      </c>
      <c r="BB37" s="603">
        <f>BB38*BB15</f>
        <v>733.41191645593426</v>
      </c>
      <c r="BF37" s="179"/>
      <c r="BG37" s="11">
        <f>BG38*BG15</f>
        <v>375.20434544406004</v>
      </c>
      <c r="BH37" s="11">
        <f>BJ37-BG37</f>
        <v>419.06189288024751</v>
      </c>
      <c r="BJ37" s="603">
        <f>BJ38*BJ15</f>
        <v>794.26623832430755</v>
      </c>
      <c r="BN37" s="179"/>
      <c r="BO37" s="11">
        <f>BO38*BO15</f>
        <v>407.68924680745323</v>
      </c>
      <c r="BP37" s="11">
        <f>BR37-BO37</f>
        <v>455.57285034199828</v>
      </c>
      <c r="BR37" s="603">
        <f>BR38*BR15</f>
        <v>863.26209714945151</v>
      </c>
      <c r="BV37" s="179"/>
      <c r="BW37" s="11">
        <f>BW38*BW15</f>
        <v>439.5810187598305</v>
      </c>
      <c r="BX37" s="11">
        <f>BZ37-BW37</f>
        <v>491.45780251834367</v>
      </c>
      <c r="BZ37" s="603">
        <f>BZ38*BZ15</f>
        <v>931.03882127817417</v>
      </c>
      <c r="CD37" s="179"/>
      <c r="CE37" s="11">
        <f>CE38*CE15</f>
        <v>459.2536867552808</v>
      </c>
      <c r="CF37" s="11">
        <f>CH37-CE37</f>
        <v>513.71749300954002</v>
      </c>
      <c r="CH37" s="603">
        <f>CH38*CH15</f>
        <v>972.97117976482082</v>
      </c>
    </row>
    <row r="38" spans="1:87" ht="11.25" customHeight="1" x14ac:dyDescent="0.25">
      <c r="A38" s="4" t="s">
        <v>1002</v>
      </c>
      <c r="Q38" s="30"/>
      <c r="R38" s="21">
        <f>R37/R15</f>
        <v>6.3208259884160164E-2</v>
      </c>
      <c r="S38" s="21">
        <f>S37/S15</f>
        <v>5.6936041486603285E-2</v>
      </c>
      <c r="T38" s="21">
        <f>T37/T15</f>
        <v>5.1791672711446392E-2</v>
      </c>
      <c r="U38" s="21">
        <f>U37/U15</f>
        <v>5.9920948616600793E-2</v>
      </c>
      <c r="V38" s="1431">
        <f>V37/V15</f>
        <v>5.6403450564034507E-2</v>
      </c>
      <c r="W38" s="24"/>
      <c r="X38" s="24"/>
      <c r="Y38" s="24"/>
      <c r="Z38" s="1432"/>
      <c r="AA38" s="24">
        <f>AA37/AA15</f>
        <v>6.1707317073170731E-2</v>
      </c>
      <c r="AB38" s="151">
        <f>AB37/AB15</f>
        <v>4.8785638859556495E-2</v>
      </c>
      <c r="AC38" s="24"/>
      <c r="AD38" s="1433">
        <f>AD37/AD15</f>
        <v>5.4782116581777021E-2</v>
      </c>
      <c r="AE38" s="28"/>
      <c r="AF38" s="28"/>
      <c r="AG38" s="28"/>
      <c r="AH38" s="1141"/>
      <c r="AI38" s="24">
        <f>AI37/AI15</f>
        <v>4.8549323017408122E-2</v>
      </c>
      <c r="AJ38" s="151">
        <f>AJ37/AJ15</f>
        <v>4.772393538913363E-2</v>
      </c>
      <c r="AK38" s="28"/>
      <c r="AL38" s="1433">
        <f>AL37/AL15</f>
        <v>4.8125824072330008E-2</v>
      </c>
      <c r="AM38" s="28"/>
      <c r="AN38" s="28"/>
      <c r="AO38" s="28"/>
      <c r="AP38" s="1141"/>
      <c r="AQ38" s="24">
        <f>AQ37/AQ15</f>
        <v>4.7780353004100551E-2</v>
      </c>
      <c r="AR38" s="151">
        <f>AR37/AR15</f>
        <v>4.4972359181234128E-2</v>
      </c>
      <c r="AS38" s="28"/>
      <c r="AT38" s="1433">
        <f>AT37/AT15</f>
        <v>4.6252641846854167E-2</v>
      </c>
      <c r="AU38" s="28"/>
      <c r="AV38" s="28"/>
      <c r="AW38" s="28"/>
      <c r="AX38" s="1141"/>
      <c r="AY38" s="24">
        <f>AY37/AY15</f>
        <v>4.4870870004328378E-2</v>
      </c>
      <c r="AZ38" s="155">
        <f>AZ37/AZ15</f>
        <v>5.4594662654530036E-2</v>
      </c>
      <c r="BA38" s="28"/>
      <c r="BB38" s="1134">
        <v>0.05</v>
      </c>
      <c r="BC38" s="28"/>
      <c r="BD38" s="28"/>
      <c r="BE38" s="28"/>
      <c r="BF38" s="1141"/>
      <c r="BG38" s="155">
        <f>BJ38</f>
        <v>0.05</v>
      </c>
      <c r="BH38" s="155">
        <f>BH37/BH15</f>
        <v>5.000000000000001E-2</v>
      </c>
      <c r="BI38" s="28"/>
      <c r="BJ38" s="1134">
        <v>0.05</v>
      </c>
      <c r="BK38" s="28"/>
      <c r="BL38" s="28"/>
      <c r="BM38" s="28"/>
      <c r="BN38" s="1141"/>
      <c r="BO38" s="155">
        <f>BR38</f>
        <v>0.05</v>
      </c>
      <c r="BP38" s="155">
        <f>BP37/BP15</f>
        <v>0.05</v>
      </c>
      <c r="BQ38" s="28"/>
      <c r="BR38" s="1136">
        <f>BJ38</f>
        <v>0.05</v>
      </c>
      <c r="BS38" s="28"/>
      <c r="BT38" s="28"/>
      <c r="BU38" s="28"/>
      <c r="BV38" s="1141"/>
      <c r="BW38" s="155">
        <f>BZ38</f>
        <v>0.05</v>
      </c>
      <c r="BX38" s="155">
        <f>BX37/BX15</f>
        <v>0.05</v>
      </c>
      <c r="BY38" s="28"/>
      <c r="BZ38" s="1136">
        <f>BR38</f>
        <v>0.05</v>
      </c>
      <c r="CA38" s="28"/>
      <c r="CB38" s="28"/>
      <c r="CC38" s="28"/>
      <c r="CD38" s="1141"/>
      <c r="CE38" s="155">
        <f>CH38</f>
        <v>0.05</v>
      </c>
      <c r="CF38" s="155">
        <f>CF37/CF15</f>
        <v>0.05</v>
      </c>
      <c r="CG38" s="28"/>
      <c r="CH38" s="1136">
        <f>BZ38</f>
        <v>0.05</v>
      </c>
    </row>
    <row r="39" spans="1:87" ht="11.25" customHeight="1" x14ac:dyDescent="0.2">
      <c r="A39" s="4" t="s">
        <v>1006</v>
      </c>
      <c r="R39" s="4">
        <f>Divisional!R77</f>
        <v>172</v>
      </c>
      <c r="S39" s="4">
        <f>Divisional!S77</f>
        <v>161</v>
      </c>
      <c r="T39" s="4">
        <f>Divisional!T77</f>
        <v>124</v>
      </c>
      <c r="U39" s="4">
        <f>Divisional!U77</f>
        <v>127</v>
      </c>
      <c r="V39" s="180">
        <f>Divisional!V77</f>
        <v>126</v>
      </c>
      <c r="Z39" s="179"/>
      <c r="AA39" s="4">
        <v>70</v>
      </c>
      <c r="AB39" s="4">
        <f>AD39-AA39</f>
        <v>79</v>
      </c>
      <c r="AD39" s="314">
        <f>Divisional!W77</f>
        <v>149</v>
      </c>
      <c r="AH39" s="179"/>
      <c r="AI39" s="4">
        <v>58</v>
      </c>
      <c r="AJ39" s="4">
        <f>AL39-AI39</f>
        <v>63</v>
      </c>
      <c r="AL39" s="314">
        <f>Divisional!X77</f>
        <v>121</v>
      </c>
      <c r="AP39" s="179"/>
      <c r="AQ39" s="4">
        <v>69</v>
      </c>
      <c r="AR39" s="4">
        <f>AT39-AQ39</f>
        <v>85</v>
      </c>
      <c r="AT39" s="314">
        <f>Divisional!Y77</f>
        <v>154</v>
      </c>
      <c r="AX39" s="179"/>
      <c r="AY39" s="4">
        <v>93</v>
      </c>
      <c r="AZ39" s="11">
        <f>BB39-AY39</f>
        <v>127.02357493678028</v>
      </c>
      <c r="BB39" s="603">
        <f>BB40*BB37</f>
        <v>220.02357493678028</v>
      </c>
      <c r="BF39" s="179"/>
      <c r="BG39" s="11">
        <f>BG40*BG37</f>
        <v>112.561303633218</v>
      </c>
      <c r="BH39" s="11">
        <f>BJ39-BG39</f>
        <v>125.71856786407425</v>
      </c>
      <c r="BJ39" s="603">
        <f>BJ40*BJ37</f>
        <v>238.27987149729225</v>
      </c>
      <c r="BN39" s="179"/>
      <c r="BO39" s="11">
        <f>BO40*BO37</f>
        <v>122.30677404223596</v>
      </c>
      <c r="BP39" s="11">
        <f>BR39-BO39</f>
        <v>136.67185510259949</v>
      </c>
      <c r="BR39" s="603">
        <f>BR40*BR37</f>
        <v>258.97862914483545</v>
      </c>
      <c r="BV39" s="179"/>
      <c r="BW39" s="11">
        <f>BW40*BW37</f>
        <v>131.87430562794916</v>
      </c>
      <c r="BX39" s="11">
        <f>BZ39-BW39</f>
        <v>147.43734075550307</v>
      </c>
      <c r="BZ39" s="603">
        <f>BZ40*BZ37</f>
        <v>279.31164638345223</v>
      </c>
      <c r="CD39" s="179"/>
      <c r="CE39" s="11">
        <f>CE40*CE37</f>
        <v>137.77610602658424</v>
      </c>
      <c r="CF39" s="11">
        <f>CH39-CE39</f>
        <v>154.11524790286197</v>
      </c>
      <c r="CH39" s="603">
        <f>CH40*CH37</f>
        <v>291.89135392944621</v>
      </c>
    </row>
    <row r="40" spans="1:87" ht="11.25" customHeight="1" x14ac:dyDescent="0.25">
      <c r="A40" s="4" t="s">
        <v>1007</v>
      </c>
      <c r="Q40" s="23"/>
      <c r="R40" s="31">
        <f>R39/R37</f>
        <v>0.34262948207171312</v>
      </c>
      <c r="S40" s="31">
        <f>S39/S37</f>
        <v>0.30550284629981023</v>
      </c>
      <c r="T40" s="31">
        <f>T39/T37</f>
        <v>0.34733893557422968</v>
      </c>
      <c r="U40" s="31">
        <f>U39/U37</f>
        <v>0.33509234828496043</v>
      </c>
      <c r="V40" s="1384">
        <f>V39/V37</f>
        <v>0.2964705882352941</v>
      </c>
      <c r="W40" s="32"/>
      <c r="X40" s="32"/>
      <c r="Y40" s="32"/>
      <c r="Z40" s="1385"/>
      <c r="AA40" s="32">
        <f>AA39/AA37</f>
        <v>0.27667984189723321</v>
      </c>
      <c r="AB40" s="103">
        <f>AB39/AB37</f>
        <v>0.34199134199134201</v>
      </c>
      <c r="AC40" s="32"/>
      <c r="AD40" s="1435">
        <f>AD39/AD37</f>
        <v>0.30785123966942146</v>
      </c>
      <c r="AE40" s="474"/>
      <c r="AF40" s="474"/>
      <c r="AG40" s="474"/>
      <c r="AH40" s="825"/>
      <c r="AI40" s="32">
        <f>AI39/AI37</f>
        <v>0.23107569721115537</v>
      </c>
      <c r="AJ40" s="103">
        <f>AJ39/AJ37</f>
        <v>0.24230769230769231</v>
      </c>
      <c r="AK40" s="474"/>
      <c r="AL40" s="1435">
        <f>AL39/AL37</f>
        <v>0.23679060665362034</v>
      </c>
      <c r="AM40" s="474"/>
      <c r="AN40" s="474"/>
      <c r="AO40" s="474"/>
      <c r="AP40" s="825"/>
      <c r="AQ40" s="32">
        <f>AQ39/AQ37</f>
        <v>0.2574626865671642</v>
      </c>
      <c r="AR40" s="103">
        <f>AR39/AR37</f>
        <v>0.28239202657807311</v>
      </c>
      <c r="AS40" s="474"/>
      <c r="AT40" s="1435">
        <f>AT39/AT37</f>
        <v>0.27065026362038663</v>
      </c>
      <c r="AU40" s="474"/>
      <c r="AV40" s="474"/>
      <c r="AW40" s="474"/>
      <c r="AX40" s="825"/>
      <c r="AY40" s="32">
        <f>AY39/AY37</f>
        <v>0.29903536977491962</v>
      </c>
      <c r="AZ40" s="519">
        <f>AZ39/AZ37</f>
        <v>0.3007102072368531</v>
      </c>
      <c r="BA40" s="474"/>
      <c r="BB40" s="882">
        <v>0.3</v>
      </c>
      <c r="BC40" s="474"/>
      <c r="BD40" s="474"/>
      <c r="BE40" s="474"/>
      <c r="BF40" s="825"/>
      <c r="BG40" s="461">
        <f>BJ40</f>
        <v>0.3</v>
      </c>
      <c r="BH40" s="519">
        <f>BH39/BH37</f>
        <v>0.3</v>
      </c>
      <c r="BI40" s="474"/>
      <c r="BJ40" s="882">
        <v>0.3</v>
      </c>
      <c r="BK40" s="474"/>
      <c r="BL40" s="474"/>
      <c r="BM40" s="474"/>
      <c r="BN40" s="825"/>
      <c r="BO40" s="461">
        <f>BR40</f>
        <v>0.3</v>
      </c>
      <c r="BP40" s="519">
        <f>BP39/BP37</f>
        <v>0.30000000000000004</v>
      </c>
      <c r="BQ40" s="474"/>
      <c r="BR40" s="867">
        <f>BJ40</f>
        <v>0.3</v>
      </c>
      <c r="BS40" s="474"/>
      <c r="BT40" s="474"/>
      <c r="BU40" s="474"/>
      <c r="BV40" s="825"/>
      <c r="BW40" s="461">
        <f>BZ40</f>
        <v>0.3</v>
      </c>
      <c r="BX40" s="519">
        <f>BX39/BX37</f>
        <v>0.29999999999999993</v>
      </c>
      <c r="BY40" s="474"/>
      <c r="BZ40" s="867">
        <f>BR40</f>
        <v>0.3</v>
      </c>
      <c r="CA40" s="474"/>
      <c r="CB40" s="474"/>
      <c r="CC40" s="474"/>
      <c r="CD40" s="825"/>
      <c r="CE40" s="461">
        <f>CH40</f>
        <v>0.3</v>
      </c>
      <c r="CF40" s="519">
        <f>CF39/CF37</f>
        <v>0.29999999999999993</v>
      </c>
      <c r="CG40" s="474"/>
      <c r="CH40" s="867">
        <f>BZ40</f>
        <v>0.3</v>
      </c>
    </row>
    <row r="41" spans="1:87" ht="11.25" customHeight="1" x14ac:dyDescent="0.25">
      <c r="R41" s="23"/>
      <c r="S41" s="23"/>
      <c r="V41" s="180"/>
      <c r="Z41" s="179"/>
      <c r="AD41" s="314"/>
      <c r="AH41" s="179"/>
      <c r="AL41" s="314"/>
      <c r="AP41" s="179"/>
      <c r="AT41" s="314"/>
      <c r="AX41" s="179"/>
      <c r="BB41" s="314"/>
      <c r="BF41" s="179"/>
      <c r="BJ41" s="314"/>
      <c r="BN41" s="179"/>
      <c r="BR41" s="314"/>
      <c r="BV41" s="179"/>
      <c r="BZ41" s="314"/>
      <c r="CD41" s="179"/>
      <c r="CH41" s="314"/>
    </row>
    <row r="42" spans="1:87" ht="11.25" customHeight="1" x14ac:dyDescent="0.2">
      <c r="A42" s="4" t="s">
        <v>1008</v>
      </c>
      <c r="S42" s="15">
        <f>Propulsion!U264</f>
        <v>1.153</v>
      </c>
      <c r="T42" s="15">
        <f>Propulsion!V264</f>
        <v>1.1509999999999998</v>
      </c>
      <c r="U42" s="15">
        <f>Propulsion!W264</f>
        <v>1.169</v>
      </c>
      <c r="V42" s="326">
        <f>Propulsion!X264</f>
        <v>1.105</v>
      </c>
      <c r="W42" s="15"/>
      <c r="X42" s="15"/>
      <c r="Y42" s="15"/>
      <c r="Z42" s="325"/>
      <c r="AA42" s="15">
        <f>Propulsion!AC264</f>
        <v>1.1074999999999999</v>
      </c>
      <c r="AB42" s="15">
        <f>Propulsion!AD264</f>
        <v>1.1074999999999999</v>
      </c>
      <c r="AC42" s="15"/>
      <c r="AD42" s="1366">
        <f>Propulsion!AF264</f>
        <v>1.1074999999999999</v>
      </c>
      <c r="AE42" s="15"/>
      <c r="AF42" s="15"/>
      <c r="AG42" s="15"/>
      <c r="AH42" s="325"/>
      <c r="AI42" s="15">
        <f>Propulsion!AK264</f>
        <v>1.1020000000000001</v>
      </c>
      <c r="AJ42" s="15">
        <f>Propulsion!AL264</f>
        <v>1.1020000000000001</v>
      </c>
      <c r="AK42" s="15"/>
      <c r="AL42" s="1366">
        <f>Propulsion!AN264</f>
        <v>1.1020000000000001</v>
      </c>
      <c r="AM42" s="15"/>
      <c r="AN42" s="15"/>
      <c r="AO42" s="15"/>
      <c r="AP42" s="325"/>
      <c r="AQ42" s="15">
        <f>Propulsion!AS264</f>
        <v>1.1065</v>
      </c>
      <c r="AR42" s="15">
        <f>Propulsion!AT264</f>
        <v>1.1425000000000001</v>
      </c>
      <c r="AS42" s="15"/>
      <c r="AT42" s="1366">
        <f>Propulsion!AV264</f>
        <v>1.1245000000000001</v>
      </c>
      <c r="AU42" s="15"/>
      <c r="AV42" s="15"/>
      <c r="AW42" s="15"/>
      <c r="AX42" s="325"/>
      <c r="AY42" s="15">
        <f>Propulsion!BA264</f>
        <v>1.1425000000000001</v>
      </c>
      <c r="AZ42" s="16">
        <f>Propulsion!BB264</f>
        <v>1.1419607843137256</v>
      </c>
      <c r="BA42" s="15"/>
      <c r="BB42" s="335">
        <f>Propulsion!AV264</f>
        <v>1.1245000000000001</v>
      </c>
      <c r="BC42" s="15"/>
      <c r="BD42" s="15"/>
      <c r="BE42" s="15"/>
      <c r="BF42" s="325"/>
      <c r="BG42" s="16">
        <f>Propulsion!BI264</f>
        <v>1.1504531722054381</v>
      </c>
      <c r="BH42" s="16">
        <f>Propulsion!BJ264</f>
        <v>1.1504531722054374</v>
      </c>
      <c r="BI42" s="15"/>
      <c r="BJ42" s="335">
        <f>Propulsion!BD264</f>
        <v>1.1419607843137254</v>
      </c>
      <c r="BK42" s="15"/>
      <c r="BL42" s="15"/>
      <c r="BM42" s="15"/>
      <c r="BN42" s="325"/>
      <c r="BO42" s="16">
        <f>Propulsion!BQ264</f>
        <v>1.1546391752577321</v>
      </c>
      <c r="BP42" s="16">
        <f>Propulsion!BR264</f>
        <v>1.1546391752577319</v>
      </c>
      <c r="BQ42" s="15"/>
      <c r="BR42" s="335">
        <f>Propulsion!BL264</f>
        <v>1.1504531722054381</v>
      </c>
      <c r="BS42" s="15"/>
      <c r="BT42" s="15"/>
      <c r="BU42" s="15"/>
      <c r="BV42" s="325"/>
      <c r="BW42" s="16">
        <f>Propulsion!BY264</f>
        <v>1.1688003391267485</v>
      </c>
      <c r="BX42" s="16">
        <f>Propulsion!BZ264</f>
        <v>1.1688003391267483</v>
      </c>
      <c r="BY42" s="15"/>
      <c r="BZ42" s="335">
        <f>Propulsion!BT264</f>
        <v>1.1546391752577321</v>
      </c>
      <c r="CA42" s="15"/>
      <c r="CB42" s="15"/>
      <c r="CC42" s="15"/>
      <c r="CD42" s="325"/>
      <c r="CE42" s="16">
        <f>Propulsion!CG264</f>
        <v>1.2248056435358479</v>
      </c>
      <c r="CF42" s="16">
        <f>Propulsion!CH264</f>
        <v>1.2248056435358483</v>
      </c>
      <c r="CG42" s="15"/>
      <c r="CH42" s="335">
        <f>Propulsion!CB264</f>
        <v>1.1688003391267485</v>
      </c>
      <c r="CI42" s="15"/>
    </row>
    <row r="43" spans="1:87" ht="11.25" customHeight="1" x14ac:dyDescent="0.25">
      <c r="A43" s="4" t="str">
        <f>Interiors!A42</f>
        <v>FX tailwind / (headwind)</v>
      </c>
      <c r="T43" s="24">
        <f>(1/T42)/(1/S42)-1</f>
        <v>1.7376194613381024E-3</v>
      </c>
      <c r="U43" s="24">
        <f>(1/U42)/(1/T42)-1</f>
        <v>-1.5397775876817898E-2</v>
      </c>
      <c r="V43" s="1431">
        <f>(1/V42)/(1/U42)-1</f>
        <v>5.7918552036199111E-2</v>
      </c>
      <c r="W43" s="28"/>
      <c r="X43" s="28"/>
      <c r="Y43" s="28"/>
      <c r="Z43" s="1141"/>
      <c r="AA43" s="28"/>
      <c r="AB43" s="1436"/>
      <c r="AC43" s="1436"/>
      <c r="AD43" s="1415">
        <f>(1/AD42)/(1/V42)-1</f>
        <v>-2.2573363431149795E-3</v>
      </c>
      <c r="AE43" s="28"/>
      <c r="AF43" s="28"/>
      <c r="AG43" s="28"/>
      <c r="AH43" s="1141"/>
      <c r="AI43" s="151">
        <f>(1/AI42)/(1/AA42)-1</f>
        <v>4.9909255898366034E-3</v>
      </c>
      <c r="AJ43" s="151">
        <f>(1/AJ42)/(1/AB42)-1</f>
        <v>4.9909255898366034E-3</v>
      </c>
      <c r="AK43" s="28"/>
      <c r="AL43" s="1415">
        <f>(1/AL42)/(1/AD42)-1</f>
        <v>4.9909255898366034E-3</v>
      </c>
      <c r="AM43" s="28"/>
      <c r="AN43" s="28"/>
      <c r="AO43" s="28"/>
      <c r="AP43" s="1141"/>
      <c r="AQ43" s="151">
        <f>(1/AQ42)/(1/AI42)-1</f>
        <v>-4.0668775417984637E-3</v>
      </c>
      <c r="AR43" s="151">
        <f>(1/AR42)/(1/AJ42)-1</f>
        <v>-3.5448577680525117E-2</v>
      </c>
      <c r="AS43" s="28"/>
      <c r="AT43" s="1415">
        <f>(1/AT42)/(1/AL42)-1</f>
        <v>-2.0008892841262838E-2</v>
      </c>
      <c r="AU43" s="28"/>
      <c r="AV43" s="28"/>
      <c r="AW43" s="28"/>
      <c r="AX43" s="1141"/>
      <c r="AY43" s="151">
        <f>(1/AY42)/(1/AQ42)-1</f>
        <v>-3.1509846827133425E-2</v>
      </c>
      <c r="AZ43" s="155">
        <f>(1/AZ42)/(1/AR42)-1</f>
        <v>4.7218406593385609E-4</v>
      </c>
      <c r="BA43" s="28"/>
      <c r="BB43" s="1136">
        <f>(1/BB42)/(1/AT42)-1</f>
        <v>0</v>
      </c>
      <c r="BC43" s="28"/>
      <c r="BD43" s="28"/>
      <c r="BE43" s="28"/>
      <c r="BF43" s="1141"/>
      <c r="BG43" s="155">
        <f>(1/BG42)/(1/AY42)-1</f>
        <v>-6.9130777310923985E-3</v>
      </c>
      <c r="BH43" s="155">
        <f>(1/BH42)/(1/AZ42)-1</f>
        <v>-7.3817762399071007E-3</v>
      </c>
      <c r="BI43" s="28"/>
      <c r="BJ43" s="1136">
        <f>(1/BJ42)/(1/BB42)-1</f>
        <v>-1.5290178571428337E-2</v>
      </c>
      <c r="BK43" s="28"/>
      <c r="BL43" s="28"/>
      <c r="BM43" s="28"/>
      <c r="BN43" s="1141"/>
      <c r="BO43" s="155">
        <f>(1/BO42)/(1/BG42)-1</f>
        <v>-3.6253776435046792E-3</v>
      </c>
      <c r="BP43" s="155">
        <f>(1/BP42)/(1/BH42)-1</f>
        <v>-3.6253776435050122E-3</v>
      </c>
      <c r="BQ43" s="28"/>
      <c r="BR43" s="1136">
        <f>(1/BR42)/(1/BJ42)-1</f>
        <v>-7.3817762399078779E-3</v>
      </c>
      <c r="BS43" s="28"/>
      <c r="BT43" s="28"/>
      <c r="BU43" s="28"/>
      <c r="BV43" s="1141"/>
      <c r="BW43" s="155">
        <f>(1/BW42)/(1/BO42)-1</f>
        <v>-1.2115981998770398E-2</v>
      </c>
      <c r="BX43" s="155">
        <f>(1/BX42)/(1/BP42)-1</f>
        <v>-1.2115981998770287E-2</v>
      </c>
      <c r="BY43" s="28"/>
      <c r="BZ43" s="1136">
        <f>(1/BZ42)/(1/BR42)-1</f>
        <v>-3.6253776435046792E-3</v>
      </c>
      <c r="CA43" s="28"/>
      <c r="CB43" s="28"/>
      <c r="CC43" s="28"/>
      <c r="CD43" s="1141"/>
      <c r="CE43" s="155">
        <f>(1/CE42)/(1/BW42)-1</f>
        <v>-4.5725870634805155E-2</v>
      </c>
      <c r="CF43" s="155">
        <f>(1/CF42)/(1/BX42)-1</f>
        <v>-4.5725870634805599E-2</v>
      </c>
      <c r="CG43" s="28"/>
      <c r="CH43" s="1136">
        <f>(1/CH42)/(1/BZ42)-1</f>
        <v>-1.2115981998770398E-2</v>
      </c>
      <c r="CI43" s="82"/>
    </row>
    <row r="44" spans="1:87" ht="11.25" customHeight="1" x14ac:dyDescent="0.2">
      <c r="V44" s="180"/>
      <c r="Z44" s="179"/>
      <c r="AD44" s="314"/>
      <c r="AH44" s="179"/>
      <c r="AL44" s="314"/>
      <c r="AP44" s="179"/>
      <c r="AT44" s="314"/>
      <c r="AX44" s="179"/>
      <c r="BB44" s="314"/>
      <c r="BF44" s="179"/>
      <c r="BJ44" s="314"/>
      <c r="BN44" s="179"/>
      <c r="BR44" s="314"/>
      <c r="BV44" s="179"/>
      <c r="BZ44" s="314"/>
      <c r="CD44" s="179"/>
      <c r="CH44" s="314"/>
    </row>
    <row r="45" spans="1:87" x14ac:dyDescent="0.2">
      <c r="A45" s="219" t="s">
        <v>1009</v>
      </c>
      <c r="V45" s="180"/>
      <c r="Z45" s="179"/>
      <c r="AD45" s="314"/>
      <c r="AH45" s="179"/>
      <c r="AL45" s="314"/>
      <c r="AP45" s="179"/>
      <c r="AT45" s="314"/>
      <c r="AX45" s="179"/>
      <c r="BB45" s="314"/>
      <c r="BF45" s="179"/>
      <c r="BJ45" s="314"/>
      <c r="BN45" s="179"/>
      <c r="BR45" s="314"/>
      <c r="BV45" s="179"/>
      <c r="BZ45" s="314"/>
      <c r="CD45" s="179"/>
      <c r="CH45" s="314"/>
    </row>
    <row r="46" spans="1:87" x14ac:dyDescent="0.2">
      <c r="A46" s="4" t="s">
        <v>363</v>
      </c>
      <c r="N46" s="4">
        <v>65</v>
      </c>
      <c r="O46" s="4">
        <v>235</v>
      </c>
      <c r="P46" s="4">
        <v>235</v>
      </c>
      <c r="Q46" s="4">
        <v>438</v>
      </c>
      <c r="R46" s="4">
        <v>438</v>
      </c>
      <c r="S46" s="4">
        <v>602</v>
      </c>
      <c r="T46" s="4">
        <v>474</v>
      </c>
      <c r="U46" s="4">
        <v>576</v>
      </c>
      <c r="V46" s="180">
        <v>588</v>
      </c>
      <c r="W46" s="4">
        <v>135</v>
      </c>
      <c r="X46" s="4">
        <f>AA46-W46</f>
        <v>140</v>
      </c>
      <c r="Y46" s="4">
        <v>126</v>
      </c>
      <c r="Z46" s="179">
        <f>AB46-Y46</f>
        <v>178</v>
      </c>
      <c r="AA46" s="4">
        <v>275</v>
      </c>
      <c r="AB46" s="4">
        <f>AD46-AA46</f>
        <v>304</v>
      </c>
      <c r="AC46" s="4">
        <f>W46+X46+Y46</f>
        <v>401</v>
      </c>
      <c r="AD46" s="314">
        <v>579</v>
      </c>
      <c r="AE46" s="4">
        <v>135</v>
      </c>
      <c r="AF46" s="4">
        <f t="shared" ref="AF46:AF53" si="16">AI46-AE46</f>
        <v>162</v>
      </c>
      <c r="AG46" s="4">
        <v>159</v>
      </c>
      <c r="AH46" s="179">
        <f>AJ46-AG46</f>
        <v>166</v>
      </c>
      <c r="AI46" s="4">
        <v>297</v>
      </c>
      <c r="AJ46" s="4">
        <f>AL46-AI46</f>
        <v>325</v>
      </c>
      <c r="AK46" s="4">
        <f>AE46+AF46+AG46</f>
        <v>456</v>
      </c>
      <c r="AL46" s="314">
        <v>622</v>
      </c>
      <c r="AM46" s="4">
        <v>155</v>
      </c>
      <c r="AN46" s="4">
        <f t="shared" ref="AN46:AN55" si="17">AQ46-AM46</f>
        <v>152</v>
      </c>
      <c r="AO46" s="4">
        <v>186</v>
      </c>
      <c r="AP46" s="179">
        <f>AR46-AO46</f>
        <v>224</v>
      </c>
      <c r="AQ46" s="4">
        <v>307</v>
      </c>
      <c r="AR46" s="4">
        <f>AT46-AQ46</f>
        <v>410</v>
      </c>
      <c r="AS46" s="4">
        <f>AM46+AN46+AO46</f>
        <v>493</v>
      </c>
      <c r="AT46" s="314">
        <v>717</v>
      </c>
      <c r="AU46" s="4">
        <v>204</v>
      </c>
      <c r="AV46" s="4">
        <f t="shared" ref="AV46:AV55" si="18">AY46-AU46</f>
        <v>197</v>
      </c>
      <c r="AX46" s="179"/>
      <c r="AY46" s="4">
        <v>401</v>
      </c>
      <c r="BB46" s="314"/>
      <c r="BF46" s="179"/>
      <c r="BJ46" s="314"/>
      <c r="BN46" s="179"/>
      <c r="BR46" s="314"/>
      <c r="BV46" s="179"/>
      <c r="BZ46" s="314"/>
      <c r="CD46" s="179"/>
      <c r="CH46" s="314"/>
    </row>
    <row r="47" spans="1:87" x14ac:dyDescent="0.2">
      <c r="A47" s="4" t="s">
        <v>1144</v>
      </c>
      <c r="V47" s="180"/>
      <c r="W47" s="4">
        <v>123</v>
      </c>
      <c r="X47" s="4">
        <f>AA47-W47</f>
        <v>148</v>
      </c>
      <c r="Y47" s="4">
        <v>153</v>
      </c>
      <c r="Z47" s="179">
        <f>AB47-Y47</f>
        <v>157</v>
      </c>
      <c r="AA47" s="4">
        <v>271</v>
      </c>
      <c r="AB47" s="4">
        <f>AD47-AA47</f>
        <v>310</v>
      </c>
      <c r="AC47" s="4">
        <f>W47+X47+Y47</f>
        <v>424</v>
      </c>
      <c r="AD47" s="314">
        <v>581</v>
      </c>
      <c r="AE47" s="4">
        <v>167</v>
      </c>
      <c r="AF47" s="4">
        <f t="shared" si="16"/>
        <v>137</v>
      </c>
      <c r="AG47" s="4">
        <v>142</v>
      </c>
      <c r="AH47" s="179">
        <f>AJ47-AG47</f>
        <v>155</v>
      </c>
      <c r="AI47" s="4">
        <v>304</v>
      </c>
      <c r="AJ47" s="4">
        <f>AL47-AI47</f>
        <v>297</v>
      </c>
      <c r="AK47" s="4">
        <f>AE47+AF47+AG47</f>
        <v>446</v>
      </c>
      <c r="AL47" s="314">
        <v>601</v>
      </c>
      <c r="AM47" s="4">
        <v>171</v>
      </c>
      <c r="AN47" s="4">
        <f t="shared" si="17"/>
        <v>149</v>
      </c>
      <c r="AO47" s="4">
        <v>166</v>
      </c>
      <c r="AP47" s="179">
        <f>AR47-AO47</f>
        <v>171</v>
      </c>
      <c r="AQ47" s="4">
        <v>320</v>
      </c>
      <c r="AR47" s="4">
        <f>AT47-AQ47</f>
        <v>337</v>
      </c>
      <c r="AS47" s="4">
        <f>AM47+AN47+AO47</f>
        <v>486</v>
      </c>
      <c r="AT47" s="314">
        <v>657</v>
      </c>
      <c r="AU47" s="4">
        <v>154</v>
      </c>
      <c r="AV47" s="4">
        <f t="shared" si="18"/>
        <v>161</v>
      </c>
      <c r="AX47" s="179"/>
      <c r="AY47" s="4">
        <v>315</v>
      </c>
      <c r="BB47" s="314"/>
      <c r="BF47" s="179"/>
      <c r="BJ47" s="314"/>
      <c r="BN47" s="179"/>
      <c r="BR47" s="314"/>
      <c r="BV47" s="179"/>
      <c r="BZ47" s="314"/>
      <c r="CD47" s="179"/>
      <c r="CH47" s="314"/>
    </row>
    <row r="48" spans="1:87" x14ac:dyDescent="0.2">
      <c r="A48" s="4" t="s">
        <v>1011</v>
      </c>
      <c r="Q48" s="4">
        <v>3626</v>
      </c>
      <c r="R48" s="4">
        <v>3626</v>
      </c>
      <c r="S48" s="4">
        <v>4921</v>
      </c>
      <c r="T48" s="4">
        <v>2949</v>
      </c>
      <c r="U48" s="4">
        <v>3598</v>
      </c>
      <c r="V48" s="180">
        <v>4454</v>
      </c>
      <c r="W48" s="4">
        <v>779</v>
      </c>
      <c r="X48" s="4">
        <f t="shared" ref="X48:X53" si="19">AA48-W48</f>
        <v>678</v>
      </c>
      <c r="Y48" s="4">
        <v>1165</v>
      </c>
      <c r="Z48" s="179">
        <f t="shared" ref="Z48:Z53" si="20">AB48-Y48</f>
        <v>1328</v>
      </c>
      <c r="AA48" s="4">
        <v>1457</v>
      </c>
      <c r="AB48" s="4">
        <f t="shared" ref="AB48:AB53" si="21">AD48-AA48</f>
        <v>2493</v>
      </c>
      <c r="AC48" s="4">
        <f t="shared" ref="AC48:AC53" si="22">W48+X48+Y48</f>
        <v>2622</v>
      </c>
      <c r="AD48" s="314">
        <v>3950</v>
      </c>
      <c r="AE48" s="4">
        <v>1080</v>
      </c>
      <c r="AF48" s="4">
        <f t="shared" si="16"/>
        <v>882</v>
      </c>
      <c r="AG48" s="4">
        <v>1256</v>
      </c>
      <c r="AH48" s="179">
        <f t="shared" ref="AH48:AH55" si="23">AJ48-AG48</f>
        <v>1223</v>
      </c>
      <c r="AI48" s="4">
        <v>1962</v>
      </c>
      <c r="AJ48" s="4">
        <f t="shared" ref="AJ48:AJ55" si="24">AL48-AI48</f>
        <v>2479</v>
      </c>
      <c r="AK48" s="4">
        <f t="shared" ref="AK48:AK55" si="25">AE48+AF48+AG48</f>
        <v>3218</v>
      </c>
      <c r="AL48" s="314">
        <v>4441</v>
      </c>
      <c r="AM48" s="4">
        <v>1186</v>
      </c>
      <c r="AN48" s="4">
        <f t="shared" si="17"/>
        <v>946</v>
      </c>
      <c r="AO48" s="4">
        <v>1186</v>
      </c>
      <c r="AP48" s="179">
        <f t="shared" ref="AP48:AP55" si="26">AR48-AO48</f>
        <v>1215</v>
      </c>
      <c r="AQ48" s="4">
        <v>2132</v>
      </c>
      <c r="AR48" s="4">
        <f t="shared" ref="AR48:AR55" si="27">AT48-AQ48</f>
        <v>2401</v>
      </c>
      <c r="AS48" s="4">
        <f t="shared" ref="AS48:AS55" si="28">AM48+AN48+AO48</f>
        <v>3318</v>
      </c>
      <c r="AT48" s="314">
        <v>4533</v>
      </c>
      <c r="AU48" s="4">
        <v>1329</v>
      </c>
      <c r="AV48" s="4">
        <f t="shared" si="18"/>
        <v>992</v>
      </c>
      <c r="AX48" s="179"/>
      <c r="AY48" s="4">
        <v>2321</v>
      </c>
      <c r="BB48" s="314"/>
      <c r="BF48" s="179"/>
      <c r="BJ48" s="314"/>
      <c r="BN48" s="179"/>
      <c r="BR48" s="314"/>
      <c r="BV48" s="179"/>
      <c r="BZ48" s="314"/>
      <c r="CD48" s="179"/>
      <c r="CH48" s="314"/>
    </row>
    <row r="49" spans="1:87" x14ac:dyDescent="0.2">
      <c r="A49" s="4" t="s">
        <v>362</v>
      </c>
      <c r="R49" s="4">
        <v>18</v>
      </c>
      <c r="S49" s="4">
        <v>92</v>
      </c>
      <c r="T49" s="4">
        <v>36</v>
      </c>
      <c r="U49" s="4">
        <v>20</v>
      </c>
      <c r="V49" s="180">
        <v>52</v>
      </c>
      <c r="W49" s="4">
        <v>8</v>
      </c>
      <c r="X49" s="4">
        <f t="shared" si="19"/>
        <v>18</v>
      </c>
      <c r="Y49" s="4">
        <v>12</v>
      </c>
      <c r="Z49" s="179">
        <f t="shared" si="20"/>
        <v>16</v>
      </c>
      <c r="AA49" s="4">
        <v>26</v>
      </c>
      <c r="AB49" s="4">
        <f t="shared" si="21"/>
        <v>28</v>
      </c>
      <c r="AC49" s="4">
        <f t="shared" si="22"/>
        <v>38</v>
      </c>
      <c r="AD49" s="314">
        <v>54</v>
      </c>
      <c r="AE49" s="4">
        <v>16</v>
      </c>
      <c r="AF49" s="4">
        <f t="shared" si="16"/>
        <v>13</v>
      </c>
      <c r="AG49" s="4">
        <v>13</v>
      </c>
      <c r="AH49" s="179">
        <f t="shared" si="23"/>
        <v>20</v>
      </c>
      <c r="AI49" s="4">
        <v>29</v>
      </c>
      <c r="AJ49" s="4">
        <f t="shared" si="24"/>
        <v>33</v>
      </c>
      <c r="AK49" s="4">
        <f t="shared" si="25"/>
        <v>42</v>
      </c>
      <c r="AL49" s="314">
        <v>62</v>
      </c>
      <c r="AM49" s="4">
        <v>20</v>
      </c>
      <c r="AN49" s="4">
        <f t="shared" si="17"/>
        <v>16</v>
      </c>
      <c r="AO49" s="4">
        <v>14</v>
      </c>
      <c r="AP49" s="179">
        <f t="shared" si="26"/>
        <v>19</v>
      </c>
      <c r="AQ49" s="4">
        <v>36</v>
      </c>
      <c r="AR49" s="4">
        <f t="shared" si="27"/>
        <v>33</v>
      </c>
      <c r="AS49" s="4">
        <f t="shared" si="28"/>
        <v>50</v>
      </c>
      <c r="AT49" s="314">
        <v>69</v>
      </c>
      <c r="AU49" s="4">
        <v>11</v>
      </c>
      <c r="AV49" s="4">
        <f t="shared" si="18"/>
        <v>19</v>
      </c>
      <c r="AX49" s="179"/>
      <c r="AY49" s="4">
        <v>30</v>
      </c>
      <c r="BB49" s="314"/>
      <c r="BF49" s="179"/>
      <c r="BJ49" s="314"/>
      <c r="BN49" s="179"/>
      <c r="BR49" s="314"/>
      <c r="BV49" s="179"/>
      <c r="BZ49" s="314"/>
      <c r="CD49" s="179"/>
      <c r="CH49" s="314"/>
    </row>
    <row r="50" spans="1:87" x14ac:dyDescent="0.2">
      <c r="A50" s="4" t="s">
        <v>358</v>
      </c>
      <c r="L50" s="4">
        <v>16</v>
      </c>
      <c r="M50" s="4">
        <v>32</v>
      </c>
      <c r="N50" s="4">
        <v>56</v>
      </c>
      <c r="O50" s="4">
        <v>81</v>
      </c>
      <c r="P50" s="4">
        <v>81</v>
      </c>
      <c r="Q50" s="4">
        <v>80</v>
      </c>
      <c r="R50" s="4">
        <v>80</v>
      </c>
      <c r="S50" s="4">
        <v>82</v>
      </c>
      <c r="T50" s="4">
        <v>52</v>
      </c>
      <c r="U50" s="4">
        <v>39</v>
      </c>
      <c r="V50" s="180">
        <v>43</v>
      </c>
      <c r="W50" s="4">
        <v>12</v>
      </c>
      <c r="X50" s="4">
        <f t="shared" si="19"/>
        <v>11</v>
      </c>
      <c r="Y50" s="4">
        <v>11</v>
      </c>
      <c r="Z50" s="179">
        <f t="shared" si="20"/>
        <v>12</v>
      </c>
      <c r="AA50" s="4">
        <v>23</v>
      </c>
      <c r="AB50" s="4">
        <f t="shared" si="21"/>
        <v>23</v>
      </c>
      <c r="AC50" s="4">
        <f t="shared" si="22"/>
        <v>34</v>
      </c>
      <c r="AD50" s="314">
        <v>46</v>
      </c>
      <c r="AE50" s="4">
        <v>15</v>
      </c>
      <c r="AF50" s="4">
        <f t="shared" si="16"/>
        <v>11</v>
      </c>
      <c r="AG50" s="4">
        <v>11</v>
      </c>
      <c r="AH50" s="179">
        <f t="shared" si="23"/>
        <v>11</v>
      </c>
      <c r="AI50" s="4">
        <v>26</v>
      </c>
      <c r="AJ50" s="4">
        <f t="shared" si="24"/>
        <v>22</v>
      </c>
      <c r="AK50" s="4">
        <f t="shared" si="25"/>
        <v>37</v>
      </c>
      <c r="AL50" s="314">
        <v>48</v>
      </c>
      <c r="AM50" s="4">
        <v>13</v>
      </c>
      <c r="AN50" s="4">
        <f t="shared" si="17"/>
        <v>10</v>
      </c>
      <c r="AO50" s="4">
        <v>9</v>
      </c>
      <c r="AP50" s="179">
        <f t="shared" si="26"/>
        <v>10</v>
      </c>
      <c r="AQ50" s="4">
        <v>23</v>
      </c>
      <c r="AR50" s="4">
        <f t="shared" si="27"/>
        <v>19</v>
      </c>
      <c r="AS50" s="4">
        <f t="shared" si="28"/>
        <v>32</v>
      </c>
      <c r="AT50" s="314">
        <v>42</v>
      </c>
      <c r="AU50" s="4">
        <v>12</v>
      </c>
      <c r="AV50" s="4">
        <f t="shared" si="18"/>
        <v>11</v>
      </c>
      <c r="AX50" s="179"/>
      <c r="AY50" s="4">
        <v>23</v>
      </c>
      <c r="BB50" s="314"/>
      <c r="BF50" s="179"/>
      <c r="BJ50" s="314"/>
      <c r="BN50" s="179"/>
      <c r="BR50" s="314"/>
      <c r="BV50" s="179"/>
      <c r="BZ50" s="314"/>
      <c r="CD50" s="179"/>
      <c r="CH50" s="314"/>
    </row>
    <row r="51" spans="1:87" x14ac:dyDescent="0.2">
      <c r="A51" s="4" t="s">
        <v>1010</v>
      </c>
      <c r="Q51" s="4">
        <v>551</v>
      </c>
      <c r="R51" s="4">
        <v>551</v>
      </c>
      <c r="S51" s="4">
        <v>771</v>
      </c>
      <c r="T51" s="4">
        <v>352</v>
      </c>
      <c r="U51" s="4">
        <v>264</v>
      </c>
      <c r="V51" s="180">
        <v>338</v>
      </c>
      <c r="W51" s="4">
        <v>106</v>
      </c>
      <c r="X51" s="4">
        <f t="shared" si="19"/>
        <v>114</v>
      </c>
      <c r="Y51" s="4">
        <v>99</v>
      </c>
      <c r="Z51" s="179">
        <f t="shared" si="20"/>
        <v>95</v>
      </c>
      <c r="AA51" s="4">
        <v>220</v>
      </c>
      <c r="AB51" s="4">
        <f t="shared" si="21"/>
        <v>194</v>
      </c>
      <c r="AC51" s="4">
        <f t="shared" si="22"/>
        <v>319</v>
      </c>
      <c r="AD51" s="314">
        <v>414</v>
      </c>
      <c r="AE51" s="4">
        <v>81</v>
      </c>
      <c r="AF51" s="4">
        <f t="shared" si="16"/>
        <v>112</v>
      </c>
      <c r="AG51" s="4">
        <v>139</v>
      </c>
      <c r="AH51" s="179">
        <f t="shared" si="23"/>
        <v>116</v>
      </c>
      <c r="AI51" s="4">
        <v>193</v>
      </c>
      <c r="AJ51" s="4">
        <f t="shared" si="24"/>
        <v>255</v>
      </c>
      <c r="AK51" s="4">
        <f t="shared" si="25"/>
        <v>332</v>
      </c>
      <c r="AL51" s="314">
        <v>448</v>
      </c>
      <c r="AM51" s="4">
        <v>51</v>
      </c>
      <c r="AN51" s="4">
        <f t="shared" si="17"/>
        <v>112</v>
      </c>
      <c r="AO51" s="4">
        <v>126</v>
      </c>
      <c r="AP51" s="179">
        <f t="shared" si="26"/>
        <v>134</v>
      </c>
      <c r="AQ51" s="4">
        <v>163</v>
      </c>
      <c r="AR51" s="4">
        <f t="shared" si="27"/>
        <v>260</v>
      </c>
      <c r="AS51" s="4">
        <f t="shared" si="28"/>
        <v>289</v>
      </c>
      <c r="AT51" s="314">
        <v>423</v>
      </c>
      <c r="AU51" s="4">
        <v>154</v>
      </c>
      <c r="AV51" s="4">
        <f t="shared" si="18"/>
        <v>155</v>
      </c>
      <c r="AX51" s="179"/>
      <c r="AY51" s="4">
        <v>309</v>
      </c>
      <c r="BB51" s="314"/>
      <c r="BF51" s="179"/>
      <c r="BJ51" s="314"/>
      <c r="BN51" s="179"/>
      <c r="BR51" s="314"/>
      <c r="BV51" s="179"/>
      <c r="BZ51" s="314"/>
      <c r="CD51" s="179"/>
      <c r="CH51" s="314"/>
    </row>
    <row r="52" spans="1:87" x14ac:dyDescent="0.2">
      <c r="A52" s="4" t="s">
        <v>359</v>
      </c>
      <c r="K52" s="4">
        <v>61</v>
      </c>
      <c r="L52" s="4">
        <v>118</v>
      </c>
      <c r="M52" s="4">
        <v>127</v>
      </c>
      <c r="N52" s="4">
        <v>128</v>
      </c>
      <c r="O52" s="4">
        <v>134</v>
      </c>
      <c r="P52" s="4">
        <v>134</v>
      </c>
      <c r="Q52" s="4">
        <v>144</v>
      </c>
      <c r="R52" s="4">
        <v>144</v>
      </c>
      <c r="S52" s="4">
        <v>165</v>
      </c>
      <c r="T52" s="4">
        <v>120</v>
      </c>
      <c r="U52" s="4">
        <v>41</v>
      </c>
      <c r="V52" s="180">
        <v>21</v>
      </c>
      <c r="W52" s="4">
        <v>0</v>
      </c>
      <c r="X52" s="4">
        <f t="shared" si="19"/>
        <v>10</v>
      </c>
      <c r="Y52" s="4">
        <v>6</v>
      </c>
      <c r="Z52" s="179">
        <f t="shared" si="20"/>
        <v>14</v>
      </c>
      <c r="AA52" s="4">
        <v>10</v>
      </c>
      <c r="AB52" s="4">
        <f t="shared" si="21"/>
        <v>20</v>
      </c>
      <c r="AC52" s="4">
        <f t="shared" si="22"/>
        <v>16</v>
      </c>
      <c r="AD52" s="314">
        <v>30</v>
      </c>
      <c r="AE52" s="4">
        <v>11</v>
      </c>
      <c r="AF52" s="4">
        <f t="shared" si="16"/>
        <v>9</v>
      </c>
      <c r="AG52" s="4">
        <v>14</v>
      </c>
      <c r="AH52" s="179">
        <f t="shared" si="23"/>
        <v>7</v>
      </c>
      <c r="AI52" s="4">
        <v>20</v>
      </c>
      <c r="AJ52" s="4">
        <f t="shared" si="24"/>
        <v>21</v>
      </c>
      <c r="AK52" s="4">
        <f t="shared" si="25"/>
        <v>34</v>
      </c>
      <c r="AL52" s="314">
        <v>41</v>
      </c>
      <c r="AM52" s="4">
        <v>16</v>
      </c>
      <c r="AN52" s="4">
        <f t="shared" si="17"/>
        <v>14</v>
      </c>
      <c r="AO52" s="4">
        <v>18</v>
      </c>
      <c r="AP52" s="179">
        <f t="shared" si="26"/>
        <v>17</v>
      </c>
      <c r="AQ52" s="4">
        <v>30</v>
      </c>
      <c r="AR52" s="4">
        <f t="shared" si="27"/>
        <v>35</v>
      </c>
      <c r="AS52" s="4">
        <f t="shared" si="28"/>
        <v>48</v>
      </c>
      <c r="AT52" s="314">
        <v>65</v>
      </c>
      <c r="AU52" s="4">
        <v>22</v>
      </c>
      <c r="AV52" s="4">
        <f t="shared" si="18"/>
        <v>20</v>
      </c>
      <c r="AX52" s="179"/>
      <c r="AY52" s="4">
        <v>42</v>
      </c>
      <c r="BB52" s="314"/>
      <c r="BF52" s="179"/>
      <c r="BJ52" s="314"/>
      <c r="BN52" s="179"/>
      <c r="BR52" s="314"/>
      <c r="BV52" s="179"/>
      <c r="BZ52" s="314"/>
      <c r="CD52" s="179"/>
      <c r="CH52" s="314"/>
    </row>
    <row r="53" spans="1:87" x14ac:dyDescent="0.2">
      <c r="A53" s="4" t="s">
        <v>1012</v>
      </c>
      <c r="Q53" s="4">
        <v>720</v>
      </c>
      <c r="R53" s="4">
        <v>720</v>
      </c>
      <c r="S53" s="4">
        <v>1054</v>
      </c>
      <c r="T53" s="4">
        <v>757</v>
      </c>
      <c r="U53" s="4">
        <v>159</v>
      </c>
      <c r="V53" s="180">
        <v>112</v>
      </c>
      <c r="W53" s="4">
        <v>61</v>
      </c>
      <c r="X53" s="4">
        <f t="shared" si="19"/>
        <v>66</v>
      </c>
      <c r="Y53" s="4">
        <v>65</v>
      </c>
      <c r="Z53" s="179">
        <f t="shared" si="20"/>
        <v>90</v>
      </c>
      <c r="AA53" s="4">
        <v>127</v>
      </c>
      <c r="AB53" s="4">
        <f t="shared" si="21"/>
        <v>155</v>
      </c>
      <c r="AC53" s="4">
        <f t="shared" si="22"/>
        <v>192</v>
      </c>
      <c r="AD53" s="314">
        <v>282</v>
      </c>
      <c r="AE53" s="4">
        <v>88</v>
      </c>
      <c r="AF53" s="4">
        <f t="shared" si="16"/>
        <v>81</v>
      </c>
      <c r="AG53" s="4">
        <v>86</v>
      </c>
      <c r="AH53" s="179">
        <f t="shared" si="23"/>
        <v>89</v>
      </c>
      <c r="AI53" s="4">
        <v>169</v>
      </c>
      <c r="AJ53" s="4">
        <f t="shared" si="24"/>
        <v>175</v>
      </c>
      <c r="AK53" s="4">
        <f t="shared" si="25"/>
        <v>255</v>
      </c>
      <c r="AL53" s="314">
        <v>344</v>
      </c>
      <c r="AM53" s="4">
        <v>88</v>
      </c>
      <c r="AN53" s="4">
        <f t="shared" si="17"/>
        <v>105</v>
      </c>
      <c r="AO53" s="4">
        <v>97</v>
      </c>
      <c r="AP53" s="179">
        <f t="shared" si="26"/>
        <v>111</v>
      </c>
      <c r="AQ53" s="4">
        <v>193</v>
      </c>
      <c r="AR53" s="4">
        <f t="shared" si="27"/>
        <v>208</v>
      </c>
      <c r="AS53" s="4">
        <f t="shared" si="28"/>
        <v>290</v>
      </c>
      <c r="AT53" s="314">
        <v>401</v>
      </c>
      <c r="AU53" s="4">
        <v>128</v>
      </c>
      <c r="AV53" s="4">
        <f t="shared" si="18"/>
        <v>172</v>
      </c>
      <c r="AX53" s="179"/>
      <c r="AY53" s="4">
        <v>300</v>
      </c>
      <c r="BB53" s="314"/>
      <c r="BF53" s="179"/>
      <c r="BJ53" s="314"/>
      <c r="BN53" s="179"/>
      <c r="BR53" s="314"/>
      <c r="BV53" s="179"/>
      <c r="BZ53" s="314"/>
      <c r="CD53" s="179"/>
      <c r="CH53" s="314"/>
    </row>
    <row r="54" spans="1:87" x14ac:dyDescent="0.2">
      <c r="A54" s="4" t="s">
        <v>365</v>
      </c>
      <c r="G54" s="4">
        <v>321</v>
      </c>
      <c r="H54" s="4">
        <v>313</v>
      </c>
      <c r="I54" s="4">
        <v>430</v>
      </c>
      <c r="J54" s="4">
        <v>534</v>
      </c>
      <c r="K54" s="4">
        <v>605</v>
      </c>
      <c r="L54" s="4">
        <v>688</v>
      </c>
      <c r="M54" s="4">
        <v>711</v>
      </c>
      <c r="N54" s="4">
        <v>600</v>
      </c>
      <c r="O54" s="4">
        <v>477</v>
      </c>
      <c r="P54" s="4">
        <v>477</v>
      </c>
      <c r="Q54" s="4">
        <v>648</v>
      </c>
      <c r="R54" s="4">
        <v>648</v>
      </c>
      <c r="S54" s="4">
        <v>635</v>
      </c>
      <c r="T54" s="4">
        <v>435</v>
      </c>
      <c r="U54" s="4">
        <v>392</v>
      </c>
      <c r="V54" s="180">
        <v>516</v>
      </c>
      <c r="W54" s="4">
        <v>134</v>
      </c>
      <c r="X54" s="4">
        <f t="shared" ref="X54:X55" si="29">AA54-W54</f>
        <v>136</v>
      </c>
      <c r="Y54" s="4">
        <v>137</v>
      </c>
      <c r="Z54" s="179">
        <f t="shared" ref="Z54:Z55" si="30">AB54-Y54</f>
        <v>105</v>
      </c>
      <c r="AA54" s="4">
        <v>270</v>
      </c>
      <c r="AB54" s="4">
        <f t="shared" ref="AB54:AB55" si="31">AD54-AA54</f>
        <v>242</v>
      </c>
      <c r="AC54" s="4">
        <f t="shared" ref="AC54:AC55" si="32">W54+X54+Y54</f>
        <v>407</v>
      </c>
      <c r="AD54" s="314">
        <v>512</v>
      </c>
      <c r="AE54" s="4">
        <v>121</v>
      </c>
      <c r="AF54" s="4">
        <f t="shared" ref="AF54:AF55" si="33">AI54-AE54</f>
        <v>275</v>
      </c>
      <c r="AG54" s="4">
        <v>169</v>
      </c>
      <c r="AH54" s="179">
        <f t="shared" si="23"/>
        <v>189</v>
      </c>
      <c r="AI54" s="4">
        <v>396</v>
      </c>
      <c r="AJ54" s="4">
        <f t="shared" si="24"/>
        <v>358</v>
      </c>
      <c r="AK54" s="4">
        <f t="shared" si="25"/>
        <v>565</v>
      </c>
      <c r="AL54" s="314">
        <v>754</v>
      </c>
      <c r="AM54" s="4">
        <v>181</v>
      </c>
      <c r="AN54" s="4">
        <f t="shared" si="17"/>
        <v>180</v>
      </c>
      <c r="AO54" s="4">
        <v>195</v>
      </c>
      <c r="AP54" s="179">
        <f t="shared" si="26"/>
        <v>179</v>
      </c>
      <c r="AQ54" s="4">
        <v>361</v>
      </c>
      <c r="AR54" s="4">
        <f t="shared" si="27"/>
        <v>374</v>
      </c>
      <c r="AS54" s="4">
        <f t="shared" si="28"/>
        <v>556</v>
      </c>
      <c r="AT54" s="314">
        <v>735</v>
      </c>
      <c r="AU54" s="4">
        <v>187</v>
      </c>
      <c r="AV54" s="4">
        <f t="shared" si="18"/>
        <v>206</v>
      </c>
      <c r="AX54" s="179"/>
      <c r="AY54" s="4">
        <v>393</v>
      </c>
      <c r="BB54" s="314"/>
      <c r="BF54" s="179"/>
      <c r="BJ54" s="314"/>
      <c r="BN54" s="179"/>
      <c r="BR54" s="314"/>
      <c r="BV54" s="179"/>
      <c r="BZ54" s="314"/>
      <c r="CD54" s="179"/>
      <c r="CH54" s="314"/>
    </row>
    <row r="55" spans="1:87" x14ac:dyDescent="0.2">
      <c r="A55" s="434" t="s">
        <v>376</v>
      </c>
      <c r="B55" s="434"/>
      <c r="C55" s="434"/>
      <c r="D55" s="434"/>
      <c r="E55" s="434"/>
      <c r="F55" s="434"/>
      <c r="G55" s="434"/>
      <c r="H55" s="434"/>
      <c r="I55" s="434"/>
      <c r="J55" s="434"/>
      <c r="K55" s="434"/>
      <c r="L55" s="434"/>
      <c r="M55" s="434"/>
      <c r="N55" s="434"/>
      <c r="O55" s="434"/>
      <c r="P55" s="434"/>
      <c r="Q55" s="434">
        <v>3414</v>
      </c>
      <c r="R55" s="434">
        <v>3414</v>
      </c>
      <c r="S55" s="434">
        <v>5634</v>
      </c>
      <c r="T55" s="434">
        <v>2735</v>
      </c>
      <c r="U55" s="434">
        <v>2097</v>
      </c>
      <c r="V55" s="437">
        <v>1704</v>
      </c>
      <c r="W55" s="434">
        <v>324</v>
      </c>
      <c r="X55" s="434">
        <f t="shared" si="29"/>
        <v>112</v>
      </c>
      <c r="Y55" s="434">
        <v>174</v>
      </c>
      <c r="Z55" s="436">
        <f t="shared" si="30"/>
        <v>373</v>
      </c>
      <c r="AA55" s="434">
        <v>436</v>
      </c>
      <c r="AB55" s="434">
        <f t="shared" si="31"/>
        <v>547</v>
      </c>
      <c r="AC55" s="434">
        <f t="shared" si="32"/>
        <v>610</v>
      </c>
      <c r="AD55" s="1117">
        <v>983</v>
      </c>
      <c r="AE55" s="434">
        <v>242</v>
      </c>
      <c r="AF55" s="434">
        <f t="shared" si="33"/>
        <v>508</v>
      </c>
      <c r="AG55" s="434">
        <v>592</v>
      </c>
      <c r="AH55" s="436">
        <f t="shared" si="23"/>
        <v>1140</v>
      </c>
      <c r="AI55" s="434">
        <v>750</v>
      </c>
      <c r="AJ55" s="434">
        <f t="shared" si="24"/>
        <v>1732</v>
      </c>
      <c r="AK55" s="434">
        <f t="shared" si="25"/>
        <v>1342</v>
      </c>
      <c r="AL55" s="1117">
        <v>2482</v>
      </c>
      <c r="AM55" s="434">
        <v>704</v>
      </c>
      <c r="AN55" s="434">
        <f t="shared" si="17"/>
        <v>534</v>
      </c>
      <c r="AO55" s="434">
        <v>428</v>
      </c>
      <c r="AP55" s="436">
        <f t="shared" si="26"/>
        <v>966</v>
      </c>
      <c r="AQ55" s="434">
        <v>1238</v>
      </c>
      <c r="AR55" s="434">
        <f t="shared" si="27"/>
        <v>1394</v>
      </c>
      <c r="AS55" s="434">
        <f t="shared" si="28"/>
        <v>1666</v>
      </c>
      <c r="AT55" s="1117">
        <v>2632</v>
      </c>
      <c r="AU55" s="434">
        <v>634</v>
      </c>
      <c r="AV55" s="434">
        <f t="shared" si="18"/>
        <v>648</v>
      </c>
      <c r="AW55" s="434"/>
      <c r="AX55" s="436"/>
      <c r="AY55" s="434">
        <v>1282</v>
      </c>
      <c r="AZ55" s="434"/>
      <c r="BA55" s="434"/>
      <c r="BB55" s="1117"/>
      <c r="BC55" s="434"/>
      <c r="BD55" s="434"/>
      <c r="BE55" s="434"/>
      <c r="BF55" s="436"/>
      <c r="BG55" s="434"/>
      <c r="BH55" s="434"/>
      <c r="BI55" s="434"/>
      <c r="BJ55" s="1117"/>
      <c r="BK55" s="434"/>
      <c r="BL55" s="434"/>
      <c r="BM55" s="434"/>
      <c r="BN55" s="436"/>
      <c r="BO55" s="434"/>
      <c r="BP55" s="434"/>
      <c r="BQ55" s="434"/>
      <c r="BR55" s="1117"/>
      <c r="BS55" s="434"/>
      <c r="BT55" s="434"/>
      <c r="BU55" s="434"/>
      <c r="BV55" s="436"/>
      <c r="BW55" s="434"/>
      <c r="BX55" s="434"/>
      <c r="BY55" s="434"/>
      <c r="BZ55" s="1117"/>
      <c r="CA55" s="434"/>
      <c r="CB55" s="434"/>
      <c r="CC55" s="434"/>
      <c r="CD55" s="436"/>
      <c r="CE55" s="434"/>
      <c r="CF55" s="434"/>
      <c r="CG55" s="434"/>
      <c r="CH55" s="1117"/>
    </row>
    <row r="57" spans="1:87" x14ac:dyDescent="0.2">
      <c r="A57" s="186" t="s">
        <v>1013</v>
      </c>
    </row>
    <row r="58" spans="1:87" ht="15.75" hidden="1" outlineLevel="1" x14ac:dyDescent="0.25">
      <c r="A58" s="1146" t="s">
        <v>69</v>
      </c>
    </row>
    <row r="59" spans="1:87" hidden="1" outlineLevel="1" x14ac:dyDescent="0.2">
      <c r="P59" s="574" t="s">
        <v>74</v>
      </c>
      <c r="Q59" s="575" t="s">
        <v>74</v>
      </c>
      <c r="R59" s="575"/>
      <c r="S59" s="575" t="s">
        <v>74</v>
      </c>
      <c r="T59" s="575" t="s">
        <v>74</v>
      </c>
      <c r="U59" s="575" t="s">
        <v>74</v>
      </c>
      <c r="V59" s="575" t="s">
        <v>74</v>
      </c>
      <c r="W59" s="575"/>
      <c r="X59" s="575"/>
      <c r="Y59" s="575"/>
      <c r="Z59" s="575"/>
      <c r="AA59" s="575"/>
      <c r="AB59" s="575"/>
      <c r="AC59" s="575"/>
      <c r="AD59" s="575" t="s">
        <v>74</v>
      </c>
      <c r="AE59" s="575"/>
      <c r="AF59" s="575"/>
      <c r="AG59" s="575"/>
      <c r="AH59" s="575"/>
      <c r="AI59" s="575"/>
      <c r="AJ59" s="575"/>
      <c r="AK59" s="575"/>
      <c r="AL59" s="575" t="s">
        <v>74</v>
      </c>
      <c r="AM59" s="575"/>
      <c r="AN59" s="575"/>
      <c r="AO59" s="575"/>
      <c r="AP59" s="575"/>
      <c r="AQ59" s="575"/>
      <c r="AR59" s="575"/>
      <c r="AS59" s="575"/>
      <c r="AT59" s="1621"/>
      <c r="AU59" s="575"/>
      <c r="AV59" s="575"/>
      <c r="AW59" s="575"/>
      <c r="AX59" s="575"/>
      <c r="AY59" s="575"/>
      <c r="AZ59" s="575"/>
      <c r="BA59" s="575"/>
      <c r="BB59" s="575" t="s">
        <v>74</v>
      </c>
      <c r="BC59" s="575"/>
      <c r="BD59" s="575"/>
      <c r="BE59" s="575"/>
      <c r="BF59" s="575"/>
      <c r="BG59" s="575"/>
      <c r="BH59" s="575"/>
      <c r="BI59" s="575"/>
      <c r="BJ59" s="575" t="s">
        <v>74</v>
      </c>
      <c r="BK59" s="575"/>
      <c r="BL59" s="575"/>
      <c r="BM59" s="575"/>
      <c r="BN59" s="575"/>
      <c r="BO59" s="575"/>
      <c r="BP59" s="575"/>
      <c r="BQ59" s="575"/>
      <c r="BR59" s="575" t="s">
        <v>74</v>
      </c>
      <c r="BS59" s="575"/>
      <c r="BT59" s="575"/>
      <c r="BU59" s="575"/>
      <c r="BV59" s="575"/>
      <c r="BW59" s="575"/>
      <c r="BX59" s="575"/>
      <c r="BY59" s="575"/>
      <c r="BZ59" s="575" t="s">
        <v>74</v>
      </c>
      <c r="CA59" s="575"/>
      <c r="CB59" s="575"/>
      <c r="CC59" s="575"/>
      <c r="CD59" s="575"/>
      <c r="CE59" s="575"/>
      <c r="CF59" s="575"/>
      <c r="CG59" s="575"/>
      <c r="CH59" s="575" t="s">
        <v>74</v>
      </c>
    </row>
    <row r="60" spans="1:87" hidden="1" outlineLevel="1" x14ac:dyDescent="0.2">
      <c r="A60" s="693" t="s">
        <v>75</v>
      </c>
      <c r="B60" s="838">
        <v>2004</v>
      </c>
      <c r="C60" s="838">
        <f>B60+1</f>
        <v>2005</v>
      </c>
      <c r="D60" s="838">
        <f t="shared" ref="D60:V60" si="34">C60+1</f>
        <v>2006</v>
      </c>
      <c r="E60" s="838">
        <f t="shared" si="34"/>
        <v>2007</v>
      </c>
      <c r="F60" s="838">
        <f t="shared" si="34"/>
        <v>2008</v>
      </c>
      <c r="G60" s="838">
        <f t="shared" si="34"/>
        <v>2009</v>
      </c>
      <c r="H60" s="838">
        <f t="shared" si="34"/>
        <v>2010</v>
      </c>
      <c r="I60" s="838">
        <f t="shared" si="34"/>
        <v>2011</v>
      </c>
      <c r="J60" s="838">
        <f t="shared" si="34"/>
        <v>2012</v>
      </c>
      <c r="K60" s="838">
        <f t="shared" si="34"/>
        <v>2013</v>
      </c>
      <c r="L60" s="838">
        <f t="shared" si="34"/>
        <v>2014</v>
      </c>
      <c r="M60" s="838">
        <f t="shared" si="34"/>
        <v>2015</v>
      </c>
      <c r="N60" s="838">
        <f t="shared" si="34"/>
        <v>2016</v>
      </c>
      <c r="O60" s="838">
        <f t="shared" si="34"/>
        <v>2017</v>
      </c>
      <c r="P60" s="838" t="s">
        <v>76</v>
      </c>
      <c r="Q60" s="838">
        <f>O60+1</f>
        <v>2018</v>
      </c>
      <c r="R60" s="838"/>
      <c r="S60" s="838">
        <f>Q60+1</f>
        <v>2019</v>
      </c>
      <c r="T60" s="1147">
        <f t="shared" si="34"/>
        <v>2020</v>
      </c>
      <c r="U60" s="1147">
        <f t="shared" si="34"/>
        <v>2021</v>
      </c>
      <c r="V60" s="1147">
        <f t="shared" si="34"/>
        <v>2022</v>
      </c>
      <c r="W60" s="1147"/>
      <c r="X60" s="1147"/>
      <c r="Y60" s="1147"/>
      <c r="Z60" s="1147"/>
      <c r="AA60" s="1147"/>
      <c r="AB60" s="1147"/>
      <c r="AC60" s="1147"/>
      <c r="AD60" s="1147">
        <f>V60+1</f>
        <v>2023</v>
      </c>
      <c r="AE60" s="1147"/>
      <c r="AF60" s="1147"/>
      <c r="AG60" s="1147"/>
      <c r="AH60" s="1147"/>
      <c r="AI60" s="1147"/>
      <c r="AJ60" s="1147"/>
      <c r="AK60" s="1147"/>
      <c r="AL60" s="1147">
        <f>AD60+1</f>
        <v>2024</v>
      </c>
      <c r="AM60" s="1147"/>
      <c r="AN60" s="1147"/>
      <c r="AO60" s="1147"/>
      <c r="AP60" s="1147"/>
      <c r="AQ60" s="1147"/>
      <c r="AR60" s="1147"/>
      <c r="AS60" s="1147"/>
      <c r="AT60" s="1147">
        <f>AL60+1</f>
        <v>2025</v>
      </c>
      <c r="AU60" s="1147"/>
      <c r="AV60" s="1147"/>
      <c r="AW60" s="1147"/>
      <c r="AX60" s="1147"/>
      <c r="AY60" s="1147"/>
      <c r="AZ60" s="1147"/>
      <c r="BA60" s="1147"/>
      <c r="BB60" s="1147">
        <f>AT60+1</f>
        <v>2026</v>
      </c>
      <c r="BC60" s="1147"/>
      <c r="BD60" s="1147"/>
      <c r="BE60" s="1147"/>
      <c r="BF60" s="1147"/>
      <c r="BG60" s="1147"/>
      <c r="BH60" s="1147"/>
      <c r="BI60" s="1147"/>
      <c r="BJ60" s="1147">
        <f>BB60+1</f>
        <v>2027</v>
      </c>
      <c r="BK60" s="1147"/>
      <c r="BL60" s="1147"/>
      <c r="BM60" s="1147"/>
      <c r="BN60" s="1147"/>
      <c r="BO60" s="1147"/>
      <c r="BP60" s="1147"/>
      <c r="BQ60" s="1147"/>
      <c r="BR60" s="1147">
        <f>BJ60+1</f>
        <v>2028</v>
      </c>
      <c r="BS60" s="1147"/>
      <c r="BT60" s="1147"/>
      <c r="BU60" s="1147"/>
      <c r="BV60" s="1147"/>
      <c r="BW60" s="1147"/>
      <c r="BX60" s="1147"/>
      <c r="BY60" s="1147"/>
      <c r="BZ60" s="1147">
        <f>BR60+1</f>
        <v>2029</v>
      </c>
      <c r="CA60" s="1147"/>
      <c r="CB60" s="1147"/>
      <c r="CC60" s="1147"/>
      <c r="CD60" s="1147"/>
      <c r="CE60" s="1147"/>
      <c r="CF60" s="1147"/>
      <c r="CG60" s="1147"/>
      <c r="CH60" s="1147">
        <f>BZ60+1</f>
        <v>2030</v>
      </c>
      <c r="CI60" s="1148"/>
    </row>
    <row r="61" spans="1:87" ht="11.25" hidden="1" customHeight="1" outlineLevel="1" x14ac:dyDescent="0.2">
      <c r="A61" s="202"/>
      <c r="B61" s="186"/>
      <c r="C61" s="186"/>
      <c r="D61" s="186"/>
      <c r="E61" s="186"/>
      <c r="F61" s="186"/>
      <c r="G61" s="186"/>
      <c r="H61" s="186"/>
      <c r="I61" s="186"/>
      <c r="J61" s="186"/>
      <c r="K61" s="186"/>
      <c r="L61" s="1147"/>
      <c r="M61" s="1147"/>
      <c r="N61" s="1147"/>
      <c r="O61" s="653"/>
      <c r="P61" s="1147"/>
      <c r="Q61" s="1147"/>
      <c r="R61" s="1147"/>
      <c r="S61" s="1147"/>
      <c r="T61" s="1147"/>
      <c r="U61" s="1147"/>
      <c r="V61" s="1147"/>
      <c r="W61" s="1147"/>
      <c r="X61" s="1147"/>
      <c r="Y61" s="1147"/>
      <c r="Z61" s="1147"/>
      <c r="AA61" s="1147"/>
      <c r="AB61" s="1147"/>
      <c r="AC61" s="1147"/>
      <c r="AD61" s="1147"/>
      <c r="AE61" s="1147"/>
      <c r="AF61" s="1147"/>
      <c r="AG61" s="1147"/>
      <c r="AH61" s="1147"/>
      <c r="AI61" s="1147"/>
      <c r="AJ61" s="1147"/>
      <c r="AK61" s="1147"/>
      <c r="AL61" s="1147"/>
      <c r="AM61" s="1147"/>
      <c r="AN61" s="1147"/>
      <c r="AO61" s="1147"/>
      <c r="AP61" s="1147"/>
      <c r="AQ61" s="1147"/>
      <c r="AR61" s="1147"/>
      <c r="AS61" s="1147"/>
      <c r="AT61" s="1147"/>
      <c r="AU61" s="1147"/>
      <c r="AV61" s="1147"/>
      <c r="AW61" s="1147"/>
      <c r="AX61" s="1147"/>
      <c r="AY61" s="1147"/>
      <c r="AZ61" s="1147"/>
      <c r="BA61" s="1147"/>
      <c r="BB61" s="1147"/>
      <c r="BC61" s="1147"/>
      <c r="BD61" s="1147"/>
      <c r="BE61" s="1147"/>
      <c r="BF61" s="1147"/>
      <c r="BG61" s="1147"/>
      <c r="BH61" s="1147"/>
      <c r="BI61" s="1147"/>
      <c r="BJ61" s="1147"/>
      <c r="BK61" s="1147"/>
      <c r="BL61" s="1147"/>
      <c r="BM61" s="1147"/>
      <c r="BN61" s="1147"/>
      <c r="BO61" s="1147"/>
      <c r="BP61" s="1147"/>
      <c r="BQ61" s="1147"/>
      <c r="BR61" s="1147"/>
      <c r="BS61" s="1147"/>
      <c r="BT61" s="1147"/>
      <c r="BU61" s="1147"/>
      <c r="BV61" s="1147"/>
      <c r="BW61" s="1147"/>
      <c r="BX61" s="1147"/>
      <c r="BY61" s="1147"/>
      <c r="BZ61" s="1147"/>
      <c r="CA61" s="1147"/>
      <c r="CB61" s="1147"/>
      <c r="CC61" s="1147"/>
      <c r="CD61" s="1147"/>
      <c r="CE61" s="1147"/>
      <c r="CF61" s="1147"/>
      <c r="CG61" s="1147"/>
      <c r="CH61" s="1147"/>
      <c r="CI61" s="1148"/>
    </row>
    <row r="62" spans="1:87" ht="11.25" hidden="1" customHeight="1" outlineLevel="1" x14ac:dyDescent="0.25">
      <c r="A62" s="4" t="s">
        <v>756</v>
      </c>
      <c r="B62" s="473">
        <f t="shared" ref="B62:C64" si="35">B$65*B112</f>
        <v>1619.87</v>
      </c>
      <c r="C62" s="473">
        <f t="shared" si="35"/>
        <v>1807.2</v>
      </c>
      <c r="D62" s="473">
        <f>1488+218+167</f>
        <v>1873</v>
      </c>
      <c r="E62" s="473">
        <f>1448+93+174</f>
        <v>1715</v>
      </c>
      <c r="F62" s="473">
        <f>1501+208+12+78</f>
        <v>1799</v>
      </c>
      <c r="G62" s="473">
        <f>1477+194+4+78</f>
        <v>1753</v>
      </c>
      <c r="H62" s="473">
        <f>1574+182+5+72</f>
        <v>1833</v>
      </c>
      <c r="I62" s="473">
        <f>1988+70</f>
        <v>2058</v>
      </c>
      <c r="J62" s="473">
        <f>2402+114</f>
        <v>2516</v>
      </c>
      <c r="K62" s="473">
        <f>2669+149</f>
        <v>2818</v>
      </c>
      <c r="L62" s="473">
        <f>2912+192</f>
        <v>3104</v>
      </c>
      <c r="M62" s="473">
        <f>3076+289</f>
        <v>3365</v>
      </c>
      <c r="N62" s="473">
        <f>3182+199</f>
        <v>3381</v>
      </c>
      <c r="O62" s="473">
        <f>3364+169</f>
        <v>3533</v>
      </c>
      <c r="P62" s="473">
        <f>3375+77</f>
        <v>3452</v>
      </c>
      <c r="Q62" s="473">
        <f>3467+58</f>
        <v>3525</v>
      </c>
      <c r="R62" s="473"/>
      <c r="S62" s="490">
        <f t="shared" ref="S62:V64" si="36">S157</f>
        <v>0</v>
      </c>
      <c r="T62" s="490">
        <f t="shared" si="36"/>
        <v>0</v>
      </c>
      <c r="U62" s="490">
        <f t="shared" si="36"/>
        <v>0</v>
      </c>
      <c r="V62" s="490">
        <f t="shared" si="36"/>
        <v>0</v>
      </c>
      <c r="W62" s="490"/>
      <c r="X62" s="490"/>
      <c r="Y62" s="490"/>
      <c r="Z62" s="490"/>
      <c r="AA62" s="490"/>
      <c r="AB62" s="490"/>
      <c r="AC62" s="490"/>
      <c r="AD62" s="54">
        <f>AD157</f>
        <v>0</v>
      </c>
      <c r="AE62" s="490"/>
      <c r="AF62" s="490"/>
      <c r="AG62" s="490"/>
      <c r="AH62" s="490"/>
      <c r="AI62" s="490"/>
      <c r="AJ62" s="490"/>
      <c r="AK62" s="490"/>
      <c r="AL62" s="54">
        <f>AL157</f>
        <v>0</v>
      </c>
      <c r="AM62" s="490"/>
      <c r="AN62" s="490"/>
      <c r="AO62" s="490"/>
      <c r="AP62" s="490"/>
      <c r="AQ62" s="490"/>
      <c r="AR62" s="490"/>
      <c r="AS62" s="490"/>
      <c r="AT62" s="54"/>
      <c r="AU62" s="490"/>
      <c r="AV62" s="490"/>
      <c r="AW62" s="490"/>
      <c r="AX62" s="490"/>
      <c r="AY62" s="490"/>
      <c r="AZ62" s="490"/>
      <c r="BA62" s="490"/>
      <c r="BB62" s="54"/>
      <c r="BC62" s="490"/>
      <c r="BD62" s="490"/>
      <c r="BE62" s="490"/>
      <c r="BF62" s="490"/>
      <c r="BG62" s="490"/>
      <c r="BH62" s="490"/>
      <c r="BI62" s="490"/>
      <c r="BJ62" s="54"/>
      <c r="BK62" s="490"/>
      <c r="BL62" s="490"/>
      <c r="BM62" s="490"/>
      <c r="BN62" s="490"/>
      <c r="BO62" s="490"/>
      <c r="BP62" s="490"/>
      <c r="BQ62" s="490"/>
      <c r="BR62" s="54"/>
      <c r="BS62" s="490"/>
      <c r="BT62" s="490"/>
      <c r="BU62" s="490"/>
      <c r="BV62" s="490"/>
      <c r="BW62" s="490"/>
      <c r="BX62" s="490"/>
      <c r="BY62" s="490"/>
      <c r="BZ62" s="54"/>
      <c r="CA62" s="490"/>
      <c r="CB62" s="490"/>
      <c r="CC62" s="490"/>
      <c r="CD62" s="490"/>
      <c r="CE62" s="490"/>
      <c r="CF62" s="490"/>
      <c r="CG62" s="490"/>
      <c r="CH62" s="54"/>
      <c r="CI62" s="1149"/>
    </row>
    <row r="63" spans="1:87" ht="11.25" hidden="1" customHeight="1" outlineLevel="1" x14ac:dyDescent="0.25">
      <c r="A63" s="4" t="s">
        <v>1014</v>
      </c>
      <c r="B63" s="473">
        <f t="shared" si="35"/>
        <v>488.18</v>
      </c>
      <c r="C63" s="473">
        <f t="shared" si="35"/>
        <v>552.20000000000005</v>
      </c>
      <c r="D63" s="473">
        <f>410+177</f>
        <v>587</v>
      </c>
      <c r="E63" s="473">
        <f>499+343</f>
        <v>842</v>
      </c>
      <c r="F63" s="473">
        <v>867</v>
      </c>
      <c r="G63" s="473">
        <f>384+472+13</f>
        <v>869</v>
      </c>
      <c r="H63" s="473">
        <f>426+452+9</f>
        <v>887</v>
      </c>
      <c r="I63" s="473">
        <v>959</v>
      </c>
      <c r="J63" s="473">
        <v>1054</v>
      </c>
      <c r="K63" s="473">
        <v>1190</v>
      </c>
      <c r="L63" s="473">
        <v>1280</v>
      </c>
      <c r="M63" s="473">
        <v>1479</v>
      </c>
      <c r="N63" s="473">
        <v>1635</v>
      </c>
      <c r="O63" s="473">
        <v>1749</v>
      </c>
      <c r="P63" s="473">
        <v>1670</v>
      </c>
      <c r="Q63" s="473">
        <v>1788</v>
      </c>
      <c r="R63" s="473"/>
      <c r="S63" s="490">
        <f t="shared" si="36"/>
        <v>0</v>
      </c>
      <c r="T63" s="490">
        <f t="shared" si="36"/>
        <v>0</v>
      </c>
      <c r="U63" s="490">
        <f t="shared" si="36"/>
        <v>0</v>
      </c>
      <c r="V63" s="490">
        <f t="shared" si="36"/>
        <v>0</v>
      </c>
      <c r="W63" s="490"/>
      <c r="X63" s="490"/>
      <c r="Y63" s="490"/>
      <c r="Z63" s="490"/>
      <c r="AA63" s="490"/>
      <c r="AB63" s="490"/>
      <c r="AC63" s="490"/>
      <c r="AD63" s="54">
        <f>AD158</f>
        <v>0</v>
      </c>
      <c r="AE63" s="490"/>
      <c r="AF63" s="490"/>
      <c r="AG63" s="490"/>
      <c r="AH63" s="490"/>
      <c r="AI63" s="490"/>
      <c r="AJ63" s="490"/>
      <c r="AK63" s="490"/>
      <c r="AL63" s="54">
        <f>AL158</f>
        <v>0</v>
      </c>
      <c r="AM63" s="490"/>
      <c r="AN63" s="490"/>
      <c r="AO63" s="490"/>
      <c r="AP63" s="490"/>
      <c r="AQ63" s="490"/>
      <c r="AR63" s="490"/>
      <c r="AS63" s="490"/>
      <c r="AT63" s="54"/>
      <c r="AU63" s="490"/>
      <c r="AV63" s="490"/>
      <c r="AW63" s="490"/>
      <c r="AX63" s="490"/>
      <c r="AY63" s="490"/>
      <c r="AZ63" s="490"/>
      <c r="BA63" s="490"/>
      <c r="BB63" s="54"/>
      <c r="BC63" s="490"/>
      <c r="BD63" s="490"/>
      <c r="BE63" s="490"/>
      <c r="BF63" s="490"/>
      <c r="BG63" s="490"/>
      <c r="BH63" s="490"/>
      <c r="BI63" s="490"/>
      <c r="BJ63" s="54"/>
      <c r="BK63" s="490"/>
      <c r="BL63" s="490"/>
      <c r="BM63" s="490"/>
      <c r="BN63" s="490"/>
      <c r="BO63" s="490"/>
      <c r="BP63" s="490"/>
      <c r="BQ63" s="490"/>
      <c r="BR63" s="54"/>
      <c r="BS63" s="490"/>
      <c r="BT63" s="490"/>
      <c r="BU63" s="490"/>
      <c r="BV63" s="490"/>
      <c r="BW63" s="490"/>
      <c r="BX63" s="490"/>
      <c r="BY63" s="490"/>
      <c r="BZ63" s="54"/>
      <c r="CA63" s="490"/>
      <c r="CB63" s="490"/>
      <c r="CC63" s="490"/>
      <c r="CD63" s="490"/>
      <c r="CE63" s="490"/>
      <c r="CF63" s="490"/>
      <c r="CG63" s="490"/>
      <c r="CH63" s="54"/>
      <c r="CI63" s="1149"/>
    </row>
    <row r="64" spans="1:87" ht="11.25" hidden="1" customHeight="1" outlineLevel="1" x14ac:dyDescent="0.25">
      <c r="A64" s="4" t="s">
        <v>397</v>
      </c>
      <c r="B64" s="490">
        <f t="shared" si="35"/>
        <v>110.95</v>
      </c>
      <c r="C64" s="490">
        <f t="shared" si="35"/>
        <v>150.6</v>
      </c>
      <c r="D64" s="490">
        <f t="shared" ref="D64:J64" si="37">D65-D62-D63</f>
        <v>184</v>
      </c>
      <c r="E64" s="490">
        <f t="shared" si="37"/>
        <v>146</v>
      </c>
      <c r="F64" s="490">
        <f t="shared" si="37"/>
        <v>109</v>
      </c>
      <c r="G64" s="490">
        <f t="shared" si="37"/>
        <v>145</v>
      </c>
      <c r="H64" s="490">
        <f t="shared" si="37"/>
        <v>114</v>
      </c>
      <c r="I64" s="490">
        <f t="shared" si="37"/>
        <v>80</v>
      </c>
      <c r="J64" s="490">
        <f t="shared" si="37"/>
        <v>121</v>
      </c>
      <c r="K64" s="473">
        <v>83</v>
      </c>
      <c r="L64" s="473">
        <v>62</v>
      </c>
      <c r="M64" s="473">
        <v>99</v>
      </c>
      <c r="N64" s="473">
        <v>129</v>
      </c>
      <c r="O64" s="473">
        <v>133</v>
      </c>
      <c r="P64" s="473">
        <v>138</v>
      </c>
      <c r="Q64" s="473">
        <v>82</v>
      </c>
      <c r="R64" s="473"/>
      <c r="S64" s="490">
        <f t="shared" si="36"/>
        <v>0</v>
      </c>
      <c r="T64" s="490">
        <f t="shared" si="36"/>
        <v>0</v>
      </c>
      <c r="U64" s="490">
        <f t="shared" si="36"/>
        <v>0</v>
      </c>
      <c r="V64" s="490">
        <f t="shared" si="36"/>
        <v>0</v>
      </c>
      <c r="W64" s="490"/>
      <c r="X64" s="490"/>
      <c r="Y64" s="490"/>
      <c r="Z64" s="490"/>
      <c r="AA64" s="490"/>
      <c r="AB64" s="490"/>
      <c r="AC64" s="490"/>
      <c r="AD64" s="54">
        <f>AD159</f>
        <v>0</v>
      </c>
      <c r="AE64" s="490"/>
      <c r="AF64" s="490"/>
      <c r="AG64" s="490"/>
      <c r="AH64" s="490"/>
      <c r="AI64" s="490"/>
      <c r="AJ64" s="490"/>
      <c r="AK64" s="490"/>
      <c r="AL64" s="54">
        <f>AL159</f>
        <v>0</v>
      </c>
      <c r="AM64" s="490"/>
      <c r="AN64" s="490"/>
      <c r="AO64" s="490"/>
      <c r="AP64" s="490"/>
      <c r="AQ64" s="490"/>
      <c r="AR64" s="490"/>
      <c r="AS64" s="490"/>
      <c r="AT64" s="54"/>
      <c r="AU64" s="490"/>
      <c r="AV64" s="490"/>
      <c r="AW64" s="490"/>
      <c r="AX64" s="490"/>
      <c r="AY64" s="490"/>
      <c r="AZ64" s="490"/>
      <c r="BA64" s="490"/>
      <c r="BB64" s="54"/>
      <c r="BC64" s="490"/>
      <c r="BD64" s="490"/>
      <c r="BE64" s="490"/>
      <c r="BF64" s="490"/>
      <c r="BG64" s="490"/>
      <c r="BH64" s="490"/>
      <c r="BI64" s="490"/>
      <c r="BJ64" s="54"/>
      <c r="BK64" s="490"/>
      <c r="BL64" s="490"/>
      <c r="BM64" s="490"/>
      <c r="BN64" s="490"/>
      <c r="BO64" s="490"/>
      <c r="BP64" s="490"/>
      <c r="BQ64" s="490"/>
      <c r="BR64" s="54"/>
      <c r="BS64" s="490"/>
      <c r="BT64" s="490"/>
      <c r="BU64" s="490"/>
      <c r="BV64" s="490"/>
      <c r="BW64" s="490"/>
      <c r="BX64" s="490"/>
      <c r="BY64" s="490"/>
      <c r="BZ64" s="54"/>
      <c r="CA64" s="490"/>
      <c r="CB64" s="490"/>
      <c r="CC64" s="490"/>
      <c r="CD64" s="490"/>
      <c r="CE64" s="490"/>
      <c r="CF64" s="490"/>
      <c r="CG64" s="490"/>
      <c r="CH64" s="54"/>
      <c r="CI64" s="1149"/>
    </row>
    <row r="65" spans="1:87" ht="11.25" hidden="1" customHeight="1" outlineLevel="1" x14ac:dyDescent="0.2">
      <c r="A65" s="186" t="s">
        <v>84</v>
      </c>
      <c r="B65" s="138">
        <f>Divisional!B7</f>
        <v>2219</v>
      </c>
      <c r="C65" s="138">
        <f>Divisional!C7</f>
        <v>2510</v>
      </c>
      <c r="D65" s="138">
        <f>Divisional!D7</f>
        <v>2644</v>
      </c>
      <c r="E65" s="138">
        <f>Divisional!E7</f>
        <v>2703</v>
      </c>
      <c r="F65" s="138">
        <f>Divisional!F7</f>
        <v>2775</v>
      </c>
      <c r="G65" s="138">
        <f>Divisional!G7</f>
        <v>2767</v>
      </c>
      <c r="H65" s="138">
        <f>Divisional!H7</f>
        <v>2834</v>
      </c>
      <c r="I65" s="138">
        <f>Divisional!I7</f>
        <v>3097</v>
      </c>
      <c r="J65" s="138">
        <f>Divisional!J7</f>
        <v>3691</v>
      </c>
      <c r="K65" s="138">
        <f>Divisional!K7</f>
        <v>4091</v>
      </c>
      <c r="L65" s="138">
        <f>Divisional!L7</f>
        <v>4446</v>
      </c>
      <c r="M65" s="138">
        <f>Divisional!M7</f>
        <v>4943</v>
      </c>
      <c r="N65" s="138">
        <f>Divisional!N7</f>
        <v>5145</v>
      </c>
      <c r="O65" s="138">
        <f>Divisional!O7</f>
        <v>5415</v>
      </c>
      <c r="P65" s="138">
        <f>Divisional!P7</f>
        <v>5260</v>
      </c>
      <c r="Q65" s="138">
        <f>Divisional!Q7</f>
        <v>5395</v>
      </c>
      <c r="R65" s="138"/>
      <c r="S65" s="138">
        <f>SUM(S62:S64)</f>
        <v>0</v>
      </c>
      <c r="T65" s="138">
        <f>SUM(T62:T64)</f>
        <v>0</v>
      </c>
      <c r="U65" s="138">
        <f>SUM(U62:U64)</f>
        <v>0</v>
      </c>
      <c r="V65" s="138">
        <f>SUM(V62:V64)</f>
        <v>0</v>
      </c>
      <c r="W65" s="138"/>
      <c r="X65" s="138"/>
      <c r="Y65" s="138"/>
      <c r="Z65" s="138"/>
      <c r="AA65" s="138"/>
      <c r="AB65" s="138"/>
      <c r="AC65" s="138"/>
      <c r="AD65" s="1150">
        <f>SUM(AD62:AD64)</f>
        <v>0</v>
      </c>
      <c r="AE65" s="138"/>
      <c r="AF65" s="138"/>
      <c r="AG65" s="138"/>
      <c r="AH65" s="138"/>
      <c r="AI65" s="138"/>
      <c r="AJ65" s="138"/>
      <c r="AK65" s="138"/>
      <c r="AL65" s="1150">
        <f>SUM(AL62:AL64)</f>
        <v>0</v>
      </c>
      <c r="AM65" s="138"/>
      <c r="AN65" s="138"/>
      <c r="AO65" s="138"/>
      <c r="AP65" s="138"/>
      <c r="AQ65" s="138"/>
      <c r="AR65" s="138"/>
      <c r="AS65" s="138"/>
      <c r="AT65" s="1150"/>
      <c r="AU65" s="138"/>
      <c r="AV65" s="138"/>
      <c r="AW65" s="138"/>
      <c r="AX65" s="138"/>
      <c r="AY65" s="138"/>
      <c r="AZ65" s="138"/>
      <c r="BA65" s="138"/>
      <c r="BB65" s="1150"/>
      <c r="BC65" s="138"/>
      <c r="BD65" s="138"/>
      <c r="BE65" s="138"/>
      <c r="BF65" s="138"/>
      <c r="BG65" s="138"/>
      <c r="BH65" s="138"/>
      <c r="BI65" s="138"/>
      <c r="BJ65" s="1150"/>
      <c r="BK65" s="138"/>
      <c r="BL65" s="138"/>
      <c r="BM65" s="138"/>
      <c r="BN65" s="138"/>
      <c r="BO65" s="138"/>
      <c r="BP65" s="138"/>
      <c r="BQ65" s="138"/>
      <c r="BR65" s="1150"/>
      <c r="BS65" s="138"/>
      <c r="BT65" s="138"/>
      <c r="BU65" s="138"/>
      <c r="BV65" s="138"/>
      <c r="BW65" s="138"/>
      <c r="BX65" s="138"/>
      <c r="BY65" s="138"/>
      <c r="BZ65" s="1150"/>
      <c r="CA65" s="138"/>
      <c r="CB65" s="138"/>
      <c r="CC65" s="138"/>
      <c r="CD65" s="138"/>
      <c r="CE65" s="138"/>
      <c r="CF65" s="138"/>
      <c r="CG65" s="138"/>
      <c r="CH65" s="1150"/>
    </row>
    <row r="66" spans="1:87" ht="11.25" hidden="1" customHeight="1" outlineLevel="1" x14ac:dyDescent="0.25">
      <c r="A66" s="197" t="s">
        <v>728</v>
      </c>
      <c r="B66" s="503"/>
      <c r="C66" s="466">
        <f>C65/B65-1</f>
        <v>0.1311401532221721</v>
      </c>
      <c r="D66" s="466">
        <f>D65/C65-1</f>
        <v>5.3386454183266929E-2</v>
      </c>
      <c r="E66" s="466">
        <f>E65/D65-1</f>
        <v>2.2314674735249618E-2</v>
      </c>
      <c r="F66" s="466">
        <f>F65/E65-1</f>
        <v>2.6637069922308632E-2</v>
      </c>
      <c r="G66" s="466">
        <f>G65/F65-1</f>
        <v>-2.8828828828828534E-3</v>
      </c>
      <c r="H66" s="466">
        <f t="shared" ref="H66:V66" si="38">H65/G65-1</f>
        <v>2.4213950126490857E-2</v>
      </c>
      <c r="I66" s="466">
        <f t="shared" si="38"/>
        <v>9.2801693719124945E-2</v>
      </c>
      <c r="J66" s="466">
        <f t="shared" si="38"/>
        <v>0.191798514691637</v>
      </c>
      <c r="K66" s="466">
        <f t="shared" si="38"/>
        <v>0.10837171498238951</v>
      </c>
      <c r="L66" s="466">
        <f t="shared" si="38"/>
        <v>8.6775849425568374E-2</v>
      </c>
      <c r="M66" s="272">
        <f t="shared" si="38"/>
        <v>0.11178587494376968</v>
      </c>
      <c r="N66" s="272">
        <f t="shared" si="38"/>
        <v>4.0865870928585846E-2</v>
      </c>
      <c r="O66" s="272">
        <f t="shared" si="38"/>
        <v>5.2478134110787167E-2</v>
      </c>
      <c r="P66" s="272"/>
      <c r="Q66" s="272">
        <f>Q65/P65-1</f>
        <v>2.5665399239543696E-2</v>
      </c>
      <c r="R66" s="272"/>
      <c r="S66" s="272">
        <f>S65/Q65-1</f>
        <v>-1</v>
      </c>
      <c r="T66" s="272" t="e">
        <f t="shared" si="38"/>
        <v>#DIV/0!</v>
      </c>
      <c r="U66" s="466" t="e">
        <f t="shared" si="38"/>
        <v>#DIV/0!</v>
      </c>
      <c r="V66" s="466" t="e">
        <f t="shared" si="38"/>
        <v>#DIV/0!</v>
      </c>
      <c r="W66" s="466"/>
      <c r="X66" s="466"/>
      <c r="Y66" s="466"/>
      <c r="Z66" s="466"/>
      <c r="AA66" s="466"/>
      <c r="AB66" s="466"/>
      <c r="AC66" s="466"/>
      <c r="AD66" s="466" t="e">
        <f>AD65/V65-1</f>
        <v>#DIV/0!</v>
      </c>
      <c r="AE66" s="466"/>
      <c r="AF66" s="466"/>
      <c r="AG66" s="466"/>
      <c r="AH66" s="466"/>
      <c r="AI66" s="466"/>
      <c r="AJ66" s="466"/>
      <c r="AK66" s="466"/>
      <c r="AL66" s="466"/>
      <c r="AM66" s="466"/>
      <c r="AN66" s="466"/>
      <c r="AO66" s="466"/>
      <c r="AP66" s="466"/>
      <c r="AQ66" s="466"/>
      <c r="AR66" s="466"/>
      <c r="AS66" s="466"/>
      <c r="AT66" s="466"/>
      <c r="AU66" s="466"/>
      <c r="AV66" s="466"/>
      <c r="AW66" s="466"/>
      <c r="AX66" s="466"/>
      <c r="AY66" s="466"/>
      <c r="AZ66" s="466"/>
      <c r="BA66" s="466"/>
      <c r="BB66" s="466"/>
      <c r="BC66" s="466"/>
      <c r="BD66" s="466"/>
      <c r="BE66" s="466"/>
      <c r="BF66" s="466"/>
      <c r="BG66" s="466"/>
      <c r="BH66" s="466"/>
      <c r="BI66" s="466"/>
      <c r="BJ66" s="466"/>
      <c r="BK66" s="466"/>
      <c r="BL66" s="466"/>
      <c r="BM66" s="466"/>
      <c r="BN66" s="466"/>
      <c r="BO66" s="466"/>
      <c r="BP66" s="466"/>
      <c r="BQ66" s="466"/>
      <c r="BR66" s="466"/>
      <c r="BS66" s="466"/>
      <c r="BT66" s="466"/>
      <c r="BU66" s="466"/>
      <c r="BV66" s="466"/>
      <c r="BW66" s="466"/>
      <c r="BX66" s="466"/>
      <c r="BY66" s="466"/>
      <c r="BZ66" s="466"/>
      <c r="CA66" s="466"/>
      <c r="CB66" s="466"/>
      <c r="CC66" s="466"/>
      <c r="CD66" s="466"/>
      <c r="CE66" s="466"/>
      <c r="CF66" s="466"/>
      <c r="CG66" s="466"/>
      <c r="CH66" s="466"/>
      <c r="CI66" s="237"/>
    </row>
    <row r="67" spans="1:87" ht="11.25" hidden="1" customHeight="1" outlineLevel="1" x14ac:dyDescent="0.25">
      <c r="A67" s="197"/>
      <c r="B67" s="503"/>
      <c r="C67" s="503"/>
      <c r="D67" s="503"/>
      <c r="E67" s="503"/>
      <c r="F67" s="503"/>
      <c r="G67" s="503"/>
      <c r="H67" s="466"/>
      <c r="I67" s="466"/>
      <c r="J67" s="466"/>
      <c r="K67" s="466"/>
      <c r="L67" s="466"/>
      <c r="M67" s="272"/>
      <c r="N67" s="272"/>
      <c r="O67" s="272"/>
      <c r="P67" s="272"/>
      <c r="Q67" s="272"/>
      <c r="R67" s="272"/>
      <c r="S67" s="272"/>
      <c r="T67" s="272"/>
      <c r="U67" s="466"/>
      <c r="V67" s="466"/>
      <c r="W67" s="466"/>
      <c r="X67" s="466"/>
      <c r="Y67" s="466"/>
      <c r="Z67" s="466"/>
      <c r="AA67" s="466"/>
      <c r="AB67" s="466"/>
      <c r="AC67" s="466"/>
      <c r="AD67" s="466"/>
      <c r="AE67" s="466"/>
      <c r="AF67" s="466"/>
      <c r="AG67" s="466"/>
      <c r="AH67" s="466"/>
      <c r="AI67" s="466"/>
      <c r="AJ67" s="466"/>
      <c r="AK67" s="466"/>
      <c r="AL67" s="466"/>
      <c r="AM67" s="466"/>
      <c r="AN67" s="466"/>
      <c r="AO67" s="466"/>
      <c r="AP67" s="466"/>
      <c r="AQ67" s="466"/>
      <c r="AR67" s="466"/>
      <c r="AS67" s="466"/>
      <c r="AT67" s="466"/>
      <c r="AU67" s="466"/>
      <c r="AV67" s="466"/>
      <c r="AW67" s="466"/>
      <c r="AX67" s="466"/>
      <c r="AY67" s="466"/>
      <c r="AZ67" s="466"/>
      <c r="BA67" s="466"/>
      <c r="BB67" s="466"/>
      <c r="BC67" s="466"/>
      <c r="BD67" s="466"/>
      <c r="BE67" s="466"/>
      <c r="BF67" s="466"/>
      <c r="BG67" s="466"/>
      <c r="BH67" s="466"/>
      <c r="BI67" s="466"/>
      <c r="BJ67" s="466"/>
      <c r="BK67" s="466"/>
      <c r="BL67" s="466"/>
      <c r="BM67" s="466"/>
      <c r="BN67" s="466"/>
      <c r="BO67" s="466"/>
      <c r="BP67" s="466"/>
      <c r="BQ67" s="466"/>
      <c r="BR67" s="466"/>
      <c r="BS67" s="466"/>
      <c r="BT67" s="466"/>
      <c r="BU67" s="466"/>
      <c r="BV67" s="466"/>
      <c r="BW67" s="466"/>
      <c r="BX67" s="466"/>
      <c r="BY67" s="466"/>
      <c r="BZ67" s="466"/>
      <c r="CA67" s="466"/>
      <c r="CB67" s="466"/>
      <c r="CC67" s="466"/>
      <c r="CD67" s="466"/>
      <c r="CE67" s="466"/>
      <c r="CF67" s="466"/>
      <c r="CG67" s="466"/>
      <c r="CH67" s="466"/>
      <c r="CI67" s="237"/>
    </row>
    <row r="68" spans="1:87" ht="11.25" hidden="1" customHeight="1" outlineLevel="1" x14ac:dyDescent="0.25">
      <c r="A68" s="4" t="s">
        <v>1015</v>
      </c>
      <c r="B68" s="503"/>
      <c r="C68" s="503"/>
      <c r="D68" s="503"/>
      <c r="E68" s="503"/>
      <c r="F68" s="503"/>
      <c r="G68" s="503"/>
      <c r="H68" s="466"/>
      <c r="I68" s="466"/>
      <c r="J68" s="466"/>
      <c r="K68" s="466"/>
      <c r="L68" s="466"/>
      <c r="M68" s="490">
        <f>M71-M70</f>
        <v>445.51087269841264</v>
      </c>
      <c r="N68" s="490">
        <f>N71-N70</f>
        <v>524.94087511776752</v>
      </c>
      <c r="O68" s="490">
        <f>O71-O70</f>
        <v>570.0302079623425</v>
      </c>
      <c r="P68" s="490">
        <f>P71-P70</f>
        <v>507.0302079623425</v>
      </c>
      <c r="Q68" s="490">
        <f>Q71-Q70</f>
        <v>584.46202614416097</v>
      </c>
      <c r="R68" s="490"/>
      <c r="S68" s="490">
        <f>S69*S197</f>
        <v>0</v>
      </c>
      <c r="T68" s="490">
        <f>T69*T197</f>
        <v>0</v>
      </c>
      <c r="U68" s="473">
        <f>U69*U197</f>
        <v>0</v>
      </c>
      <c r="V68" s="473">
        <f>V69*V197</f>
        <v>0</v>
      </c>
      <c r="W68" s="473"/>
      <c r="X68" s="473"/>
      <c r="Y68" s="473"/>
      <c r="Z68" s="473"/>
      <c r="AA68" s="473"/>
      <c r="AB68" s="473"/>
      <c r="AC68" s="473"/>
      <c r="AD68" s="1151">
        <f>AD69*AD197</f>
        <v>0</v>
      </c>
      <c r="AE68" s="473"/>
      <c r="AF68" s="473"/>
      <c r="AG68" s="473"/>
      <c r="AH68" s="473"/>
      <c r="AI68" s="473"/>
      <c r="AJ68" s="473"/>
      <c r="AK68" s="473"/>
      <c r="AL68" s="1151"/>
      <c r="AM68" s="473"/>
      <c r="AN68" s="473"/>
      <c r="AO68" s="473"/>
      <c r="AP68" s="473"/>
      <c r="AQ68" s="473"/>
      <c r="AR68" s="473"/>
      <c r="AS68" s="473"/>
      <c r="AT68" s="1151"/>
      <c r="AU68" s="473"/>
      <c r="AV68" s="473"/>
      <c r="AW68" s="473"/>
      <c r="AX68" s="473"/>
      <c r="AY68" s="473"/>
      <c r="AZ68" s="473"/>
      <c r="BA68" s="473"/>
      <c r="BB68" s="1151"/>
      <c r="BC68" s="473"/>
      <c r="BD68" s="473"/>
      <c r="BE68" s="473"/>
      <c r="BF68" s="473"/>
      <c r="BG68" s="473"/>
      <c r="BH68" s="473"/>
      <c r="BI68" s="473"/>
      <c r="BJ68" s="1151"/>
      <c r="BK68" s="473"/>
      <c r="BL68" s="473"/>
      <c r="BM68" s="473"/>
      <c r="BN68" s="473"/>
      <c r="BO68" s="473"/>
      <c r="BP68" s="473"/>
      <c r="BQ68" s="473"/>
      <c r="BR68" s="1151"/>
      <c r="BS68" s="473"/>
      <c r="BT68" s="473"/>
      <c r="BU68" s="473"/>
      <c r="BV68" s="473"/>
      <c r="BW68" s="473"/>
      <c r="BX68" s="473"/>
      <c r="BY68" s="473"/>
      <c r="BZ68" s="1151"/>
      <c r="CA68" s="473"/>
      <c r="CB68" s="473"/>
      <c r="CC68" s="473"/>
      <c r="CD68" s="473"/>
      <c r="CE68" s="473"/>
      <c r="CF68" s="473"/>
      <c r="CG68" s="473"/>
      <c r="CH68" s="1151"/>
      <c r="CI68" s="237"/>
    </row>
    <row r="69" spans="1:87" ht="11.25" hidden="1" customHeight="1" outlineLevel="1" x14ac:dyDescent="0.25">
      <c r="A69" s="197" t="s">
        <v>461</v>
      </c>
      <c r="B69" s="503"/>
      <c r="C69" s="503"/>
      <c r="D69" s="503"/>
      <c r="E69" s="503"/>
      <c r="F69" s="503"/>
      <c r="G69" s="503"/>
      <c r="H69" s="466"/>
      <c r="I69" s="466"/>
      <c r="J69" s="466"/>
      <c r="K69" s="466"/>
      <c r="L69" s="466"/>
      <c r="M69" s="272">
        <f>M68/M197</f>
        <v>9.8064403058948854E-2</v>
      </c>
      <c r="N69" s="272">
        <f>N68/N197</f>
        <v>0.11118791922050225</v>
      </c>
      <c r="O69" s="272">
        <f>O68/O197</f>
        <v>0.1149989295255599</v>
      </c>
      <c r="P69" s="272">
        <f>P68/P197</f>
        <v>9.6393575658240013E-2</v>
      </c>
      <c r="Q69" s="272">
        <f>Q68/Q197</f>
        <v>0.11773057725098726</v>
      </c>
      <c r="R69" s="272"/>
      <c r="S69" s="551">
        <v>0.13</v>
      </c>
      <c r="T69" s="551">
        <v>0.13</v>
      </c>
      <c r="U69" s="551">
        <v>0.14499999999999999</v>
      </c>
      <c r="V69" s="551">
        <f>+U69</f>
        <v>0.14499999999999999</v>
      </c>
      <c r="W69" s="551"/>
      <c r="X69" s="551"/>
      <c r="Y69" s="551"/>
      <c r="Z69" s="551"/>
      <c r="AA69" s="551"/>
      <c r="AB69" s="551"/>
      <c r="AC69" s="551"/>
      <c r="AD69" s="1152">
        <f>+V69</f>
        <v>0.14499999999999999</v>
      </c>
      <c r="AE69" s="551"/>
      <c r="AF69" s="551"/>
      <c r="AG69" s="551"/>
      <c r="AH69" s="551"/>
      <c r="AI69" s="551"/>
      <c r="AJ69" s="551"/>
      <c r="AK69" s="551"/>
      <c r="AL69" s="1152">
        <v>0.15</v>
      </c>
      <c r="AM69" s="551"/>
      <c r="AN69" s="551"/>
      <c r="AO69" s="551"/>
      <c r="AP69" s="551"/>
      <c r="AQ69" s="551"/>
      <c r="AR69" s="551"/>
      <c r="AS69" s="551"/>
      <c r="AT69" s="1622"/>
      <c r="AU69" s="551"/>
      <c r="AV69" s="551"/>
      <c r="AW69" s="551"/>
      <c r="AX69" s="551"/>
      <c r="AY69" s="551"/>
      <c r="AZ69" s="551"/>
      <c r="BA69" s="551"/>
      <c r="BB69" s="1152">
        <v>0.15</v>
      </c>
      <c r="BC69" s="551"/>
      <c r="BD69" s="551"/>
      <c r="BE69" s="551"/>
      <c r="BF69" s="551"/>
      <c r="BG69" s="551"/>
      <c r="BH69" s="551"/>
      <c r="BI69" s="551"/>
      <c r="BJ69" s="1152">
        <f>+BB69</f>
        <v>0.15</v>
      </c>
      <c r="BK69" s="551"/>
      <c r="BL69" s="551"/>
      <c r="BM69" s="551"/>
      <c r="BN69" s="551"/>
      <c r="BO69" s="551"/>
      <c r="BP69" s="551"/>
      <c r="BQ69" s="551"/>
      <c r="BR69" s="1152">
        <f>+BJ69</f>
        <v>0.15</v>
      </c>
      <c r="BS69" s="551"/>
      <c r="BT69" s="551"/>
      <c r="BU69" s="551"/>
      <c r="BV69" s="551"/>
      <c r="BW69" s="551"/>
      <c r="BX69" s="551"/>
      <c r="BY69" s="551"/>
      <c r="BZ69" s="1152">
        <f>+BR69</f>
        <v>0.15</v>
      </c>
      <c r="CA69" s="551"/>
      <c r="CB69" s="551"/>
      <c r="CC69" s="551"/>
      <c r="CD69" s="551"/>
      <c r="CE69" s="551"/>
      <c r="CF69" s="551"/>
      <c r="CG69" s="551"/>
      <c r="CH69" s="1152">
        <f>+BZ69</f>
        <v>0.15</v>
      </c>
      <c r="CI69" s="237"/>
    </row>
    <row r="70" spans="1:87" ht="11.25" hidden="1" customHeight="1" outlineLevel="1" x14ac:dyDescent="0.25">
      <c r="A70" s="4" t="s">
        <v>275</v>
      </c>
      <c r="B70" s="503"/>
      <c r="C70" s="503"/>
      <c r="D70" s="503"/>
      <c r="E70" s="503"/>
      <c r="F70" s="503"/>
      <c r="G70" s="503"/>
      <c r="H70" s="466"/>
      <c r="I70" s="466"/>
      <c r="J70" s="466"/>
      <c r="K70" s="466"/>
      <c r="L70" s="466"/>
      <c r="M70" s="490">
        <f>M191</f>
        <v>20.489127301587359</v>
      </c>
      <c r="N70" s="490">
        <f>N191</f>
        <v>42.059124882232481</v>
      </c>
      <c r="O70" s="490">
        <f>O191</f>
        <v>111.9697920376575</v>
      </c>
      <c r="P70" s="490">
        <f>O70</f>
        <v>111.9697920376575</v>
      </c>
      <c r="Q70" s="490">
        <f>Q191</f>
        <v>185.53797385583903</v>
      </c>
      <c r="R70" s="490"/>
      <c r="S70" s="490">
        <f>S191</f>
        <v>0</v>
      </c>
      <c r="T70" s="490">
        <f>T191</f>
        <v>0</v>
      </c>
      <c r="U70" s="473">
        <f>U191</f>
        <v>0</v>
      </c>
      <c r="V70" s="473">
        <f>V191</f>
        <v>0</v>
      </c>
      <c r="W70" s="473"/>
      <c r="X70" s="473"/>
      <c r="Y70" s="473"/>
      <c r="Z70" s="473"/>
      <c r="AA70" s="473"/>
      <c r="AB70" s="473"/>
      <c r="AC70" s="473"/>
      <c r="AD70" s="1151">
        <f>AD191</f>
        <v>0</v>
      </c>
      <c r="AE70" s="473"/>
      <c r="AF70" s="473"/>
      <c r="AG70" s="473"/>
      <c r="AH70" s="473"/>
      <c r="AI70" s="473"/>
      <c r="AJ70" s="473"/>
      <c r="AK70" s="473"/>
      <c r="AL70" s="1151"/>
      <c r="AM70" s="473"/>
      <c r="AN70" s="473"/>
      <c r="AO70" s="473"/>
      <c r="AP70" s="473"/>
      <c r="AQ70" s="473"/>
      <c r="AR70" s="473"/>
      <c r="AS70" s="473"/>
      <c r="AT70" s="1151"/>
      <c r="AU70" s="473"/>
      <c r="AV70" s="473"/>
      <c r="AW70" s="473"/>
      <c r="AX70" s="473"/>
      <c r="AY70" s="473"/>
      <c r="AZ70" s="473"/>
      <c r="BA70" s="473"/>
      <c r="BB70" s="1151"/>
      <c r="BC70" s="473"/>
      <c r="BD70" s="473"/>
      <c r="BE70" s="473"/>
      <c r="BF70" s="473"/>
      <c r="BG70" s="473"/>
      <c r="BH70" s="473"/>
      <c r="BI70" s="473"/>
      <c r="BJ70" s="1151"/>
      <c r="BK70" s="473"/>
      <c r="BL70" s="473"/>
      <c r="BM70" s="473"/>
      <c r="BN70" s="473"/>
      <c r="BO70" s="473"/>
      <c r="BP70" s="473"/>
      <c r="BQ70" s="473"/>
      <c r="BR70" s="1151"/>
      <c r="BS70" s="473"/>
      <c r="BT70" s="473"/>
      <c r="BU70" s="473"/>
      <c r="BV70" s="473"/>
      <c r="BW70" s="473"/>
      <c r="BX70" s="473"/>
      <c r="BY70" s="473"/>
      <c r="BZ70" s="1151"/>
      <c r="CA70" s="473"/>
      <c r="CB70" s="473"/>
      <c r="CC70" s="473"/>
      <c r="CD70" s="473"/>
      <c r="CE70" s="473"/>
      <c r="CF70" s="473"/>
      <c r="CG70" s="473"/>
      <c r="CH70" s="1151"/>
      <c r="CI70" s="237"/>
    </row>
    <row r="71" spans="1:87" ht="11.25" hidden="1" customHeight="1" outlineLevel="1" x14ac:dyDescent="0.2">
      <c r="A71" s="186" t="s">
        <v>1016</v>
      </c>
      <c r="B71" s="138">
        <f>Divisional!B41</f>
        <v>165</v>
      </c>
      <c r="C71" s="138">
        <f>Divisional!C41</f>
        <v>212</v>
      </c>
      <c r="D71" s="138">
        <f>Divisional!D41</f>
        <v>197</v>
      </c>
      <c r="E71" s="138">
        <f>Divisional!E41</f>
        <v>109</v>
      </c>
      <c r="F71" s="138">
        <f>Divisional!F41</f>
        <v>62</v>
      </c>
      <c r="G71" s="138">
        <f>Divisional!G41</f>
        <v>73</v>
      </c>
      <c r="H71" s="138">
        <f>Divisional!H41</f>
        <v>127</v>
      </c>
      <c r="I71" s="138">
        <f>Divisional!I41</f>
        <v>202</v>
      </c>
      <c r="J71" s="138">
        <f>Divisional!J41</f>
        <v>286</v>
      </c>
      <c r="K71" s="138">
        <f>Divisional!K41</f>
        <v>376</v>
      </c>
      <c r="L71" s="138">
        <f>Divisional!L41</f>
        <v>426</v>
      </c>
      <c r="M71" s="138">
        <f>Divisional!M41</f>
        <v>466</v>
      </c>
      <c r="N71" s="138">
        <f>Divisional!N41</f>
        <v>567</v>
      </c>
      <c r="O71" s="138">
        <f>Divisional!O41</f>
        <v>682</v>
      </c>
      <c r="P71" s="138">
        <f>Divisional!P41</f>
        <v>619</v>
      </c>
      <c r="Q71" s="138">
        <f>Divisional!Q41</f>
        <v>770</v>
      </c>
      <c r="R71" s="138"/>
      <c r="S71" s="138">
        <f>S68+S70</f>
        <v>0</v>
      </c>
      <c r="T71" s="138">
        <f>T68+T70</f>
        <v>0</v>
      </c>
      <c r="U71" s="138">
        <f>U68+U70</f>
        <v>0</v>
      </c>
      <c r="V71" s="138">
        <f>V68+V70</f>
        <v>0</v>
      </c>
      <c r="W71" s="138"/>
      <c r="X71" s="138"/>
      <c r="Y71" s="138"/>
      <c r="Z71" s="138"/>
      <c r="AA71" s="138"/>
      <c r="AB71" s="138"/>
      <c r="AC71" s="138"/>
      <c r="AD71" s="1150">
        <f>AD68+AD70</f>
        <v>0</v>
      </c>
      <c r="AE71" s="138"/>
      <c r="AF71" s="138"/>
      <c r="AG71" s="138"/>
      <c r="AH71" s="138"/>
      <c r="AI71" s="138"/>
      <c r="AJ71" s="138"/>
      <c r="AK71" s="138"/>
      <c r="AL71" s="1150"/>
      <c r="AM71" s="138"/>
      <c r="AN71" s="138"/>
      <c r="AO71" s="138"/>
      <c r="AP71" s="138"/>
      <c r="AQ71" s="138"/>
      <c r="AR71" s="138"/>
      <c r="AS71" s="138"/>
      <c r="AT71" s="1150"/>
      <c r="AU71" s="138"/>
      <c r="AV71" s="138"/>
      <c r="AW71" s="138"/>
      <c r="AX71" s="138"/>
      <c r="AY71" s="138"/>
      <c r="AZ71" s="138"/>
      <c r="BA71" s="138"/>
      <c r="BB71" s="1150"/>
      <c r="BC71" s="138"/>
      <c r="BD71" s="138"/>
      <c r="BE71" s="138"/>
      <c r="BF71" s="138"/>
      <c r="BG71" s="138"/>
      <c r="BH71" s="138"/>
      <c r="BI71" s="138"/>
      <c r="BJ71" s="1150"/>
      <c r="BK71" s="138"/>
      <c r="BL71" s="138"/>
      <c r="BM71" s="138"/>
      <c r="BN71" s="138"/>
      <c r="BO71" s="138"/>
      <c r="BP71" s="138"/>
      <c r="BQ71" s="138"/>
      <c r="BR71" s="1150"/>
      <c r="BS71" s="138"/>
      <c r="BT71" s="138"/>
      <c r="BU71" s="138"/>
      <c r="BV71" s="138"/>
      <c r="BW71" s="138"/>
      <c r="BX71" s="138"/>
      <c r="BY71" s="138"/>
      <c r="BZ71" s="1150"/>
      <c r="CA71" s="138"/>
      <c r="CB71" s="138"/>
      <c r="CC71" s="138"/>
      <c r="CD71" s="138"/>
      <c r="CE71" s="138"/>
      <c r="CF71" s="138"/>
      <c r="CG71" s="138"/>
      <c r="CH71" s="1150"/>
    </row>
    <row r="72" spans="1:87" ht="11.25" hidden="1" customHeight="1" outlineLevel="1" x14ac:dyDescent="0.2">
      <c r="A72" s="197" t="s">
        <v>461</v>
      </c>
      <c r="B72" s="466">
        <f t="shared" ref="B72:AD72" si="39">B71/B65</f>
        <v>7.4357818837314099E-2</v>
      </c>
      <c r="C72" s="466">
        <f t="shared" si="39"/>
        <v>8.4462151394422313E-2</v>
      </c>
      <c r="D72" s="466">
        <f t="shared" si="39"/>
        <v>7.4508320726172472E-2</v>
      </c>
      <c r="E72" s="466">
        <f t="shared" si="39"/>
        <v>4.0325564187939325E-2</v>
      </c>
      <c r="F72" s="466">
        <f t="shared" si="39"/>
        <v>2.2342342342342343E-2</v>
      </c>
      <c r="G72" s="466">
        <f t="shared" si="39"/>
        <v>2.6382363570654137E-2</v>
      </c>
      <c r="H72" s="466">
        <f t="shared" si="39"/>
        <v>4.481298517995766E-2</v>
      </c>
      <c r="I72" s="466">
        <f t="shared" si="39"/>
        <v>6.5224410720051668E-2</v>
      </c>
      <c r="J72" s="466">
        <f t="shared" si="39"/>
        <v>7.7485776212408555E-2</v>
      </c>
      <c r="K72" s="466">
        <f t="shared" si="39"/>
        <v>9.1909068687362497E-2</v>
      </c>
      <c r="L72" s="466">
        <f t="shared" si="39"/>
        <v>9.5816464237516871E-2</v>
      </c>
      <c r="M72" s="272">
        <f t="shared" si="39"/>
        <v>9.427473194416347E-2</v>
      </c>
      <c r="N72" s="272">
        <f t="shared" si="39"/>
        <v>0.11020408163265306</v>
      </c>
      <c r="O72" s="272">
        <f t="shared" si="39"/>
        <v>0.12594644506001848</v>
      </c>
      <c r="P72" s="272">
        <f t="shared" si="39"/>
        <v>0.11768060836501901</v>
      </c>
      <c r="Q72" s="272">
        <f t="shared" si="39"/>
        <v>0.14272474513438368</v>
      </c>
      <c r="R72" s="272"/>
      <c r="S72" s="272" t="e">
        <f t="shared" si="39"/>
        <v>#DIV/0!</v>
      </c>
      <c r="T72" s="272" t="e">
        <f t="shared" si="39"/>
        <v>#DIV/0!</v>
      </c>
      <c r="U72" s="466" t="e">
        <f t="shared" si="39"/>
        <v>#DIV/0!</v>
      </c>
      <c r="V72" s="466" t="e">
        <f t="shared" si="39"/>
        <v>#DIV/0!</v>
      </c>
      <c r="W72" s="466"/>
      <c r="X72" s="466"/>
      <c r="Y72" s="466"/>
      <c r="Z72" s="466"/>
      <c r="AA72" s="466"/>
      <c r="AB72" s="466"/>
      <c r="AC72" s="466"/>
      <c r="AD72" s="1153" t="e">
        <f t="shared" si="39"/>
        <v>#DIV/0!</v>
      </c>
      <c r="AE72" s="466"/>
      <c r="AF72" s="466"/>
      <c r="AG72" s="466"/>
      <c r="AH72" s="466"/>
      <c r="AI72" s="466"/>
      <c r="AJ72" s="466"/>
      <c r="AK72" s="466"/>
      <c r="AL72" s="1153"/>
      <c r="AM72" s="466"/>
      <c r="AN72" s="466"/>
      <c r="AO72" s="466"/>
      <c r="AP72" s="466"/>
      <c r="AQ72" s="466"/>
      <c r="AR72" s="466"/>
      <c r="AS72" s="466"/>
      <c r="AT72" s="1153"/>
      <c r="AU72" s="466"/>
      <c r="AV72" s="466"/>
      <c r="AW72" s="466"/>
      <c r="AX72" s="466"/>
      <c r="AY72" s="466"/>
      <c r="AZ72" s="466"/>
      <c r="BA72" s="466"/>
      <c r="BB72" s="1153"/>
      <c r="BC72" s="466"/>
      <c r="BD72" s="466"/>
      <c r="BE72" s="466"/>
      <c r="BF72" s="466"/>
      <c r="BG72" s="466"/>
      <c r="BH72" s="466"/>
      <c r="BI72" s="466"/>
      <c r="BJ72" s="1153"/>
      <c r="BK72" s="466"/>
      <c r="BL72" s="466"/>
      <c r="BM72" s="466"/>
      <c r="BN72" s="466"/>
      <c r="BO72" s="466"/>
      <c r="BP72" s="466"/>
      <c r="BQ72" s="466"/>
      <c r="BR72" s="1153"/>
      <c r="BS72" s="466"/>
      <c r="BT72" s="466"/>
      <c r="BU72" s="466"/>
      <c r="BV72" s="466"/>
      <c r="BW72" s="466"/>
      <c r="BX72" s="466"/>
      <c r="BY72" s="466"/>
      <c r="BZ72" s="1153"/>
      <c r="CA72" s="466"/>
      <c r="CB72" s="466"/>
      <c r="CC72" s="466"/>
      <c r="CD72" s="466"/>
      <c r="CE72" s="466"/>
      <c r="CF72" s="466"/>
      <c r="CG72" s="466"/>
      <c r="CH72" s="1153"/>
      <c r="CI72" s="237"/>
    </row>
    <row r="73" spans="1:87" ht="11.25" hidden="1" customHeight="1" outlineLevel="1" x14ac:dyDescent="0.25">
      <c r="B73" s="503"/>
      <c r="C73" s="503"/>
      <c r="D73" s="503"/>
      <c r="E73" s="503"/>
      <c r="F73" s="503"/>
      <c r="G73" s="503"/>
      <c r="H73" s="473"/>
      <c r="I73" s="473"/>
      <c r="J73" s="473"/>
      <c r="K73" s="473"/>
      <c r="L73" s="473"/>
      <c r="M73" s="490"/>
      <c r="N73" s="490"/>
      <c r="O73" s="490"/>
      <c r="P73" s="490"/>
      <c r="Q73" s="490"/>
      <c r="R73" s="490"/>
      <c r="S73" s="490"/>
      <c r="T73" s="490"/>
      <c r="U73" s="473"/>
      <c r="V73" s="473"/>
      <c r="W73" s="473"/>
      <c r="X73" s="473"/>
      <c r="Y73" s="473"/>
      <c r="Z73" s="473"/>
      <c r="AA73" s="473"/>
      <c r="AB73" s="473"/>
      <c r="AC73" s="473"/>
      <c r="AD73" s="102"/>
      <c r="AE73" s="473"/>
      <c r="AF73" s="473"/>
      <c r="AG73" s="473"/>
      <c r="AH73" s="473"/>
      <c r="AI73" s="473"/>
      <c r="AJ73" s="473"/>
      <c r="AK73" s="473"/>
      <c r="AL73" s="102"/>
      <c r="AM73" s="473"/>
      <c r="AN73" s="473"/>
      <c r="AO73" s="473"/>
      <c r="AP73" s="473"/>
      <c r="AQ73" s="473"/>
      <c r="AR73" s="473"/>
      <c r="AS73" s="473"/>
      <c r="AT73" s="102"/>
      <c r="AU73" s="473"/>
      <c r="AV73" s="473"/>
      <c r="AW73" s="473"/>
      <c r="AX73" s="473"/>
      <c r="AY73" s="473"/>
      <c r="AZ73" s="473"/>
      <c r="BA73" s="473"/>
      <c r="BB73" s="102"/>
      <c r="BC73" s="473"/>
      <c r="BD73" s="473"/>
      <c r="BE73" s="473"/>
      <c r="BF73" s="473"/>
      <c r="BG73" s="473"/>
      <c r="BH73" s="473"/>
      <c r="BI73" s="473"/>
      <c r="BJ73" s="102"/>
      <c r="BK73" s="473"/>
      <c r="BL73" s="473"/>
      <c r="BM73" s="473"/>
      <c r="BN73" s="473"/>
      <c r="BO73" s="473"/>
      <c r="BP73" s="473"/>
      <c r="BQ73" s="473"/>
      <c r="BR73" s="102"/>
      <c r="BS73" s="473"/>
      <c r="BT73" s="473"/>
      <c r="BU73" s="473"/>
      <c r="BV73" s="473"/>
      <c r="BW73" s="473"/>
      <c r="BX73" s="473"/>
      <c r="BY73" s="473"/>
      <c r="BZ73" s="102"/>
      <c r="CA73" s="473"/>
      <c r="CB73" s="473"/>
      <c r="CC73" s="473"/>
      <c r="CD73" s="473"/>
      <c r="CE73" s="473"/>
      <c r="CF73" s="473"/>
      <c r="CG73" s="473"/>
      <c r="CH73" s="102"/>
    </row>
    <row r="74" spans="1:87" ht="11.25" hidden="1" customHeight="1" outlineLevel="1" x14ac:dyDescent="0.25">
      <c r="A74" s="4" t="s">
        <v>733</v>
      </c>
      <c r="B74" s="608">
        <v>0</v>
      </c>
      <c r="C74" s="608">
        <v>0</v>
      </c>
      <c r="D74" s="608">
        <v>0</v>
      </c>
      <c r="E74" s="608">
        <v>0</v>
      </c>
      <c r="F74" s="608">
        <v>0</v>
      </c>
      <c r="G74" s="156">
        <v>-71</v>
      </c>
      <c r="H74" s="608">
        <f>-2</f>
        <v>-2</v>
      </c>
      <c r="I74" s="608">
        <v>0</v>
      </c>
      <c r="J74" s="608">
        <v>0</v>
      </c>
      <c r="K74" s="1154">
        <v>0</v>
      </c>
      <c r="L74" s="473">
        <v>-58</v>
      </c>
      <c r="M74" s="473">
        <v>-43</v>
      </c>
      <c r="N74" s="473">
        <v>-5</v>
      </c>
      <c r="O74" s="473">
        <v>-14</v>
      </c>
      <c r="P74" s="473">
        <v>-14</v>
      </c>
      <c r="Q74" s="473">
        <v>-11</v>
      </c>
      <c r="R74" s="473"/>
      <c r="S74" s="608">
        <v>0</v>
      </c>
      <c r="T74" s="608">
        <v>0</v>
      </c>
      <c r="U74" s="608">
        <v>0</v>
      </c>
      <c r="V74" s="608">
        <v>0</v>
      </c>
      <c r="W74" s="608"/>
      <c r="X74" s="608"/>
      <c r="Y74" s="608"/>
      <c r="Z74" s="608"/>
      <c r="AA74" s="608"/>
      <c r="AB74" s="608"/>
      <c r="AC74" s="608"/>
      <c r="AD74" s="1155">
        <v>0</v>
      </c>
      <c r="AE74" s="608"/>
      <c r="AF74" s="608"/>
      <c r="AG74" s="608"/>
      <c r="AH74" s="608"/>
      <c r="AI74" s="608"/>
      <c r="AJ74" s="608"/>
      <c r="AK74" s="608"/>
      <c r="AL74" s="1155">
        <v>0</v>
      </c>
      <c r="AM74" s="608"/>
      <c r="AN74" s="608"/>
      <c r="AO74" s="608"/>
      <c r="AP74" s="608"/>
      <c r="AQ74" s="608"/>
      <c r="AR74" s="608"/>
      <c r="AS74" s="608"/>
      <c r="AT74" s="1623"/>
      <c r="AU74" s="608"/>
      <c r="AV74" s="608"/>
      <c r="AW74" s="608"/>
      <c r="AX74" s="608"/>
      <c r="AY74" s="608"/>
      <c r="AZ74" s="608"/>
      <c r="BA74" s="608"/>
      <c r="BB74" s="1155">
        <v>0</v>
      </c>
      <c r="BC74" s="608"/>
      <c r="BD74" s="608"/>
      <c r="BE74" s="608"/>
      <c r="BF74" s="608"/>
      <c r="BG74" s="608"/>
      <c r="BH74" s="608"/>
      <c r="BI74" s="608"/>
      <c r="BJ74" s="1155">
        <v>0</v>
      </c>
      <c r="BK74" s="608"/>
      <c r="BL74" s="608"/>
      <c r="BM74" s="608"/>
      <c r="BN74" s="608"/>
      <c r="BO74" s="608"/>
      <c r="BP74" s="608"/>
      <c r="BQ74" s="608"/>
      <c r="BR74" s="1155">
        <v>0</v>
      </c>
      <c r="BS74" s="608"/>
      <c r="BT74" s="608"/>
      <c r="BU74" s="608"/>
      <c r="BV74" s="608"/>
      <c r="BW74" s="608"/>
      <c r="BX74" s="608"/>
      <c r="BY74" s="608"/>
      <c r="BZ74" s="1155">
        <v>0</v>
      </c>
      <c r="CA74" s="608"/>
      <c r="CB74" s="608"/>
      <c r="CC74" s="608"/>
      <c r="CD74" s="608"/>
      <c r="CE74" s="608"/>
      <c r="CF74" s="608"/>
      <c r="CG74" s="608"/>
      <c r="CH74" s="1155">
        <v>0</v>
      </c>
    </row>
    <row r="75" spans="1:87" ht="11.25" hidden="1" customHeight="1" outlineLevel="1" x14ac:dyDescent="0.25">
      <c r="A75" s="4" t="s">
        <v>734</v>
      </c>
      <c r="B75" s="473">
        <f t="shared" ref="B75:AL75" si="40">B74+B71</f>
        <v>165</v>
      </c>
      <c r="C75" s="473">
        <f t="shared" si="40"/>
        <v>212</v>
      </c>
      <c r="D75" s="473">
        <f t="shared" si="40"/>
        <v>197</v>
      </c>
      <c r="E75" s="473">
        <f t="shared" si="40"/>
        <v>109</v>
      </c>
      <c r="F75" s="473">
        <f t="shared" si="40"/>
        <v>62</v>
      </c>
      <c r="G75" s="473">
        <f t="shared" si="40"/>
        <v>2</v>
      </c>
      <c r="H75" s="473">
        <f t="shared" si="40"/>
        <v>125</v>
      </c>
      <c r="I75" s="473">
        <f t="shared" si="40"/>
        <v>202</v>
      </c>
      <c r="J75" s="473">
        <f t="shared" si="40"/>
        <v>286</v>
      </c>
      <c r="K75" s="1156">
        <f t="shared" si="40"/>
        <v>376</v>
      </c>
      <c r="L75" s="1156">
        <f t="shared" si="40"/>
        <v>368</v>
      </c>
      <c r="M75" s="1156">
        <f t="shared" si="40"/>
        <v>423</v>
      </c>
      <c r="N75" s="1156">
        <f>N74+N71</f>
        <v>562</v>
      </c>
      <c r="O75" s="1156">
        <f t="shared" si="40"/>
        <v>668</v>
      </c>
      <c r="P75" s="1156">
        <f t="shared" si="40"/>
        <v>605</v>
      </c>
      <c r="Q75" s="1156">
        <f t="shared" si="40"/>
        <v>759</v>
      </c>
      <c r="R75" s="1156"/>
      <c r="S75" s="1156">
        <f t="shared" si="40"/>
        <v>0</v>
      </c>
      <c r="T75" s="1156">
        <f t="shared" si="40"/>
        <v>0</v>
      </c>
      <c r="U75" s="1156">
        <f t="shared" si="40"/>
        <v>0</v>
      </c>
      <c r="V75" s="1156">
        <f t="shared" si="40"/>
        <v>0</v>
      </c>
      <c r="W75" s="1156"/>
      <c r="X75" s="1156"/>
      <c r="Y75" s="1156"/>
      <c r="Z75" s="1156"/>
      <c r="AA75" s="1156"/>
      <c r="AB75" s="1156"/>
      <c r="AC75" s="1156"/>
      <c r="AD75" s="1157">
        <f t="shared" si="40"/>
        <v>0</v>
      </c>
      <c r="AE75" s="1156"/>
      <c r="AF75" s="1156"/>
      <c r="AG75" s="1156"/>
      <c r="AH75" s="1156"/>
      <c r="AI75" s="1156"/>
      <c r="AJ75" s="1156"/>
      <c r="AK75" s="1156"/>
      <c r="AL75" s="1157">
        <f t="shared" si="40"/>
        <v>0</v>
      </c>
      <c r="AM75" s="1156"/>
      <c r="AN75" s="1156"/>
      <c r="AO75" s="1156"/>
      <c r="AP75" s="1156"/>
      <c r="AQ75" s="1156"/>
      <c r="AR75" s="1156"/>
      <c r="AS75" s="1156"/>
      <c r="AT75" s="1157">
        <f>AT74+AT71</f>
        <v>0</v>
      </c>
      <c r="AU75" s="1156"/>
      <c r="AV75" s="1156"/>
      <c r="AW75" s="1156"/>
      <c r="AX75" s="1156"/>
      <c r="AY75" s="1156"/>
      <c r="AZ75" s="1156"/>
      <c r="BA75" s="1156"/>
      <c r="BB75" s="1157">
        <f>BB74+BB71</f>
        <v>0</v>
      </c>
      <c r="BC75" s="1156"/>
      <c r="BD75" s="1156"/>
      <c r="BE75" s="1156"/>
      <c r="BF75" s="1156"/>
      <c r="BG75" s="1156"/>
      <c r="BH75" s="1156"/>
      <c r="BI75" s="1156"/>
      <c r="BJ75" s="1157">
        <f>BJ74+BJ71</f>
        <v>0</v>
      </c>
      <c r="BK75" s="1156"/>
      <c r="BL75" s="1156"/>
      <c r="BM75" s="1156"/>
      <c r="BN75" s="1156"/>
      <c r="BO75" s="1156"/>
      <c r="BP75" s="1156"/>
      <c r="BQ75" s="1156"/>
      <c r="BR75" s="1157">
        <f>BR74+BR71</f>
        <v>0</v>
      </c>
      <c r="BS75" s="1156"/>
      <c r="BT75" s="1156"/>
      <c r="BU75" s="1156"/>
      <c r="BV75" s="1156"/>
      <c r="BW75" s="1156"/>
      <c r="BX75" s="1156"/>
      <c r="BY75" s="1156"/>
      <c r="BZ75" s="1157">
        <f>BZ74+BZ71</f>
        <v>0</v>
      </c>
      <c r="CA75" s="1156"/>
      <c r="CB75" s="1156"/>
      <c r="CC75" s="1156"/>
      <c r="CD75" s="1156"/>
      <c r="CE75" s="1156"/>
      <c r="CF75" s="1156"/>
      <c r="CG75" s="1156"/>
      <c r="CH75" s="1157">
        <f>CH74+CH71</f>
        <v>0</v>
      </c>
    </row>
    <row r="76" spans="1:87" ht="11.25" hidden="1" customHeight="1" outlineLevel="1" x14ac:dyDescent="0.25">
      <c r="B76" s="503"/>
      <c r="C76" s="503"/>
      <c r="D76" s="503"/>
      <c r="E76" s="503"/>
      <c r="F76" s="503"/>
      <c r="G76" s="503"/>
      <c r="H76" s="503"/>
      <c r="I76" s="503"/>
      <c r="J76" s="503"/>
      <c r="K76" s="503"/>
      <c r="L76" s="503"/>
      <c r="M76" s="504"/>
      <c r="N76" s="504"/>
      <c r="O76" s="504"/>
      <c r="P76" s="504"/>
      <c r="Q76" s="504"/>
      <c r="R76" s="504"/>
      <c r="S76" s="504"/>
      <c r="T76" s="504"/>
      <c r="U76" s="503"/>
      <c r="V76" s="503"/>
      <c r="W76" s="503"/>
      <c r="X76" s="503"/>
      <c r="Y76" s="503"/>
      <c r="Z76" s="503"/>
      <c r="AA76" s="503"/>
      <c r="AB76" s="503"/>
      <c r="AC76" s="503"/>
      <c r="AD76" s="1158"/>
      <c r="AE76" s="503"/>
      <c r="AF76" s="503"/>
      <c r="AG76" s="503"/>
      <c r="AH76" s="503"/>
      <c r="AI76" s="503"/>
      <c r="AJ76" s="503"/>
      <c r="AK76" s="503"/>
      <c r="AL76" s="1158"/>
      <c r="AM76" s="503"/>
      <c r="AN76" s="503"/>
      <c r="AO76" s="503"/>
      <c r="AP76" s="503"/>
      <c r="AQ76" s="503"/>
      <c r="AR76" s="503"/>
      <c r="AS76" s="503"/>
      <c r="AT76" s="1158"/>
      <c r="AU76" s="503"/>
      <c r="AV76" s="503"/>
      <c r="AW76" s="503"/>
      <c r="AX76" s="503"/>
      <c r="AY76" s="503"/>
      <c r="AZ76" s="503"/>
      <c r="BA76" s="503"/>
      <c r="BB76" s="1158"/>
      <c r="BC76" s="503"/>
      <c r="BD76" s="503"/>
      <c r="BE76" s="503"/>
      <c r="BF76" s="503"/>
      <c r="BG76" s="503"/>
      <c r="BH76" s="503"/>
      <c r="BI76" s="503"/>
      <c r="BJ76" s="1158"/>
      <c r="BK76" s="503"/>
      <c r="BL76" s="503"/>
      <c r="BM76" s="503"/>
      <c r="BN76" s="503"/>
      <c r="BO76" s="503"/>
      <c r="BP76" s="503"/>
      <c r="BQ76" s="503"/>
      <c r="BR76" s="1158"/>
      <c r="BS76" s="503"/>
      <c r="BT76" s="503"/>
      <c r="BU76" s="503"/>
      <c r="BV76" s="503"/>
      <c r="BW76" s="503"/>
      <c r="BX76" s="503"/>
      <c r="BY76" s="503"/>
      <c r="BZ76" s="1158"/>
      <c r="CA76" s="503"/>
      <c r="CB76" s="503"/>
      <c r="CC76" s="503"/>
      <c r="CD76" s="503"/>
      <c r="CE76" s="503"/>
      <c r="CF76" s="503"/>
      <c r="CG76" s="503"/>
      <c r="CH76" s="1158"/>
    </row>
    <row r="77" spans="1:87" ht="11.25" hidden="1" customHeight="1" outlineLevel="1" x14ac:dyDescent="0.2">
      <c r="A77" s="616" t="s">
        <v>388</v>
      </c>
      <c r="B77" s="147"/>
      <c r="C77" s="147">
        <f>Divisional!C110</f>
        <v>106</v>
      </c>
      <c r="D77" s="147">
        <f>Divisional!D110</f>
        <v>150</v>
      </c>
      <c r="E77" s="147">
        <f>Divisional!E110</f>
        <v>183</v>
      </c>
      <c r="F77" s="147">
        <f>Divisional!F110</f>
        <v>162</v>
      </c>
      <c r="G77" s="147">
        <f>Divisional!G110</f>
        <v>169</v>
      </c>
      <c r="H77" s="147">
        <f>Divisional!H110</f>
        <v>147</v>
      </c>
      <c r="I77" s="147">
        <f>Divisional!I110</f>
        <v>129</v>
      </c>
      <c r="J77" s="147">
        <f>Divisional!J110</f>
        <v>173</v>
      </c>
      <c r="K77" s="147">
        <f>Divisional!K110</f>
        <v>173</v>
      </c>
      <c r="L77" s="147">
        <f>Divisional!L110</f>
        <v>173</v>
      </c>
      <c r="M77" s="147">
        <f>Divisional!M110</f>
        <v>163</v>
      </c>
      <c r="N77" s="147">
        <f>Divisional!N110</f>
        <v>191</v>
      </c>
      <c r="O77" s="147">
        <f>Divisional!O110</f>
        <v>245</v>
      </c>
      <c r="P77" s="147">
        <f>Divisional!P110</f>
        <v>220</v>
      </c>
      <c r="Q77" s="147">
        <f>Divisional!Q110</f>
        <v>225</v>
      </c>
      <c r="R77" s="147"/>
      <c r="S77" s="451">
        <f>S65*S78</f>
        <v>0</v>
      </c>
      <c r="T77" s="451">
        <f>T65*T78</f>
        <v>0</v>
      </c>
      <c r="U77" s="451">
        <f>U65*U78</f>
        <v>0</v>
      </c>
      <c r="V77" s="451">
        <f>V65*V78</f>
        <v>0</v>
      </c>
      <c r="W77" s="451"/>
      <c r="X77" s="451"/>
      <c r="Y77" s="451"/>
      <c r="Z77" s="451"/>
      <c r="AA77" s="451"/>
      <c r="AB77" s="451"/>
      <c r="AC77" s="451"/>
      <c r="AD77" s="451">
        <f>AD65*AD78</f>
        <v>0</v>
      </c>
      <c r="AE77" s="451"/>
      <c r="AF77" s="451"/>
      <c r="AG77" s="451"/>
      <c r="AH77" s="451"/>
      <c r="AI77" s="451"/>
      <c r="AJ77" s="451"/>
      <c r="AK77" s="451"/>
      <c r="AL77" s="451">
        <f>AL65*AL78</f>
        <v>0</v>
      </c>
      <c r="AM77" s="451"/>
      <c r="AN77" s="451"/>
      <c r="AO77" s="451"/>
      <c r="AP77" s="451"/>
      <c r="AQ77" s="451"/>
      <c r="AR77" s="451"/>
      <c r="AS77" s="451"/>
      <c r="AT77" s="451">
        <f>AT65*AT78</f>
        <v>0</v>
      </c>
      <c r="AU77" s="451"/>
      <c r="AV77" s="451"/>
      <c r="AW77" s="451"/>
      <c r="AX77" s="451"/>
      <c r="AY77" s="451"/>
      <c r="AZ77" s="451"/>
      <c r="BA77" s="451"/>
      <c r="BB77" s="451">
        <f>BB65*BB78</f>
        <v>0</v>
      </c>
      <c r="BC77" s="451"/>
      <c r="BD77" s="451"/>
      <c r="BE77" s="451"/>
      <c r="BF77" s="451"/>
      <c r="BG77" s="451"/>
      <c r="BH77" s="451"/>
      <c r="BI77" s="451"/>
      <c r="BJ77" s="451">
        <f>BJ65*BJ78</f>
        <v>0</v>
      </c>
      <c r="BK77" s="451"/>
      <c r="BL77" s="451"/>
      <c r="BM77" s="451"/>
      <c r="BN77" s="451"/>
      <c r="BO77" s="451"/>
      <c r="BP77" s="451"/>
      <c r="BQ77" s="451"/>
      <c r="BR77" s="451">
        <f>BR65*BR78</f>
        <v>0</v>
      </c>
      <c r="BS77" s="451"/>
      <c r="BT77" s="451"/>
      <c r="BU77" s="451"/>
      <c r="BV77" s="451"/>
      <c r="BW77" s="451"/>
      <c r="BX77" s="451"/>
      <c r="BY77" s="451"/>
      <c r="BZ77" s="451">
        <f>BZ65*BZ78</f>
        <v>0</v>
      </c>
      <c r="CA77" s="451"/>
      <c r="CB77" s="451"/>
      <c r="CC77" s="451"/>
      <c r="CD77" s="451"/>
      <c r="CE77" s="451"/>
      <c r="CF77" s="451"/>
      <c r="CG77" s="451"/>
      <c r="CH77" s="451">
        <f>CH65*CH78</f>
        <v>0</v>
      </c>
    </row>
    <row r="78" spans="1:87" ht="11.25" hidden="1" customHeight="1" outlineLevel="1" x14ac:dyDescent="0.25">
      <c r="A78" s="619" t="s">
        <v>1017</v>
      </c>
      <c r="B78" s="503"/>
      <c r="C78" s="30">
        <f t="shared" ref="C78:Q78" si="41">C77/C65</f>
        <v>4.2231075697211157E-2</v>
      </c>
      <c r="D78" s="30">
        <f t="shared" si="41"/>
        <v>5.6732223903177004E-2</v>
      </c>
      <c r="E78" s="30">
        <f t="shared" si="41"/>
        <v>6.7702552719200892E-2</v>
      </c>
      <c r="F78" s="30">
        <f t="shared" si="41"/>
        <v>5.8378378378378379E-2</v>
      </c>
      <c r="G78" s="30">
        <f t="shared" si="41"/>
        <v>6.1076978677267801E-2</v>
      </c>
      <c r="H78" s="30">
        <f t="shared" si="41"/>
        <v>5.1870148200423433E-2</v>
      </c>
      <c r="I78" s="30">
        <f t="shared" si="41"/>
        <v>4.1653212786567646E-2</v>
      </c>
      <c r="J78" s="30">
        <f t="shared" si="41"/>
        <v>4.6870766729883502E-2</v>
      </c>
      <c r="K78" s="30">
        <f t="shared" si="41"/>
        <v>4.2287949156685406E-2</v>
      </c>
      <c r="L78" s="30">
        <f t="shared" si="41"/>
        <v>3.8911381016644174E-2</v>
      </c>
      <c r="M78" s="30">
        <f t="shared" si="41"/>
        <v>3.2975925551284646E-2</v>
      </c>
      <c r="N78" s="30">
        <f t="shared" si="41"/>
        <v>3.7123420796890183E-2</v>
      </c>
      <c r="O78" s="30">
        <f t="shared" si="41"/>
        <v>4.5244690674053553E-2</v>
      </c>
      <c r="P78" s="30">
        <f t="shared" si="41"/>
        <v>4.1825095057034217E-2</v>
      </c>
      <c r="Q78" s="30">
        <f t="shared" si="41"/>
        <v>4.1705282669138088E-2</v>
      </c>
      <c r="R78" s="30"/>
      <c r="S78" s="28">
        <f>Q78</f>
        <v>4.1705282669138088E-2</v>
      </c>
      <c r="T78" s="28">
        <f>S78</f>
        <v>4.1705282669138088E-2</v>
      </c>
      <c r="U78" s="30">
        <f>T78</f>
        <v>4.1705282669138088E-2</v>
      </c>
      <c r="V78" s="30">
        <f>U78</f>
        <v>4.1705282669138088E-2</v>
      </c>
      <c r="W78" s="30"/>
      <c r="X78" s="30"/>
      <c r="Y78" s="30"/>
      <c r="Z78" s="30"/>
      <c r="AA78" s="30"/>
      <c r="AB78" s="30"/>
      <c r="AC78" s="30"/>
      <c r="AD78" s="1159">
        <f>V78</f>
        <v>4.1705282669138088E-2</v>
      </c>
      <c r="AE78" s="30"/>
      <c r="AF78" s="30"/>
      <c r="AG78" s="30"/>
      <c r="AH78" s="30"/>
      <c r="AI78" s="30"/>
      <c r="AJ78" s="30"/>
      <c r="AK78" s="30"/>
      <c r="AL78" s="1159">
        <f>AD78</f>
        <v>4.1705282669138088E-2</v>
      </c>
      <c r="AM78" s="30"/>
      <c r="AN78" s="30"/>
      <c r="AO78" s="30"/>
      <c r="AP78" s="30"/>
      <c r="AQ78" s="30"/>
      <c r="AR78" s="30"/>
      <c r="AS78" s="30"/>
      <c r="AT78" s="1159">
        <f>AL78</f>
        <v>4.1705282669138088E-2</v>
      </c>
      <c r="AU78" s="30"/>
      <c r="AV78" s="30"/>
      <c r="AW78" s="30"/>
      <c r="AX78" s="30"/>
      <c r="AY78" s="30"/>
      <c r="AZ78" s="30"/>
      <c r="BA78" s="30"/>
      <c r="BB78" s="1159">
        <f>AT78</f>
        <v>4.1705282669138088E-2</v>
      </c>
      <c r="BC78" s="30"/>
      <c r="BD78" s="30"/>
      <c r="BE78" s="30"/>
      <c r="BF78" s="30"/>
      <c r="BG78" s="30"/>
      <c r="BH78" s="30"/>
      <c r="BI78" s="30"/>
      <c r="BJ78" s="1159">
        <f>BB78</f>
        <v>4.1705282669138088E-2</v>
      </c>
      <c r="BK78" s="30"/>
      <c r="BL78" s="30"/>
      <c r="BM78" s="30"/>
      <c r="BN78" s="30"/>
      <c r="BO78" s="30"/>
      <c r="BP78" s="30"/>
      <c r="BQ78" s="30"/>
      <c r="BR78" s="1159">
        <f>BJ78</f>
        <v>4.1705282669138088E-2</v>
      </c>
      <c r="BS78" s="30"/>
      <c r="BT78" s="30"/>
      <c r="BU78" s="30"/>
      <c r="BV78" s="30"/>
      <c r="BW78" s="30"/>
      <c r="BX78" s="30"/>
      <c r="BY78" s="30"/>
      <c r="BZ78" s="1159">
        <f>BR78</f>
        <v>4.1705282669138088E-2</v>
      </c>
      <c r="CA78" s="30"/>
      <c r="CB78" s="30"/>
      <c r="CC78" s="30"/>
      <c r="CD78" s="30"/>
      <c r="CE78" s="30"/>
      <c r="CF78" s="30"/>
      <c r="CG78" s="30"/>
      <c r="CH78" s="1159">
        <f>BZ78</f>
        <v>4.1705282669138088E-2</v>
      </c>
    </row>
    <row r="79" spans="1:87" ht="11.25" hidden="1" customHeight="1" outlineLevel="1" x14ac:dyDescent="0.25">
      <c r="A79" s="620"/>
      <c r="B79" s="503"/>
      <c r="C79" s="503"/>
      <c r="D79" s="503"/>
      <c r="E79" s="503"/>
      <c r="F79" s="503"/>
      <c r="G79" s="503"/>
      <c r="H79" s="503"/>
      <c r="I79" s="503"/>
      <c r="J79" s="503"/>
      <c r="K79" s="503"/>
      <c r="L79" s="503"/>
      <c r="M79" s="504"/>
      <c r="N79" s="504"/>
      <c r="O79" s="504"/>
      <c r="P79" s="504"/>
      <c r="Q79" s="504"/>
      <c r="R79" s="504"/>
      <c r="S79" s="504"/>
      <c r="T79" s="504"/>
      <c r="U79" s="503"/>
      <c r="V79" s="503"/>
      <c r="W79" s="503"/>
      <c r="X79" s="503"/>
      <c r="Y79" s="503"/>
      <c r="Z79" s="503"/>
      <c r="AA79" s="503"/>
      <c r="AB79" s="503"/>
      <c r="AC79" s="503"/>
      <c r="AD79" s="1158"/>
      <c r="AE79" s="503"/>
      <c r="AF79" s="503"/>
      <c r="AG79" s="503"/>
      <c r="AH79" s="503"/>
      <c r="AI79" s="503"/>
      <c r="AJ79" s="503"/>
      <c r="AK79" s="503"/>
      <c r="AL79" s="1158"/>
      <c r="AM79" s="503"/>
      <c r="AN79" s="503"/>
      <c r="AO79" s="503"/>
      <c r="AP79" s="503"/>
      <c r="AQ79" s="503"/>
      <c r="AR79" s="503"/>
      <c r="AS79" s="503"/>
      <c r="AT79" s="1158"/>
      <c r="AU79" s="503"/>
      <c r="AV79" s="503"/>
      <c r="AW79" s="503"/>
      <c r="AX79" s="503"/>
      <c r="AY79" s="503"/>
      <c r="AZ79" s="503"/>
      <c r="BA79" s="503"/>
      <c r="BB79" s="1158"/>
      <c r="BC79" s="503"/>
      <c r="BD79" s="503"/>
      <c r="BE79" s="503"/>
      <c r="BF79" s="503"/>
      <c r="BG79" s="503"/>
      <c r="BH79" s="503"/>
      <c r="BI79" s="503"/>
      <c r="BJ79" s="1158"/>
      <c r="BK79" s="503"/>
      <c r="BL79" s="503"/>
      <c r="BM79" s="503"/>
      <c r="BN79" s="503"/>
      <c r="BO79" s="503"/>
      <c r="BP79" s="503"/>
      <c r="BQ79" s="503"/>
      <c r="BR79" s="1158"/>
      <c r="BS79" s="503"/>
      <c r="BT79" s="503"/>
      <c r="BU79" s="503"/>
      <c r="BV79" s="503"/>
      <c r="BW79" s="503"/>
      <c r="BX79" s="503"/>
      <c r="BY79" s="503"/>
      <c r="BZ79" s="1158"/>
      <c r="CA79" s="503"/>
      <c r="CB79" s="503"/>
      <c r="CC79" s="503"/>
      <c r="CD79" s="503"/>
      <c r="CE79" s="503"/>
      <c r="CF79" s="503"/>
      <c r="CG79" s="503"/>
      <c r="CH79" s="1158"/>
    </row>
    <row r="80" spans="1:87" ht="11.25" hidden="1" customHeight="1" outlineLevel="1" x14ac:dyDescent="0.25">
      <c r="A80" s="616" t="s">
        <v>502</v>
      </c>
      <c r="B80" s="503"/>
      <c r="C80" s="147">
        <f t="shared" ref="C80:AL80" si="42">C77+C71</f>
        <v>318</v>
      </c>
      <c r="D80" s="147">
        <f t="shared" si="42"/>
        <v>347</v>
      </c>
      <c r="E80" s="147">
        <f t="shared" si="42"/>
        <v>292</v>
      </c>
      <c r="F80" s="147">
        <f t="shared" si="42"/>
        <v>224</v>
      </c>
      <c r="G80" s="147">
        <f t="shared" si="42"/>
        <v>242</v>
      </c>
      <c r="H80" s="147">
        <f t="shared" si="42"/>
        <v>274</v>
      </c>
      <c r="I80" s="147">
        <f t="shared" si="42"/>
        <v>331</v>
      </c>
      <c r="J80" s="147">
        <f t="shared" si="42"/>
        <v>459</v>
      </c>
      <c r="K80" s="147">
        <f t="shared" si="42"/>
        <v>549</v>
      </c>
      <c r="L80" s="147">
        <f t="shared" si="42"/>
        <v>599</v>
      </c>
      <c r="M80" s="141">
        <f t="shared" si="42"/>
        <v>629</v>
      </c>
      <c r="N80" s="141">
        <f t="shared" si="42"/>
        <v>758</v>
      </c>
      <c r="O80" s="141">
        <f>O77+O71</f>
        <v>927</v>
      </c>
      <c r="P80" s="141">
        <f>P77+P71</f>
        <v>839</v>
      </c>
      <c r="Q80" s="141">
        <f>Q77+Q71</f>
        <v>995</v>
      </c>
      <c r="R80" s="141"/>
      <c r="S80" s="141">
        <f t="shared" si="42"/>
        <v>0</v>
      </c>
      <c r="T80" s="141">
        <f t="shared" si="42"/>
        <v>0</v>
      </c>
      <c r="U80" s="147">
        <f t="shared" si="42"/>
        <v>0</v>
      </c>
      <c r="V80" s="147">
        <f t="shared" si="42"/>
        <v>0</v>
      </c>
      <c r="W80" s="147"/>
      <c r="X80" s="147"/>
      <c r="Y80" s="147"/>
      <c r="Z80" s="147"/>
      <c r="AA80" s="147"/>
      <c r="AB80" s="147"/>
      <c r="AC80" s="147"/>
      <c r="AD80" s="147">
        <f t="shared" si="42"/>
        <v>0</v>
      </c>
      <c r="AE80" s="147"/>
      <c r="AF80" s="147"/>
      <c r="AG80" s="147"/>
      <c r="AH80" s="147"/>
      <c r="AI80" s="147"/>
      <c r="AJ80" s="147"/>
      <c r="AK80" s="147"/>
      <c r="AL80" s="147">
        <f t="shared" si="42"/>
        <v>0</v>
      </c>
      <c r="AM80" s="147"/>
      <c r="AN80" s="147"/>
      <c r="AO80" s="147"/>
      <c r="AP80" s="147"/>
      <c r="AQ80" s="147"/>
      <c r="AR80" s="147"/>
      <c r="AS80" s="147"/>
      <c r="AT80" s="147">
        <f>AT77+AT71</f>
        <v>0</v>
      </c>
      <c r="AU80" s="147"/>
      <c r="AV80" s="147"/>
      <c r="AW80" s="147"/>
      <c r="AX80" s="147"/>
      <c r="AY80" s="147"/>
      <c r="AZ80" s="147"/>
      <c r="BA80" s="147"/>
      <c r="BB80" s="147">
        <f>BB77+BB71</f>
        <v>0</v>
      </c>
      <c r="BC80" s="147"/>
      <c r="BD80" s="147"/>
      <c r="BE80" s="147"/>
      <c r="BF80" s="147"/>
      <c r="BG80" s="147"/>
      <c r="BH80" s="147"/>
      <c r="BI80" s="147"/>
      <c r="BJ80" s="147">
        <f>BJ77+BJ71</f>
        <v>0</v>
      </c>
      <c r="BK80" s="147"/>
      <c r="BL80" s="147"/>
      <c r="BM80" s="147"/>
      <c r="BN80" s="147"/>
      <c r="BO80" s="147"/>
      <c r="BP80" s="147"/>
      <c r="BQ80" s="147"/>
      <c r="BR80" s="147">
        <f>BR77+BR71</f>
        <v>0</v>
      </c>
      <c r="BS80" s="147"/>
      <c r="BT80" s="147"/>
      <c r="BU80" s="147"/>
      <c r="BV80" s="147"/>
      <c r="BW80" s="147"/>
      <c r="BX80" s="147"/>
      <c r="BY80" s="147"/>
      <c r="BZ80" s="147">
        <f>BZ77+BZ71</f>
        <v>0</v>
      </c>
      <c r="CA80" s="147"/>
      <c r="CB80" s="147"/>
      <c r="CC80" s="147"/>
      <c r="CD80" s="147"/>
      <c r="CE80" s="147"/>
      <c r="CF80" s="147"/>
      <c r="CG80" s="147"/>
      <c r="CH80" s="147">
        <f>CH77+CH71</f>
        <v>0</v>
      </c>
    </row>
    <row r="81" spans="1:86" ht="11.25" hidden="1" customHeight="1" outlineLevel="1" x14ac:dyDescent="0.25">
      <c r="A81" s="621" t="s">
        <v>461</v>
      </c>
      <c r="B81" s="503"/>
      <c r="C81" s="466">
        <f t="shared" ref="C81:AD81" si="43">C80/C65</f>
        <v>0.12669322709163347</v>
      </c>
      <c r="D81" s="466">
        <f t="shared" si="43"/>
        <v>0.13124054462934948</v>
      </c>
      <c r="E81" s="466">
        <f t="shared" si="43"/>
        <v>0.10802811690714022</v>
      </c>
      <c r="F81" s="466">
        <f t="shared" si="43"/>
        <v>8.0720720720720715E-2</v>
      </c>
      <c r="G81" s="466">
        <f t="shared" si="43"/>
        <v>8.7459342247921942E-2</v>
      </c>
      <c r="H81" s="466">
        <f t="shared" si="43"/>
        <v>9.6683133380381092E-2</v>
      </c>
      <c r="I81" s="466">
        <f t="shared" si="43"/>
        <v>0.10687762350661931</v>
      </c>
      <c r="J81" s="466">
        <f t="shared" si="43"/>
        <v>0.12435654294229206</v>
      </c>
      <c r="K81" s="466">
        <f t="shared" si="43"/>
        <v>0.13419701784404792</v>
      </c>
      <c r="L81" s="466">
        <f t="shared" si="43"/>
        <v>0.13472784525416104</v>
      </c>
      <c r="M81" s="272">
        <f t="shared" si="43"/>
        <v>0.12725065749544812</v>
      </c>
      <c r="N81" s="272">
        <f t="shared" si="43"/>
        <v>0.14732750242954323</v>
      </c>
      <c r="O81" s="272">
        <f t="shared" si="43"/>
        <v>0.17119113573407202</v>
      </c>
      <c r="P81" s="272">
        <f t="shared" si="43"/>
        <v>0.15950570342205322</v>
      </c>
      <c r="Q81" s="272">
        <f t="shared" si="43"/>
        <v>0.18443002780352177</v>
      </c>
      <c r="R81" s="272"/>
      <c r="S81" s="272" t="e">
        <f t="shared" si="43"/>
        <v>#DIV/0!</v>
      </c>
      <c r="T81" s="272" t="e">
        <f t="shared" si="43"/>
        <v>#DIV/0!</v>
      </c>
      <c r="U81" s="466" t="e">
        <f t="shared" si="43"/>
        <v>#DIV/0!</v>
      </c>
      <c r="V81" s="466" t="e">
        <f t="shared" si="43"/>
        <v>#DIV/0!</v>
      </c>
      <c r="W81" s="466"/>
      <c r="X81" s="466"/>
      <c r="Y81" s="466"/>
      <c r="Z81" s="466"/>
      <c r="AA81" s="466"/>
      <c r="AB81" s="466"/>
      <c r="AC81" s="466"/>
      <c r="AD81" s="1153" t="e">
        <f t="shared" si="43"/>
        <v>#DIV/0!</v>
      </c>
      <c r="AE81" s="466"/>
      <c r="AF81" s="466"/>
      <c r="AG81" s="466"/>
      <c r="AH81" s="466"/>
      <c r="AI81" s="466"/>
      <c r="AJ81" s="466"/>
      <c r="AK81" s="466"/>
      <c r="AL81" s="1153"/>
      <c r="AM81" s="466"/>
      <c r="AN81" s="466"/>
      <c r="AO81" s="466"/>
      <c r="AP81" s="466"/>
      <c r="AQ81" s="466"/>
      <c r="AR81" s="466"/>
      <c r="AS81" s="466"/>
      <c r="AT81" s="1153"/>
      <c r="AU81" s="466"/>
      <c r="AV81" s="466"/>
      <c r="AW81" s="466"/>
      <c r="AX81" s="466"/>
      <c r="AY81" s="466"/>
      <c r="AZ81" s="466"/>
      <c r="BA81" s="466"/>
      <c r="BB81" s="1153"/>
      <c r="BC81" s="466"/>
      <c r="BD81" s="466"/>
      <c r="BE81" s="466"/>
      <c r="BF81" s="466"/>
      <c r="BG81" s="466"/>
      <c r="BH81" s="466"/>
      <c r="BI81" s="466"/>
      <c r="BJ81" s="1153"/>
      <c r="BK81" s="466"/>
      <c r="BL81" s="466"/>
      <c r="BM81" s="466"/>
      <c r="BN81" s="466"/>
      <c r="BO81" s="466"/>
      <c r="BP81" s="466"/>
      <c r="BQ81" s="466"/>
      <c r="BR81" s="1153"/>
      <c r="BS81" s="466"/>
      <c r="BT81" s="466"/>
      <c r="BU81" s="466"/>
      <c r="BV81" s="466"/>
      <c r="BW81" s="466"/>
      <c r="BX81" s="466"/>
      <c r="BY81" s="466"/>
      <c r="BZ81" s="1153"/>
      <c r="CA81" s="466"/>
      <c r="CB81" s="466"/>
      <c r="CC81" s="466"/>
      <c r="CD81" s="466"/>
      <c r="CE81" s="466"/>
      <c r="CF81" s="466"/>
      <c r="CG81" s="466"/>
      <c r="CH81" s="1153"/>
    </row>
    <row r="82" spans="1:86" ht="11.25" hidden="1" customHeight="1" outlineLevel="1" x14ac:dyDescent="0.25">
      <c r="A82" s="619"/>
      <c r="B82" s="503"/>
      <c r="C82" s="503"/>
      <c r="D82" s="503"/>
      <c r="E82" s="503"/>
      <c r="F82" s="503"/>
      <c r="G82" s="503"/>
      <c r="H82" s="503"/>
      <c r="I82" s="503"/>
      <c r="J82" s="503"/>
      <c r="K82" s="503"/>
      <c r="L82" s="503"/>
      <c r="M82" s="504"/>
      <c r="N82" s="504"/>
      <c r="O82" s="504"/>
      <c r="P82" s="504"/>
      <c r="Q82" s="504"/>
      <c r="R82" s="504"/>
      <c r="S82" s="504"/>
      <c r="T82" s="504"/>
      <c r="U82" s="503"/>
      <c r="V82" s="503"/>
      <c r="W82" s="503"/>
      <c r="X82" s="503"/>
      <c r="Y82" s="503"/>
      <c r="Z82" s="503"/>
      <c r="AA82" s="503"/>
      <c r="AB82" s="503"/>
      <c r="AC82" s="503"/>
      <c r="AD82" s="1158"/>
      <c r="AE82" s="503"/>
      <c r="AF82" s="503"/>
      <c r="AG82" s="503"/>
      <c r="AH82" s="503"/>
      <c r="AI82" s="503"/>
      <c r="AJ82" s="503"/>
      <c r="AK82" s="503"/>
      <c r="AL82" s="1158"/>
      <c r="AM82" s="503"/>
      <c r="AN82" s="503"/>
      <c r="AO82" s="503"/>
      <c r="AP82" s="503"/>
      <c r="AQ82" s="503"/>
      <c r="AR82" s="503"/>
      <c r="AS82" s="503"/>
      <c r="AT82" s="1158"/>
      <c r="AU82" s="503"/>
      <c r="AV82" s="503"/>
      <c r="AW82" s="503"/>
      <c r="AX82" s="503"/>
      <c r="AY82" s="503"/>
      <c r="AZ82" s="503"/>
      <c r="BA82" s="503"/>
      <c r="BB82" s="1158"/>
      <c r="BC82" s="503"/>
      <c r="BD82" s="503"/>
      <c r="BE82" s="503"/>
      <c r="BF82" s="503"/>
      <c r="BG82" s="503"/>
      <c r="BH82" s="503"/>
      <c r="BI82" s="503"/>
      <c r="BJ82" s="1158"/>
      <c r="BK82" s="503"/>
      <c r="BL82" s="503"/>
      <c r="BM82" s="503"/>
      <c r="BN82" s="503"/>
      <c r="BO82" s="503"/>
      <c r="BP82" s="503"/>
      <c r="BQ82" s="503"/>
      <c r="BR82" s="1158"/>
      <c r="BS82" s="503"/>
      <c r="BT82" s="503"/>
      <c r="BU82" s="503"/>
      <c r="BV82" s="503"/>
      <c r="BW82" s="503"/>
      <c r="BX82" s="503"/>
      <c r="BY82" s="503"/>
      <c r="BZ82" s="1158"/>
      <c r="CA82" s="503"/>
      <c r="CB82" s="503"/>
      <c r="CC82" s="503"/>
      <c r="CD82" s="503"/>
      <c r="CE82" s="503"/>
      <c r="CF82" s="503"/>
      <c r="CG82" s="503"/>
      <c r="CH82" s="1158"/>
    </row>
    <row r="83" spans="1:86" ht="11.25" hidden="1" customHeight="1" outlineLevel="1" x14ac:dyDescent="0.2">
      <c r="A83" s="616" t="s">
        <v>736</v>
      </c>
      <c r="B83" s="147">
        <f>Divisional!B99</f>
        <v>102</v>
      </c>
      <c r="C83" s="147">
        <f>Divisional!C99</f>
        <v>101</v>
      </c>
      <c r="D83" s="147">
        <f>Divisional!D99</f>
        <v>65</v>
      </c>
      <c r="E83" s="147">
        <f>Divisional!E99</f>
        <v>128</v>
      </c>
      <c r="F83" s="147">
        <f>Divisional!F99</f>
        <v>126</v>
      </c>
      <c r="G83" s="147">
        <f>Divisional!G99</f>
        <v>86</v>
      </c>
      <c r="H83" s="147">
        <f>Divisional!H99</f>
        <v>61</v>
      </c>
      <c r="I83" s="147">
        <f>Divisional!I99</f>
        <v>132</v>
      </c>
      <c r="J83" s="147">
        <f>Divisional!J99</f>
        <v>140</v>
      </c>
      <c r="K83" s="147">
        <f>Divisional!K99</f>
        <v>168</v>
      </c>
      <c r="L83" s="147">
        <f>Divisional!L99</f>
        <v>170</v>
      </c>
      <c r="M83" s="147">
        <f>Divisional!M99</f>
        <v>181</v>
      </c>
      <c r="N83" s="451">
        <f>Divisional!N99</f>
        <v>218</v>
      </c>
      <c r="O83" s="451">
        <f>Divisional!O99</f>
        <v>204</v>
      </c>
      <c r="P83" s="451">
        <f>O83</f>
        <v>204</v>
      </c>
      <c r="Q83" s="451">
        <f>Divisional!Q99</f>
        <v>214</v>
      </c>
      <c r="R83" s="451"/>
      <c r="S83" s="451">
        <f>S65*S84</f>
        <v>0</v>
      </c>
      <c r="T83" s="451">
        <f>T65*T84</f>
        <v>0</v>
      </c>
      <c r="U83" s="451">
        <f>U65*U84</f>
        <v>0</v>
      </c>
      <c r="V83" s="451">
        <f>V65*V84</f>
        <v>0</v>
      </c>
      <c r="W83" s="451"/>
      <c r="X83" s="451"/>
      <c r="Y83" s="451"/>
      <c r="Z83" s="451"/>
      <c r="AA83" s="451"/>
      <c r="AB83" s="451"/>
      <c r="AC83" s="451"/>
      <c r="AD83" s="451">
        <f>AD65*AD84</f>
        <v>0</v>
      </c>
      <c r="AE83" s="451"/>
      <c r="AF83" s="451"/>
      <c r="AG83" s="451"/>
      <c r="AH83" s="451"/>
      <c r="AI83" s="451"/>
      <c r="AJ83" s="451"/>
      <c r="AK83" s="451"/>
      <c r="AL83" s="451">
        <f>AL65*AL84</f>
        <v>0</v>
      </c>
      <c r="AM83" s="451"/>
      <c r="AN83" s="451"/>
      <c r="AO83" s="451"/>
      <c r="AP83" s="451"/>
      <c r="AQ83" s="451"/>
      <c r="AR83" s="451"/>
      <c r="AS83" s="451"/>
      <c r="AT83" s="451">
        <f>AT65*AT84</f>
        <v>0</v>
      </c>
      <c r="AU83" s="451"/>
      <c r="AV83" s="451"/>
      <c r="AW83" s="451"/>
      <c r="AX83" s="451"/>
      <c r="AY83" s="451"/>
      <c r="AZ83" s="451"/>
      <c r="BA83" s="451"/>
      <c r="BB83" s="451">
        <f>BB65*BB84</f>
        <v>0</v>
      </c>
      <c r="BC83" s="451"/>
      <c r="BD83" s="451"/>
      <c r="BE83" s="451"/>
      <c r="BF83" s="451"/>
      <c r="BG83" s="451"/>
      <c r="BH83" s="451"/>
      <c r="BI83" s="451"/>
      <c r="BJ83" s="451">
        <f>BJ65*BJ84</f>
        <v>0</v>
      </c>
      <c r="BK83" s="451"/>
      <c r="BL83" s="451"/>
      <c r="BM83" s="451"/>
      <c r="BN83" s="451"/>
      <c r="BO83" s="451"/>
      <c r="BP83" s="451"/>
      <c r="BQ83" s="451"/>
      <c r="BR83" s="451">
        <f>BR65*BR84</f>
        <v>0</v>
      </c>
      <c r="BS83" s="451"/>
      <c r="BT83" s="451"/>
      <c r="BU83" s="451"/>
      <c r="BV83" s="451"/>
      <c r="BW83" s="451"/>
      <c r="BX83" s="451"/>
      <c r="BY83" s="451"/>
      <c r="BZ83" s="451">
        <f>BZ65*BZ84</f>
        <v>0</v>
      </c>
      <c r="CA83" s="451"/>
      <c r="CB83" s="451"/>
      <c r="CC83" s="451"/>
      <c r="CD83" s="451"/>
      <c r="CE83" s="451"/>
      <c r="CF83" s="451"/>
      <c r="CG83" s="451"/>
      <c r="CH83" s="451">
        <f>CH65*CH84</f>
        <v>0</v>
      </c>
    </row>
    <row r="84" spans="1:86" ht="11.25" hidden="1" customHeight="1" outlineLevel="1" x14ac:dyDescent="0.25">
      <c r="A84" s="619" t="s">
        <v>1018</v>
      </c>
      <c r="B84" s="30">
        <f t="shared" ref="B84:N84" si="44">B83/B65</f>
        <v>4.596665164488508E-2</v>
      </c>
      <c r="C84" s="30">
        <f t="shared" si="44"/>
        <v>4.0239043824701198E-2</v>
      </c>
      <c r="D84" s="30">
        <f t="shared" si="44"/>
        <v>2.4583963691376703E-2</v>
      </c>
      <c r="E84" s="30">
        <f t="shared" si="44"/>
        <v>4.7354790972992972E-2</v>
      </c>
      <c r="F84" s="30">
        <f t="shared" si="44"/>
        <v>4.5405405405405407E-2</v>
      </c>
      <c r="G84" s="30">
        <f t="shared" si="44"/>
        <v>3.1080592699674739E-2</v>
      </c>
      <c r="H84" s="30">
        <f t="shared" si="44"/>
        <v>2.1524347212420608E-2</v>
      </c>
      <c r="I84" s="30">
        <f t="shared" si="44"/>
        <v>4.2621892153697126E-2</v>
      </c>
      <c r="J84" s="30">
        <f t="shared" si="44"/>
        <v>3.7930100243836362E-2</v>
      </c>
      <c r="K84" s="30">
        <f t="shared" si="44"/>
        <v>4.1065754094353459E-2</v>
      </c>
      <c r="L84" s="30">
        <f t="shared" si="44"/>
        <v>3.8236617183985605E-2</v>
      </c>
      <c r="M84" s="30">
        <f t="shared" si="44"/>
        <v>3.6617438802346754E-2</v>
      </c>
      <c r="N84" s="30">
        <f t="shared" si="44"/>
        <v>4.23712342079689E-2</v>
      </c>
      <c r="O84" s="30">
        <f>O83/O65</f>
        <v>3.7673130193905814E-2</v>
      </c>
      <c r="P84" s="30">
        <f>P83/P65</f>
        <v>3.8783269961977188E-2</v>
      </c>
      <c r="Q84" s="30">
        <f>Q83/Q65</f>
        <v>3.9666357738646893E-2</v>
      </c>
      <c r="R84" s="30"/>
      <c r="S84" s="1160">
        <f>Q84</f>
        <v>3.9666357738646893E-2</v>
      </c>
      <c r="T84" s="1160">
        <f>S84</f>
        <v>3.9666357738646893E-2</v>
      </c>
      <c r="U84" s="1161">
        <f>T84</f>
        <v>3.9666357738646893E-2</v>
      </c>
      <c r="V84" s="1161">
        <f>U84</f>
        <v>3.9666357738646893E-2</v>
      </c>
      <c r="W84" s="1161"/>
      <c r="X84" s="1161"/>
      <c r="Y84" s="1161"/>
      <c r="Z84" s="1161"/>
      <c r="AA84" s="1161"/>
      <c r="AB84" s="1161"/>
      <c r="AC84" s="1161"/>
      <c r="AD84" s="1162">
        <f>V84</f>
        <v>3.9666357738646893E-2</v>
      </c>
      <c r="AE84" s="1161"/>
      <c r="AF84" s="1161"/>
      <c r="AG84" s="1161"/>
      <c r="AH84" s="1161"/>
      <c r="AI84" s="1161"/>
      <c r="AJ84" s="1161"/>
      <c r="AK84" s="1161"/>
      <c r="AL84" s="1162">
        <f>AD84</f>
        <v>3.9666357738646893E-2</v>
      </c>
      <c r="AM84" s="1161"/>
      <c r="AN84" s="1161"/>
      <c r="AO84" s="1161"/>
      <c r="AP84" s="1161"/>
      <c r="AQ84" s="1161"/>
      <c r="AR84" s="1161"/>
      <c r="AS84" s="1161"/>
      <c r="AT84" s="1162">
        <f>AL84</f>
        <v>3.9666357738646893E-2</v>
      </c>
      <c r="AU84" s="1161"/>
      <c r="AV84" s="1161"/>
      <c r="AW84" s="1161"/>
      <c r="AX84" s="1161"/>
      <c r="AY84" s="1161"/>
      <c r="AZ84" s="1161"/>
      <c r="BA84" s="1161"/>
      <c r="BB84" s="1162">
        <f>AT84</f>
        <v>3.9666357738646893E-2</v>
      </c>
      <c r="BC84" s="1161"/>
      <c r="BD84" s="1161"/>
      <c r="BE84" s="1161"/>
      <c r="BF84" s="1161"/>
      <c r="BG84" s="1161"/>
      <c r="BH84" s="1161"/>
      <c r="BI84" s="1161"/>
      <c r="BJ84" s="1162">
        <f>BB84</f>
        <v>3.9666357738646893E-2</v>
      </c>
      <c r="BK84" s="1161"/>
      <c r="BL84" s="1161"/>
      <c r="BM84" s="1161"/>
      <c r="BN84" s="1161"/>
      <c r="BO84" s="1161"/>
      <c r="BP84" s="1161"/>
      <c r="BQ84" s="1161"/>
      <c r="BR84" s="1162">
        <f>BJ84</f>
        <v>3.9666357738646893E-2</v>
      </c>
      <c r="BS84" s="1161"/>
      <c r="BT84" s="1161"/>
      <c r="BU84" s="1161"/>
      <c r="BV84" s="1161"/>
      <c r="BW84" s="1161"/>
      <c r="BX84" s="1161"/>
      <c r="BY84" s="1161"/>
      <c r="BZ84" s="1162">
        <f>BR84</f>
        <v>3.9666357738646893E-2</v>
      </c>
      <c r="CA84" s="1161"/>
      <c r="CB84" s="1161"/>
      <c r="CC84" s="1161"/>
      <c r="CD84" s="1161"/>
      <c r="CE84" s="1161"/>
      <c r="CF84" s="1161"/>
      <c r="CG84" s="1161"/>
      <c r="CH84" s="1162">
        <f>BZ84</f>
        <v>3.9666357738646893E-2</v>
      </c>
    </row>
    <row r="85" spans="1:86" ht="11.25" hidden="1" customHeight="1" outlineLevel="1" x14ac:dyDescent="0.25">
      <c r="A85" s="619"/>
      <c r="B85" s="503"/>
      <c r="C85" s="503"/>
      <c r="D85" s="503"/>
      <c r="E85" s="503"/>
      <c r="F85" s="503"/>
      <c r="G85" s="503"/>
      <c r="H85" s="503"/>
      <c r="I85" s="503"/>
      <c r="J85" s="503"/>
      <c r="K85" s="503"/>
      <c r="L85" s="503"/>
      <c r="M85" s="504"/>
      <c r="N85" s="504"/>
      <c r="O85" s="504"/>
      <c r="P85" s="504"/>
      <c r="Q85" s="504"/>
      <c r="R85" s="504"/>
      <c r="S85" s="504"/>
      <c r="T85" s="504"/>
      <c r="U85" s="503"/>
      <c r="V85" s="503"/>
      <c r="W85" s="503"/>
      <c r="X85" s="503"/>
      <c r="Y85" s="503"/>
      <c r="Z85" s="503"/>
      <c r="AA85" s="503"/>
      <c r="AB85" s="503"/>
      <c r="AC85" s="503"/>
      <c r="AD85" s="1158"/>
      <c r="AE85" s="503"/>
      <c r="AF85" s="503"/>
      <c r="AG85" s="503"/>
      <c r="AH85" s="503"/>
      <c r="AI85" s="503"/>
      <c r="AJ85" s="503"/>
      <c r="AK85" s="503"/>
      <c r="AL85" s="1158"/>
      <c r="AM85" s="503"/>
      <c r="AN85" s="503"/>
      <c r="AO85" s="503"/>
      <c r="AP85" s="503"/>
      <c r="AQ85" s="503"/>
      <c r="AR85" s="503"/>
      <c r="AS85" s="503"/>
      <c r="AT85" s="1158"/>
      <c r="AU85" s="503"/>
      <c r="AV85" s="503"/>
      <c r="AW85" s="503"/>
      <c r="AX85" s="503"/>
      <c r="AY85" s="503"/>
      <c r="AZ85" s="503"/>
      <c r="BA85" s="503"/>
      <c r="BB85" s="1158"/>
      <c r="BC85" s="503"/>
      <c r="BD85" s="503"/>
      <c r="BE85" s="503"/>
      <c r="BF85" s="503"/>
      <c r="BG85" s="503"/>
      <c r="BH85" s="503"/>
      <c r="BI85" s="503"/>
      <c r="BJ85" s="1158"/>
      <c r="BK85" s="503"/>
      <c r="BL85" s="503"/>
      <c r="BM85" s="503"/>
      <c r="BN85" s="503"/>
      <c r="BO85" s="503"/>
      <c r="BP85" s="503"/>
      <c r="BQ85" s="503"/>
      <c r="BR85" s="1158"/>
      <c r="BS85" s="503"/>
      <c r="BT85" s="503"/>
      <c r="BU85" s="503"/>
      <c r="BV85" s="503"/>
      <c r="BW85" s="503"/>
      <c r="BX85" s="503"/>
      <c r="BY85" s="503"/>
      <c r="BZ85" s="1158"/>
      <c r="CA85" s="503"/>
      <c r="CB85" s="503"/>
      <c r="CC85" s="503"/>
      <c r="CD85" s="503"/>
      <c r="CE85" s="503"/>
      <c r="CF85" s="503"/>
      <c r="CG85" s="503"/>
      <c r="CH85" s="1158"/>
    </row>
    <row r="86" spans="1:86" ht="11.25" hidden="1" customHeight="1" outlineLevel="1" x14ac:dyDescent="0.25">
      <c r="A86" s="616" t="s">
        <v>112</v>
      </c>
      <c r="B86" s="503"/>
      <c r="C86" s="503"/>
      <c r="D86" s="503"/>
      <c r="E86" s="503"/>
      <c r="F86" s="147"/>
      <c r="G86" s="147">
        <f>Divisional!G127</f>
        <v>-113</v>
      </c>
      <c r="H86" s="147">
        <f>Divisional!H127</f>
        <v>163</v>
      </c>
      <c r="I86" s="147">
        <f>Divisional!I127</f>
        <v>-19</v>
      </c>
      <c r="J86" s="147">
        <f>Divisional!J127</f>
        <v>38</v>
      </c>
      <c r="K86" s="147">
        <f>Divisional!K127</f>
        <v>73</v>
      </c>
      <c r="L86" s="147">
        <f>Divisional!L127</f>
        <v>149</v>
      </c>
      <c r="M86" s="147">
        <f>Divisional!M127</f>
        <v>153</v>
      </c>
      <c r="N86" s="147">
        <f>Divisional!N127</f>
        <v>165</v>
      </c>
      <c r="O86" s="147">
        <f>Divisional!O127</f>
        <v>328</v>
      </c>
      <c r="P86" s="147">
        <f>+O86</f>
        <v>328</v>
      </c>
      <c r="Q86" s="147">
        <f>+P86</f>
        <v>328</v>
      </c>
      <c r="R86" s="147"/>
      <c r="S86" s="504"/>
      <c r="T86" s="504"/>
      <c r="U86" s="503"/>
      <c r="V86" s="503"/>
      <c r="W86" s="503"/>
      <c r="X86" s="503"/>
      <c r="Y86" s="503"/>
      <c r="Z86" s="503"/>
      <c r="AA86" s="503"/>
      <c r="AB86" s="503"/>
      <c r="AC86" s="503"/>
      <c r="AD86" s="1158"/>
      <c r="AE86" s="503"/>
      <c r="AF86" s="503"/>
      <c r="AG86" s="503"/>
      <c r="AH86" s="503"/>
      <c r="AI86" s="503"/>
      <c r="AJ86" s="503"/>
      <c r="AK86" s="503"/>
      <c r="AL86" s="1158"/>
      <c r="AM86" s="503"/>
      <c r="AN86" s="503"/>
      <c r="AO86" s="503"/>
      <c r="AP86" s="503"/>
      <c r="AQ86" s="503"/>
      <c r="AR86" s="503"/>
      <c r="AS86" s="503"/>
      <c r="AT86" s="1158"/>
      <c r="AU86" s="503"/>
      <c r="AV86" s="503"/>
      <c r="AW86" s="503"/>
      <c r="AX86" s="503"/>
      <c r="AY86" s="503"/>
      <c r="AZ86" s="503"/>
      <c r="BA86" s="503"/>
      <c r="BB86" s="1158"/>
      <c r="BC86" s="503"/>
      <c r="BD86" s="503"/>
      <c r="BE86" s="503"/>
      <c r="BF86" s="503"/>
      <c r="BG86" s="503"/>
      <c r="BH86" s="503"/>
      <c r="BI86" s="503"/>
      <c r="BJ86" s="1158"/>
      <c r="BK86" s="503"/>
      <c r="BL86" s="503"/>
      <c r="BM86" s="503"/>
      <c r="BN86" s="503"/>
      <c r="BO86" s="503"/>
      <c r="BP86" s="503"/>
      <c r="BQ86" s="503"/>
      <c r="BR86" s="1158"/>
      <c r="BS86" s="503"/>
      <c r="BT86" s="503"/>
      <c r="BU86" s="503"/>
      <c r="BV86" s="503"/>
      <c r="BW86" s="503"/>
      <c r="BX86" s="503"/>
      <c r="BY86" s="503"/>
      <c r="BZ86" s="1158"/>
      <c r="CA86" s="503"/>
      <c r="CB86" s="503"/>
      <c r="CC86" s="503"/>
      <c r="CD86" s="503"/>
      <c r="CE86" s="503"/>
      <c r="CF86" s="503"/>
      <c r="CG86" s="503"/>
      <c r="CH86" s="1158"/>
    </row>
    <row r="87" spans="1:86" ht="11.25" hidden="1" customHeight="1" outlineLevel="1" x14ac:dyDescent="0.25">
      <c r="A87" s="621" t="s">
        <v>737</v>
      </c>
      <c r="B87" s="503"/>
      <c r="C87" s="503"/>
      <c r="D87" s="503"/>
      <c r="E87" s="503"/>
      <c r="F87" s="466"/>
      <c r="G87" s="466">
        <f t="shared" ref="G87:N87" si="45">G86/G71</f>
        <v>-1.547945205479452</v>
      </c>
      <c r="H87" s="466">
        <f t="shared" si="45"/>
        <v>1.2834645669291338</v>
      </c>
      <c r="I87" s="466">
        <f t="shared" si="45"/>
        <v>-9.405940594059406E-2</v>
      </c>
      <c r="J87" s="466">
        <f t="shared" si="45"/>
        <v>0.13286713286713286</v>
      </c>
      <c r="K87" s="466">
        <f t="shared" si="45"/>
        <v>0.19414893617021275</v>
      </c>
      <c r="L87" s="466">
        <f t="shared" si="45"/>
        <v>0.34976525821596244</v>
      </c>
      <c r="M87" s="466">
        <f t="shared" si="45"/>
        <v>0.3283261802575107</v>
      </c>
      <c r="N87" s="466">
        <f t="shared" si="45"/>
        <v>0.29100529100529099</v>
      </c>
      <c r="O87" s="466">
        <f>O86/O71</f>
        <v>0.48093841642228741</v>
      </c>
      <c r="P87" s="466">
        <f>P86/P71</f>
        <v>0.52988691437802904</v>
      </c>
      <c r="Q87" s="466">
        <f>Q86/Q71</f>
        <v>0.42597402597402595</v>
      </c>
      <c r="R87" s="466"/>
      <c r="S87" s="504"/>
      <c r="T87" s="504"/>
      <c r="U87" s="503"/>
      <c r="V87" s="503"/>
      <c r="W87" s="503"/>
      <c r="X87" s="503"/>
      <c r="Y87" s="503"/>
      <c r="Z87" s="503"/>
      <c r="AA87" s="503"/>
      <c r="AB87" s="503"/>
      <c r="AC87" s="503"/>
      <c r="AD87" s="1158"/>
      <c r="AE87" s="503"/>
      <c r="AF87" s="503"/>
      <c r="AG87" s="503"/>
      <c r="AH87" s="503"/>
      <c r="AI87" s="503"/>
      <c r="AJ87" s="503"/>
      <c r="AK87" s="503"/>
      <c r="AL87" s="1158"/>
      <c r="AM87" s="503"/>
      <c r="AN87" s="503"/>
      <c r="AO87" s="503"/>
      <c r="AP87" s="503"/>
      <c r="AQ87" s="503"/>
      <c r="AR87" s="503"/>
      <c r="AS87" s="503"/>
      <c r="AT87" s="1158"/>
      <c r="AU87" s="503"/>
      <c r="AV87" s="503"/>
      <c r="AW87" s="503"/>
      <c r="AX87" s="503"/>
      <c r="AY87" s="503"/>
      <c r="AZ87" s="503"/>
      <c r="BA87" s="503"/>
      <c r="BB87" s="1158"/>
      <c r="BC87" s="503"/>
      <c r="BD87" s="503"/>
      <c r="BE87" s="503"/>
      <c r="BF87" s="503"/>
      <c r="BG87" s="503"/>
      <c r="BH87" s="503"/>
      <c r="BI87" s="503"/>
      <c r="BJ87" s="1158"/>
      <c r="BK87" s="503"/>
      <c r="BL87" s="503"/>
      <c r="BM87" s="503"/>
      <c r="BN87" s="503"/>
      <c r="BO87" s="503"/>
      <c r="BP87" s="503"/>
      <c r="BQ87" s="503"/>
      <c r="BR87" s="1158"/>
      <c r="BS87" s="503"/>
      <c r="BT87" s="503"/>
      <c r="BU87" s="503"/>
      <c r="BV87" s="503"/>
      <c r="BW87" s="503"/>
      <c r="BX87" s="503"/>
      <c r="BY87" s="503"/>
      <c r="BZ87" s="1158"/>
      <c r="CA87" s="503"/>
      <c r="CB87" s="503"/>
      <c r="CC87" s="503"/>
      <c r="CD87" s="503"/>
      <c r="CE87" s="503"/>
      <c r="CF87" s="503"/>
      <c r="CG87" s="503"/>
      <c r="CH87" s="1158"/>
    </row>
    <row r="88" spans="1:86" ht="11.25" hidden="1" customHeight="1" outlineLevel="1" x14ac:dyDescent="0.2">
      <c r="A88" s="619"/>
      <c r="K88" s="833"/>
    </row>
    <row r="89" spans="1:86" ht="11.25" hidden="1" customHeight="1" outlineLevel="1" x14ac:dyDescent="0.25">
      <c r="A89" s="1163" t="s">
        <v>1019</v>
      </c>
      <c r="B89" s="503"/>
      <c r="C89" s="503"/>
      <c r="D89" s="503"/>
      <c r="E89" s="503"/>
      <c r="F89" s="503"/>
      <c r="G89" s="503"/>
      <c r="H89" s="503"/>
      <c r="I89" s="503"/>
      <c r="J89" s="503"/>
      <c r="K89" s="503"/>
      <c r="L89" s="503"/>
      <c r="M89" s="504"/>
      <c r="N89" s="504"/>
      <c r="O89" s="504"/>
      <c r="P89" s="504"/>
      <c r="Q89" s="504"/>
      <c r="R89" s="504"/>
      <c r="S89" s="504"/>
      <c r="T89" s="504"/>
      <c r="U89" s="503"/>
      <c r="V89" s="503"/>
      <c r="W89" s="503"/>
      <c r="X89" s="503"/>
      <c r="Y89" s="503"/>
      <c r="Z89" s="503"/>
      <c r="AA89" s="503"/>
      <c r="AB89" s="503"/>
      <c r="AC89" s="503"/>
      <c r="AD89" s="1158"/>
      <c r="AE89" s="503"/>
      <c r="AF89" s="503"/>
      <c r="AG89" s="503"/>
      <c r="AH89" s="503"/>
      <c r="AI89" s="503"/>
      <c r="AJ89" s="503"/>
      <c r="AK89" s="503"/>
      <c r="AL89" s="1158"/>
      <c r="AM89" s="503"/>
      <c r="AN89" s="503"/>
      <c r="AO89" s="503"/>
      <c r="AP89" s="503"/>
      <c r="AQ89" s="503"/>
      <c r="AR89" s="503"/>
      <c r="AS89" s="503"/>
      <c r="AT89" s="1158"/>
      <c r="AU89" s="503"/>
      <c r="AV89" s="503"/>
      <c r="AW89" s="503"/>
      <c r="AX89" s="503"/>
      <c r="AY89" s="503"/>
      <c r="AZ89" s="503"/>
      <c r="BA89" s="503"/>
      <c r="BB89" s="1158"/>
      <c r="BC89" s="503"/>
      <c r="BD89" s="503"/>
      <c r="BE89" s="503"/>
      <c r="BF89" s="503"/>
      <c r="BG89" s="503"/>
      <c r="BH89" s="503"/>
      <c r="BI89" s="503"/>
      <c r="BJ89" s="1158"/>
      <c r="BK89" s="503"/>
      <c r="BL89" s="503"/>
      <c r="BM89" s="503"/>
      <c r="BN89" s="503"/>
      <c r="BO89" s="503"/>
      <c r="BP89" s="503"/>
      <c r="BQ89" s="503"/>
      <c r="BR89" s="1158"/>
      <c r="BS89" s="503"/>
      <c r="BT89" s="503"/>
      <c r="BU89" s="503"/>
      <c r="BV89" s="503"/>
      <c r="BW89" s="503"/>
      <c r="BX89" s="503"/>
      <c r="BY89" s="503"/>
      <c r="BZ89" s="1158"/>
      <c r="CA89" s="503"/>
      <c r="CB89" s="503"/>
      <c r="CC89" s="503"/>
      <c r="CD89" s="503"/>
      <c r="CE89" s="503"/>
      <c r="CF89" s="503"/>
      <c r="CG89" s="503"/>
      <c r="CH89" s="1158"/>
    </row>
    <row r="90" spans="1:86" ht="11.25" hidden="1" customHeight="1" outlineLevel="1" x14ac:dyDescent="0.2">
      <c r="A90" s="616" t="s">
        <v>742</v>
      </c>
      <c r="B90" s="147">
        <f>Divisional!B68</f>
        <v>201</v>
      </c>
      <c r="C90" s="147">
        <f>Divisional!C68</f>
        <v>218</v>
      </c>
      <c r="D90" s="147">
        <f>Divisional!D68</f>
        <v>234</v>
      </c>
      <c r="E90" s="147">
        <f>Divisional!E68</f>
        <v>204</v>
      </c>
      <c r="F90" s="147">
        <f>Divisional!F68</f>
        <v>167</v>
      </c>
      <c r="G90" s="147">
        <f>Divisional!G68</f>
        <v>145</v>
      </c>
      <c r="H90" s="147">
        <f>Divisional!H68</f>
        <v>112</v>
      </c>
      <c r="I90" s="147">
        <f>Divisional!I68</f>
        <v>159</v>
      </c>
      <c r="J90" s="147">
        <f>Divisional!J68</f>
        <v>213</v>
      </c>
      <c r="K90" s="147">
        <f>Divisional!K68</f>
        <v>254</v>
      </c>
      <c r="L90" s="147">
        <f>Divisional!L68</f>
        <v>308</v>
      </c>
      <c r="M90" s="147">
        <f>Divisional!M68</f>
        <v>229</v>
      </c>
      <c r="N90" s="147">
        <f>Divisional!N68</f>
        <v>218</v>
      </c>
      <c r="O90" s="147">
        <f>Divisional!O68</f>
        <v>182</v>
      </c>
      <c r="P90" s="147">
        <f>Divisional!P68</f>
        <v>237</v>
      </c>
      <c r="Q90" s="147">
        <f>Divisional!Q68</f>
        <v>246</v>
      </c>
      <c r="R90" s="147"/>
      <c r="S90" s="451">
        <f>S65*S91</f>
        <v>0</v>
      </c>
      <c r="T90" s="451">
        <f>T65*T91</f>
        <v>0</v>
      </c>
      <c r="U90" s="451">
        <f>U65*U91</f>
        <v>0</v>
      </c>
      <c r="V90" s="451">
        <f>V65*V91</f>
        <v>0</v>
      </c>
      <c r="W90" s="451"/>
      <c r="X90" s="451"/>
      <c r="Y90" s="451"/>
      <c r="Z90" s="451"/>
      <c r="AA90" s="451"/>
      <c r="AB90" s="451"/>
      <c r="AC90" s="451"/>
      <c r="AD90" s="451">
        <f>AD65*AD91</f>
        <v>0</v>
      </c>
      <c r="AE90" s="451"/>
      <c r="AF90" s="451"/>
      <c r="AG90" s="451"/>
      <c r="AH90" s="451"/>
      <c r="AI90" s="451"/>
      <c r="AJ90" s="451"/>
      <c r="AK90" s="451"/>
      <c r="AL90" s="451">
        <f>AL65*AL91</f>
        <v>0</v>
      </c>
      <c r="AM90" s="451"/>
      <c r="AN90" s="451"/>
      <c r="AO90" s="451"/>
      <c r="AP90" s="451"/>
      <c r="AQ90" s="451"/>
      <c r="AR90" s="451"/>
      <c r="AS90" s="451"/>
      <c r="AT90" s="451">
        <f>AT65*AT91</f>
        <v>0</v>
      </c>
      <c r="AU90" s="451"/>
      <c r="AV90" s="451"/>
      <c r="AW90" s="451"/>
      <c r="AX90" s="451"/>
      <c r="AY90" s="451"/>
      <c r="AZ90" s="451"/>
      <c r="BA90" s="451"/>
      <c r="BB90" s="451">
        <f>BB65*BB91</f>
        <v>0</v>
      </c>
      <c r="BC90" s="451"/>
      <c r="BD90" s="451"/>
      <c r="BE90" s="451"/>
      <c r="BF90" s="451"/>
      <c r="BG90" s="451"/>
      <c r="BH90" s="451"/>
      <c r="BI90" s="451"/>
      <c r="BJ90" s="451">
        <f>BJ65*BJ91</f>
        <v>0</v>
      </c>
      <c r="BK90" s="451"/>
      <c r="BL90" s="451"/>
      <c r="BM90" s="451"/>
      <c r="BN90" s="451"/>
      <c r="BO90" s="451"/>
      <c r="BP90" s="451"/>
      <c r="BQ90" s="451"/>
      <c r="BR90" s="451">
        <f>BR65*BR91</f>
        <v>0</v>
      </c>
      <c r="BS90" s="451"/>
      <c r="BT90" s="451"/>
      <c r="BU90" s="451"/>
      <c r="BV90" s="451"/>
      <c r="BW90" s="451"/>
      <c r="BX90" s="451"/>
      <c r="BY90" s="451"/>
      <c r="BZ90" s="451">
        <f>BZ65*BZ91</f>
        <v>0</v>
      </c>
      <c r="CA90" s="451"/>
      <c r="CB90" s="451"/>
      <c r="CC90" s="451"/>
      <c r="CD90" s="451"/>
      <c r="CE90" s="451"/>
      <c r="CF90" s="451"/>
      <c r="CG90" s="451"/>
      <c r="CH90" s="451">
        <f>CH65*CH91</f>
        <v>0</v>
      </c>
    </row>
    <row r="91" spans="1:86" ht="11.25" hidden="1" customHeight="1" outlineLevel="1" x14ac:dyDescent="0.25">
      <c r="A91" s="619" t="str">
        <f>A84</f>
        <v>As % Revenue</v>
      </c>
      <c r="B91" s="30">
        <f t="shared" ref="B91:Q91" si="46">B90/B65</f>
        <v>9.0581342947273547E-2</v>
      </c>
      <c r="C91" s="30">
        <f t="shared" si="46"/>
        <v>8.6852589641434261E-2</v>
      </c>
      <c r="D91" s="30">
        <f t="shared" si="46"/>
        <v>8.8502269288956131E-2</v>
      </c>
      <c r="E91" s="30">
        <f t="shared" si="46"/>
        <v>7.5471698113207544E-2</v>
      </c>
      <c r="F91" s="30">
        <f t="shared" si="46"/>
        <v>6.0180180180180183E-2</v>
      </c>
      <c r="G91" s="30">
        <f t="shared" si="46"/>
        <v>5.2403324900614383E-2</v>
      </c>
      <c r="H91" s="30">
        <f t="shared" si="46"/>
        <v>3.952011291460833E-2</v>
      </c>
      <c r="I91" s="30">
        <f t="shared" si="46"/>
        <v>5.134000645786245E-2</v>
      </c>
      <c r="J91" s="30">
        <f t="shared" si="46"/>
        <v>5.7707938228122459E-2</v>
      </c>
      <c r="K91" s="30">
        <f t="shared" si="46"/>
        <v>6.2087509166462967E-2</v>
      </c>
      <c r="L91" s="30">
        <f t="shared" si="46"/>
        <v>6.9275753486279804E-2</v>
      </c>
      <c r="M91" s="30">
        <f t="shared" si="46"/>
        <v>4.6328140805179038E-2</v>
      </c>
      <c r="N91" s="30">
        <f t="shared" si="46"/>
        <v>4.23712342079689E-2</v>
      </c>
      <c r="O91" s="30">
        <f t="shared" si="46"/>
        <v>3.361034164358264E-2</v>
      </c>
      <c r="P91" s="30">
        <f t="shared" si="46"/>
        <v>4.5057034220532317E-2</v>
      </c>
      <c r="Q91" s="30">
        <f t="shared" si="46"/>
        <v>4.5597775718257648E-2</v>
      </c>
      <c r="R91" s="30"/>
      <c r="S91" s="28">
        <v>0.04</v>
      </c>
      <c r="T91" s="28">
        <f>S91</f>
        <v>0.04</v>
      </c>
      <c r="U91" s="30">
        <f>T91</f>
        <v>0.04</v>
      </c>
      <c r="V91" s="30">
        <f>U91</f>
        <v>0.04</v>
      </c>
      <c r="W91" s="30"/>
      <c r="X91" s="30"/>
      <c r="Y91" s="30"/>
      <c r="Z91" s="30"/>
      <c r="AA91" s="30"/>
      <c r="AB91" s="30"/>
      <c r="AC91" s="30"/>
      <c r="AD91" s="1159">
        <f>V91</f>
        <v>0.04</v>
      </c>
      <c r="AE91" s="30"/>
      <c r="AF91" s="30"/>
      <c r="AG91" s="30"/>
      <c r="AH91" s="30"/>
      <c r="AI91" s="30"/>
      <c r="AJ91" s="30"/>
      <c r="AK91" s="30"/>
      <c r="AL91" s="1159">
        <f>AD91</f>
        <v>0.04</v>
      </c>
      <c r="AM91" s="30"/>
      <c r="AN91" s="30"/>
      <c r="AO91" s="30"/>
      <c r="AP91" s="30"/>
      <c r="AQ91" s="30"/>
      <c r="AR91" s="30"/>
      <c r="AS91" s="30"/>
      <c r="AT91" s="1159">
        <f>AL91</f>
        <v>0.04</v>
      </c>
      <c r="AU91" s="30"/>
      <c r="AV91" s="30"/>
      <c r="AW91" s="30"/>
      <c r="AX91" s="30"/>
      <c r="AY91" s="30"/>
      <c r="AZ91" s="30"/>
      <c r="BA91" s="30"/>
      <c r="BB91" s="1159">
        <f>AT91</f>
        <v>0.04</v>
      </c>
      <c r="BC91" s="30"/>
      <c r="BD91" s="30"/>
      <c r="BE91" s="30"/>
      <c r="BF91" s="30"/>
      <c r="BG91" s="30"/>
      <c r="BH91" s="30"/>
      <c r="BI91" s="30"/>
      <c r="BJ91" s="1159">
        <f>BB91</f>
        <v>0.04</v>
      </c>
      <c r="BK91" s="30"/>
      <c r="BL91" s="30"/>
      <c r="BM91" s="30"/>
      <c r="BN91" s="30"/>
      <c r="BO91" s="30"/>
      <c r="BP91" s="30"/>
      <c r="BQ91" s="30"/>
      <c r="BR91" s="1159">
        <f>BJ91</f>
        <v>0.04</v>
      </c>
      <c r="BS91" s="30"/>
      <c r="BT91" s="30"/>
      <c r="BU91" s="30"/>
      <c r="BV91" s="30"/>
      <c r="BW91" s="30"/>
      <c r="BX91" s="30"/>
      <c r="BY91" s="30"/>
      <c r="BZ91" s="1159">
        <f>BR91</f>
        <v>0.04</v>
      </c>
      <c r="CA91" s="30"/>
      <c r="CB91" s="30"/>
      <c r="CC91" s="30"/>
      <c r="CD91" s="30"/>
      <c r="CE91" s="30"/>
      <c r="CF91" s="30"/>
      <c r="CG91" s="30"/>
      <c r="CH91" s="1159">
        <f>BZ91</f>
        <v>0.04</v>
      </c>
    </row>
    <row r="92" spans="1:86" ht="11.25" hidden="1" customHeight="1" outlineLevel="1" x14ac:dyDescent="0.25">
      <c r="A92" s="619"/>
      <c r="B92" s="503"/>
      <c r="C92" s="503"/>
      <c r="D92" s="503"/>
      <c r="E92" s="503"/>
      <c r="F92" s="503"/>
      <c r="G92" s="503"/>
      <c r="H92" s="503"/>
      <c r="I92" s="503"/>
      <c r="J92" s="503"/>
      <c r="K92" s="503"/>
      <c r="L92" s="503"/>
      <c r="M92" s="504"/>
      <c r="N92" s="504"/>
      <c r="O92" s="504"/>
      <c r="P92" s="504"/>
      <c r="Q92" s="504"/>
      <c r="R92" s="504"/>
      <c r="S92" s="504"/>
      <c r="T92" s="504"/>
      <c r="U92" s="503"/>
      <c r="V92" s="503"/>
      <c r="W92" s="503"/>
      <c r="X92" s="503"/>
      <c r="Y92" s="503"/>
      <c r="Z92" s="503"/>
      <c r="AA92" s="503"/>
      <c r="AB92" s="503"/>
      <c r="AC92" s="503"/>
      <c r="AD92" s="1158"/>
      <c r="AE92" s="503"/>
      <c r="AF92" s="503"/>
      <c r="AG92" s="503"/>
      <c r="AH92" s="503"/>
      <c r="AI92" s="503"/>
      <c r="AJ92" s="503"/>
      <c r="AK92" s="503"/>
      <c r="AL92" s="1158"/>
      <c r="AM92" s="503"/>
      <c r="AN92" s="503"/>
      <c r="AO92" s="503"/>
      <c r="AP92" s="503"/>
      <c r="AQ92" s="503"/>
      <c r="AR92" s="503"/>
      <c r="AS92" s="503"/>
      <c r="AT92" s="1158"/>
      <c r="AU92" s="503"/>
      <c r="AV92" s="503"/>
      <c r="AW92" s="503"/>
      <c r="AX92" s="503"/>
      <c r="AY92" s="503"/>
      <c r="AZ92" s="503"/>
      <c r="BA92" s="503"/>
      <c r="BB92" s="1158"/>
      <c r="BC92" s="503"/>
      <c r="BD92" s="503"/>
      <c r="BE92" s="503"/>
      <c r="BF92" s="503"/>
      <c r="BG92" s="503"/>
      <c r="BH92" s="503"/>
      <c r="BI92" s="503"/>
      <c r="BJ92" s="1158"/>
      <c r="BK92" s="503"/>
      <c r="BL92" s="503"/>
      <c r="BM92" s="503"/>
      <c r="BN92" s="503"/>
      <c r="BO92" s="503"/>
      <c r="BP92" s="503"/>
      <c r="BQ92" s="503"/>
      <c r="BR92" s="1158"/>
      <c r="BS92" s="503"/>
      <c r="BT92" s="503"/>
      <c r="BU92" s="503"/>
      <c r="BV92" s="503"/>
      <c r="BW92" s="503"/>
      <c r="BX92" s="503"/>
      <c r="BY92" s="503"/>
      <c r="BZ92" s="1158"/>
      <c r="CA92" s="503"/>
      <c r="CB92" s="503"/>
      <c r="CC92" s="503"/>
      <c r="CD92" s="503"/>
      <c r="CE92" s="503"/>
      <c r="CF92" s="503"/>
      <c r="CG92" s="503"/>
      <c r="CH92" s="1158"/>
    </row>
    <row r="93" spans="1:86" ht="11.25" hidden="1" customHeight="1" outlineLevel="1" x14ac:dyDescent="0.2">
      <c r="A93" s="616" t="s">
        <v>382</v>
      </c>
      <c r="B93" s="147">
        <f>Divisional!B79</f>
        <v>97</v>
      </c>
      <c r="C93" s="147">
        <f>Divisional!C79</f>
        <v>132</v>
      </c>
      <c r="D93" s="147">
        <f>Divisional!D79</f>
        <v>98</v>
      </c>
      <c r="E93" s="147">
        <f>Divisional!E79</f>
        <v>98</v>
      </c>
      <c r="F93" s="147">
        <f>Divisional!F79</f>
        <v>83</v>
      </c>
      <c r="G93" s="147">
        <f>Divisional!G79</f>
        <v>65</v>
      </c>
      <c r="H93" s="147">
        <f>Divisional!H79</f>
        <v>45</v>
      </c>
      <c r="I93" s="147">
        <f>Divisional!I79</f>
        <v>81</v>
      </c>
      <c r="J93" s="147">
        <f>Divisional!J79</f>
        <v>126</v>
      </c>
      <c r="K93" s="147">
        <f>Divisional!K79</f>
        <v>129</v>
      </c>
      <c r="L93" s="147">
        <f>Divisional!L79</f>
        <v>122</v>
      </c>
      <c r="M93" s="147">
        <f>Divisional!M79</f>
        <v>98</v>
      </c>
      <c r="N93" s="147">
        <f>Divisional!N79</f>
        <v>82</v>
      </c>
      <c r="O93" s="147">
        <f>Divisional!O79</f>
        <v>56</v>
      </c>
      <c r="P93" s="147">
        <f>Divisional!P79</f>
        <v>110</v>
      </c>
      <c r="Q93" s="147">
        <f>Divisional!Q79</f>
        <v>109</v>
      </c>
      <c r="R93" s="147"/>
      <c r="S93" s="451">
        <f>S90*S94</f>
        <v>0</v>
      </c>
      <c r="T93" s="451">
        <f>T90*T94</f>
        <v>0</v>
      </c>
      <c r="U93" s="451">
        <f>U90*U94</f>
        <v>0</v>
      </c>
      <c r="V93" s="451">
        <f>V90*V94</f>
        <v>0</v>
      </c>
      <c r="W93" s="451"/>
      <c r="X93" s="451"/>
      <c r="Y93" s="451"/>
      <c r="Z93" s="451"/>
      <c r="AA93" s="451"/>
      <c r="AB93" s="451"/>
      <c r="AC93" s="451"/>
      <c r="AD93" s="451">
        <f>AD90*AD94</f>
        <v>0</v>
      </c>
      <c r="AE93" s="451"/>
      <c r="AF93" s="451"/>
      <c r="AG93" s="451"/>
      <c r="AH93" s="451"/>
      <c r="AI93" s="451"/>
      <c r="AJ93" s="451"/>
      <c r="AK93" s="451"/>
      <c r="AL93" s="451">
        <f>AL90*AL94</f>
        <v>0</v>
      </c>
      <c r="AM93" s="451"/>
      <c r="AN93" s="451"/>
      <c r="AO93" s="451"/>
      <c r="AP93" s="451"/>
      <c r="AQ93" s="451"/>
      <c r="AR93" s="451"/>
      <c r="AS93" s="451"/>
      <c r="AT93" s="451">
        <f>AT90*AT94</f>
        <v>0</v>
      </c>
      <c r="AU93" s="451"/>
      <c r="AV93" s="451"/>
      <c r="AW93" s="451"/>
      <c r="AX93" s="451"/>
      <c r="AY93" s="451"/>
      <c r="AZ93" s="451"/>
      <c r="BA93" s="451"/>
      <c r="BB93" s="451">
        <f>BB90*BB94</f>
        <v>0</v>
      </c>
      <c r="BC93" s="451"/>
      <c r="BD93" s="451"/>
      <c r="BE93" s="451"/>
      <c r="BF93" s="451"/>
      <c r="BG93" s="451"/>
      <c r="BH93" s="451"/>
      <c r="BI93" s="451"/>
      <c r="BJ93" s="451">
        <f>BJ90*BJ94</f>
        <v>0</v>
      </c>
      <c r="BK93" s="451"/>
      <c r="BL93" s="451"/>
      <c r="BM93" s="451"/>
      <c r="BN93" s="451"/>
      <c r="BO93" s="451"/>
      <c r="BP93" s="451"/>
      <c r="BQ93" s="451"/>
      <c r="BR93" s="451">
        <f>BR90*BR94</f>
        <v>0</v>
      </c>
      <c r="BS93" s="451"/>
      <c r="BT93" s="451"/>
      <c r="BU93" s="451"/>
      <c r="BV93" s="451"/>
      <c r="BW93" s="451"/>
      <c r="BX93" s="451"/>
      <c r="BY93" s="451"/>
      <c r="BZ93" s="451">
        <f>BZ90*BZ94</f>
        <v>0</v>
      </c>
      <c r="CA93" s="451"/>
      <c r="CB93" s="451"/>
      <c r="CC93" s="451"/>
      <c r="CD93" s="451"/>
      <c r="CE93" s="451"/>
      <c r="CF93" s="451"/>
      <c r="CG93" s="451"/>
      <c r="CH93" s="451">
        <f>CH90*CH94</f>
        <v>0</v>
      </c>
    </row>
    <row r="94" spans="1:86" ht="11.25" hidden="1" customHeight="1" outlineLevel="1" x14ac:dyDescent="0.25">
      <c r="A94" s="619" t="s">
        <v>105</v>
      </c>
      <c r="B94" s="30">
        <f t="shared" ref="B94:Q94" si="47">B93/B90</f>
        <v>0.48258706467661694</v>
      </c>
      <c r="C94" s="30">
        <f t="shared" si="47"/>
        <v>0.60550458715596334</v>
      </c>
      <c r="D94" s="30">
        <f t="shared" si="47"/>
        <v>0.41880341880341881</v>
      </c>
      <c r="E94" s="30">
        <f t="shared" si="47"/>
        <v>0.48039215686274511</v>
      </c>
      <c r="F94" s="30">
        <f t="shared" si="47"/>
        <v>0.49700598802395207</v>
      </c>
      <c r="G94" s="30">
        <f t="shared" si="47"/>
        <v>0.44827586206896552</v>
      </c>
      <c r="H94" s="30">
        <f t="shared" si="47"/>
        <v>0.4017857142857143</v>
      </c>
      <c r="I94" s="30">
        <f t="shared" si="47"/>
        <v>0.50943396226415094</v>
      </c>
      <c r="J94" s="30">
        <f t="shared" si="47"/>
        <v>0.59154929577464788</v>
      </c>
      <c r="K94" s="30">
        <f t="shared" si="47"/>
        <v>0.50787401574803148</v>
      </c>
      <c r="L94" s="30">
        <f t="shared" si="47"/>
        <v>0.39610389610389612</v>
      </c>
      <c r="M94" s="30">
        <f t="shared" si="47"/>
        <v>0.42794759825327511</v>
      </c>
      <c r="N94" s="30">
        <f t="shared" si="47"/>
        <v>0.37614678899082571</v>
      </c>
      <c r="O94" s="30">
        <f t="shared" si="47"/>
        <v>0.30769230769230771</v>
      </c>
      <c r="P94" s="30">
        <f t="shared" si="47"/>
        <v>0.46413502109704641</v>
      </c>
      <c r="Q94" s="30">
        <f t="shared" si="47"/>
        <v>0.44308943089430897</v>
      </c>
      <c r="R94" s="30"/>
      <c r="S94" s="1160">
        <f>Q94</f>
        <v>0.44308943089430897</v>
      </c>
      <c r="T94" s="1160">
        <f>S94</f>
        <v>0.44308943089430897</v>
      </c>
      <c r="U94" s="1161">
        <f>T94</f>
        <v>0.44308943089430897</v>
      </c>
      <c r="V94" s="1161">
        <f>U94</f>
        <v>0.44308943089430897</v>
      </c>
      <c r="W94" s="1161"/>
      <c r="X94" s="1161"/>
      <c r="Y94" s="1161"/>
      <c r="Z94" s="1161"/>
      <c r="AA94" s="1161"/>
      <c r="AB94" s="1161"/>
      <c r="AC94" s="1161"/>
      <c r="AD94" s="1162">
        <f>V94</f>
        <v>0.44308943089430897</v>
      </c>
      <c r="AE94" s="1161"/>
      <c r="AF94" s="1161"/>
      <c r="AG94" s="1161"/>
      <c r="AH94" s="1161"/>
      <c r="AI94" s="1161"/>
      <c r="AJ94" s="1161"/>
      <c r="AK94" s="1161"/>
      <c r="AL94" s="1162">
        <f>AD94</f>
        <v>0.44308943089430897</v>
      </c>
      <c r="AM94" s="1161"/>
      <c r="AN94" s="1161"/>
      <c r="AO94" s="1161"/>
      <c r="AP94" s="1161"/>
      <c r="AQ94" s="1161"/>
      <c r="AR94" s="1161"/>
      <c r="AS94" s="1161"/>
      <c r="AT94" s="1162">
        <f>AL94</f>
        <v>0.44308943089430897</v>
      </c>
      <c r="AU94" s="1161"/>
      <c r="AV94" s="1161"/>
      <c r="AW94" s="1161"/>
      <c r="AX94" s="1161"/>
      <c r="AY94" s="1161"/>
      <c r="AZ94" s="1161"/>
      <c r="BA94" s="1161"/>
      <c r="BB94" s="1162">
        <f>AT94</f>
        <v>0.44308943089430897</v>
      </c>
      <c r="BC94" s="1161"/>
      <c r="BD94" s="1161"/>
      <c r="BE94" s="1161"/>
      <c r="BF94" s="1161"/>
      <c r="BG94" s="1161"/>
      <c r="BH94" s="1161"/>
      <c r="BI94" s="1161"/>
      <c r="BJ94" s="1162">
        <f>BB94</f>
        <v>0.44308943089430897</v>
      </c>
      <c r="BK94" s="1161"/>
      <c r="BL94" s="1161"/>
      <c r="BM94" s="1161"/>
      <c r="BN94" s="1161"/>
      <c r="BO94" s="1161"/>
      <c r="BP94" s="1161"/>
      <c r="BQ94" s="1161"/>
      <c r="BR94" s="1162">
        <f>BJ94</f>
        <v>0.44308943089430897</v>
      </c>
      <c r="BS94" s="1161"/>
      <c r="BT94" s="1161"/>
      <c r="BU94" s="1161"/>
      <c r="BV94" s="1161"/>
      <c r="BW94" s="1161"/>
      <c r="BX94" s="1161"/>
      <c r="BY94" s="1161"/>
      <c r="BZ94" s="1162">
        <f>BR94</f>
        <v>0.44308943089430897</v>
      </c>
      <c r="CA94" s="1161"/>
      <c r="CB94" s="1161"/>
      <c r="CC94" s="1161"/>
      <c r="CD94" s="1161"/>
      <c r="CE94" s="1161"/>
      <c r="CF94" s="1161"/>
      <c r="CG94" s="1161"/>
      <c r="CH94" s="1162">
        <f>BZ94</f>
        <v>0.44308943089430897</v>
      </c>
    </row>
    <row r="95" spans="1:86" ht="11.25" hidden="1" customHeight="1" outlineLevel="1" x14ac:dyDescent="0.25">
      <c r="A95" s="619"/>
      <c r="B95" s="503"/>
      <c r="C95" s="503"/>
      <c r="D95" s="503"/>
      <c r="E95" s="503"/>
      <c r="F95" s="503"/>
      <c r="G95" s="503"/>
      <c r="H95" s="503"/>
      <c r="I95" s="503"/>
      <c r="J95" s="503"/>
      <c r="K95" s="503"/>
      <c r="L95" s="503"/>
      <c r="M95" s="504"/>
      <c r="N95" s="504"/>
      <c r="O95" s="504"/>
      <c r="P95" s="504"/>
      <c r="Q95" s="504"/>
      <c r="R95" s="504"/>
      <c r="S95" s="504"/>
      <c r="T95" s="504"/>
      <c r="U95" s="503"/>
      <c r="V95" s="503"/>
      <c r="W95" s="503"/>
      <c r="X95" s="503"/>
      <c r="Y95" s="503"/>
      <c r="Z95" s="503"/>
      <c r="AA95" s="503"/>
      <c r="AB95" s="503"/>
      <c r="AC95" s="503"/>
      <c r="AD95" s="1158"/>
      <c r="AE95" s="503"/>
      <c r="AF95" s="503"/>
      <c r="AG95" s="503"/>
      <c r="AH95" s="503"/>
      <c r="AI95" s="503"/>
      <c r="AJ95" s="503"/>
      <c r="AK95" s="503"/>
      <c r="AL95" s="1158"/>
      <c r="AM95" s="503"/>
      <c r="AN95" s="503"/>
      <c r="AO95" s="503"/>
      <c r="AP95" s="503"/>
      <c r="AQ95" s="503"/>
      <c r="AR95" s="503"/>
      <c r="AS95" s="503"/>
      <c r="AT95" s="1158"/>
      <c r="AU95" s="503"/>
      <c r="AV95" s="503"/>
      <c r="AW95" s="503"/>
      <c r="AX95" s="503"/>
      <c r="AY95" s="503"/>
      <c r="AZ95" s="503"/>
      <c r="BA95" s="503"/>
      <c r="BB95" s="1158"/>
      <c r="BC95" s="503"/>
      <c r="BD95" s="503"/>
      <c r="BE95" s="503"/>
      <c r="BF95" s="503"/>
      <c r="BG95" s="503"/>
      <c r="BH95" s="503"/>
      <c r="BI95" s="503"/>
      <c r="BJ95" s="1158"/>
      <c r="BK95" s="503"/>
      <c r="BL95" s="503"/>
      <c r="BM95" s="503"/>
      <c r="BN95" s="503"/>
      <c r="BO95" s="503"/>
      <c r="BP95" s="503"/>
      <c r="BQ95" s="503"/>
      <c r="BR95" s="1158"/>
      <c r="BS95" s="503"/>
      <c r="BT95" s="503"/>
      <c r="BU95" s="503"/>
      <c r="BV95" s="503"/>
      <c r="BW95" s="503"/>
      <c r="BX95" s="503"/>
      <c r="BY95" s="503"/>
      <c r="BZ95" s="1158"/>
      <c r="CA95" s="503"/>
      <c r="CB95" s="503"/>
      <c r="CC95" s="503"/>
      <c r="CD95" s="503"/>
      <c r="CE95" s="503"/>
      <c r="CF95" s="503"/>
      <c r="CG95" s="503"/>
      <c r="CH95" s="1158"/>
    </row>
    <row r="96" spans="1:86" ht="11.25" hidden="1" customHeight="1" outlineLevel="1" x14ac:dyDescent="0.2">
      <c r="A96" s="616" t="s">
        <v>744</v>
      </c>
      <c r="B96" s="147">
        <f>B90-B93</f>
        <v>104</v>
      </c>
      <c r="C96" s="147">
        <f t="shared" ref="C96:L96" si="48">C90-C93</f>
        <v>86</v>
      </c>
      <c r="D96" s="147">
        <f t="shared" si="48"/>
        <v>136</v>
      </c>
      <c r="E96" s="147">
        <f t="shared" si="48"/>
        <v>106</v>
      </c>
      <c r="F96" s="147">
        <f t="shared" si="48"/>
        <v>84</v>
      </c>
      <c r="G96" s="147">
        <f t="shared" si="48"/>
        <v>80</v>
      </c>
      <c r="H96" s="147">
        <f t="shared" si="48"/>
        <v>67</v>
      </c>
      <c r="I96" s="147">
        <f t="shared" si="48"/>
        <v>78</v>
      </c>
      <c r="J96" s="147">
        <f t="shared" si="48"/>
        <v>87</v>
      </c>
      <c r="K96" s="147">
        <f t="shared" si="48"/>
        <v>125</v>
      </c>
      <c r="L96" s="147">
        <f t="shared" si="48"/>
        <v>186</v>
      </c>
      <c r="M96" s="141">
        <f>M90-M93</f>
        <v>131</v>
      </c>
      <c r="N96" s="141">
        <f>N90-N93</f>
        <v>136</v>
      </c>
      <c r="O96" s="141">
        <f>O90-O93</f>
        <v>126</v>
      </c>
      <c r="P96" s="141">
        <f>P90-P93</f>
        <v>127</v>
      </c>
      <c r="Q96" s="141">
        <f>Q90-Q93</f>
        <v>137</v>
      </c>
      <c r="R96" s="141"/>
      <c r="S96" s="141">
        <f>S90-S93</f>
        <v>0</v>
      </c>
      <c r="T96" s="141">
        <f>T90-T93</f>
        <v>0</v>
      </c>
      <c r="U96" s="147">
        <f>U90-U93</f>
        <v>0</v>
      </c>
      <c r="V96" s="147">
        <f>V90-V93</f>
        <v>0</v>
      </c>
      <c r="W96" s="147"/>
      <c r="X96" s="147"/>
      <c r="Y96" s="147"/>
      <c r="Z96" s="147"/>
      <c r="AA96" s="147"/>
      <c r="AB96" s="147"/>
      <c r="AC96" s="147"/>
      <c r="AD96" s="147">
        <f>AD90-AD93</f>
        <v>0</v>
      </c>
      <c r="AE96" s="147"/>
      <c r="AF96" s="147"/>
      <c r="AG96" s="147"/>
      <c r="AH96" s="147"/>
      <c r="AI96" s="147"/>
      <c r="AJ96" s="147"/>
      <c r="AK96" s="147"/>
      <c r="AL96" s="147">
        <f>AL90-AL93</f>
        <v>0</v>
      </c>
      <c r="AM96" s="147"/>
      <c r="AN96" s="147"/>
      <c r="AO96" s="147"/>
      <c r="AP96" s="147"/>
      <c r="AQ96" s="147"/>
      <c r="AR96" s="147"/>
      <c r="AS96" s="147"/>
      <c r="AT96" s="147">
        <f>AT90-AT93</f>
        <v>0</v>
      </c>
      <c r="AU96" s="147"/>
      <c r="AV96" s="147"/>
      <c r="AW96" s="147"/>
      <c r="AX96" s="147"/>
      <c r="AY96" s="147"/>
      <c r="AZ96" s="147"/>
      <c r="BA96" s="147"/>
      <c r="BB96" s="147">
        <f>BB90-BB93</f>
        <v>0</v>
      </c>
      <c r="BC96" s="147"/>
      <c r="BD96" s="147"/>
      <c r="BE96" s="147"/>
      <c r="BF96" s="147"/>
      <c r="BG96" s="147"/>
      <c r="BH96" s="147"/>
      <c r="BI96" s="147"/>
      <c r="BJ96" s="147">
        <f>BJ90-BJ93</f>
        <v>0</v>
      </c>
      <c r="BK96" s="147"/>
      <c r="BL96" s="147"/>
      <c r="BM96" s="147"/>
      <c r="BN96" s="147"/>
      <c r="BO96" s="147"/>
      <c r="BP96" s="147"/>
      <c r="BQ96" s="147"/>
      <c r="BR96" s="147">
        <f>BR90-BR93</f>
        <v>0</v>
      </c>
      <c r="BS96" s="147"/>
      <c r="BT96" s="147"/>
      <c r="BU96" s="147"/>
      <c r="BV96" s="147"/>
      <c r="BW96" s="147"/>
      <c r="BX96" s="147"/>
      <c r="BY96" s="147"/>
      <c r="BZ96" s="147">
        <f>BZ90-BZ93</f>
        <v>0</v>
      </c>
      <c r="CA96" s="147"/>
      <c r="CB96" s="147"/>
      <c r="CC96" s="147"/>
      <c r="CD96" s="147"/>
      <c r="CE96" s="147"/>
      <c r="CF96" s="147"/>
      <c r="CG96" s="147"/>
      <c r="CH96" s="147">
        <f>CH90-CH93</f>
        <v>0</v>
      </c>
    </row>
    <row r="97" spans="1:87" ht="11.25" hidden="1" customHeight="1" outlineLevel="1" x14ac:dyDescent="0.25">
      <c r="A97" s="619" t="str">
        <f>A91</f>
        <v>As % Revenue</v>
      </c>
      <c r="B97" s="30">
        <f t="shared" ref="B97:AD97" si="49">B96/B65</f>
        <v>4.6867958539882827E-2</v>
      </c>
      <c r="C97" s="30">
        <f t="shared" si="49"/>
        <v>3.4262948207171316E-2</v>
      </c>
      <c r="D97" s="30">
        <f t="shared" si="49"/>
        <v>5.1437216338880487E-2</v>
      </c>
      <c r="E97" s="30">
        <f t="shared" si="49"/>
        <v>3.9215686274509803E-2</v>
      </c>
      <c r="F97" s="30">
        <f t="shared" si="49"/>
        <v>3.027027027027027E-2</v>
      </c>
      <c r="G97" s="30">
        <f t="shared" si="49"/>
        <v>2.8912179255511383E-2</v>
      </c>
      <c r="H97" s="30">
        <f t="shared" si="49"/>
        <v>2.364149611856034E-2</v>
      </c>
      <c r="I97" s="30">
        <f t="shared" si="49"/>
        <v>2.5185663545366485E-2</v>
      </c>
      <c r="J97" s="30">
        <f t="shared" si="49"/>
        <v>2.3570848008669737E-2</v>
      </c>
      <c r="K97" s="30">
        <f t="shared" si="49"/>
        <v>3.0554876558298704E-2</v>
      </c>
      <c r="L97" s="30">
        <f t="shared" si="49"/>
        <v>4.1835357624831308E-2</v>
      </c>
      <c r="M97" s="28">
        <f t="shared" si="49"/>
        <v>2.6502124216063121E-2</v>
      </c>
      <c r="N97" s="28">
        <f t="shared" si="49"/>
        <v>2.6433430515063167E-2</v>
      </c>
      <c r="O97" s="28">
        <f t="shared" si="49"/>
        <v>2.3268698060941829E-2</v>
      </c>
      <c r="P97" s="28">
        <f t="shared" si="49"/>
        <v>2.4144486692015209E-2</v>
      </c>
      <c r="Q97" s="28">
        <f t="shared" si="49"/>
        <v>2.5393883225208528E-2</v>
      </c>
      <c r="R97" s="28"/>
      <c r="S97" s="28" t="e">
        <f t="shared" si="49"/>
        <v>#DIV/0!</v>
      </c>
      <c r="T97" s="28" t="e">
        <f t="shared" si="49"/>
        <v>#DIV/0!</v>
      </c>
      <c r="U97" s="30" t="e">
        <f t="shared" si="49"/>
        <v>#DIV/0!</v>
      </c>
      <c r="V97" s="30" t="e">
        <f t="shared" si="49"/>
        <v>#DIV/0!</v>
      </c>
      <c r="W97" s="30"/>
      <c r="X97" s="30"/>
      <c r="Y97" s="30"/>
      <c r="Z97" s="30"/>
      <c r="AA97" s="30"/>
      <c r="AB97" s="30"/>
      <c r="AC97" s="30"/>
      <c r="AD97" s="101" t="e">
        <f t="shared" si="49"/>
        <v>#DIV/0!</v>
      </c>
      <c r="AE97" s="30"/>
      <c r="AF97" s="30"/>
      <c r="AG97" s="30"/>
      <c r="AH97" s="30"/>
      <c r="AI97" s="30"/>
      <c r="AJ97" s="30"/>
      <c r="AK97" s="30"/>
      <c r="AL97" s="101"/>
      <c r="AM97" s="30"/>
      <c r="AN97" s="30"/>
      <c r="AO97" s="30"/>
      <c r="AP97" s="30"/>
      <c r="AQ97" s="30"/>
      <c r="AR97" s="30"/>
      <c r="AS97" s="30"/>
      <c r="AT97" s="101"/>
      <c r="AU97" s="30"/>
      <c r="AV97" s="30"/>
      <c r="AW97" s="30"/>
      <c r="AX97" s="30"/>
      <c r="AY97" s="30"/>
      <c r="AZ97" s="30"/>
      <c r="BA97" s="30"/>
      <c r="BB97" s="101"/>
      <c r="BC97" s="30"/>
      <c r="BD97" s="30"/>
      <c r="BE97" s="30"/>
      <c r="BF97" s="30"/>
      <c r="BG97" s="30"/>
      <c r="BH97" s="30"/>
      <c r="BI97" s="30"/>
      <c r="BJ97" s="101"/>
      <c r="BK97" s="30"/>
      <c r="BL97" s="30"/>
      <c r="BM97" s="30"/>
      <c r="BN97" s="30"/>
      <c r="BO97" s="30"/>
      <c r="BP97" s="30"/>
      <c r="BQ97" s="30"/>
      <c r="BR97" s="101"/>
      <c r="BS97" s="30"/>
      <c r="BT97" s="30"/>
      <c r="BU97" s="30"/>
      <c r="BV97" s="30"/>
      <c r="BW97" s="30"/>
      <c r="BX97" s="30"/>
      <c r="BY97" s="30"/>
      <c r="BZ97" s="101"/>
      <c r="CA97" s="30"/>
      <c r="CB97" s="30"/>
      <c r="CC97" s="30"/>
      <c r="CD97" s="30"/>
      <c r="CE97" s="30"/>
      <c r="CF97" s="30"/>
      <c r="CG97" s="30"/>
      <c r="CH97" s="101"/>
    </row>
    <row r="98" spans="1:87" ht="11.25" hidden="1" customHeight="1" outlineLevel="1" x14ac:dyDescent="0.25">
      <c r="A98" s="619"/>
      <c r="B98" s="30"/>
      <c r="C98" s="30"/>
      <c r="D98" s="30"/>
      <c r="E98" s="30"/>
      <c r="F98" s="30"/>
      <c r="G98" s="30"/>
      <c r="H98" s="30"/>
      <c r="I98" s="30"/>
      <c r="J98" s="30"/>
      <c r="K98" s="30"/>
      <c r="L98" s="30"/>
      <c r="M98" s="28"/>
      <c r="N98" s="28"/>
      <c r="O98" s="28"/>
      <c r="P98" s="28"/>
      <c r="Q98" s="28"/>
      <c r="R98" s="28"/>
      <c r="S98" s="28"/>
      <c r="T98" s="28"/>
      <c r="U98" s="30"/>
      <c r="V98" s="30"/>
      <c r="W98" s="30"/>
      <c r="X98" s="30"/>
      <c r="Y98" s="30"/>
      <c r="Z98" s="30"/>
      <c r="AA98" s="30"/>
      <c r="AB98" s="30"/>
      <c r="AC98" s="30"/>
      <c r="AD98" s="101"/>
      <c r="AE98" s="30"/>
      <c r="AF98" s="30"/>
      <c r="AG98" s="30"/>
      <c r="AH98" s="30"/>
      <c r="AI98" s="30"/>
      <c r="AJ98" s="30"/>
      <c r="AK98" s="30"/>
      <c r="AL98" s="101"/>
      <c r="AM98" s="30"/>
      <c r="AN98" s="30"/>
      <c r="AO98" s="30"/>
      <c r="AP98" s="30"/>
      <c r="AQ98" s="30"/>
      <c r="AR98" s="30"/>
      <c r="AS98" s="30"/>
      <c r="AT98" s="101"/>
      <c r="AU98" s="30"/>
      <c r="AV98" s="30"/>
      <c r="AW98" s="30"/>
      <c r="AX98" s="30"/>
      <c r="AY98" s="30"/>
      <c r="AZ98" s="30"/>
      <c r="BA98" s="30"/>
      <c r="BB98" s="101"/>
      <c r="BC98" s="30"/>
      <c r="BD98" s="30"/>
      <c r="BE98" s="30"/>
      <c r="BF98" s="30"/>
      <c r="BG98" s="30"/>
      <c r="BH98" s="30"/>
      <c r="BI98" s="30"/>
      <c r="BJ98" s="101"/>
      <c r="BK98" s="30"/>
      <c r="BL98" s="30"/>
      <c r="BM98" s="30"/>
      <c r="BN98" s="30"/>
      <c r="BO98" s="30"/>
      <c r="BP98" s="30"/>
      <c r="BQ98" s="30"/>
      <c r="BR98" s="101"/>
      <c r="BS98" s="30"/>
      <c r="BT98" s="30"/>
      <c r="BU98" s="30"/>
      <c r="BV98" s="30"/>
      <c r="BW98" s="30"/>
      <c r="BX98" s="30"/>
      <c r="BY98" s="30"/>
      <c r="BZ98" s="101"/>
      <c r="CA98" s="30"/>
      <c r="CB98" s="30"/>
      <c r="CC98" s="30"/>
      <c r="CD98" s="30"/>
      <c r="CE98" s="30"/>
      <c r="CF98" s="30"/>
      <c r="CG98" s="30"/>
      <c r="CH98" s="101"/>
    </row>
    <row r="99" spans="1:87" ht="11.25" hidden="1" customHeight="1" outlineLevel="1" x14ac:dyDescent="0.2">
      <c r="A99" s="619" t="s">
        <v>738</v>
      </c>
      <c r="K99" s="4">
        <v>6748</v>
      </c>
      <c r="L99" s="4">
        <v>5854</v>
      </c>
      <c r="M99" s="4">
        <v>4359</v>
      </c>
    </row>
    <row r="100" spans="1:87" hidden="1" outlineLevel="1" x14ac:dyDescent="0.2">
      <c r="A100" s="619" t="s">
        <v>739</v>
      </c>
      <c r="K100" s="1164">
        <f>K99/K65</f>
        <v>1.6494744561231973</v>
      </c>
      <c r="L100" s="1164">
        <f>L99/L65</f>
        <v>1.3166891587944221</v>
      </c>
      <c r="M100" s="1164">
        <f>M99/M65</f>
        <v>0.88185312563220719</v>
      </c>
    </row>
    <row r="101" spans="1:87" hidden="1" outlineLevel="1" x14ac:dyDescent="0.2">
      <c r="A101" s="619" t="s">
        <v>740</v>
      </c>
      <c r="K101" s="4">
        <v>16455</v>
      </c>
      <c r="L101" s="4">
        <v>18435</v>
      </c>
      <c r="M101" s="4">
        <v>19674</v>
      </c>
    </row>
    <row r="102" spans="1:87" hidden="1" outlineLevel="1" x14ac:dyDescent="0.2"/>
    <row r="103" spans="1:87" ht="15" hidden="1" outlineLevel="1" x14ac:dyDescent="0.25">
      <c r="A103" s="619"/>
      <c r="B103" s="30"/>
      <c r="C103" s="30"/>
      <c r="D103" s="30"/>
      <c r="E103" s="30"/>
      <c r="F103" s="30"/>
      <c r="G103" s="30"/>
      <c r="H103" s="30"/>
      <c r="I103" s="30"/>
      <c r="J103" s="30"/>
      <c r="K103" s="30"/>
      <c r="L103" s="30"/>
      <c r="M103" s="28"/>
      <c r="N103" s="28"/>
      <c r="O103" s="28"/>
      <c r="P103" s="28"/>
      <c r="Q103" s="28"/>
      <c r="R103" s="28"/>
      <c r="S103" s="28"/>
      <c r="T103" s="28"/>
      <c r="U103" s="30"/>
      <c r="V103" s="30"/>
      <c r="W103" s="30"/>
      <c r="X103" s="30"/>
      <c r="Y103" s="30"/>
      <c r="Z103" s="30"/>
      <c r="AA103" s="30"/>
      <c r="AB103" s="30"/>
      <c r="AC103" s="30"/>
      <c r="AD103" s="101"/>
      <c r="AE103" s="30"/>
      <c r="AF103" s="30"/>
      <c r="AG103" s="30"/>
      <c r="AH103" s="30"/>
      <c r="AI103" s="30"/>
      <c r="AJ103" s="30"/>
      <c r="AK103" s="30"/>
      <c r="AL103" s="101"/>
      <c r="AM103" s="30"/>
      <c r="AN103" s="30"/>
      <c r="AO103" s="30"/>
      <c r="AP103" s="30"/>
      <c r="AQ103" s="30"/>
      <c r="AR103" s="30"/>
      <c r="AS103" s="30"/>
      <c r="AT103" s="101"/>
      <c r="AU103" s="30"/>
      <c r="AV103" s="30"/>
      <c r="AW103" s="30"/>
      <c r="AX103" s="30"/>
      <c r="AY103" s="30"/>
      <c r="AZ103" s="30"/>
      <c r="BA103" s="30"/>
      <c r="BB103" s="101"/>
      <c r="BC103" s="30"/>
      <c r="BD103" s="30"/>
      <c r="BE103" s="30"/>
      <c r="BF103" s="30"/>
      <c r="BG103" s="30"/>
      <c r="BH103" s="30"/>
      <c r="BI103" s="30"/>
      <c r="BJ103" s="101"/>
      <c r="BK103" s="30"/>
      <c r="BL103" s="30"/>
      <c r="BM103" s="30"/>
      <c r="BN103" s="30"/>
      <c r="BO103" s="30"/>
      <c r="BP103" s="30"/>
      <c r="BQ103" s="30"/>
      <c r="BR103" s="101"/>
      <c r="BS103" s="30"/>
      <c r="BT103" s="30"/>
      <c r="BU103" s="30"/>
      <c r="BV103" s="30"/>
      <c r="BW103" s="30"/>
      <c r="BX103" s="30"/>
      <c r="BY103" s="30"/>
      <c r="BZ103" s="101"/>
      <c r="CA103" s="30"/>
      <c r="CB103" s="30"/>
      <c r="CC103" s="30"/>
      <c r="CD103" s="30"/>
      <c r="CE103" s="30"/>
      <c r="CF103" s="30"/>
      <c r="CG103" s="30"/>
      <c r="CH103" s="101"/>
    </row>
    <row r="104" spans="1:87" ht="11.25" hidden="1" customHeight="1" outlineLevel="1" x14ac:dyDescent="0.2">
      <c r="A104" s="616" t="s">
        <v>1020</v>
      </c>
      <c r="B104" s="147"/>
      <c r="C104" s="147"/>
      <c r="D104" s="147"/>
      <c r="E104" s="147"/>
      <c r="F104" s="147">
        <f>4419-787</f>
        <v>3632</v>
      </c>
      <c r="G104" s="147">
        <f>3840-665</f>
        <v>3175</v>
      </c>
      <c r="H104" s="147">
        <f>3908-747</f>
        <v>3161</v>
      </c>
      <c r="I104" s="147">
        <f>4243-707</f>
        <v>3536</v>
      </c>
      <c r="J104" s="147">
        <f>4480-710</f>
        <v>3770</v>
      </c>
      <c r="K104" s="147">
        <f>5032-828</f>
        <v>4204</v>
      </c>
      <c r="L104" s="147">
        <f>5585-953</f>
        <v>4632</v>
      </c>
      <c r="M104" s="147">
        <f>5940-991</f>
        <v>4949</v>
      </c>
      <c r="N104" s="147">
        <f>6088-980</f>
        <v>5108</v>
      </c>
      <c r="O104" s="451"/>
      <c r="P104" s="451"/>
      <c r="Q104" s="451"/>
      <c r="R104" s="451"/>
      <c r="S104" s="451"/>
      <c r="T104" s="451"/>
      <c r="U104" s="451"/>
      <c r="V104" s="451"/>
      <c r="W104" s="451"/>
      <c r="X104" s="451"/>
      <c r="Y104" s="451"/>
      <c r="Z104" s="451"/>
      <c r="AA104" s="451"/>
      <c r="AB104" s="451"/>
      <c r="AC104" s="451"/>
      <c r="AD104" s="451"/>
      <c r="AE104" s="451"/>
      <c r="AF104" s="451"/>
      <c r="AG104" s="451"/>
      <c r="AH104" s="451"/>
      <c r="AI104" s="451"/>
      <c r="AJ104" s="451"/>
      <c r="AK104" s="451"/>
      <c r="AL104" s="451"/>
      <c r="AM104" s="451"/>
      <c r="AN104" s="451"/>
      <c r="AO104" s="451"/>
      <c r="AP104" s="451"/>
      <c r="AQ104" s="451"/>
      <c r="AR104" s="451"/>
      <c r="AS104" s="451"/>
      <c r="AT104" s="451"/>
      <c r="AU104" s="451"/>
      <c r="AV104" s="451"/>
      <c r="AW104" s="451"/>
      <c r="AX104" s="451"/>
      <c r="AY104" s="451"/>
      <c r="AZ104" s="451"/>
      <c r="BA104" s="451"/>
      <c r="BB104" s="451"/>
      <c r="BC104" s="451"/>
      <c r="BD104" s="451"/>
      <c r="BE104" s="451"/>
      <c r="BF104" s="451"/>
      <c r="BG104" s="451"/>
      <c r="BH104" s="451"/>
      <c r="BI104" s="451"/>
      <c r="BJ104" s="451"/>
      <c r="BK104" s="451"/>
      <c r="BL104" s="451"/>
      <c r="BM104" s="451"/>
      <c r="BN104" s="451"/>
      <c r="BO104" s="451"/>
      <c r="BP104" s="451"/>
      <c r="BQ104" s="451"/>
      <c r="BR104" s="451"/>
      <c r="BS104" s="451"/>
      <c r="BT104" s="451"/>
      <c r="BU104" s="451"/>
      <c r="BV104" s="451"/>
      <c r="BW104" s="451"/>
      <c r="BX104" s="451"/>
      <c r="BY104" s="451"/>
      <c r="BZ104" s="451"/>
      <c r="CA104" s="451"/>
      <c r="CB104" s="451"/>
      <c r="CC104" s="451"/>
      <c r="CD104" s="451"/>
      <c r="CE104" s="451"/>
      <c r="CF104" s="451"/>
      <c r="CG104" s="451"/>
      <c r="CH104" s="451"/>
    </row>
    <row r="105" spans="1:87" ht="11.25" hidden="1" customHeight="1" outlineLevel="1" x14ac:dyDescent="0.25">
      <c r="A105" s="619" t="s">
        <v>14</v>
      </c>
      <c r="B105" s="473"/>
      <c r="C105" s="473"/>
      <c r="D105" s="473"/>
      <c r="E105" s="473"/>
      <c r="F105" s="473">
        <f t="shared" ref="F105:N105" si="50">+F71*(1-F106)</f>
        <v>50.58383233532934</v>
      </c>
      <c r="G105" s="473">
        <f t="shared" si="50"/>
        <v>57.925430210325054</v>
      </c>
      <c r="H105" s="473">
        <f t="shared" si="50"/>
        <v>95.879603399433435</v>
      </c>
      <c r="I105" s="473">
        <f t="shared" si="50"/>
        <v>140.87120418848167</v>
      </c>
      <c r="J105" s="473">
        <f t="shared" si="50"/>
        <v>228.30023828435267</v>
      </c>
      <c r="K105" s="473">
        <f t="shared" si="50"/>
        <v>253.44670363524335</v>
      </c>
      <c r="L105" s="473">
        <f t="shared" si="50"/>
        <v>304.81634877384198</v>
      </c>
      <c r="M105" s="473">
        <f t="shared" si="50"/>
        <v>341.95904887714664</v>
      </c>
      <c r="N105" s="473">
        <f t="shared" si="50"/>
        <v>441.05619982158788</v>
      </c>
      <c r="O105" s="833"/>
      <c r="P105" s="833"/>
      <c r="Q105" s="833"/>
      <c r="R105" s="833"/>
      <c r="S105" s="833"/>
      <c r="T105" s="833"/>
      <c r="U105" s="833"/>
      <c r="V105" s="833"/>
      <c r="W105" s="833"/>
      <c r="X105" s="833"/>
      <c r="Y105" s="833"/>
      <c r="Z105" s="833"/>
      <c r="AA105" s="833"/>
      <c r="AB105" s="833"/>
      <c r="AC105" s="833"/>
      <c r="AD105" s="833"/>
      <c r="AE105" s="833"/>
      <c r="AF105" s="833"/>
      <c r="AG105" s="833"/>
      <c r="AH105" s="833"/>
      <c r="AI105" s="833"/>
      <c r="AJ105" s="833"/>
      <c r="AK105" s="833"/>
      <c r="AL105" s="833"/>
      <c r="AM105" s="833"/>
      <c r="AN105" s="833"/>
      <c r="AO105" s="833"/>
      <c r="AP105" s="833"/>
      <c r="AQ105" s="833"/>
      <c r="AR105" s="833"/>
      <c r="AS105" s="833"/>
      <c r="AT105" s="833"/>
      <c r="AU105" s="833"/>
      <c r="AV105" s="833"/>
      <c r="AW105" s="833"/>
      <c r="AX105" s="833"/>
      <c r="AY105" s="833"/>
      <c r="AZ105" s="833"/>
      <c r="BA105" s="833"/>
      <c r="BB105" s="833"/>
      <c r="BC105" s="833"/>
      <c r="BD105" s="833"/>
      <c r="BE105" s="833"/>
      <c r="BF105" s="833"/>
      <c r="BG105" s="833"/>
      <c r="BH105" s="833"/>
      <c r="BI105" s="833"/>
      <c r="BJ105" s="833"/>
      <c r="BK105" s="833"/>
      <c r="BL105" s="833"/>
      <c r="BM105" s="833"/>
      <c r="BN105" s="833"/>
      <c r="BO105" s="833"/>
      <c r="BP105" s="833"/>
      <c r="BQ105" s="833"/>
      <c r="BR105" s="833"/>
      <c r="BS105" s="833"/>
      <c r="BT105" s="833"/>
      <c r="BU105" s="833"/>
      <c r="BV105" s="833"/>
      <c r="BW105" s="833"/>
      <c r="BX105" s="833"/>
      <c r="BY105" s="833"/>
      <c r="BZ105" s="833"/>
      <c r="CA105" s="833"/>
      <c r="CB105" s="833"/>
      <c r="CC105" s="833"/>
      <c r="CD105" s="833"/>
      <c r="CE105" s="833"/>
      <c r="CF105" s="833"/>
      <c r="CG105" s="833"/>
      <c r="CH105" s="833"/>
    </row>
    <row r="106" spans="1:87" ht="15" hidden="1" outlineLevel="1" x14ac:dyDescent="0.25">
      <c r="A106" s="619" t="s">
        <v>1021</v>
      </c>
      <c r="B106" s="30"/>
      <c r="C106" s="30"/>
      <c r="D106" s="30"/>
      <c r="E106" s="30"/>
      <c r="F106" s="30">
        <f>+IS!F34</f>
        <v>0.18413173652694612</v>
      </c>
      <c r="G106" s="30">
        <f>+IS!G34</f>
        <v>0.20650095602294455</v>
      </c>
      <c r="H106" s="30">
        <f>+IS!H34</f>
        <v>0.24504249291784702</v>
      </c>
      <c r="I106" s="30">
        <f>+IS!I34</f>
        <v>0.30261780104712044</v>
      </c>
      <c r="J106" s="30">
        <f>+IS!J34</f>
        <v>0.20174741858617951</v>
      </c>
      <c r="K106" s="30">
        <f>+IS!K34</f>
        <v>0.325939617991374</v>
      </c>
      <c r="L106" s="30">
        <f>+IS!L34</f>
        <v>0.28446866485013622</v>
      </c>
      <c r="M106" s="30">
        <f>+IS!M34</f>
        <v>0.26618229854689562</v>
      </c>
      <c r="N106" s="30">
        <f>+IS!N34</f>
        <v>0.22212310437109722</v>
      </c>
      <c r="O106" s="28"/>
      <c r="P106" s="28"/>
      <c r="Q106" s="28"/>
      <c r="R106" s="28"/>
      <c r="S106" s="28"/>
      <c r="T106" s="28"/>
      <c r="U106" s="30"/>
      <c r="V106" s="30"/>
      <c r="W106" s="30"/>
      <c r="X106" s="30"/>
      <c r="Y106" s="30"/>
      <c r="Z106" s="30"/>
      <c r="AA106" s="30"/>
      <c r="AB106" s="30"/>
      <c r="AC106" s="30"/>
      <c r="AD106" s="101"/>
      <c r="AE106" s="30"/>
      <c r="AF106" s="30"/>
      <c r="AG106" s="30"/>
      <c r="AH106" s="30"/>
      <c r="AI106" s="30"/>
      <c r="AJ106" s="30"/>
      <c r="AK106" s="30"/>
      <c r="AL106" s="101"/>
      <c r="AM106" s="30"/>
      <c r="AN106" s="30"/>
      <c r="AO106" s="30"/>
      <c r="AP106" s="30"/>
      <c r="AQ106" s="30"/>
      <c r="AR106" s="30"/>
      <c r="AS106" s="30"/>
      <c r="AT106" s="101"/>
      <c r="AU106" s="30"/>
      <c r="AV106" s="30"/>
      <c r="AW106" s="30"/>
      <c r="AX106" s="30"/>
      <c r="AY106" s="30"/>
      <c r="AZ106" s="30"/>
      <c r="BA106" s="30"/>
      <c r="BB106" s="101"/>
      <c r="BC106" s="30"/>
      <c r="BD106" s="30"/>
      <c r="BE106" s="30"/>
      <c r="BF106" s="30"/>
      <c r="BG106" s="30"/>
      <c r="BH106" s="30"/>
      <c r="BI106" s="30"/>
      <c r="BJ106" s="101"/>
      <c r="BK106" s="30"/>
      <c r="BL106" s="30"/>
      <c r="BM106" s="30"/>
      <c r="BN106" s="30"/>
      <c r="BO106" s="30"/>
      <c r="BP106" s="30"/>
      <c r="BQ106" s="30"/>
      <c r="BR106" s="101"/>
      <c r="BS106" s="30"/>
      <c r="BT106" s="30"/>
      <c r="BU106" s="30"/>
      <c r="BV106" s="30"/>
      <c r="BW106" s="30"/>
      <c r="BX106" s="30"/>
      <c r="BY106" s="30"/>
      <c r="BZ106" s="101"/>
      <c r="CA106" s="30"/>
      <c r="CB106" s="30"/>
      <c r="CC106" s="30"/>
      <c r="CD106" s="30"/>
      <c r="CE106" s="30"/>
      <c r="CF106" s="30"/>
      <c r="CG106" s="30"/>
      <c r="CH106" s="101"/>
    </row>
    <row r="107" spans="1:87" ht="15" hidden="1" outlineLevel="1" x14ac:dyDescent="0.25">
      <c r="A107" s="619" t="s">
        <v>1022</v>
      </c>
      <c r="B107" s="30"/>
      <c r="C107" s="30"/>
      <c r="D107" s="30"/>
      <c r="E107" s="30"/>
      <c r="F107" s="30">
        <f>+F105/F104</f>
        <v>1.3927266612150149E-2</v>
      </c>
      <c r="G107" s="30">
        <f t="shared" ref="G107:N107" si="51">+G105/G104</f>
        <v>1.8244229987503954E-2</v>
      </c>
      <c r="H107" s="30">
        <f t="shared" si="51"/>
        <v>3.0332047896056133E-2</v>
      </c>
      <c r="I107" s="30">
        <f t="shared" si="51"/>
        <v>3.9839141456018572E-2</v>
      </c>
      <c r="J107" s="30">
        <f t="shared" si="51"/>
        <v>6.055709238311742E-2</v>
      </c>
      <c r="K107" s="30">
        <f t="shared" si="51"/>
        <v>6.0287037020752464E-2</v>
      </c>
      <c r="L107" s="30">
        <f t="shared" si="51"/>
        <v>6.5806638336321666E-2</v>
      </c>
      <c r="M107" s="30">
        <f t="shared" si="51"/>
        <v>6.9096595044887174E-2</v>
      </c>
      <c r="N107" s="30">
        <f t="shared" si="51"/>
        <v>8.6346162846826127E-2</v>
      </c>
      <c r="O107" s="28"/>
      <c r="P107" s="28"/>
      <c r="Q107" s="28"/>
      <c r="R107" s="28"/>
      <c r="S107" s="28"/>
      <c r="T107" s="28"/>
      <c r="U107" s="30"/>
      <c r="V107" s="30"/>
      <c r="W107" s="30"/>
      <c r="X107" s="30"/>
      <c r="Y107" s="30"/>
      <c r="Z107" s="30"/>
      <c r="AA107" s="30"/>
      <c r="AB107" s="30"/>
      <c r="AC107" s="30"/>
      <c r="AD107" s="101"/>
      <c r="AE107" s="30"/>
      <c r="AF107" s="30"/>
      <c r="AG107" s="30"/>
      <c r="AH107" s="30"/>
      <c r="AI107" s="30"/>
      <c r="AJ107" s="30"/>
      <c r="AK107" s="30"/>
      <c r="AL107" s="101"/>
      <c r="AM107" s="30"/>
      <c r="AN107" s="30"/>
      <c r="AO107" s="30"/>
      <c r="AP107" s="30"/>
      <c r="AQ107" s="30"/>
      <c r="AR107" s="30"/>
      <c r="AS107" s="30"/>
      <c r="AT107" s="101"/>
      <c r="AU107" s="30"/>
      <c r="AV107" s="30"/>
      <c r="AW107" s="30"/>
      <c r="AX107" s="30"/>
      <c r="AY107" s="30"/>
      <c r="AZ107" s="30"/>
      <c r="BA107" s="30"/>
      <c r="BB107" s="101"/>
      <c r="BC107" s="30"/>
      <c r="BD107" s="30"/>
      <c r="BE107" s="30"/>
      <c r="BF107" s="30"/>
      <c r="BG107" s="30"/>
      <c r="BH107" s="30"/>
      <c r="BI107" s="30"/>
      <c r="BJ107" s="101"/>
      <c r="BK107" s="30"/>
      <c r="BL107" s="30"/>
      <c r="BM107" s="30"/>
      <c r="BN107" s="30"/>
      <c r="BO107" s="30"/>
      <c r="BP107" s="30"/>
      <c r="BQ107" s="30"/>
      <c r="BR107" s="101"/>
      <c r="BS107" s="30"/>
      <c r="BT107" s="30"/>
      <c r="BU107" s="30"/>
      <c r="BV107" s="30"/>
      <c r="BW107" s="30"/>
      <c r="BX107" s="30"/>
      <c r="BY107" s="30"/>
      <c r="BZ107" s="101"/>
      <c r="CA107" s="30"/>
      <c r="CB107" s="30"/>
      <c r="CC107" s="30"/>
      <c r="CD107" s="30"/>
      <c r="CE107" s="30"/>
      <c r="CF107" s="30"/>
      <c r="CG107" s="30"/>
      <c r="CH107" s="101"/>
    </row>
    <row r="108" spans="1:87" hidden="1" outlineLevel="1" x14ac:dyDescent="0.2">
      <c r="A108" s="619"/>
      <c r="B108" s="82"/>
      <c r="C108" s="82"/>
      <c r="D108" s="82"/>
      <c r="E108" s="82"/>
      <c r="F108" s="82"/>
      <c r="G108" s="82"/>
      <c r="H108" s="82"/>
      <c r="I108" s="82"/>
      <c r="J108" s="82"/>
      <c r="K108" s="82"/>
      <c r="L108" s="82"/>
      <c r="M108" s="83"/>
      <c r="N108" s="83"/>
      <c r="O108" s="83"/>
      <c r="P108" s="83"/>
      <c r="Q108" s="83"/>
      <c r="R108" s="83"/>
      <c r="S108" s="83"/>
      <c r="T108" s="83"/>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c r="BA108" s="82"/>
      <c r="BB108" s="82"/>
      <c r="BC108" s="82"/>
      <c r="BD108" s="82"/>
      <c r="BE108" s="82"/>
      <c r="BF108" s="82"/>
      <c r="BG108" s="82"/>
      <c r="BH108" s="82"/>
      <c r="BI108" s="82"/>
      <c r="BJ108" s="82"/>
      <c r="BK108" s="82"/>
      <c r="BL108" s="82"/>
      <c r="BM108" s="82"/>
      <c r="BN108" s="82"/>
      <c r="BO108" s="82"/>
      <c r="BP108" s="82"/>
      <c r="BQ108" s="82"/>
      <c r="BR108" s="82"/>
      <c r="BS108" s="82"/>
      <c r="BT108" s="82"/>
      <c r="BU108" s="82"/>
      <c r="BV108" s="82"/>
      <c r="BW108" s="82"/>
      <c r="BX108" s="82"/>
      <c r="BY108" s="82"/>
      <c r="BZ108" s="82"/>
      <c r="CA108" s="82"/>
      <c r="CB108" s="82"/>
      <c r="CC108" s="82"/>
      <c r="CD108" s="82"/>
      <c r="CE108" s="82"/>
      <c r="CF108" s="82"/>
      <c r="CG108" s="82"/>
      <c r="CH108" s="82"/>
    </row>
    <row r="109" spans="1:87" hidden="1" outlineLevel="1" x14ac:dyDescent="0.2">
      <c r="A109" s="628" t="s">
        <v>745</v>
      </c>
      <c r="B109" s="454"/>
      <c r="C109" s="454"/>
      <c r="D109" s="454"/>
      <c r="E109" s="454"/>
      <c r="F109" s="454"/>
      <c r="G109" s="454"/>
      <c r="H109" s="454"/>
      <c r="I109" s="454"/>
      <c r="J109" s="630"/>
      <c r="K109" s="631"/>
      <c r="L109" s="632"/>
      <c r="M109" s="631"/>
      <c r="N109" s="631"/>
      <c r="O109" s="631"/>
      <c r="P109" s="631"/>
      <c r="Q109" s="631"/>
      <c r="R109" s="631"/>
      <c r="S109" s="631"/>
      <c r="T109" s="631"/>
      <c r="U109" s="631"/>
      <c r="V109" s="631"/>
      <c r="W109" s="631"/>
      <c r="X109" s="631"/>
      <c r="Y109" s="631"/>
      <c r="Z109" s="631"/>
      <c r="AA109" s="631"/>
      <c r="AB109" s="631"/>
      <c r="AC109" s="631"/>
      <c r="AD109" s="631"/>
      <c r="AE109" s="631"/>
      <c r="AF109" s="631"/>
      <c r="AG109" s="631"/>
      <c r="AH109" s="631"/>
      <c r="AI109" s="631"/>
      <c r="AJ109" s="631"/>
      <c r="AK109" s="631"/>
      <c r="AL109" s="631"/>
      <c r="AM109" s="631"/>
      <c r="AN109" s="631"/>
      <c r="AO109" s="631"/>
      <c r="AP109" s="631"/>
      <c r="AQ109" s="631"/>
      <c r="AR109" s="631"/>
      <c r="AS109" s="631"/>
      <c r="AT109" s="631"/>
      <c r="AU109" s="631"/>
      <c r="AV109" s="631"/>
      <c r="AW109" s="631"/>
      <c r="AX109" s="631"/>
      <c r="AY109" s="631"/>
      <c r="AZ109" s="631"/>
      <c r="BA109" s="631"/>
      <c r="BB109" s="631"/>
      <c r="BC109" s="631"/>
      <c r="BD109" s="631"/>
      <c r="BE109" s="631"/>
      <c r="BF109" s="631"/>
      <c r="BG109" s="631"/>
      <c r="BH109" s="631"/>
      <c r="BI109" s="631"/>
      <c r="BJ109" s="631"/>
      <c r="BK109" s="631"/>
      <c r="BL109" s="631"/>
      <c r="BM109" s="631"/>
      <c r="BN109" s="631"/>
      <c r="BO109" s="631"/>
      <c r="BP109" s="631"/>
      <c r="BQ109" s="631"/>
      <c r="BR109" s="631"/>
      <c r="BS109" s="631"/>
      <c r="BT109" s="631"/>
      <c r="BU109" s="631"/>
      <c r="BV109" s="631"/>
      <c r="BW109" s="631"/>
      <c r="BX109" s="631"/>
      <c r="BY109" s="631"/>
      <c r="BZ109" s="631"/>
      <c r="CA109" s="631"/>
      <c r="CB109" s="631"/>
      <c r="CC109" s="631"/>
      <c r="CD109" s="631"/>
      <c r="CE109" s="631"/>
      <c r="CF109" s="631"/>
      <c r="CG109" s="631"/>
      <c r="CH109" s="631"/>
      <c r="CI109" s="237"/>
    </row>
    <row r="110" spans="1:87" hidden="1" outlineLevel="1" x14ac:dyDescent="0.2">
      <c r="A110" s="636"/>
      <c r="B110" s="186"/>
      <c r="C110" s="186"/>
      <c r="D110" s="186"/>
      <c r="E110" s="186"/>
      <c r="F110" s="186"/>
      <c r="G110" s="186"/>
      <c r="H110" s="186"/>
      <c r="I110" s="186"/>
      <c r="J110" s="462"/>
      <c r="K110" s="580"/>
      <c r="L110" s="272"/>
      <c r="M110" s="580"/>
      <c r="N110" s="580"/>
      <c r="O110" s="580"/>
      <c r="P110" s="580"/>
      <c r="Q110" s="580"/>
      <c r="R110" s="580"/>
      <c r="S110" s="580"/>
      <c r="T110" s="580"/>
      <c r="U110" s="580"/>
      <c r="V110" s="580"/>
      <c r="W110" s="580"/>
      <c r="X110" s="580"/>
      <c r="Y110" s="580"/>
      <c r="Z110" s="580"/>
      <c r="AA110" s="580"/>
      <c r="AB110" s="580"/>
      <c r="AC110" s="580"/>
      <c r="AD110" s="580"/>
      <c r="AE110" s="580"/>
      <c r="AF110" s="580"/>
      <c r="AG110" s="580"/>
      <c r="AH110" s="580"/>
      <c r="AI110" s="580"/>
      <c r="AJ110" s="580"/>
      <c r="AK110" s="580"/>
      <c r="AL110" s="580"/>
      <c r="AM110" s="580"/>
      <c r="AN110" s="580"/>
      <c r="AO110" s="580"/>
      <c r="AP110" s="580"/>
      <c r="AQ110" s="580"/>
      <c r="AR110" s="580"/>
      <c r="AS110" s="580"/>
      <c r="AT110" s="580"/>
      <c r="AU110" s="580"/>
      <c r="AV110" s="580"/>
      <c r="AW110" s="580"/>
      <c r="AX110" s="580"/>
      <c r="AY110" s="580"/>
      <c r="AZ110" s="580"/>
      <c r="BA110" s="580"/>
      <c r="BB110" s="580"/>
      <c r="BC110" s="580"/>
      <c r="BD110" s="580"/>
      <c r="BE110" s="580"/>
      <c r="BF110" s="580"/>
      <c r="BG110" s="580"/>
      <c r="BH110" s="580"/>
      <c r="BI110" s="580"/>
      <c r="BJ110" s="580"/>
      <c r="BK110" s="580"/>
      <c r="BL110" s="580"/>
      <c r="BM110" s="580"/>
      <c r="BN110" s="580"/>
      <c r="BO110" s="580"/>
      <c r="BP110" s="580"/>
      <c r="BQ110" s="580"/>
      <c r="BR110" s="580"/>
      <c r="BS110" s="580"/>
      <c r="BT110" s="580"/>
      <c r="BU110" s="580"/>
      <c r="BV110" s="580"/>
      <c r="BW110" s="580"/>
      <c r="BX110" s="580"/>
      <c r="BY110" s="580"/>
      <c r="BZ110" s="580"/>
      <c r="CA110" s="580"/>
      <c r="CB110" s="580"/>
      <c r="CC110" s="580"/>
      <c r="CD110" s="580"/>
      <c r="CE110" s="580"/>
      <c r="CF110" s="580"/>
      <c r="CG110" s="580"/>
      <c r="CH110" s="580"/>
      <c r="CI110" s="237"/>
    </row>
    <row r="111" spans="1:87" ht="15" hidden="1" outlineLevel="1" x14ac:dyDescent="0.25">
      <c r="A111" s="219" t="s">
        <v>1023</v>
      </c>
      <c r="B111" s="503"/>
      <c r="C111" s="503"/>
      <c r="D111" s="503"/>
      <c r="E111" s="503"/>
      <c r="F111" s="503"/>
      <c r="G111" s="503"/>
      <c r="H111" s="490"/>
      <c r="I111" s="490"/>
      <c r="J111" s="490"/>
      <c r="K111" s="490"/>
      <c r="L111" s="490"/>
      <c r="M111" s="490"/>
      <c r="N111" s="490"/>
      <c r="O111" s="490"/>
      <c r="P111" s="490"/>
      <c r="Q111" s="490"/>
      <c r="R111" s="490"/>
      <c r="S111" s="490"/>
      <c r="T111" s="490"/>
      <c r="U111" s="490"/>
      <c r="V111" s="490"/>
      <c r="W111" s="490"/>
      <c r="X111" s="490"/>
      <c r="Y111" s="490"/>
      <c r="Z111" s="490"/>
      <c r="AA111" s="490"/>
      <c r="AB111" s="490"/>
      <c r="AC111" s="490"/>
      <c r="AD111" s="54"/>
      <c r="AE111" s="490"/>
      <c r="AF111" s="490"/>
      <c r="AG111" s="490"/>
      <c r="AH111" s="490"/>
      <c r="AI111" s="490"/>
      <c r="AJ111" s="490"/>
      <c r="AK111" s="490"/>
      <c r="AL111" s="54"/>
      <c r="AM111" s="490"/>
      <c r="AN111" s="490"/>
      <c r="AO111" s="490"/>
      <c r="AP111" s="490"/>
      <c r="AQ111" s="490"/>
      <c r="AR111" s="490"/>
      <c r="AS111" s="490"/>
      <c r="AT111" s="54"/>
      <c r="AU111" s="490"/>
      <c r="AV111" s="490"/>
      <c r="AW111" s="490"/>
      <c r="AX111" s="490"/>
      <c r="AY111" s="490"/>
      <c r="AZ111" s="490"/>
      <c r="BA111" s="490"/>
      <c r="BB111" s="54"/>
      <c r="BC111" s="490"/>
      <c r="BD111" s="490"/>
      <c r="BE111" s="490"/>
      <c r="BF111" s="490"/>
      <c r="BG111" s="490"/>
      <c r="BH111" s="490"/>
      <c r="BI111" s="490"/>
      <c r="BJ111" s="54"/>
      <c r="BK111" s="490"/>
      <c r="BL111" s="490"/>
      <c r="BM111" s="490"/>
      <c r="BN111" s="490"/>
      <c r="BO111" s="490"/>
      <c r="BP111" s="490"/>
      <c r="BQ111" s="490"/>
      <c r="BR111" s="54"/>
      <c r="BS111" s="490"/>
      <c r="BT111" s="490"/>
      <c r="BU111" s="490"/>
      <c r="BV111" s="490"/>
      <c r="BW111" s="490"/>
      <c r="BX111" s="490"/>
      <c r="BY111" s="490"/>
      <c r="BZ111" s="54"/>
      <c r="CA111" s="490"/>
      <c r="CB111" s="490"/>
      <c r="CC111" s="490"/>
      <c r="CD111" s="490"/>
      <c r="CE111" s="490"/>
      <c r="CF111" s="490"/>
      <c r="CG111" s="490"/>
      <c r="CH111" s="54"/>
    </row>
    <row r="112" spans="1:87" hidden="1" outlineLevel="1" x14ac:dyDescent="0.2">
      <c r="A112" s="4" t="s">
        <v>756</v>
      </c>
      <c r="B112" s="18">
        <v>0.73</v>
      </c>
      <c r="C112" s="18">
        <v>0.72</v>
      </c>
      <c r="D112" s="18">
        <f t="shared" ref="D112:S114" si="52">D62/D$65</f>
        <v>0.70839636913767023</v>
      </c>
      <c r="E112" s="18">
        <f t="shared" si="52"/>
        <v>0.63448020717721054</v>
      </c>
      <c r="F112" s="18">
        <f t="shared" si="52"/>
        <v>0.64828828828828833</v>
      </c>
      <c r="G112" s="18">
        <f t="shared" si="52"/>
        <v>0.63353812793639319</v>
      </c>
      <c r="H112" s="18">
        <f t="shared" si="52"/>
        <v>0.64678899082568808</v>
      </c>
      <c r="I112" s="18">
        <f t="shared" si="52"/>
        <v>0.66451404585082341</v>
      </c>
      <c r="J112" s="18">
        <f t="shared" si="52"/>
        <v>0.6816580872392306</v>
      </c>
      <c r="K112" s="18">
        <f t="shared" si="52"/>
        <v>0.68882913713028604</v>
      </c>
      <c r="L112" s="18">
        <f t="shared" si="52"/>
        <v>0.69815564552406661</v>
      </c>
      <c r="M112" s="19">
        <f t="shared" si="52"/>
        <v>0.68076067165688858</v>
      </c>
      <c r="N112" s="19">
        <f t="shared" si="52"/>
        <v>0.65714285714285714</v>
      </c>
      <c r="O112" s="19">
        <f t="shared" si="52"/>
        <v>0.65244690674053551</v>
      </c>
      <c r="P112" s="19">
        <f t="shared" si="52"/>
        <v>0.6562737642585551</v>
      </c>
      <c r="Q112" s="19">
        <f t="shared" si="52"/>
        <v>0.65338276181649679</v>
      </c>
      <c r="R112" s="19"/>
      <c r="S112" s="19" t="e">
        <f>S62/S$65</f>
        <v>#DIV/0!</v>
      </c>
      <c r="T112" s="19" t="e">
        <f>T62/T$65</f>
        <v>#DIV/0!</v>
      </c>
      <c r="U112" s="18" t="e">
        <f>U62/U$65</f>
        <v>#DIV/0!</v>
      </c>
      <c r="V112" s="18" t="e">
        <f>V62/V$65</f>
        <v>#DIV/0!</v>
      </c>
      <c r="W112" s="18"/>
      <c r="X112" s="18"/>
      <c r="Y112" s="18"/>
      <c r="Z112" s="18"/>
      <c r="AA112" s="18"/>
      <c r="AB112" s="18"/>
      <c r="AC112" s="18"/>
      <c r="AD112" s="18" t="e">
        <f>AD62/AD$65</f>
        <v>#DIV/0!</v>
      </c>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row>
    <row r="113" spans="1:87" hidden="1" outlineLevel="1" x14ac:dyDescent="0.2">
      <c r="A113" s="4" t="s">
        <v>1014</v>
      </c>
      <c r="B113" s="18">
        <v>0.22</v>
      </c>
      <c r="C113" s="18">
        <v>0.22</v>
      </c>
      <c r="D113" s="18">
        <f t="shared" si="52"/>
        <v>0.22201210287443268</v>
      </c>
      <c r="E113" s="18">
        <f t="shared" si="52"/>
        <v>0.31150573436921941</v>
      </c>
      <c r="F113" s="18">
        <f t="shared" si="52"/>
        <v>0.31243243243243241</v>
      </c>
      <c r="G113" s="18">
        <f t="shared" si="52"/>
        <v>0.31405854716299242</v>
      </c>
      <c r="H113" s="18">
        <f t="shared" si="52"/>
        <v>0.31298517995765701</v>
      </c>
      <c r="I113" s="18">
        <f t="shared" si="52"/>
        <v>0.30965450435905717</v>
      </c>
      <c r="J113" s="18">
        <f t="shared" si="52"/>
        <v>0.28555946897859658</v>
      </c>
      <c r="K113" s="18">
        <f t="shared" si="52"/>
        <v>0.29088242483500365</v>
      </c>
      <c r="L113" s="18">
        <f t="shared" si="52"/>
        <v>0.28789923526765632</v>
      </c>
      <c r="M113" s="19">
        <f t="shared" si="52"/>
        <v>0.29921100546226986</v>
      </c>
      <c r="N113" s="19">
        <f t="shared" si="52"/>
        <v>0.31778425655976678</v>
      </c>
      <c r="O113" s="19">
        <f t="shared" si="52"/>
        <v>0.32299168975069253</v>
      </c>
      <c r="P113" s="19">
        <f t="shared" si="52"/>
        <v>0.31749049429657794</v>
      </c>
      <c r="Q113" s="19">
        <f t="shared" si="52"/>
        <v>0.3314179796107507</v>
      </c>
      <c r="R113" s="19"/>
      <c r="S113" s="19" t="e">
        <f t="shared" si="52"/>
        <v>#DIV/0!</v>
      </c>
      <c r="T113" s="19" t="e">
        <f t="shared" ref="T113:AD114" si="53">T63/T$65</f>
        <v>#DIV/0!</v>
      </c>
      <c r="U113" s="18" t="e">
        <f t="shared" si="53"/>
        <v>#DIV/0!</v>
      </c>
      <c r="V113" s="18" t="e">
        <f>V63/V$65</f>
        <v>#DIV/0!</v>
      </c>
      <c r="W113" s="18"/>
      <c r="X113" s="18"/>
      <c r="Y113" s="18"/>
      <c r="Z113" s="18"/>
      <c r="AA113" s="18"/>
      <c r="AB113" s="18"/>
      <c r="AC113" s="18"/>
      <c r="AD113" s="18" t="e">
        <f t="shared" si="53"/>
        <v>#DIV/0!</v>
      </c>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row>
    <row r="114" spans="1:87" hidden="1" outlineLevel="1" x14ac:dyDescent="0.2">
      <c r="A114" s="4" t="s">
        <v>397</v>
      </c>
      <c r="B114" s="19">
        <v>0.05</v>
      </c>
      <c r="C114" s="19">
        <v>0.06</v>
      </c>
      <c r="D114" s="19">
        <f t="shared" si="52"/>
        <v>6.9591527987897125E-2</v>
      </c>
      <c r="E114" s="19">
        <f t="shared" si="52"/>
        <v>5.4014058453570109E-2</v>
      </c>
      <c r="F114" s="19">
        <f t="shared" si="52"/>
        <v>3.9279279279279281E-2</v>
      </c>
      <c r="G114" s="19">
        <f t="shared" si="52"/>
        <v>5.2403324900614383E-2</v>
      </c>
      <c r="H114" s="19">
        <f t="shared" si="52"/>
        <v>4.0225829216654907E-2</v>
      </c>
      <c r="I114" s="19">
        <f t="shared" si="52"/>
        <v>2.5831449790119469E-2</v>
      </c>
      <c r="J114" s="19">
        <f t="shared" si="52"/>
        <v>3.2782443782172856E-2</v>
      </c>
      <c r="K114" s="19">
        <f t="shared" si="52"/>
        <v>2.0288438034710341E-2</v>
      </c>
      <c r="L114" s="19">
        <f t="shared" si="52"/>
        <v>1.3945119208277103E-2</v>
      </c>
      <c r="M114" s="19">
        <f t="shared" si="52"/>
        <v>2.0028322880841595E-2</v>
      </c>
      <c r="N114" s="19">
        <f t="shared" si="52"/>
        <v>2.5072886297376092E-2</v>
      </c>
      <c r="O114" s="19">
        <f t="shared" si="52"/>
        <v>2.456140350877193E-2</v>
      </c>
      <c r="P114" s="19">
        <f t="shared" si="52"/>
        <v>2.6235741444866921E-2</v>
      </c>
      <c r="Q114" s="19">
        <f t="shared" si="52"/>
        <v>1.5199258572752549E-2</v>
      </c>
      <c r="R114" s="19"/>
      <c r="S114" s="19" t="e">
        <f t="shared" si="52"/>
        <v>#DIV/0!</v>
      </c>
      <c r="T114" s="19" t="e">
        <f t="shared" si="53"/>
        <v>#DIV/0!</v>
      </c>
      <c r="U114" s="19" t="e">
        <f t="shared" si="53"/>
        <v>#DIV/0!</v>
      </c>
      <c r="V114" s="19" t="e">
        <f>V64/V$65</f>
        <v>#DIV/0!</v>
      </c>
      <c r="W114" s="19"/>
      <c r="X114" s="19"/>
      <c r="Y114" s="19"/>
      <c r="Z114" s="19"/>
      <c r="AA114" s="19"/>
      <c r="AB114" s="19"/>
      <c r="AC114" s="19"/>
      <c r="AD114" s="19" t="e">
        <f t="shared" si="53"/>
        <v>#DIV/0!</v>
      </c>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row>
    <row r="115" spans="1:87" hidden="1" outlineLevel="1" x14ac:dyDescent="0.2">
      <c r="A115" s="186" t="s">
        <v>100</v>
      </c>
      <c r="B115" s="1165">
        <f t="shared" ref="B115:N115" si="54">SUM(B112:B114)</f>
        <v>1</v>
      </c>
      <c r="C115" s="1165">
        <f t="shared" si="54"/>
        <v>1</v>
      </c>
      <c r="D115" s="1165">
        <f t="shared" si="54"/>
        <v>1</v>
      </c>
      <c r="E115" s="1165">
        <f t="shared" si="54"/>
        <v>1.0000000000000002</v>
      </c>
      <c r="F115" s="1165">
        <f t="shared" si="54"/>
        <v>1</v>
      </c>
      <c r="G115" s="1165">
        <f t="shared" si="54"/>
        <v>1</v>
      </c>
      <c r="H115" s="1165">
        <f t="shared" si="54"/>
        <v>1</v>
      </c>
      <c r="I115" s="1165">
        <f t="shared" si="54"/>
        <v>1</v>
      </c>
      <c r="J115" s="1165">
        <f t="shared" si="54"/>
        <v>1</v>
      </c>
      <c r="K115" s="1165">
        <f t="shared" si="54"/>
        <v>1</v>
      </c>
      <c r="L115" s="1165">
        <f t="shared" si="54"/>
        <v>1</v>
      </c>
      <c r="M115" s="1165">
        <f t="shared" si="54"/>
        <v>1</v>
      </c>
      <c r="N115" s="1165">
        <f t="shared" si="54"/>
        <v>1</v>
      </c>
      <c r="O115" s="1165">
        <f>SUM(O112:O114)</f>
        <v>0.99999999999999989</v>
      </c>
      <c r="P115" s="1165">
        <f>SUM(P112:P114)</f>
        <v>1</v>
      </c>
      <c r="Q115" s="1165">
        <f>SUM(Q112:Q114)</f>
        <v>1</v>
      </c>
      <c r="R115" s="1165"/>
      <c r="S115" s="1165" t="e">
        <f>SUM(S112:S114)</f>
        <v>#DIV/0!</v>
      </c>
      <c r="T115" s="1165" t="e">
        <f>SUM(T112:T114)</f>
        <v>#DIV/0!</v>
      </c>
      <c r="U115" s="1165" t="e">
        <f>SUM(U112:U114)</f>
        <v>#DIV/0!</v>
      </c>
      <c r="V115" s="1165" t="e">
        <f>SUM(V112:V114)</f>
        <v>#DIV/0!</v>
      </c>
      <c r="W115" s="1165"/>
      <c r="X115" s="1165"/>
      <c r="Y115" s="1165"/>
      <c r="Z115" s="1165"/>
      <c r="AA115" s="1165"/>
      <c r="AB115" s="1165"/>
      <c r="AC115" s="1165"/>
      <c r="AD115" s="1165" t="e">
        <f>SUM(AD112:AD114)</f>
        <v>#DIV/0!</v>
      </c>
      <c r="AE115" s="1165"/>
      <c r="AF115" s="1165"/>
      <c r="AG115" s="1165"/>
      <c r="AH115" s="1165"/>
      <c r="AI115" s="1165"/>
      <c r="AJ115" s="1165"/>
      <c r="AK115" s="1165"/>
      <c r="AL115" s="1165"/>
      <c r="AM115" s="1165"/>
      <c r="AN115" s="1165"/>
      <c r="AO115" s="1165"/>
      <c r="AP115" s="1165"/>
      <c r="AQ115" s="1165"/>
      <c r="AR115" s="1165"/>
      <c r="AS115" s="1165"/>
      <c r="AT115" s="1165"/>
      <c r="AU115" s="1165"/>
      <c r="AV115" s="1165"/>
      <c r="AW115" s="1165"/>
      <c r="AX115" s="1165"/>
      <c r="AY115" s="1165"/>
      <c r="AZ115" s="1165"/>
      <c r="BA115" s="1165"/>
      <c r="BB115" s="1165"/>
      <c r="BC115" s="1165"/>
      <c r="BD115" s="1165"/>
      <c r="BE115" s="1165"/>
      <c r="BF115" s="1165"/>
      <c r="BG115" s="1165"/>
      <c r="BH115" s="1165"/>
      <c r="BI115" s="1165"/>
      <c r="BJ115" s="1165"/>
      <c r="BK115" s="1165"/>
      <c r="BL115" s="1165"/>
      <c r="BM115" s="1165"/>
      <c r="BN115" s="1165"/>
      <c r="BO115" s="1165"/>
      <c r="BP115" s="1165"/>
      <c r="BQ115" s="1165"/>
      <c r="BR115" s="1165"/>
      <c r="BS115" s="1165"/>
      <c r="BT115" s="1165"/>
      <c r="BU115" s="1165"/>
      <c r="BV115" s="1165"/>
      <c r="BW115" s="1165"/>
      <c r="BX115" s="1165"/>
      <c r="BY115" s="1165"/>
      <c r="BZ115" s="1165"/>
      <c r="CA115" s="1165"/>
      <c r="CB115" s="1165"/>
      <c r="CC115" s="1165"/>
      <c r="CD115" s="1165"/>
      <c r="CE115" s="1165"/>
      <c r="CF115" s="1165"/>
      <c r="CG115" s="1165"/>
      <c r="CH115" s="1165"/>
    </row>
    <row r="116" spans="1:87" ht="15" hidden="1" outlineLevel="1" x14ac:dyDescent="0.25">
      <c r="B116" s="503"/>
      <c r="C116" s="503"/>
      <c r="D116" s="503"/>
      <c r="E116" s="503"/>
      <c r="F116" s="503"/>
      <c r="G116" s="503"/>
      <c r="H116" s="503"/>
      <c r="I116" s="503"/>
      <c r="J116" s="503"/>
      <c r="K116" s="503"/>
      <c r="L116" s="503"/>
      <c r="M116" s="504"/>
      <c r="N116" s="504"/>
      <c r="O116" s="504"/>
      <c r="P116" s="504"/>
      <c r="Q116" s="504"/>
      <c r="R116" s="504"/>
    </row>
    <row r="117" spans="1:87" ht="15" hidden="1" outlineLevel="1" x14ac:dyDescent="0.25">
      <c r="A117" s="219" t="s">
        <v>758</v>
      </c>
      <c r="B117" s="503"/>
      <c r="C117" s="503"/>
      <c r="D117" s="503"/>
      <c r="E117" s="503"/>
      <c r="F117" s="503"/>
      <c r="G117" s="503"/>
      <c r="H117" s="503"/>
      <c r="I117" s="503"/>
      <c r="J117" s="503"/>
      <c r="K117" s="503"/>
      <c r="L117" s="503"/>
      <c r="M117" s="504"/>
      <c r="N117" s="504"/>
      <c r="O117" s="504"/>
      <c r="P117" s="504"/>
      <c r="Q117" s="504"/>
      <c r="R117" s="504"/>
    </row>
    <row r="118" spans="1:87" ht="15" hidden="1" outlineLevel="1" x14ac:dyDescent="0.25">
      <c r="A118" s="4" t="s">
        <v>756</v>
      </c>
      <c r="B118" s="503"/>
      <c r="C118" s="466">
        <f t="shared" ref="C118:O119" si="55">C62/B62-1</f>
        <v>0.11564508263008766</v>
      </c>
      <c r="D118" s="466">
        <f t="shared" si="55"/>
        <v>3.6409915891987499E-2</v>
      </c>
      <c r="E118" s="466">
        <f t="shared" si="55"/>
        <v>-8.4356647090229608E-2</v>
      </c>
      <c r="F118" s="466">
        <f t="shared" si="55"/>
        <v>4.8979591836734615E-2</v>
      </c>
      <c r="G118" s="466">
        <f t="shared" si="55"/>
        <v>-2.556976097832131E-2</v>
      </c>
      <c r="H118" s="466">
        <f t="shared" si="55"/>
        <v>4.5636052481460299E-2</v>
      </c>
      <c r="I118" s="466">
        <f t="shared" si="55"/>
        <v>0.12274959083469716</v>
      </c>
      <c r="J118" s="466">
        <f t="shared" si="55"/>
        <v>0.22254616132167149</v>
      </c>
      <c r="K118" s="466">
        <f t="shared" si="55"/>
        <v>0.12003179650238471</v>
      </c>
      <c r="L118" s="466">
        <f t="shared" si="55"/>
        <v>0.10149041873669273</v>
      </c>
      <c r="M118" s="272">
        <f t="shared" si="55"/>
        <v>8.4085051546391787E-2</v>
      </c>
      <c r="N118" s="272">
        <f t="shared" si="55"/>
        <v>4.7548291233283635E-3</v>
      </c>
      <c r="O118" s="272">
        <f t="shared" si="55"/>
        <v>4.4957113280094552E-2</v>
      </c>
      <c r="P118" s="272"/>
      <c r="Q118" s="272">
        <f>Q62/P62-1</f>
        <v>2.1147161066048747E-2</v>
      </c>
      <c r="R118" s="272"/>
    </row>
    <row r="119" spans="1:87" ht="15" hidden="1" outlineLevel="1" x14ac:dyDescent="0.25">
      <c r="A119" s="4" t="s">
        <v>757</v>
      </c>
      <c r="B119" s="504"/>
      <c r="C119" s="272">
        <f t="shared" si="55"/>
        <v>0.13114015322217232</v>
      </c>
      <c r="D119" s="272">
        <f t="shared" si="55"/>
        <v>6.3020644693951411E-2</v>
      </c>
      <c r="E119" s="272">
        <f t="shared" si="55"/>
        <v>0.434412265758092</v>
      </c>
      <c r="F119" s="272">
        <f t="shared" si="55"/>
        <v>2.9691211401425166E-2</v>
      </c>
      <c r="G119" s="272">
        <f t="shared" si="55"/>
        <v>2.3068050749712743E-3</v>
      </c>
      <c r="H119" s="272">
        <f t="shared" si="55"/>
        <v>2.0713463751438344E-2</v>
      </c>
      <c r="I119" s="272">
        <f t="shared" si="55"/>
        <v>8.117249154453221E-2</v>
      </c>
      <c r="J119" s="272">
        <f t="shared" si="55"/>
        <v>9.9061522419186643E-2</v>
      </c>
      <c r="K119" s="272">
        <f t="shared" si="55"/>
        <v>0.12903225806451624</v>
      </c>
      <c r="L119" s="272">
        <f t="shared" si="55"/>
        <v>7.5630252100840289E-2</v>
      </c>
      <c r="M119" s="272">
        <f t="shared" si="55"/>
        <v>0.15546875000000004</v>
      </c>
      <c r="N119" s="272">
        <f t="shared" si="55"/>
        <v>0.10547667342799194</v>
      </c>
      <c r="O119" s="272">
        <f t="shared" si="55"/>
        <v>6.9724770642201728E-2</v>
      </c>
      <c r="P119" s="272"/>
      <c r="Q119" s="272">
        <f>Q63/P63-1</f>
        <v>7.065868263473063E-2</v>
      </c>
      <c r="R119" s="272"/>
    </row>
    <row r="120" spans="1:87" ht="15" hidden="1" outlineLevel="1" x14ac:dyDescent="0.25">
      <c r="A120" s="186" t="s">
        <v>100</v>
      </c>
      <c r="B120" s="504"/>
      <c r="C120" s="261">
        <f t="shared" ref="C120:O120" si="56">C65/B65-1</f>
        <v>0.1311401532221721</v>
      </c>
      <c r="D120" s="261">
        <f t="shared" si="56"/>
        <v>5.3386454183266929E-2</v>
      </c>
      <c r="E120" s="261">
        <f t="shared" si="56"/>
        <v>2.2314674735249618E-2</v>
      </c>
      <c r="F120" s="261">
        <f t="shared" si="56"/>
        <v>2.6637069922308632E-2</v>
      </c>
      <c r="G120" s="261">
        <f t="shared" si="56"/>
        <v>-2.8828828828828534E-3</v>
      </c>
      <c r="H120" s="261">
        <f t="shared" si="56"/>
        <v>2.4213950126490857E-2</v>
      </c>
      <c r="I120" s="261">
        <f t="shared" si="56"/>
        <v>9.2801693719124945E-2</v>
      </c>
      <c r="J120" s="261">
        <f t="shared" si="56"/>
        <v>0.191798514691637</v>
      </c>
      <c r="K120" s="261">
        <f t="shared" si="56"/>
        <v>0.10837171498238951</v>
      </c>
      <c r="L120" s="261">
        <f t="shared" si="56"/>
        <v>8.6775849425568374E-2</v>
      </c>
      <c r="M120" s="261">
        <f t="shared" si="56"/>
        <v>0.11178587494376968</v>
      </c>
      <c r="N120" s="261">
        <f t="shared" si="56"/>
        <v>4.0865870928585846E-2</v>
      </c>
      <c r="O120" s="261">
        <f t="shared" si="56"/>
        <v>5.2478134110787167E-2</v>
      </c>
      <c r="P120" s="261"/>
      <c r="Q120" s="261">
        <f>Q65/P65-1</f>
        <v>2.5665399239543696E-2</v>
      </c>
      <c r="R120" s="261"/>
    </row>
    <row r="121" spans="1:87" ht="15" hidden="1" outlineLevel="1" x14ac:dyDescent="0.25">
      <c r="A121" s="186"/>
      <c r="B121" s="503"/>
      <c r="C121" s="1130"/>
      <c r="D121" s="1130"/>
      <c r="E121" s="1130"/>
      <c r="F121" s="1130"/>
      <c r="G121" s="1130"/>
      <c r="H121" s="1130"/>
      <c r="I121" s="1130"/>
      <c r="J121" s="1130"/>
      <c r="K121" s="1130"/>
      <c r="L121" s="1130"/>
      <c r="M121" s="653"/>
      <c r="N121" s="653"/>
      <c r="O121" s="653"/>
      <c r="P121" s="653"/>
      <c r="Q121" s="653"/>
      <c r="R121" s="653"/>
    </row>
    <row r="122" spans="1:87" ht="15" hidden="1" outlineLevel="1" x14ac:dyDescent="0.25">
      <c r="A122" s="219" t="s">
        <v>746</v>
      </c>
      <c r="B122" s="503"/>
      <c r="C122" s="1130"/>
      <c r="D122" s="1130"/>
      <c r="E122" s="1130"/>
      <c r="F122" s="1130"/>
      <c r="G122" s="1130"/>
      <c r="H122" s="1130"/>
      <c r="I122" s="1130"/>
      <c r="J122" s="1130"/>
      <c r="K122" s="1130"/>
      <c r="L122" s="1130"/>
      <c r="M122" s="653"/>
      <c r="O122" s="36"/>
      <c r="P122" s="36"/>
      <c r="Q122" s="36"/>
      <c r="R122" s="36"/>
    </row>
    <row r="123" spans="1:87" hidden="1" outlineLevel="1" x14ac:dyDescent="0.2">
      <c r="A123" s="584" t="s">
        <v>1024</v>
      </c>
      <c r="B123" s="36">
        <v>1043</v>
      </c>
      <c r="C123" s="1166">
        <f>C129*C$127</f>
        <v>1104.4000000000001</v>
      </c>
      <c r="D123" s="1166">
        <f t="shared" ref="D123:L126" si="57">D129*D$127</f>
        <v>1136.92</v>
      </c>
      <c r="E123" s="1166">
        <f t="shared" si="57"/>
        <v>1243.3800000000001</v>
      </c>
      <c r="F123" s="1166">
        <f t="shared" si="57"/>
        <v>1276.5</v>
      </c>
      <c r="G123" s="1166">
        <f t="shared" si="57"/>
        <v>1300.49</v>
      </c>
      <c r="H123" s="1166">
        <f t="shared" si="57"/>
        <v>1331.98</v>
      </c>
      <c r="I123" s="1166">
        <f t="shared" si="57"/>
        <v>1455.59</v>
      </c>
      <c r="J123" s="1166">
        <f t="shared" si="57"/>
        <v>1734.77</v>
      </c>
      <c r="K123" s="1166">
        <f t="shared" si="57"/>
        <v>1800.04</v>
      </c>
      <c r="L123" s="1166">
        <f t="shared" si="57"/>
        <v>2000.7</v>
      </c>
      <c r="M123" s="1166">
        <f>M129*M$127</f>
        <v>2372.64</v>
      </c>
      <c r="O123" s="36"/>
      <c r="P123" s="36"/>
      <c r="Q123" s="36"/>
      <c r="R123" s="36"/>
      <c r="CI123" s="36"/>
    </row>
    <row r="124" spans="1:87" hidden="1" outlineLevel="1" x14ac:dyDescent="0.2">
      <c r="A124" s="584" t="s">
        <v>1025</v>
      </c>
      <c r="B124" s="36">
        <v>533</v>
      </c>
      <c r="C124" s="1166">
        <f t="shared" ref="C124:J126" si="58">C130*C$127</f>
        <v>677.7</v>
      </c>
      <c r="D124" s="1166">
        <f t="shared" si="58"/>
        <v>713.88</v>
      </c>
      <c r="E124" s="1166">
        <f t="shared" si="58"/>
        <v>702.78</v>
      </c>
      <c r="F124" s="1166">
        <f t="shared" si="58"/>
        <v>804.75</v>
      </c>
      <c r="G124" s="1166">
        <f t="shared" si="58"/>
        <v>747.09</v>
      </c>
      <c r="H124" s="1166">
        <f t="shared" si="58"/>
        <v>765.18000000000006</v>
      </c>
      <c r="I124" s="1166">
        <f t="shared" si="58"/>
        <v>836.19</v>
      </c>
      <c r="J124" s="1166">
        <f t="shared" si="58"/>
        <v>996.57</v>
      </c>
      <c r="K124" s="1166">
        <f t="shared" si="57"/>
        <v>1063.6600000000001</v>
      </c>
      <c r="L124" s="1166">
        <f t="shared" si="57"/>
        <v>1155.96</v>
      </c>
      <c r="M124" s="1166">
        <f>M130*M$127</f>
        <v>1136.8900000000001</v>
      </c>
      <c r="N124" s="458"/>
      <c r="O124" s="36"/>
      <c r="P124" s="36"/>
      <c r="Q124" s="36"/>
      <c r="R124" s="36"/>
      <c r="CI124" s="36"/>
    </row>
    <row r="125" spans="1:87" hidden="1" outlineLevel="1" x14ac:dyDescent="0.2">
      <c r="A125" s="584" t="s">
        <v>1026</v>
      </c>
      <c r="B125" s="36">
        <v>399</v>
      </c>
      <c r="C125" s="1166">
        <f t="shared" si="58"/>
        <v>451.8</v>
      </c>
      <c r="D125" s="1166">
        <f t="shared" si="58"/>
        <v>581.67999999999995</v>
      </c>
      <c r="E125" s="1166">
        <f t="shared" si="58"/>
        <v>594.66</v>
      </c>
      <c r="F125" s="1166">
        <f t="shared" si="58"/>
        <v>610.5</v>
      </c>
      <c r="G125" s="1166">
        <f t="shared" si="58"/>
        <v>608.74</v>
      </c>
      <c r="H125" s="1166">
        <f t="shared" si="58"/>
        <v>623.48</v>
      </c>
      <c r="I125" s="1166">
        <f t="shared" si="58"/>
        <v>681.34</v>
      </c>
      <c r="J125" s="1166">
        <f t="shared" si="58"/>
        <v>885.83999999999992</v>
      </c>
      <c r="K125" s="1166">
        <f t="shared" si="57"/>
        <v>1145.48</v>
      </c>
      <c r="L125" s="1166">
        <f t="shared" si="57"/>
        <v>1289.3399999999999</v>
      </c>
      <c r="M125" s="1166">
        <f>M131*M$127</f>
        <v>1433.4699999999998</v>
      </c>
      <c r="N125" s="36"/>
      <c r="O125" s="36"/>
      <c r="P125" s="36"/>
      <c r="Q125" s="36"/>
      <c r="R125" s="36"/>
      <c r="CI125" s="36"/>
    </row>
    <row r="126" spans="1:87" hidden="1" outlineLevel="1" x14ac:dyDescent="0.2">
      <c r="A126" s="584" t="s">
        <v>1027</v>
      </c>
      <c r="B126" s="36">
        <f>B127-B125-B124-B123</f>
        <v>244</v>
      </c>
      <c r="C126" s="1166">
        <f t="shared" si="58"/>
        <v>276.09999999999968</v>
      </c>
      <c r="D126" s="1166">
        <f t="shared" si="58"/>
        <v>211.51999999999998</v>
      </c>
      <c r="E126" s="1166">
        <f t="shared" si="58"/>
        <v>162.18000000000006</v>
      </c>
      <c r="F126" s="1166">
        <f t="shared" si="58"/>
        <v>83.25</v>
      </c>
      <c r="G126" s="1166">
        <f t="shared" si="58"/>
        <v>110.68000000000006</v>
      </c>
      <c r="H126" s="1166">
        <f t="shared" si="58"/>
        <v>113.3599999999999</v>
      </c>
      <c r="I126" s="1166">
        <f t="shared" si="58"/>
        <v>123.87999999999987</v>
      </c>
      <c r="J126" s="1166">
        <f t="shared" si="58"/>
        <v>73.820000000000007</v>
      </c>
      <c r="K126" s="1166">
        <f t="shared" si="57"/>
        <v>81.820000000000007</v>
      </c>
      <c r="L126" s="1166">
        <f t="shared" si="57"/>
        <v>0</v>
      </c>
      <c r="M126" s="1166">
        <f>M132*M$127</f>
        <v>0</v>
      </c>
      <c r="N126" s="36"/>
      <c r="O126" s="36"/>
      <c r="P126" s="36"/>
      <c r="Q126" s="36"/>
      <c r="R126" s="36"/>
      <c r="CI126" s="36"/>
    </row>
    <row r="127" spans="1:87" hidden="1" outlineLevel="1" x14ac:dyDescent="0.2">
      <c r="A127" s="186" t="s">
        <v>1028</v>
      </c>
      <c r="B127" s="141">
        <f t="shared" ref="B127:M127" si="59">B65</f>
        <v>2219</v>
      </c>
      <c r="C127" s="141">
        <f t="shared" si="59"/>
        <v>2510</v>
      </c>
      <c r="D127" s="141">
        <f t="shared" si="59"/>
        <v>2644</v>
      </c>
      <c r="E127" s="141">
        <f t="shared" si="59"/>
        <v>2703</v>
      </c>
      <c r="F127" s="141">
        <f t="shared" si="59"/>
        <v>2775</v>
      </c>
      <c r="G127" s="141">
        <f t="shared" si="59"/>
        <v>2767</v>
      </c>
      <c r="H127" s="141">
        <f t="shared" si="59"/>
        <v>2834</v>
      </c>
      <c r="I127" s="141">
        <f t="shared" si="59"/>
        <v>3097</v>
      </c>
      <c r="J127" s="141">
        <f t="shared" si="59"/>
        <v>3691</v>
      </c>
      <c r="K127" s="141">
        <f t="shared" si="59"/>
        <v>4091</v>
      </c>
      <c r="L127" s="141">
        <f t="shared" si="59"/>
        <v>4446</v>
      </c>
      <c r="M127" s="141">
        <f t="shared" si="59"/>
        <v>4943</v>
      </c>
      <c r="N127" s="141"/>
      <c r="O127" s="141"/>
      <c r="P127" s="141"/>
      <c r="Q127" s="141"/>
      <c r="R127" s="141"/>
      <c r="CI127" s="36"/>
    </row>
    <row r="128" spans="1:87" ht="15" hidden="1" outlineLevel="1" x14ac:dyDescent="0.25">
      <c r="B128" s="474"/>
      <c r="C128" s="474"/>
      <c r="D128" s="474"/>
      <c r="E128" s="474"/>
      <c r="F128" s="28"/>
      <c r="G128" s="474"/>
      <c r="H128" s="474"/>
      <c r="I128" s="474"/>
      <c r="J128" s="474"/>
      <c r="K128" s="474"/>
      <c r="L128" s="474"/>
      <c r="M128" s="474"/>
      <c r="N128" s="474"/>
      <c r="O128" s="474"/>
      <c r="P128" s="474"/>
      <c r="Q128" s="474"/>
      <c r="R128" s="474"/>
      <c r="CI128" s="272"/>
    </row>
    <row r="129" spans="1:18" ht="15" hidden="1" outlineLevel="1" x14ac:dyDescent="0.25">
      <c r="A129" s="584" t="s">
        <v>1029</v>
      </c>
      <c r="B129" s="18">
        <f>B123/B$127</f>
        <v>0.47003154574132494</v>
      </c>
      <c r="C129" s="18">
        <v>0.44000000000000006</v>
      </c>
      <c r="D129" s="18">
        <v>0.43000000000000005</v>
      </c>
      <c r="E129" s="18">
        <v>0.46</v>
      </c>
      <c r="F129" s="18">
        <v>0.46</v>
      </c>
      <c r="G129" s="18">
        <v>0.47000000000000003</v>
      </c>
      <c r="H129" s="18">
        <v>0.47000000000000003</v>
      </c>
      <c r="I129" s="18">
        <v>0.47</v>
      </c>
      <c r="J129" s="18">
        <v>0.47</v>
      </c>
      <c r="K129" s="23">
        <v>0.44</v>
      </c>
      <c r="L129" s="23">
        <v>0.45</v>
      </c>
      <c r="M129" s="23">
        <v>0.48</v>
      </c>
      <c r="N129" s="504"/>
      <c r="O129" s="653"/>
      <c r="P129" s="653"/>
      <c r="Q129" s="653"/>
      <c r="R129" s="653"/>
    </row>
    <row r="130" spans="1:18" ht="15" hidden="1" outlineLevel="1" x14ac:dyDescent="0.25">
      <c r="A130" s="584" t="s">
        <v>1030</v>
      </c>
      <c r="B130" s="18">
        <f>B124/B$127</f>
        <v>0.24019828751689951</v>
      </c>
      <c r="C130" s="18">
        <v>0.27</v>
      </c>
      <c r="D130" s="18">
        <v>0.27</v>
      </c>
      <c r="E130" s="18">
        <v>0.26</v>
      </c>
      <c r="F130" s="18">
        <v>0.28999999999999998</v>
      </c>
      <c r="G130" s="18">
        <v>0.27</v>
      </c>
      <c r="H130" s="18">
        <v>0.27</v>
      </c>
      <c r="I130" s="18">
        <v>0.27</v>
      </c>
      <c r="J130" s="18">
        <v>0.27</v>
      </c>
      <c r="K130" s="23">
        <v>0.26</v>
      </c>
      <c r="L130" s="23">
        <v>0.26</v>
      </c>
      <c r="M130" s="23">
        <v>0.23</v>
      </c>
      <c r="N130" s="504"/>
      <c r="O130" s="653"/>
      <c r="P130" s="653"/>
      <c r="Q130" s="653"/>
      <c r="R130" s="653"/>
    </row>
    <row r="131" spans="1:18" ht="15" hidden="1" outlineLevel="1" x14ac:dyDescent="0.25">
      <c r="A131" s="584" t="s">
        <v>1031</v>
      </c>
      <c r="B131" s="18">
        <f>B125/B$127</f>
        <v>0.17981072555205047</v>
      </c>
      <c r="C131" s="19">
        <v>0.18</v>
      </c>
      <c r="D131" s="19">
        <v>0.21999999999999997</v>
      </c>
      <c r="E131" s="19">
        <v>0.22</v>
      </c>
      <c r="F131" s="19">
        <v>0.22</v>
      </c>
      <c r="G131" s="19">
        <v>0.22</v>
      </c>
      <c r="H131" s="19">
        <v>0.22</v>
      </c>
      <c r="I131" s="19">
        <v>0.22</v>
      </c>
      <c r="J131" s="19">
        <v>0.24</v>
      </c>
      <c r="K131" s="474">
        <v>0.28000000000000003</v>
      </c>
      <c r="L131" s="474">
        <v>0.28999999999999998</v>
      </c>
      <c r="M131" s="474">
        <v>0.28999999999999998</v>
      </c>
      <c r="N131" s="504"/>
      <c r="O131" s="653"/>
      <c r="P131" s="653"/>
      <c r="Q131" s="653"/>
      <c r="R131" s="653"/>
    </row>
    <row r="132" spans="1:18" ht="15" hidden="1" outlineLevel="1" x14ac:dyDescent="0.25">
      <c r="A132" s="584" t="s">
        <v>1027</v>
      </c>
      <c r="B132" s="18">
        <f>B126/B$127</f>
        <v>0.1099594411897251</v>
      </c>
      <c r="C132" s="18">
        <v>0.10999999999999988</v>
      </c>
      <c r="D132" s="18">
        <v>7.9999999999999988E-2</v>
      </c>
      <c r="E132" s="18">
        <v>6.0000000000000026E-2</v>
      </c>
      <c r="F132" s="18">
        <v>0.03</v>
      </c>
      <c r="G132" s="18">
        <v>4.0000000000000022E-2</v>
      </c>
      <c r="H132" s="18">
        <v>3.9999999999999966E-2</v>
      </c>
      <c r="I132" s="18">
        <v>3.9999999999999959E-2</v>
      </c>
      <c r="J132" s="18">
        <v>0.02</v>
      </c>
      <c r="K132" s="23">
        <v>0.02</v>
      </c>
      <c r="L132" s="23">
        <v>0</v>
      </c>
      <c r="M132" s="23">
        <v>0</v>
      </c>
      <c r="N132" s="504"/>
      <c r="O132" s="653"/>
      <c r="P132" s="653"/>
      <c r="Q132" s="653"/>
      <c r="R132" s="653"/>
    </row>
    <row r="133" spans="1:18" ht="15" hidden="1" outlineLevel="1" x14ac:dyDescent="0.25">
      <c r="A133" s="186" t="s">
        <v>100</v>
      </c>
      <c r="B133" s="1167">
        <f>SUM(B129:B132)</f>
        <v>1</v>
      </c>
      <c r="C133" s="1167">
        <f t="shared" ref="C133:M133" si="60">SUM(C129:C132)</f>
        <v>1</v>
      </c>
      <c r="D133" s="1167">
        <f t="shared" si="60"/>
        <v>1</v>
      </c>
      <c r="E133" s="1167">
        <f t="shared" si="60"/>
        <v>1</v>
      </c>
      <c r="F133" s="1167">
        <f t="shared" si="60"/>
        <v>1</v>
      </c>
      <c r="G133" s="1167">
        <f t="shared" si="60"/>
        <v>1</v>
      </c>
      <c r="H133" s="1167">
        <f t="shared" si="60"/>
        <v>0.99999999999999989</v>
      </c>
      <c r="I133" s="1167">
        <f t="shared" si="60"/>
        <v>0.99999999999999989</v>
      </c>
      <c r="J133" s="1167">
        <f t="shared" si="60"/>
        <v>1</v>
      </c>
      <c r="K133" s="1167">
        <f t="shared" si="60"/>
        <v>1</v>
      </c>
      <c r="L133" s="1167">
        <f t="shared" si="60"/>
        <v>1</v>
      </c>
      <c r="M133" s="1167">
        <f t="shared" si="60"/>
        <v>1</v>
      </c>
      <c r="N133" s="504"/>
      <c r="O133" s="653"/>
      <c r="P133" s="653"/>
      <c r="Q133" s="653"/>
      <c r="R133" s="653"/>
    </row>
    <row r="134" spans="1:18" ht="15" hidden="1" outlineLevel="1" x14ac:dyDescent="0.25">
      <c r="A134" s="186"/>
      <c r="B134" s="18"/>
      <c r="C134" s="18"/>
      <c r="D134" s="18"/>
      <c r="E134" s="18"/>
      <c r="F134" s="18"/>
      <c r="G134" s="18"/>
      <c r="H134" s="18"/>
      <c r="I134" s="18"/>
      <c r="J134" s="18"/>
      <c r="K134" s="18"/>
      <c r="L134" s="503"/>
      <c r="M134" s="504"/>
      <c r="N134" s="504"/>
      <c r="O134" s="653"/>
      <c r="P134" s="653"/>
      <c r="Q134" s="653"/>
      <c r="R134" s="653"/>
    </row>
    <row r="135" spans="1:18" ht="15" hidden="1" outlineLevel="1" x14ac:dyDescent="0.25">
      <c r="A135" s="219" t="s">
        <v>1032</v>
      </c>
      <c r="B135" s="503"/>
      <c r="C135" s="503"/>
      <c r="D135" s="503"/>
      <c r="E135" s="503"/>
      <c r="F135" s="503"/>
      <c r="G135" s="503"/>
      <c r="H135" s="503"/>
      <c r="I135" s="503"/>
      <c r="J135" s="503"/>
      <c r="K135" s="503"/>
      <c r="L135" s="503"/>
      <c r="M135" s="504"/>
      <c r="N135" s="504"/>
      <c r="O135" s="504"/>
      <c r="P135" s="504"/>
      <c r="Q135" s="504"/>
      <c r="R135" s="504"/>
    </row>
    <row r="136" spans="1:18" ht="15" hidden="1" outlineLevel="1" x14ac:dyDescent="0.25">
      <c r="A136" s="584" t="s">
        <v>1029</v>
      </c>
      <c r="B136" s="503"/>
      <c r="C136" s="18">
        <f>C123/B123-1</f>
        <v>5.8868648130393275E-2</v>
      </c>
      <c r="D136" s="18">
        <f t="shared" ref="D136:M136" si="61">D123/C123-1</f>
        <v>2.944585295182911E-2</v>
      </c>
      <c r="E136" s="18">
        <f t="shared" si="61"/>
        <v>9.3638954367941452E-2</v>
      </c>
      <c r="F136" s="18">
        <f t="shared" si="61"/>
        <v>2.663706992230841E-2</v>
      </c>
      <c r="G136" s="18">
        <f t="shared" si="61"/>
        <v>1.8793576184880534E-2</v>
      </c>
      <c r="H136" s="18">
        <f t="shared" si="61"/>
        <v>2.4213950126490857E-2</v>
      </c>
      <c r="I136" s="18">
        <f t="shared" si="61"/>
        <v>9.2801693719124945E-2</v>
      </c>
      <c r="J136" s="18">
        <f t="shared" si="61"/>
        <v>0.19179851469163722</v>
      </c>
      <c r="K136" s="18">
        <f t="shared" si="61"/>
        <v>3.7624584238832748E-2</v>
      </c>
      <c r="L136" s="18">
        <f t="shared" si="61"/>
        <v>0.11147530054887667</v>
      </c>
      <c r="M136" s="18">
        <f t="shared" si="61"/>
        <v>0.18590493327335422</v>
      </c>
      <c r="N136" s="504"/>
      <c r="O136" s="504"/>
      <c r="P136" s="504"/>
      <c r="Q136" s="504"/>
      <c r="R136" s="504"/>
    </row>
    <row r="137" spans="1:18" hidden="1" outlineLevel="1" x14ac:dyDescent="0.2">
      <c r="A137" s="584" t="s">
        <v>1030</v>
      </c>
      <c r="C137" s="18">
        <f t="shared" ref="C137:M139" si="62">C124/B124-1</f>
        <v>0.27148217636022531</v>
      </c>
      <c r="D137" s="18">
        <f t="shared" si="62"/>
        <v>5.3386454183266929E-2</v>
      </c>
      <c r="E137" s="18">
        <f t="shared" si="62"/>
        <v>-1.5548831736426294E-2</v>
      </c>
      <c r="F137" s="18">
        <f t="shared" si="62"/>
        <v>0.14509519337488275</v>
      </c>
      <c r="G137" s="18">
        <f t="shared" si="62"/>
        <v>-7.1649580615097852E-2</v>
      </c>
      <c r="H137" s="18">
        <f t="shared" si="62"/>
        <v>2.4213950126490857E-2</v>
      </c>
      <c r="I137" s="18">
        <f t="shared" si="62"/>
        <v>9.2801693719124945E-2</v>
      </c>
      <c r="J137" s="18">
        <f t="shared" si="62"/>
        <v>0.191798514691637</v>
      </c>
      <c r="K137" s="18">
        <f t="shared" si="62"/>
        <v>6.7320910723782657E-2</v>
      </c>
      <c r="L137" s="18">
        <f t="shared" si="62"/>
        <v>8.6775849425568374E-2</v>
      </c>
      <c r="M137" s="18">
        <f t="shared" si="62"/>
        <v>-1.6497110626665257E-2</v>
      </c>
    </row>
    <row r="138" spans="1:18" hidden="1" outlineLevel="1" x14ac:dyDescent="0.2">
      <c r="A138" s="584" t="s">
        <v>1031</v>
      </c>
      <c r="B138" s="36"/>
      <c r="C138" s="18">
        <f t="shared" si="62"/>
        <v>0.1323308270676693</v>
      </c>
      <c r="D138" s="18">
        <f t="shared" si="62"/>
        <v>0.28747233289065943</v>
      </c>
      <c r="E138" s="18">
        <f t="shared" si="62"/>
        <v>2.2314674735249618E-2</v>
      </c>
      <c r="F138" s="18">
        <f t="shared" si="62"/>
        <v>2.6637069922308632E-2</v>
      </c>
      <c r="G138" s="18">
        <f t="shared" si="62"/>
        <v>-2.8828828828828534E-3</v>
      </c>
      <c r="H138" s="18">
        <f t="shared" si="62"/>
        <v>2.4213950126490857E-2</v>
      </c>
      <c r="I138" s="18">
        <f t="shared" si="62"/>
        <v>9.2801693719124945E-2</v>
      </c>
      <c r="J138" s="18">
        <f t="shared" si="62"/>
        <v>0.30014383420905855</v>
      </c>
      <c r="K138" s="18">
        <f t="shared" si="62"/>
        <v>0.29310033414612136</v>
      </c>
      <c r="L138" s="18">
        <f t="shared" si="62"/>
        <v>0.12558927261933861</v>
      </c>
      <c r="M138" s="18">
        <f t="shared" si="62"/>
        <v>0.11178587494376968</v>
      </c>
      <c r="N138" s="36"/>
      <c r="O138" s="36"/>
      <c r="P138" s="36"/>
      <c r="Q138" s="36"/>
      <c r="R138" s="36"/>
    </row>
    <row r="139" spans="1:18" hidden="1" outlineLevel="1" x14ac:dyDescent="0.2">
      <c r="A139" s="584" t="s">
        <v>1027</v>
      </c>
      <c r="C139" s="18">
        <f t="shared" si="62"/>
        <v>0.13155737704917891</v>
      </c>
      <c r="D139" s="18">
        <f t="shared" si="62"/>
        <v>-0.2339007605939869</v>
      </c>
      <c r="E139" s="18">
        <f t="shared" si="62"/>
        <v>-0.23326399394856245</v>
      </c>
      <c r="F139" s="18">
        <f t="shared" si="62"/>
        <v>-0.48668146503884591</v>
      </c>
      <c r="G139" s="18">
        <f t="shared" si="62"/>
        <v>0.32948948948949019</v>
      </c>
      <c r="H139" s="18">
        <f t="shared" si="62"/>
        <v>2.4213950126489303E-2</v>
      </c>
      <c r="I139" s="18">
        <f t="shared" si="62"/>
        <v>9.2801693719124723E-2</v>
      </c>
      <c r="J139" s="18">
        <f t="shared" si="62"/>
        <v>-0.40410074265418072</v>
      </c>
      <c r="K139" s="18">
        <f t="shared" si="62"/>
        <v>0.10837171498238951</v>
      </c>
      <c r="L139" s="18"/>
      <c r="M139" s="18"/>
    </row>
    <row r="140" spans="1:18" hidden="1" outlineLevel="1" x14ac:dyDescent="0.2">
      <c r="H140" s="36"/>
    </row>
    <row r="141" spans="1:18" hidden="1" outlineLevel="1" x14ac:dyDescent="0.2"/>
    <row r="142" spans="1:18" hidden="1" outlineLevel="1" x14ac:dyDescent="0.2">
      <c r="A142" s="665" t="s">
        <v>352</v>
      </c>
      <c r="G142" s="4" t="s">
        <v>1033</v>
      </c>
    </row>
    <row r="143" spans="1:18" hidden="1" outlineLevel="1" x14ac:dyDescent="0.2">
      <c r="A143" s="186"/>
    </row>
    <row r="144" spans="1:18" ht="15" hidden="1" outlineLevel="1" x14ac:dyDescent="0.25">
      <c r="A144" s="4" t="s">
        <v>365</v>
      </c>
      <c r="K144" s="870">
        <v>605</v>
      </c>
      <c r="L144" s="870">
        <v>688</v>
      </c>
      <c r="M144" s="870">
        <v>711</v>
      </c>
      <c r="N144" s="870">
        <v>600</v>
      </c>
      <c r="O144" s="870">
        <v>477</v>
      </c>
      <c r="P144" s="870">
        <v>477</v>
      </c>
      <c r="Q144" s="870">
        <v>648</v>
      </c>
      <c r="R144" s="870"/>
    </row>
    <row r="145" spans="1:86" ht="15" hidden="1" outlineLevel="1" x14ac:dyDescent="0.25">
      <c r="A145" s="4" t="s">
        <v>360</v>
      </c>
      <c r="K145" s="870">
        <v>108</v>
      </c>
      <c r="L145" s="870">
        <v>112</v>
      </c>
      <c r="M145" s="870">
        <v>104</v>
      </c>
      <c r="N145" s="870">
        <v>99</v>
      </c>
      <c r="O145" s="870">
        <v>49</v>
      </c>
      <c r="P145" s="870">
        <v>49</v>
      </c>
      <c r="Q145" s="870">
        <v>36</v>
      </c>
      <c r="R145" s="870"/>
    </row>
    <row r="146" spans="1:86" ht="15" hidden="1" outlineLevel="1" x14ac:dyDescent="0.25">
      <c r="K146" s="870"/>
      <c r="L146" s="870"/>
      <c r="M146" s="870"/>
    </row>
    <row r="147" spans="1:86" ht="15" hidden="1" outlineLevel="1" x14ac:dyDescent="0.25">
      <c r="A147" s="4" t="s">
        <v>361</v>
      </c>
      <c r="K147" s="870">
        <v>166</v>
      </c>
      <c r="L147" s="870">
        <v>162</v>
      </c>
      <c r="M147" s="870">
        <v>130</v>
      </c>
      <c r="N147" s="870">
        <v>91</v>
      </c>
      <c r="O147" s="870">
        <v>106</v>
      </c>
      <c r="P147" s="870">
        <v>106</v>
      </c>
      <c r="Q147" s="870">
        <v>76</v>
      </c>
      <c r="R147" s="870"/>
    </row>
    <row r="148" spans="1:86" ht="15" hidden="1" outlineLevel="1" x14ac:dyDescent="0.25">
      <c r="A148" s="4" t="s">
        <v>364</v>
      </c>
      <c r="K148" s="870">
        <v>513</v>
      </c>
      <c r="L148" s="870">
        <v>506</v>
      </c>
      <c r="M148" s="870">
        <v>564</v>
      </c>
      <c r="N148" s="870">
        <v>548</v>
      </c>
      <c r="O148" s="870">
        <v>504</v>
      </c>
      <c r="P148" s="870">
        <v>504</v>
      </c>
      <c r="Q148" s="870">
        <v>310</v>
      </c>
      <c r="R148" s="870"/>
    </row>
    <row r="149" spans="1:86" ht="15" hidden="1" outlineLevel="1" x14ac:dyDescent="0.25">
      <c r="K149" s="870"/>
      <c r="L149" s="870"/>
      <c r="M149" s="870"/>
    </row>
    <row r="150" spans="1:86" ht="15" hidden="1" outlineLevel="1" x14ac:dyDescent="0.25">
      <c r="A150" s="4" t="s">
        <v>358</v>
      </c>
      <c r="K150" s="870">
        <v>0</v>
      </c>
      <c r="L150" s="870">
        <v>16</v>
      </c>
      <c r="M150" s="870">
        <v>32</v>
      </c>
      <c r="N150" s="870">
        <v>56</v>
      </c>
      <c r="O150" s="870">
        <v>81</v>
      </c>
      <c r="P150" s="870">
        <v>81</v>
      </c>
      <c r="Q150" s="870">
        <v>80</v>
      </c>
      <c r="R150" s="870"/>
    </row>
    <row r="151" spans="1:86" ht="15" hidden="1" outlineLevel="1" x14ac:dyDescent="0.25">
      <c r="A151" s="4" t="s">
        <v>359</v>
      </c>
      <c r="K151" s="870">
        <v>61</v>
      </c>
      <c r="L151" s="870">
        <v>118</v>
      </c>
      <c r="M151" s="870">
        <v>127</v>
      </c>
      <c r="N151" s="870">
        <v>128</v>
      </c>
      <c r="O151" s="870">
        <v>134</v>
      </c>
      <c r="P151" s="870">
        <v>134</v>
      </c>
      <c r="Q151" s="870">
        <v>144</v>
      </c>
      <c r="R151" s="870"/>
    </row>
    <row r="152" spans="1:86" hidden="1" outlineLevel="1" x14ac:dyDescent="0.2">
      <c r="A152" s="186" t="s">
        <v>1034</v>
      </c>
      <c r="K152" s="689">
        <v>1319</v>
      </c>
      <c r="L152" s="689">
        <v>1377</v>
      </c>
      <c r="M152" s="689">
        <v>1370</v>
      </c>
    </row>
    <row r="153" spans="1:86" ht="15" hidden="1" outlineLevel="1" x14ac:dyDescent="0.25">
      <c r="A153" s="186"/>
      <c r="L153" s="870"/>
    </row>
    <row r="154" spans="1:86" ht="15" hidden="1" outlineLevel="1" x14ac:dyDescent="0.25">
      <c r="L154" s="870"/>
    </row>
    <row r="155" spans="1:86" hidden="1" outlineLevel="1" x14ac:dyDescent="0.2">
      <c r="A155" s="454" t="s">
        <v>275</v>
      </c>
      <c r="B155" s="174"/>
      <c r="C155" s="174"/>
      <c r="D155" s="174"/>
      <c r="E155" s="174"/>
      <c r="F155" s="174"/>
      <c r="G155" s="174"/>
      <c r="H155" s="174"/>
      <c r="I155" s="174"/>
      <c r="J155" s="174"/>
      <c r="K155" s="174"/>
      <c r="L155" s="1168"/>
      <c r="M155" s="174"/>
      <c r="N155" s="174"/>
      <c r="O155" s="174"/>
      <c r="P155" s="174"/>
      <c r="Q155" s="174"/>
      <c r="R155" s="174"/>
      <c r="S155" s="174"/>
      <c r="T155" s="174"/>
      <c r="U155" s="174"/>
      <c r="V155" s="174"/>
      <c r="W155" s="174"/>
      <c r="X155" s="174"/>
      <c r="Y155" s="174"/>
      <c r="Z155" s="174"/>
      <c r="AA155" s="174"/>
      <c r="AB155" s="174"/>
      <c r="AC155" s="174"/>
      <c r="AD155" s="174"/>
      <c r="AE155" s="174"/>
      <c r="AF155" s="174"/>
      <c r="AG155" s="174"/>
      <c r="AH155" s="174"/>
      <c r="AI155" s="174"/>
      <c r="AJ155" s="174"/>
      <c r="AK155" s="174"/>
      <c r="AL155" s="174"/>
      <c r="AM155" s="174"/>
      <c r="AN155" s="174"/>
      <c r="AO155" s="174"/>
      <c r="AP155" s="174"/>
      <c r="AQ155" s="174"/>
      <c r="AR155" s="174"/>
      <c r="AS155" s="174"/>
      <c r="AT155" s="174"/>
      <c r="AU155" s="174"/>
      <c r="AV155" s="174"/>
      <c r="AW155" s="174"/>
      <c r="AX155" s="174"/>
      <c r="AY155" s="174"/>
      <c r="AZ155" s="174"/>
      <c r="BA155" s="174"/>
      <c r="BB155" s="174"/>
      <c r="BC155" s="174"/>
      <c r="BD155" s="174"/>
      <c r="BE155" s="174"/>
      <c r="BF155" s="174"/>
      <c r="BG155" s="174"/>
      <c r="BH155" s="174"/>
      <c r="BI155" s="174"/>
      <c r="BJ155" s="174"/>
      <c r="BK155" s="174"/>
      <c r="BL155" s="174"/>
      <c r="BM155" s="174"/>
      <c r="BN155" s="174"/>
      <c r="BO155" s="174"/>
      <c r="BP155" s="174"/>
      <c r="BQ155" s="174"/>
      <c r="BR155" s="174"/>
      <c r="BS155" s="174"/>
      <c r="BT155" s="174"/>
      <c r="BU155" s="174"/>
      <c r="BV155" s="174"/>
      <c r="BW155" s="174"/>
      <c r="BX155" s="174"/>
      <c r="BY155" s="174"/>
      <c r="BZ155" s="174"/>
      <c r="CA155" s="174"/>
      <c r="CB155" s="174"/>
      <c r="CC155" s="174"/>
      <c r="CD155" s="174"/>
      <c r="CE155" s="174"/>
      <c r="CF155" s="174"/>
      <c r="CG155" s="174"/>
      <c r="CH155" s="174"/>
    </row>
    <row r="156" spans="1:86" hidden="1" outlineLevel="1" x14ac:dyDescent="0.2"/>
    <row r="157" spans="1:86" hidden="1" outlineLevel="1" x14ac:dyDescent="0.2">
      <c r="A157" s="4" t="s">
        <v>326</v>
      </c>
      <c r="K157" s="4">
        <f t="shared" ref="K157:Q159" si="63">K62</f>
        <v>2818</v>
      </c>
      <c r="L157" s="4">
        <f t="shared" si="63"/>
        <v>3104</v>
      </c>
      <c r="M157" s="4">
        <f t="shared" si="63"/>
        <v>3365</v>
      </c>
      <c r="N157" s="4">
        <f t="shared" si="63"/>
        <v>3381</v>
      </c>
      <c r="O157" s="4">
        <f t="shared" si="63"/>
        <v>3533</v>
      </c>
      <c r="P157" s="4">
        <f t="shared" si="63"/>
        <v>3452</v>
      </c>
      <c r="Q157" s="4">
        <f>Q62</f>
        <v>3525</v>
      </c>
    </row>
    <row r="158" spans="1:86" hidden="1" outlineLevel="1" x14ac:dyDescent="0.2">
      <c r="A158" s="4" t="s">
        <v>324</v>
      </c>
      <c r="K158" s="4">
        <f t="shared" si="63"/>
        <v>1190</v>
      </c>
      <c r="L158" s="4">
        <f t="shared" si="63"/>
        <v>1280</v>
      </c>
      <c r="M158" s="4">
        <f t="shared" si="63"/>
        <v>1479</v>
      </c>
      <c r="N158" s="4">
        <f t="shared" si="63"/>
        <v>1635</v>
      </c>
      <c r="O158" s="4">
        <f t="shared" si="63"/>
        <v>1749</v>
      </c>
      <c r="P158" s="4">
        <f t="shared" si="63"/>
        <v>1670</v>
      </c>
      <c r="Q158" s="4">
        <f t="shared" si="63"/>
        <v>1788</v>
      </c>
    </row>
    <row r="159" spans="1:86" hidden="1" outlineLevel="1" x14ac:dyDescent="0.2">
      <c r="A159" s="4" t="s">
        <v>397</v>
      </c>
      <c r="K159" s="4">
        <f t="shared" si="63"/>
        <v>83</v>
      </c>
      <c r="L159" s="4">
        <f t="shared" si="63"/>
        <v>62</v>
      </c>
      <c r="M159" s="4">
        <f t="shared" si="63"/>
        <v>99</v>
      </c>
      <c r="N159" s="4">
        <f t="shared" si="63"/>
        <v>129</v>
      </c>
      <c r="O159" s="4">
        <f t="shared" si="63"/>
        <v>133</v>
      </c>
      <c r="P159" s="4">
        <f t="shared" si="63"/>
        <v>138</v>
      </c>
      <c r="Q159" s="4">
        <f t="shared" si="63"/>
        <v>82</v>
      </c>
    </row>
    <row r="160" spans="1:86" hidden="1" outlineLevel="1" x14ac:dyDescent="0.2">
      <c r="A160" s="186" t="s">
        <v>1035</v>
      </c>
      <c r="K160" s="186">
        <f t="shared" ref="K160:P160" si="64">SUM(K157:K159)</f>
        <v>4091</v>
      </c>
      <c r="L160" s="186">
        <f t="shared" si="64"/>
        <v>4446</v>
      </c>
      <c r="M160" s="186">
        <f t="shared" si="64"/>
        <v>4943</v>
      </c>
      <c r="N160" s="186">
        <f t="shared" si="64"/>
        <v>5145</v>
      </c>
      <c r="O160" s="186">
        <f t="shared" si="64"/>
        <v>5415</v>
      </c>
      <c r="P160" s="186">
        <f t="shared" si="64"/>
        <v>5260</v>
      </c>
      <c r="Q160" s="186">
        <f>SUM(Q157:Q159)</f>
        <v>5395</v>
      </c>
      <c r="R160" s="186"/>
      <c r="AT160" s="4">
        <f>AT187+AT195</f>
        <v>0</v>
      </c>
      <c r="BB160" s="4">
        <f>BB187+BB195</f>
        <v>0</v>
      </c>
      <c r="BJ160" s="4">
        <f>BJ187+BJ195</f>
        <v>0</v>
      </c>
      <c r="BR160" s="4">
        <f>BR187+BR195</f>
        <v>0</v>
      </c>
      <c r="BZ160" s="4">
        <f>BZ187+BZ195</f>
        <v>0</v>
      </c>
      <c r="CH160" s="4">
        <f>CH187+CH195</f>
        <v>0</v>
      </c>
    </row>
    <row r="161" spans="1:86" hidden="1" outlineLevel="1" x14ac:dyDescent="0.2">
      <c r="A161" s="197" t="s">
        <v>1036</v>
      </c>
      <c r="K161" s="186"/>
      <c r="L161" s="186"/>
      <c r="M161" s="272">
        <f>M160/L160-1</f>
        <v>0.11178587494376968</v>
      </c>
      <c r="N161" s="272">
        <f>N160/M160-1</f>
        <v>4.0865870928585846E-2</v>
      </c>
      <c r="O161" s="272">
        <f>O160/N160-1</f>
        <v>5.2478134110787167E-2</v>
      </c>
      <c r="P161" s="272"/>
      <c r="Q161" s="272">
        <f>Q160/P160-1</f>
        <v>2.5665399239543696E-2</v>
      </c>
      <c r="R161" s="272"/>
    </row>
    <row r="162" spans="1:86" hidden="1" outlineLevel="1" x14ac:dyDescent="0.2"/>
    <row r="163" spans="1:86" hidden="1" outlineLevel="1" x14ac:dyDescent="0.2">
      <c r="A163" s="4" t="s">
        <v>318</v>
      </c>
      <c r="M163" s="4">
        <f>M160-L160</f>
        <v>497</v>
      </c>
      <c r="N163" s="4">
        <f>N160-M160</f>
        <v>202</v>
      </c>
      <c r="O163" s="4">
        <f>O160-N160</f>
        <v>270</v>
      </c>
      <c r="Q163" s="4">
        <f>Q160-P160</f>
        <v>135</v>
      </c>
      <c r="AT163" s="4">
        <f>AT160-AL160</f>
        <v>0</v>
      </c>
      <c r="BB163" s="4">
        <f>BB160-AT160</f>
        <v>0</v>
      </c>
      <c r="BJ163" s="4">
        <f>BJ160-BB160</f>
        <v>0</v>
      </c>
      <c r="BR163" s="4">
        <f>BR160-BJ160</f>
        <v>0</v>
      </c>
      <c r="BZ163" s="4">
        <f>BZ160-BR160</f>
        <v>0</v>
      </c>
      <c r="CH163" s="4">
        <f>CH160-BZ160</f>
        <v>0</v>
      </c>
    </row>
    <row r="164" spans="1:86" hidden="1" outlineLevel="1" x14ac:dyDescent="0.2">
      <c r="A164" s="4" t="s">
        <v>729</v>
      </c>
      <c r="M164" s="4">
        <f>L160*M179</f>
        <v>97.043747580333246</v>
      </c>
      <c r="N164" s="4">
        <f>M160*N179</f>
        <v>178.16048862678966</v>
      </c>
      <c r="O164" s="4">
        <f>N160*O179</f>
        <v>235.62632247143489</v>
      </c>
      <c r="Q164" s="4">
        <f>P160*Q179</f>
        <v>162.57240204429266</v>
      </c>
    </row>
    <row r="165" spans="1:86" hidden="1" outlineLevel="1" x14ac:dyDescent="0.2">
      <c r="A165" s="4" t="s">
        <v>1037</v>
      </c>
      <c r="M165" s="4">
        <f>M190</f>
        <v>20.489127301587359</v>
      </c>
      <c r="N165" s="4">
        <f>N190</f>
        <v>21.569997580645122</v>
      </c>
      <c r="O165" s="4">
        <f>O190</f>
        <v>69.910667155425017</v>
      </c>
      <c r="Q165" s="4">
        <f>Q190</f>
        <v>73.568181818181529</v>
      </c>
    </row>
    <row r="166" spans="1:86" hidden="1" outlineLevel="1" x14ac:dyDescent="0.2">
      <c r="A166" s="4" t="s">
        <v>1038</v>
      </c>
      <c r="M166" s="4">
        <f>ROUND(M163-M164-M165,5)</f>
        <v>379.46713</v>
      </c>
      <c r="N166" s="4">
        <f>ROUND(N163-N164-N165,5)</f>
        <v>2.2695099999999999</v>
      </c>
      <c r="O166" s="4">
        <f>O163-O164-O165</f>
        <v>-35.536989626859906</v>
      </c>
      <c r="Q166" s="4">
        <f>Q163-Q164-Q165</f>
        <v>-101.14058386247419</v>
      </c>
    </row>
    <row r="167" spans="1:86" hidden="1" outlineLevel="1" x14ac:dyDescent="0.2">
      <c r="A167" s="186" t="s">
        <v>1039</v>
      </c>
      <c r="M167" s="186">
        <f>SUM($M$165:M166)</f>
        <v>399.95625730158736</v>
      </c>
      <c r="N167" s="186">
        <f>SUM($M$165:N166)</f>
        <v>423.7957648822325</v>
      </c>
      <c r="O167" s="186">
        <f>SUM($M$165:O166)</f>
        <v>458.16944241079761</v>
      </c>
      <c r="P167" s="186"/>
      <c r="Q167" s="186">
        <f>SUM($M$165:Q166)</f>
        <v>430.59704036650487</v>
      </c>
      <c r="R167" s="186"/>
    </row>
    <row r="168" spans="1:86" hidden="1" outlineLevel="1" x14ac:dyDescent="0.2"/>
    <row r="169" spans="1:86" hidden="1" outlineLevel="1" x14ac:dyDescent="0.2">
      <c r="A169" s="4" t="s">
        <v>1040</v>
      </c>
      <c r="L169" s="15">
        <f>(L181*L185)+((1-L181)*L194)</f>
        <v>1.2915000000000001</v>
      </c>
      <c r="M169" s="15">
        <f>(M181*M185)+((1-M181)*M194)</f>
        <v>1.1870000000000001</v>
      </c>
      <c r="N169" s="15">
        <f>(N181*N185)+((1-N181)*N194)</f>
        <v>1.1815</v>
      </c>
      <c r="O169" s="15">
        <f>(O181*O185)+((1-O181)*O194)</f>
        <v>1.1739999999999999</v>
      </c>
      <c r="P169" s="15">
        <f>O169</f>
        <v>1.1739999999999999</v>
      </c>
      <c r="Q169" s="15">
        <f>(Q181*Q185)+((1-Q181)*Q194)</f>
        <v>1.18</v>
      </c>
      <c r="R169" s="15"/>
    </row>
    <row r="170" spans="1:86" hidden="1" outlineLevel="1" x14ac:dyDescent="0.2"/>
    <row r="171" spans="1:86" hidden="1" outlineLevel="1" x14ac:dyDescent="0.2">
      <c r="A171" s="4" t="s">
        <v>326</v>
      </c>
      <c r="K171" s="833"/>
      <c r="L171" s="4">
        <f t="shared" ref="L171:P174" si="65">L157*L$169</f>
        <v>4008.8160000000003</v>
      </c>
      <c r="M171" s="4">
        <f t="shared" si="65"/>
        <v>3994.2550000000001</v>
      </c>
      <c r="N171" s="4">
        <f t="shared" si="65"/>
        <v>3994.6514999999999</v>
      </c>
      <c r="O171" s="4">
        <f t="shared" si="65"/>
        <v>4147.7420000000002</v>
      </c>
      <c r="P171" s="4">
        <f t="shared" si="65"/>
        <v>4052.6479999999997</v>
      </c>
      <c r="Q171" s="4">
        <f>Q157*Q$169</f>
        <v>4159.5</v>
      </c>
      <c r="AT171" s="4">
        <f>AL171*(1+AT176)</f>
        <v>0</v>
      </c>
      <c r="BB171" s="4">
        <f>AT171*(1+BB176)</f>
        <v>0</v>
      </c>
      <c r="BJ171" s="4">
        <f>BB171*(1+BJ176)</f>
        <v>0</v>
      </c>
      <c r="BR171" s="4">
        <f>BJ171*(1+BR176)</f>
        <v>0</v>
      </c>
      <c r="BZ171" s="4">
        <f>BR171*(1+BZ176)</f>
        <v>0</v>
      </c>
      <c r="CH171" s="4">
        <f>BZ171*(1+CH176)</f>
        <v>0</v>
      </c>
    </row>
    <row r="172" spans="1:86" ht="11.25" hidden="1" customHeight="1" outlineLevel="1" x14ac:dyDescent="0.2">
      <c r="A172" s="4" t="s">
        <v>324</v>
      </c>
      <c r="K172" s="833"/>
      <c r="L172" s="4">
        <f t="shared" si="65"/>
        <v>1653.1200000000001</v>
      </c>
      <c r="M172" s="4">
        <f t="shared" si="65"/>
        <v>1755.5730000000001</v>
      </c>
      <c r="N172" s="4">
        <f t="shared" si="65"/>
        <v>1931.7525000000001</v>
      </c>
      <c r="O172" s="4">
        <f t="shared" si="65"/>
        <v>2053.326</v>
      </c>
      <c r="P172" s="4">
        <f t="shared" si="65"/>
        <v>1960.58</v>
      </c>
      <c r="Q172" s="4">
        <f>Q158*Q$169</f>
        <v>2109.8399999999997</v>
      </c>
      <c r="AT172" s="4">
        <f>AL172*(1+AT177)</f>
        <v>0</v>
      </c>
      <c r="BB172" s="4">
        <f>AT172*(1+BB177)</f>
        <v>0</v>
      </c>
      <c r="BJ172" s="4">
        <f>BB172*(1+BJ177)</f>
        <v>0</v>
      </c>
      <c r="BR172" s="4">
        <f>BJ172*(1+BR177)</f>
        <v>0</v>
      </c>
      <c r="BZ172" s="4">
        <f>BR172*(1+BZ177)</f>
        <v>0</v>
      </c>
      <c r="CH172" s="4">
        <f>BZ172*(1+CH177)</f>
        <v>0</v>
      </c>
    </row>
    <row r="173" spans="1:86" ht="11.25" hidden="1" customHeight="1" outlineLevel="1" x14ac:dyDescent="0.2">
      <c r="A173" s="4" t="s">
        <v>397</v>
      </c>
      <c r="K173" s="833"/>
      <c r="L173" s="4">
        <f t="shared" si="65"/>
        <v>80.073000000000008</v>
      </c>
      <c r="M173" s="4">
        <f t="shared" si="65"/>
        <v>117.51300000000001</v>
      </c>
      <c r="N173" s="4">
        <f t="shared" si="65"/>
        <v>152.4135</v>
      </c>
      <c r="O173" s="4">
        <f>O159*O$169</f>
        <v>156.142</v>
      </c>
      <c r="P173" s="4">
        <f>P159*P$169</f>
        <v>162.012</v>
      </c>
      <c r="Q173" s="4">
        <f>Q159*Q$169</f>
        <v>96.759999999999991</v>
      </c>
      <c r="AT173" s="4">
        <f>AL173*(1+AT178)</f>
        <v>0</v>
      </c>
      <c r="BB173" s="4">
        <f>AT173*(1+BB178)</f>
        <v>0</v>
      </c>
      <c r="BJ173" s="4">
        <f>BB173*(1+BJ178)</f>
        <v>0</v>
      </c>
      <c r="BR173" s="4">
        <f>BJ173*(1+BR178)</f>
        <v>0</v>
      </c>
      <c r="BZ173" s="4">
        <f>BR173*(1+BZ178)</f>
        <v>0</v>
      </c>
      <c r="CH173" s="4">
        <f>BZ173*(1+CH178)</f>
        <v>0</v>
      </c>
    </row>
    <row r="174" spans="1:86" ht="11.25" hidden="1" customHeight="1" outlineLevel="1" x14ac:dyDescent="0.2">
      <c r="A174" s="186" t="s">
        <v>1041</v>
      </c>
      <c r="K174" s="833"/>
      <c r="L174" s="186">
        <f t="shared" si="65"/>
        <v>5742.009</v>
      </c>
      <c r="M174" s="186">
        <f t="shared" si="65"/>
        <v>5867.3410000000003</v>
      </c>
      <c r="N174" s="186">
        <f t="shared" si="65"/>
        <v>6078.8175000000001</v>
      </c>
      <c r="O174" s="186">
        <f t="shared" si="65"/>
        <v>6357.21</v>
      </c>
      <c r="P174" s="186">
        <f>P160*P$169</f>
        <v>6175.24</v>
      </c>
      <c r="Q174" s="186">
        <f>Q160*Q$169</f>
        <v>6366.0999999999995</v>
      </c>
      <c r="R174" s="186"/>
      <c r="AT174" s="4">
        <f>SUM(AT171:AT173)</f>
        <v>0</v>
      </c>
      <c r="BB174" s="4">
        <f>SUM(BB171:BB173)</f>
        <v>0</v>
      </c>
      <c r="BJ174" s="4">
        <f>SUM(BJ171:BJ173)</f>
        <v>0</v>
      </c>
      <c r="BR174" s="4">
        <f>SUM(BR171:BR173)</f>
        <v>0</v>
      </c>
      <c r="BZ174" s="4">
        <f>SUM(BZ171:BZ173)</f>
        <v>0</v>
      </c>
      <c r="CH174" s="4">
        <f>SUM(CH171:CH173)</f>
        <v>0</v>
      </c>
    </row>
    <row r="175" spans="1:86" ht="11.25" hidden="1" customHeight="1" outlineLevel="1" x14ac:dyDescent="0.2"/>
    <row r="176" spans="1:86" ht="11.25" hidden="1" customHeight="1" outlineLevel="1" x14ac:dyDescent="0.25">
      <c r="A176" s="197" t="s">
        <v>326</v>
      </c>
      <c r="K176" s="1169"/>
      <c r="M176" s="272">
        <f t="shared" ref="M176:Q179" si="66">M171/L171-1</f>
        <v>-3.6322445330492226E-3</v>
      </c>
      <c r="N176" s="272">
        <f>N171/M171-1</f>
        <v>9.9267573051786684E-5</v>
      </c>
      <c r="O176" s="272">
        <f>O171/N171-1</f>
        <v>3.8323868803073369E-2</v>
      </c>
      <c r="P176" s="272"/>
      <c r="Q176" s="272">
        <f>Q171/P171-1</f>
        <v>2.6365971088532891E-2</v>
      </c>
      <c r="R176" s="272"/>
      <c r="AT176" s="4">
        <f>+AL176</f>
        <v>0</v>
      </c>
      <c r="BB176" s="4">
        <f>+AT176</f>
        <v>0</v>
      </c>
      <c r="BJ176" s="4">
        <f>+BB176</f>
        <v>0</v>
      </c>
      <c r="BR176" s="4">
        <f>+BJ176</f>
        <v>0</v>
      </c>
      <c r="BZ176" s="4">
        <f>+BR176</f>
        <v>0</v>
      </c>
      <c r="CH176" s="4">
        <f>+BZ176</f>
        <v>0</v>
      </c>
    </row>
    <row r="177" spans="1:86" ht="11.25" hidden="1" customHeight="1" outlineLevel="1" x14ac:dyDescent="0.25">
      <c r="A177" s="197" t="s">
        <v>324</v>
      </c>
      <c r="K177" s="1169"/>
      <c r="M177" s="272">
        <f t="shared" si="66"/>
        <v>6.1975537166085948E-2</v>
      </c>
      <c r="N177" s="272">
        <f t="shared" si="66"/>
        <v>0.10035441419980828</v>
      </c>
      <c r="O177" s="272">
        <f t="shared" si="66"/>
        <v>6.2934304472234359E-2</v>
      </c>
      <c r="P177" s="272"/>
      <c r="Q177" s="272">
        <f t="shared" si="66"/>
        <v>7.6130532801517825E-2</v>
      </c>
      <c r="R177" s="272"/>
      <c r="AT177" s="4">
        <f>+AL177</f>
        <v>0</v>
      </c>
      <c r="BB177" s="4">
        <f>+AT177</f>
        <v>0</v>
      </c>
      <c r="BJ177" s="4">
        <f>+BB177</f>
        <v>0</v>
      </c>
      <c r="BR177" s="4">
        <f>+BJ177</f>
        <v>0</v>
      </c>
      <c r="BZ177" s="4">
        <f>+BR177</f>
        <v>0</v>
      </c>
      <c r="CH177" s="4">
        <f>+BZ177</f>
        <v>0</v>
      </c>
    </row>
    <row r="178" spans="1:86" ht="11.25" hidden="1" customHeight="1" outlineLevel="1" x14ac:dyDescent="0.25">
      <c r="A178" s="197" t="s">
        <v>397</v>
      </c>
      <c r="K178" s="1169"/>
      <c r="M178" s="272">
        <f t="shared" si="66"/>
        <v>0.46757333932786316</v>
      </c>
      <c r="N178" s="272">
        <f t="shared" si="66"/>
        <v>0.29699267315105549</v>
      </c>
      <c r="O178" s="272">
        <f t="shared" si="66"/>
        <v>2.4463056094112368E-2</v>
      </c>
      <c r="P178" s="272"/>
      <c r="Q178" s="272">
        <f t="shared" si="66"/>
        <v>-0.40276028936128194</v>
      </c>
      <c r="R178" s="272"/>
      <c r="AT178" s="1624"/>
      <c r="BB178" s="4">
        <v>0</v>
      </c>
      <c r="BJ178" s="4">
        <v>0</v>
      </c>
      <c r="BR178" s="4">
        <v>0</v>
      </c>
      <c r="BZ178" s="4">
        <v>0</v>
      </c>
      <c r="CH178" s="4">
        <v>0</v>
      </c>
    </row>
    <row r="179" spans="1:86" ht="11.25" hidden="1" customHeight="1" outlineLevel="1" x14ac:dyDescent="0.25">
      <c r="A179" s="202" t="s">
        <v>1042</v>
      </c>
      <c r="K179" s="1169"/>
      <c r="L179" s="1170">
        <v>7.2999999999999995E-2</v>
      </c>
      <c r="M179" s="261">
        <f t="shared" si="66"/>
        <v>2.1827203684285479E-2</v>
      </c>
      <c r="N179" s="261">
        <f t="shared" si="66"/>
        <v>3.6042987786119696E-2</v>
      </c>
      <c r="O179" s="261">
        <f t="shared" si="66"/>
        <v>4.5797147224768686E-2</v>
      </c>
      <c r="P179" s="261"/>
      <c r="Q179" s="261">
        <f t="shared" si="66"/>
        <v>3.0907300768876933E-2</v>
      </c>
      <c r="R179" s="261"/>
    </row>
    <row r="180" spans="1:86" ht="11.25" hidden="1" customHeight="1" outlineLevel="1" x14ac:dyDescent="0.2">
      <c r="M180" s="833"/>
      <c r="N180" s="833"/>
      <c r="O180" s="833"/>
      <c r="P180" s="833"/>
      <c r="Q180" s="833"/>
      <c r="R180" s="833"/>
    </row>
    <row r="181" spans="1:86" ht="11.25" hidden="1" customHeight="1" outlineLevel="1" x14ac:dyDescent="0.2">
      <c r="A181" s="197" t="s">
        <v>1043</v>
      </c>
      <c r="L181" s="1171">
        <v>0.55000000000000004</v>
      </c>
      <c r="M181" s="1171">
        <f>L181</f>
        <v>0.55000000000000004</v>
      </c>
      <c r="N181" s="1171">
        <f>M181</f>
        <v>0.55000000000000004</v>
      </c>
      <c r="O181" s="1171">
        <f>N181</f>
        <v>0.55000000000000004</v>
      </c>
      <c r="P181" s="1171"/>
      <c r="Q181" s="1171">
        <f>O181</f>
        <v>0.55000000000000004</v>
      </c>
      <c r="R181" s="1171"/>
      <c r="AT181" s="4">
        <f>AL181</f>
        <v>0</v>
      </c>
      <c r="BB181" s="4">
        <f>AT181</f>
        <v>0</v>
      </c>
      <c r="BJ181" s="4">
        <f>BB181</f>
        <v>0</v>
      </c>
      <c r="BR181" s="4">
        <f>BJ181</f>
        <v>0</v>
      </c>
      <c r="BZ181" s="4">
        <f>BR181</f>
        <v>0</v>
      </c>
      <c r="CH181" s="4">
        <f>BZ181</f>
        <v>0</v>
      </c>
    </row>
    <row r="182" spans="1:86" hidden="1" outlineLevel="1" x14ac:dyDescent="0.2">
      <c r="M182" s="833"/>
      <c r="N182" s="833"/>
      <c r="O182" s="833"/>
      <c r="P182" s="833"/>
      <c r="Q182" s="833"/>
      <c r="R182" s="833"/>
    </row>
    <row r="183" spans="1:86" hidden="1" outlineLevel="1" x14ac:dyDescent="0.2">
      <c r="A183" s="4" t="s">
        <v>1044</v>
      </c>
      <c r="L183" s="36">
        <f>L174*L181</f>
        <v>3158.1049500000004</v>
      </c>
      <c r="M183" s="36">
        <f>M174*M181</f>
        <v>3227.0375500000005</v>
      </c>
      <c r="N183" s="36">
        <f>N174*N181</f>
        <v>3343.3496250000003</v>
      </c>
      <c r="O183" s="36">
        <f>O174*O181</f>
        <v>3496.4655000000002</v>
      </c>
      <c r="P183" s="36"/>
      <c r="Q183" s="36">
        <f>Q174*Q181</f>
        <v>3501.355</v>
      </c>
      <c r="R183" s="36"/>
      <c r="AT183" s="4">
        <f>AT174*AT181</f>
        <v>0</v>
      </c>
      <c r="BB183" s="4">
        <f>BB174*BB181</f>
        <v>0</v>
      </c>
      <c r="BJ183" s="4">
        <f>BJ174*BJ181</f>
        <v>0</v>
      </c>
      <c r="BR183" s="4">
        <f>BR174*BR181</f>
        <v>0</v>
      </c>
      <c r="BZ183" s="4">
        <f>BZ174*BZ181</f>
        <v>0</v>
      </c>
      <c r="CH183" s="4">
        <f>CH174*CH181</f>
        <v>0</v>
      </c>
    </row>
    <row r="184" spans="1:86" hidden="1" outlineLevel="1" x14ac:dyDescent="0.2">
      <c r="M184" s="833"/>
      <c r="N184" s="833"/>
      <c r="O184" s="833"/>
      <c r="P184" s="833"/>
      <c r="Q184" s="833"/>
      <c r="R184" s="833"/>
    </row>
    <row r="185" spans="1:86" hidden="1" outlineLevel="1" x14ac:dyDescent="0.2">
      <c r="A185" s="4" t="s">
        <v>1045</v>
      </c>
      <c r="L185" s="482">
        <v>1.26</v>
      </c>
      <c r="M185" s="482">
        <v>1.25</v>
      </c>
      <c r="N185" s="482">
        <v>1.24</v>
      </c>
      <c r="O185" s="482">
        <v>1.21</v>
      </c>
      <c r="P185" s="482"/>
      <c r="Q185" s="482">
        <v>1.18</v>
      </c>
      <c r="R185" s="482"/>
      <c r="AT185" s="4">
        <v>1.1200000000000001</v>
      </c>
      <c r="BB185" s="4">
        <v>1.1200000000000001</v>
      </c>
      <c r="BJ185" s="4">
        <v>1.1200000000000001</v>
      </c>
      <c r="BR185" s="4">
        <v>1.1200000000000001</v>
      </c>
      <c r="BZ185" s="4">
        <v>1.1299999999999999</v>
      </c>
      <c r="CH185" s="4">
        <v>1.2205882352941178</v>
      </c>
    </row>
    <row r="186" spans="1:86" hidden="1" outlineLevel="1" x14ac:dyDescent="0.2"/>
    <row r="187" spans="1:86" hidden="1" outlineLevel="1" x14ac:dyDescent="0.2">
      <c r="A187" s="4" t="s">
        <v>1046</v>
      </c>
      <c r="L187" s="4">
        <f>L183/L185</f>
        <v>2506.4325000000003</v>
      </c>
      <c r="M187" s="4">
        <f>M183/M185</f>
        <v>2581.6300400000005</v>
      </c>
      <c r="N187" s="4">
        <f>N183/N185</f>
        <v>2696.2496975806453</v>
      </c>
      <c r="O187" s="4">
        <f>O183/O185</f>
        <v>2889.6409090909092</v>
      </c>
      <c r="Q187" s="4">
        <f>Q183/Q185</f>
        <v>2967.25</v>
      </c>
      <c r="AT187" s="4">
        <f>AT183/AT185</f>
        <v>0</v>
      </c>
      <c r="BB187" s="4">
        <f>BB183/BB185</f>
        <v>0</v>
      </c>
      <c r="BJ187" s="4">
        <f>BJ183/BJ185</f>
        <v>0</v>
      </c>
      <c r="BR187" s="4">
        <f>BR183/BR185</f>
        <v>0</v>
      </c>
      <c r="BZ187" s="4">
        <f>BZ183/BZ185</f>
        <v>0</v>
      </c>
      <c r="CH187" s="4">
        <f>CH183/CH185</f>
        <v>0</v>
      </c>
    </row>
    <row r="188" spans="1:86" hidden="1" outlineLevel="1" x14ac:dyDescent="0.2">
      <c r="A188" s="4" t="s">
        <v>318</v>
      </c>
      <c r="M188" s="4">
        <f>M187-L187</f>
        <v>75.197540000000117</v>
      </c>
      <c r="N188" s="4">
        <f>N187-M187</f>
        <v>114.6196575806448</v>
      </c>
      <c r="O188" s="4">
        <f>O187-N187</f>
        <v>193.39121151026393</v>
      </c>
      <c r="Q188" s="4">
        <f>Q187-O187</f>
        <v>77.60909090909081</v>
      </c>
      <c r="AT188" s="4">
        <f>AT187-AL187</f>
        <v>0</v>
      </c>
      <c r="BB188" s="4">
        <f>BB187-AT187</f>
        <v>0</v>
      </c>
      <c r="BJ188" s="4">
        <f>BJ187-BB187</f>
        <v>0</v>
      </c>
      <c r="BR188" s="4">
        <f>BR187-BJ187</f>
        <v>0</v>
      </c>
      <c r="BZ188" s="4">
        <f>BZ187-BR187</f>
        <v>0</v>
      </c>
      <c r="CH188" s="4">
        <f>CH187-BZ187</f>
        <v>0</v>
      </c>
    </row>
    <row r="189" spans="1:86" hidden="1" outlineLevel="1" x14ac:dyDescent="0.2">
      <c r="A189" s="4" t="s">
        <v>729</v>
      </c>
      <c r="M189" s="4">
        <f>(M183/L185)-L187</f>
        <v>54.708412698412758</v>
      </c>
      <c r="N189" s="4">
        <f>(N183/M185)-M187</f>
        <v>93.049659999999676</v>
      </c>
      <c r="O189" s="4">
        <f>(O183/N185)-N187</f>
        <v>123.48054435483891</v>
      </c>
      <c r="Q189" s="4">
        <f>(Q183/O185)-O187</f>
        <v>4.0409090909092811</v>
      </c>
    </row>
    <row r="190" spans="1:86" hidden="1" outlineLevel="1" x14ac:dyDescent="0.2">
      <c r="A190" s="4" t="s">
        <v>839</v>
      </c>
      <c r="M190" s="4">
        <f>M188-M189</f>
        <v>20.489127301587359</v>
      </c>
      <c r="N190" s="4">
        <f>N188-N189</f>
        <v>21.569997580645122</v>
      </c>
      <c r="O190" s="4">
        <f>O188-O189</f>
        <v>69.910667155425017</v>
      </c>
      <c r="Q190" s="4">
        <f>Q188-Q189</f>
        <v>73.568181818181529</v>
      </c>
    </row>
    <row r="191" spans="1:86" hidden="1" outlineLevel="1" x14ac:dyDescent="0.2">
      <c r="A191" s="186" t="s">
        <v>1047</v>
      </c>
      <c r="M191" s="186">
        <f>SUM($M$190:M190)</f>
        <v>20.489127301587359</v>
      </c>
      <c r="N191" s="186">
        <f>SUM($M$190:N190)</f>
        <v>42.059124882232481</v>
      </c>
      <c r="O191" s="186">
        <f>SUM($M$190:O190)</f>
        <v>111.9697920376575</v>
      </c>
      <c r="P191" s="186"/>
      <c r="Q191" s="186">
        <f>SUM($M$190:Q190)</f>
        <v>185.53797385583903</v>
      </c>
      <c r="R191" s="186"/>
    </row>
    <row r="192" spans="1:86" hidden="1" outlineLevel="1" x14ac:dyDescent="0.2">
      <c r="M192" s="36"/>
      <c r="N192" s="36"/>
      <c r="O192" s="36"/>
      <c r="P192" s="36"/>
      <c r="Q192" s="36"/>
      <c r="R192" s="36"/>
    </row>
    <row r="193" spans="1:86" hidden="1" outlineLevel="1" x14ac:dyDescent="0.2">
      <c r="A193" s="4" t="s">
        <v>1048</v>
      </c>
      <c r="L193" s="4">
        <f>L174-L183</f>
        <v>2583.9040499999996</v>
      </c>
      <c r="M193" s="4">
        <f>M174-M183</f>
        <v>2640.3034499999999</v>
      </c>
      <c r="N193" s="4">
        <f>N174-N183</f>
        <v>2735.4678749999998</v>
      </c>
      <c r="O193" s="4">
        <f>O174-O183</f>
        <v>2860.7444999999998</v>
      </c>
      <c r="Q193" s="4">
        <f>Q174-Q183</f>
        <v>2864.7449999999994</v>
      </c>
      <c r="AT193" s="4">
        <f>AT174-AT183</f>
        <v>0</v>
      </c>
      <c r="BB193" s="4">
        <f>BB174-BB183</f>
        <v>0</v>
      </c>
      <c r="BJ193" s="4">
        <f>BJ174-BJ183</f>
        <v>0</v>
      </c>
      <c r="BR193" s="4">
        <f>BR174-BR183</f>
        <v>0</v>
      </c>
      <c r="BZ193" s="4">
        <f>BZ174-BZ183</f>
        <v>0</v>
      </c>
      <c r="CH193" s="4">
        <f>CH174-CH183</f>
        <v>0</v>
      </c>
    </row>
    <row r="194" spans="1:86" hidden="1" outlineLevel="1" x14ac:dyDescent="0.2">
      <c r="A194" s="4" t="s">
        <v>1049</v>
      </c>
      <c r="L194" s="15">
        <v>1.33</v>
      </c>
      <c r="M194" s="482">
        <v>1.1100000000000001</v>
      </c>
      <c r="N194" s="482">
        <v>1.1100000000000001</v>
      </c>
      <c r="O194" s="482">
        <v>1.1299999999999999</v>
      </c>
      <c r="P194" s="482"/>
      <c r="Q194" s="482">
        <v>1.18</v>
      </c>
      <c r="R194" s="482"/>
      <c r="AT194" s="4">
        <v>1.1299999999999999</v>
      </c>
      <c r="BB194" s="4">
        <v>1.17</v>
      </c>
      <c r="BJ194" s="4">
        <v>1.19</v>
      </c>
      <c r="BR194" s="4">
        <v>1.2</v>
      </c>
      <c r="BZ194" s="4">
        <v>1.22</v>
      </c>
      <c r="CH194" s="4">
        <v>1.23</v>
      </c>
    </row>
    <row r="195" spans="1:86" hidden="1" outlineLevel="1" x14ac:dyDescent="0.2">
      <c r="A195" s="4" t="s">
        <v>1050</v>
      </c>
      <c r="L195" s="4">
        <f>L193/L194</f>
        <v>1942.7849999999996</v>
      </c>
      <c r="M195" s="4">
        <f>M193/M194</f>
        <v>2378.6517567567566</v>
      </c>
      <c r="N195" s="4">
        <f>N193/N194</f>
        <v>2464.3854729729728</v>
      </c>
      <c r="O195" s="4">
        <f>O193/O194</f>
        <v>2531.6323008849558</v>
      </c>
      <c r="Q195" s="4">
        <f>Q193/Q194</f>
        <v>2427.7499999999995</v>
      </c>
      <c r="AT195" s="4">
        <f>AT193/AT194</f>
        <v>0</v>
      </c>
      <c r="BB195" s="4">
        <f>BB193/BB194</f>
        <v>0</v>
      </c>
      <c r="BJ195" s="4">
        <f>BJ193/BJ194</f>
        <v>0</v>
      </c>
      <c r="BR195" s="4">
        <f>BR193/BR194</f>
        <v>0</v>
      </c>
      <c r="BZ195" s="4">
        <f>BZ193/BZ194</f>
        <v>0</v>
      </c>
      <c r="CH195" s="4">
        <f>CH193/CH194</f>
        <v>0</v>
      </c>
    </row>
    <row r="196" spans="1:86" hidden="1" outlineLevel="1" x14ac:dyDescent="0.2"/>
    <row r="197" spans="1:86" hidden="1" outlineLevel="1" x14ac:dyDescent="0.2">
      <c r="A197" s="186" t="s">
        <v>1051</v>
      </c>
      <c r="B197" s="186"/>
      <c r="C197" s="186"/>
      <c r="D197" s="186"/>
      <c r="E197" s="186"/>
      <c r="F197" s="186"/>
      <c r="G197" s="186"/>
      <c r="H197" s="186"/>
      <c r="I197" s="186"/>
      <c r="J197" s="186"/>
      <c r="K197" s="186"/>
      <c r="L197" s="186">
        <f t="shared" ref="L197:Q197" si="67">L160-L167</f>
        <v>4446</v>
      </c>
      <c r="M197" s="186">
        <f t="shared" si="67"/>
        <v>4543.0437426984126</v>
      </c>
      <c r="N197" s="186">
        <f t="shared" si="67"/>
        <v>4721.2042351177679</v>
      </c>
      <c r="O197" s="186">
        <f t="shared" si="67"/>
        <v>4956.8305575892027</v>
      </c>
      <c r="P197" s="186">
        <f t="shared" si="67"/>
        <v>5260</v>
      </c>
      <c r="Q197" s="186">
        <f t="shared" si="67"/>
        <v>4964.4029596334949</v>
      </c>
      <c r="R197" s="186"/>
      <c r="AT197" s="4">
        <f>AT160-AT167</f>
        <v>0</v>
      </c>
      <c r="BB197" s="4">
        <f>BB160-BB167</f>
        <v>0</v>
      </c>
      <c r="BJ197" s="4">
        <f>BJ160-BJ167</f>
        <v>0</v>
      </c>
      <c r="BR197" s="4">
        <f>BR160-BR167</f>
        <v>0</v>
      </c>
      <c r="BZ197" s="4">
        <f>BZ160-BZ167</f>
        <v>0</v>
      </c>
      <c r="CH197" s="4">
        <f>CH160-CH167</f>
        <v>0</v>
      </c>
    </row>
    <row r="198" spans="1:86" hidden="1" outlineLevel="1" x14ac:dyDescent="0.2"/>
    <row r="199" spans="1:86" hidden="1" outlineLevel="1" x14ac:dyDescent="0.2"/>
    <row r="200" spans="1:86" hidden="1" outlineLevel="1" x14ac:dyDescent="0.2"/>
    <row r="201" spans="1:86" hidden="1" outlineLevel="1" x14ac:dyDescent="0.2">
      <c r="L201" s="4" t="s">
        <v>1052</v>
      </c>
      <c r="N201" s="4">
        <f>N190+Propulsion!P274</f>
        <v>50.099904029484605</v>
      </c>
      <c r="O201" s="4">
        <f>O190+Propulsion!Q274</f>
        <v>166.74720505865071</v>
      </c>
      <c r="Q201" s="4">
        <f>Q190+Propulsion!S274</f>
        <v>187.58999999999969</v>
      </c>
    </row>
    <row r="202" spans="1:86" hidden="1" outlineLevel="1" x14ac:dyDescent="0.2"/>
    <row r="203" spans="1:86" hidden="1" outlineLevel="1" x14ac:dyDescent="0.2"/>
    <row r="204" spans="1:86" hidden="1" outlineLevel="1" x14ac:dyDescent="0.2"/>
    <row r="205" spans="1:86" hidden="1" outlineLevel="1" x14ac:dyDescent="0.2"/>
    <row r="206" spans="1:86" hidden="1" outlineLevel="1" x14ac:dyDescent="0.2"/>
    <row r="207" spans="1:86" hidden="1" outlineLevel="1" x14ac:dyDescent="0.2"/>
    <row r="208" spans="1:86" ht="15.75" hidden="1" outlineLevel="1" x14ac:dyDescent="0.25">
      <c r="A208" s="1146" t="s">
        <v>1053</v>
      </c>
      <c r="B208" s="174"/>
      <c r="C208" s="174"/>
      <c r="D208" s="174"/>
      <c r="E208" s="174"/>
      <c r="F208" s="174"/>
      <c r="G208" s="174"/>
      <c r="H208" s="174"/>
      <c r="I208" s="174"/>
      <c r="J208" s="174"/>
      <c r="K208" s="174"/>
      <c r="L208" s="174"/>
      <c r="M208" s="174"/>
      <c r="N208" s="174"/>
      <c r="O208" s="174"/>
      <c r="P208" s="174"/>
      <c r="Q208" s="174"/>
      <c r="R208" s="174"/>
      <c r="S208" s="174"/>
      <c r="T208" s="174"/>
      <c r="U208" s="174"/>
      <c r="V208" s="174"/>
      <c r="W208" s="174"/>
      <c r="X208" s="174"/>
      <c r="Y208" s="174"/>
      <c r="Z208" s="174"/>
      <c r="AA208" s="174"/>
      <c r="AB208" s="174"/>
      <c r="AC208" s="174"/>
      <c r="AD208" s="174"/>
      <c r="AE208" s="174"/>
      <c r="AF208" s="174"/>
      <c r="AG208" s="174"/>
      <c r="AH208" s="174"/>
      <c r="AI208" s="174"/>
      <c r="AJ208" s="174"/>
      <c r="AK208" s="174"/>
      <c r="AL208" s="174"/>
      <c r="AM208" s="174"/>
      <c r="AN208" s="174"/>
      <c r="AO208" s="174"/>
      <c r="AP208" s="174"/>
      <c r="AQ208" s="174"/>
      <c r="AR208" s="174"/>
      <c r="AS208" s="174"/>
      <c r="AT208" s="174"/>
      <c r="AU208" s="174"/>
      <c r="AV208" s="174"/>
      <c r="AW208" s="174"/>
      <c r="AX208" s="174"/>
      <c r="AY208" s="174"/>
      <c r="AZ208" s="174"/>
      <c r="BA208" s="174"/>
      <c r="BB208" s="174"/>
      <c r="BC208" s="174"/>
      <c r="BD208" s="174"/>
      <c r="BE208" s="174"/>
      <c r="BF208" s="174"/>
      <c r="BG208" s="174"/>
      <c r="BH208" s="174"/>
      <c r="BI208" s="174"/>
      <c r="BJ208" s="174"/>
      <c r="BK208" s="174"/>
      <c r="BL208" s="174"/>
      <c r="BM208" s="174"/>
      <c r="BN208" s="174"/>
      <c r="BO208" s="174"/>
      <c r="BP208" s="174"/>
      <c r="BQ208" s="174"/>
      <c r="BR208" s="174"/>
      <c r="BS208" s="174"/>
      <c r="BT208" s="174"/>
      <c r="BU208" s="174"/>
      <c r="BV208" s="174"/>
      <c r="BW208" s="174"/>
      <c r="BX208" s="174"/>
      <c r="BY208" s="174"/>
      <c r="BZ208" s="174"/>
      <c r="CA208" s="174"/>
      <c r="CB208" s="174"/>
      <c r="CC208" s="174"/>
      <c r="CD208" s="174"/>
      <c r="CE208" s="174"/>
      <c r="CF208" s="174"/>
      <c r="CG208" s="174"/>
      <c r="CH208" s="174"/>
    </row>
    <row r="209" spans="1:86" hidden="1" outlineLevel="1" x14ac:dyDescent="0.2">
      <c r="I209" s="36"/>
      <c r="J209" s="124"/>
      <c r="P209" s="574" t="s">
        <v>74</v>
      </c>
      <c r="Q209" s="575" t="s">
        <v>74</v>
      </c>
      <c r="R209" s="575"/>
      <c r="S209" s="575" t="s">
        <v>74</v>
      </c>
      <c r="T209" s="575" t="s">
        <v>74</v>
      </c>
      <c r="U209" s="575" t="s">
        <v>74</v>
      </c>
      <c r="V209" s="575" t="s">
        <v>74</v>
      </c>
      <c r="W209" s="575"/>
      <c r="X209" s="575"/>
      <c r="Y209" s="575"/>
      <c r="Z209" s="575"/>
      <c r="AA209" s="575"/>
      <c r="AB209" s="575"/>
      <c r="AC209" s="575"/>
      <c r="AD209" s="575" t="s">
        <v>74</v>
      </c>
      <c r="AE209" s="575"/>
      <c r="AF209" s="575"/>
      <c r="AG209" s="575"/>
      <c r="AH209" s="575"/>
      <c r="AI209" s="575"/>
      <c r="AJ209" s="575"/>
      <c r="AK209" s="575"/>
      <c r="AL209" s="575" t="s">
        <v>74</v>
      </c>
      <c r="AM209" s="575"/>
      <c r="AN209" s="575"/>
      <c r="AO209" s="575"/>
      <c r="AP209" s="575"/>
      <c r="AQ209" s="575"/>
      <c r="AR209" s="575"/>
      <c r="AS209" s="575"/>
      <c r="AT209" s="575"/>
      <c r="AU209" s="575"/>
      <c r="AV209" s="575"/>
      <c r="AW209" s="575"/>
      <c r="AX209" s="575"/>
      <c r="AY209" s="575"/>
      <c r="AZ209" s="575"/>
      <c r="BA209" s="575"/>
      <c r="BB209" s="575"/>
      <c r="BC209" s="575"/>
      <c r="BD209" s="575"/>
      <c r="BE209" s="575"/>
      <c r="BF209" s="575"/>
      <c r="BG209" s="575"/>
      <c r="BH209" s="575"/>
      <c r="BI209" s="575"/>
      <c r="BJ209" s="575"/>
      <c r="BK209" s="575"/>
      <c r="BL209" s="575"/>
      <c r="BM209" s="575"/>
      <c r="BN209" s="575"/>
      <c r="BO209" s="575"/>
      <c r="BP209" s="575"/>
      <c r="BQ209" s="575"/>
      <c r="BR209" s="575"/>
      <c r="BS209" s="575"/>
      <c r="BT209" s="575"/>
      <c r="BU209" s="575"/>
      <c r="BV209" s="575"/>
      <c r="BW209" s="575"/>
      <c r="BX209" s="575"/>
      <c r="BY209" s="575"/>
      <c r="BZ209" s="575"/>
      <c r="CA209" s="575"/>
      <c r="CB209" s="575"/>
      <c r="CC209" s="575"/>
      <c r="CD209" s="575"/>
      <c r="CE209" s="575"/>
      <c r="CF209" s="575"/>
      <c r="CG209" s="575"/>
      <c r="CH209" s="575"/>
    </row>
    <row r="210" spans="1:86" hidden="1" outlineLevel="1" x14ac:dyDescent="0.2">
      <c r="A210" s="693" t="s">
        <v>1054</v>
      </c>
      <c r="B210" s="838">
        <v>2004</v>
      </c>
      <c r="C210" s="838">
        <f t="shared" ref="C210:O210" si="68">B210+1</f>
        <v>2005</v>
      </c>
      <c r="D210" s="838">
        <f t="shared" si="68"/>
        <v>2006</v>
      </c>
      <c r="E210" s="838">
        <f t="shared" si="68"/>
        <v>2007</v>
      </c>
      <c r="F210" s="838">
        <f t="shared" si="68"/>
        <v>2008</v>
      </c>
      <c r="G210" s="838">
        <f t="shared" si="68"/>
        <v>2009</v>
      </c>
      <c r="H210" s="838">
        <f t="shared" si="68"/>
        <v>2010</v>
      </c>
      <c r="I210" s="838">
        <f t="shared" si="68"/>
        <v>2011</v>
      </c>
      <c r="J210" s="838">
        <f t="shared" si="68"/>
        <v>2012</v>
      </c>
      <c r="K210" s="838">
        <f t="shared" si="68"/>
        <v>2013</v>
      </c>
      <c r="L210" s="838">
        <f t="shared" si="68"/>
        <v>2014</v>
      </c>
      <c r="M210" s="838">
        <f t="shared" si="68"/>
        <v>2015</v>
      </c>
      <c r="N210" s="838">
        <f t="shared" si="68"/>
        <v>2016</v>
      </c>
      <c r="O210" s="838">
        <f t="shared" si="68"/>
        <v>2017</v>
      </c>
      <c r="P210" s="1147" t="s">
        <v>76</v>
      </c>
      <c r="Q210" s="838">
        <f>O210+1</f>
        <v>2018</v>
      </c>
      <c r="R210" s="838"/>
      <c r="S210" s="838">
        <f>Q210+1</f>
        <v>2019</v>
      </c>
      <c r="T210" s="1147">
        <f>S210+1</f>
        <v>2020</v>
      </c>
      <c r="U210" s="1147">
        <f>T210+1</f>
        <v>2021</v>
      </c>
      <c r="V210" s="1147">
        <f>U210+1</f>
        <v>2022</v>
      </c>
      <c r="W210" s="1147"/>
      <c r="X210" s="1147"/>
      <c r="Y210" s="1147"/>
      <c r="Z210" s="1147"/>
      <c r="AA210" s="1147"/>
      <c r="AB210" s="1147"/>
      <c r="AC210" s="1147"/>
      <c r="AD210" s="1147">
        <f>V210+1</f>
        <v>2023</v>
      </c>
      <c r="AE210" s="1147"/>
      <c r="AF210" s="1147"/>
      <c r="AG210" s="1147"/>
      <c r="AH210" s="1147"/>
      <c r="AI210" s="1147"/>
      <c r="AJ210" s="1147"/>
      <c r="AK210" s="1147"/>
      <c r="AL210" s="1147">
        <f>AD210+1</f>
        <v>2024</v>
      </c>
      <c r="AM210" s="1147"/>
      <c r="AN210" s="1147"/>
      <c r="AO210" s="1147"/>
      <c r="AP210" s="1147"/>
      <c r="AQ210" s="1147"/>
      <c r="AR210" s="1147"/>
      <c r="AS210" s="1147"/>
      <c r="AT210" s="1147">
        <f>AL210+1</f>
        <v>2025</v>
      </c>
      <c r="AU210" s="1147"/>
      <c r="AV210" s="1147"/>
      <c r="AW210" s="1147"/>
      <c r="AX210" s="1147"/>
      <c r="AY210" s="1147"/>
      <c r="AZ210" s="1147"/>
      <c r="BA210" s="1147"/>
      <c r="BB210" s="1147">
        <f>AT210+1</f>
        <v>2026</v>
      </c>
      <c r="BC210" s="1147"/>
      <c r="BD210" s="1147"/>
      <c r="BE210" s="1147"/>
      <c r="BF210" s="1147"/>
      <c r="BG210" s="1147"/>
      <c r="BH210" s="1147"/>
      <c r="BI210" s="1147"/>
      <c r="BJ210" s="1147">
        <f>BB210+1</f>
        <v>2027</v>
      </c>
      <c r="BK210" s="1147"/>
      <c r="BL210" s="1147"/>
      <c r="BM210" s="1147"/>
      <c r="BN210" s="1147"/>
      <c r="BO210" s="1147"/>
      <c r="BP210" s="1147"/>
      <c r="BQ210" s="1147"/>
      <c r="BR210" s="1147">
        <f>BJ210+1</f>
        <v>2028</v>
      </c>
      <c r="BS210" s="1147"/>
      <c r="BT210" s="1147"/>
      <c r="BU210" s="1147"/>
      <c r="BV210" s="1147"/>
      <c r="BW210" s="1147"/>
      <c r="BX210" s="1147"/>
      <c r="BY210" s="1147"/>
      <c r="BZ210" s="1147">
        <f>BR210+1</f>
        <v>2029</v>
      </c>
      <c r="CA210" s="1147"/>
      <c r="CB210" s="1147"/>
      <c r="CC210" s="1147"/>
      <c r="CD210" s="1147"/>
      <c r="CE210" s="1147"/>
      <c r="CF210" s="1147"/>
      <c r="CG210" s="1147"/>
      <c r="CH210" s="1147">
        <f>BZ210+1</f>
        <v>2030</v>
      </c>
    </row>
    <row r="211" spans="1:86" hidden="1" outlineLevel="1" x14ac:dyDescent="0.2">
      <c r="A211" s="620"/>
      <c r="B211" s="1172"/>
      <c r="C211" s="1172"/>
      <c r="D211" s="1172"/>
      <c r="E211" s="1172"/>
      <c r="F211" s="1172"/>
      <c r="G211" s="1172"/>
      <c r="H211" s="1172"/>
      <c r="I211" s="1172"/>
      <c r="J211" s="1172"/>
      <c r="K211" s="1172"/>
      <c r="L211" s="1172"/>
      <c r="M211" s="1172"/>
      <c r="N211" s="1172"/>
      <c r="O211" s="1172"/>
      <c r="P211" s="1172"/>
      <c r="Q211" s="1172"/>
      <c r="R211" s="1172"/>
      <c r="S211" s="1172"/>
      <c r="T211" s="1172"/>
      <c r="U211" s="1172"/>
      <c r="V211" s="1172"/>
      <c r="W211" s="1172"/>
      <c r="X211" s="1172"/>
      <c r="Y211" s="1172"/>
      <c r="Z211" s="1172"/>
      <c r="AA211" s="1172"/>
      <c r="AB211" s="1172"/>
      <c r="AC211" s="1172"/>
      <c r="AD211" s="1172"/>
      <c r="AE211" s="1172"/>
      <c r="AF211" s="1172"/>
      <c r="AG211" s="1172"/>
      <c r="AH211" s="1172"/>
      <c r="AI211" s="1172"/>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row>
    <row r="212" spans="1:86" hidden="1" outlineLevel="1" x14ac:dyDescent="0.2">
      <c r="A212" s="619" t="s">
        <v>263</v>
      </c>
      <c r="B212" s="1173">
        <f>449+430</f>
        <v>879</v>
      </c>
      <c r="C212" s="1173">
        <f>494+409</f>
        <v>903</v>
      </c>
      <c r="D212" s="1173">
        <f>489+423</f>
        <v>912</v>
      </c>
      <c r="E212" s="1173">
        <f>508+416</f>
        <v>924</v>
      </c>
      <c r="F212" s="1173">
        <f>543+47+167+259</f>
        <v>1016</v>
      </c>
      <c r="G212" s="1173">
        <f>594+45+139+246</f>
        <v>1024</v>
      </c>
      <c r="H212" s="1174">
        <f>708+202+318</f>
        <v>1228</v>
      </c>
      <c r="I212" s="1174">
        <v>1264</v>
      </c>
      <c r="J212" s="1174">
        <v>1315</v>
      </c>
      <c r="K212" s="1175">
        <v>1197</v>
      </c>
      <c r="L212" s="1175">
        <v>1221</v>
      </c>
      <c r="M212" s="1175">
        <v>1266</v>
      </c>
      <c r="N212" s="1175">
        <f>Divisional!N8</f>
        <v>1238</v>
      </c>
      <c r="O212" s="1175">
        <f>Divisional!O8</f>
        <v>1345</v>
      </c>
      <c r="P212" s="1175">
        <f>Divisional!P8</f>
        <v>1316</v>
      </c>
      <c r="Q212" s="1175">
        <f>Divisional!Q8</f>
        <v>1386</v>
      </c>
      <c r="R212" s="1175"/>
      <c r="S212" s="1176">
        <f>S266+S267+S268</f>
        <v>0</v>
      </c>
      <c r="T212" s="1176">
        <f>T266+T267+T268</f>
        <v>0</v>
      </c>
      <c r="U212" s="1176">
        <f>U266+U267+U268</f>
        <v>0</v>
      </c>
      <c r="V212" s="1176">
        <f>V266+V267+V268</f>
        <v>0</v>
      </c>
      <c r="W212" s="1176"/>
      <c r="X212" s="1176"/>
      <c r="Y212" s="1176"/>
      <c r="Z212" s="1176"/>
      <c r="AA212" s="1176"/>
      <c r="AB212" s="1176"/>
      <c r="AC212" s="1176"/>
      <c r="AD212" s="1176">
        <f>AD266+AD267+AD268</f>
        <v>0</v>
      </c>
      <c r="AE212" s="1176"/>
      <c r="AF212" s="1176"/>
      <c r="AG212" s="1176"/>
      <c r="AH212" s="1176"/>
      <c r="AI212" s="1176"/>
      <c r="AJ212" s="1176"/>
      <c r="AK212" s="1176"/>
      <c r="AL212" s="1176">
        <f>AL266+AL267+AL268</f>
        <v>0</v>
      </c>
      <c r="AM212" s="1176"/>
      <c r="AN212" s="1176"/>
      <c r="AO212" s="1176"/>
      <c r="AP212" s="1176"/>
      <c r="AQ212" s="1176"/>
      <c r="AR212" s="1176"/>
      <c r="AS212" s="1176"/>
      <c r="AT212" s="1176">
        <f>AT266+AT267+AT268</f>
        <v>0</v>
      </c>
      <c r="AU212" s="1176"/>
      <c r="AV212" s="1176"/>
      <c r="AW212" s="1176"/>
      <c r="AX212" s="1176"/>
      <c r="AY212" s="1176"/>
      <c r="AZ212" s="1176"/>
      <c r="BA212" s="1176"/>
      <c r="BB212" s="1176">
        <f>BB266+BB267+BB268</f>
        <v>0</v>
      </c>
      <c r="BC212" s="1176"/>
      <c r="BD212" s="1176"/>
      <c r="BE212" s="1176"/>
      <c r="BF212" s="1176"/>
      <c r="BG212" s="1176"/>
      <c r="BH212" s="1176"/>
      <c r="BI212" s="1176"/>
      <c r="BJ212" s="1176">
        <f>BJ266+BJ267+BJ268</f>
        <v>0</v>
      </c>
      <c r="BK212" s="1176"/>
      <c r="BL212" s="1176"/>
      <c r="BM212" s="1176"/>
      <c r="BN212" s="1176"/>
      <c r="BO212" s="1176"/>
      <c r="BP212" s="1176"/>
      <c r="BQ212" s="1176"/>
      <c r="BR212" s="1176">
        <f>BR266+BR267+BR268</f>
        <v>0</v>
      </c>
      <c r="BS212" s="1176"/>
      <c r="BT212" s="1176"/>
      <c r="BU212" s="1176"/>
      <c r="BV212" s="1176"/>
      <c r="BW212" s="1176"/>
      <c r="BX212" s="1176"/>
      <c r="BY212" s="1176"/>
      <c r="BZ212" s="1176">
        <f>BZ266+BZ267+BZ268</f>
        <v>0</v>
      </c>
      <c r="CA212" s="1176"/>
      <c r="CB212" s="1176"/>
      <c r="CC212" s="1176"/>
      <c r="CD212" s="1176"/>
      <c r="CE212" s="1176"/>
      <c r="CF212" s="1176"/>
      <c r="CG212" s="1176"/>
      <c r="CH212" s="1176">
        <f>CH266+CH267+CH268</f>
        <v>0</v>
      </c>
    </row>
    <row r="213" spans="1:86" hidden="1" outlineLevel="1" x14ac:dyDescent="0.2">
      <c r="A213" s="619" t="s">
        <v>82</v>
      </c>
      <c r="B213" s="1173">
        <v>283</v>
      </c>
      <c r="C213" s="1173">
        <v>328</v>
      </c>
      <c r="D213" s="1173">
        <v>528</v>
      </c>
      <c r="E213" s="1173">
        <v>669</v>
      </c>
      <c r="F213" s="1177">
        <f>638+42</f>
        <v>680</v>
      </c>
      <c r="G213" s="1173">
        <f>774+117</f>
        <v>891</v>
      </c>
      <c r="H213" s="1174">
        <v>1028</v>
      </c>
      <c r="I213" s="1174">
        <v>1249</v>
      </c>
      <c r="J213" s="1174">
        <v>1546</v>
      </c>
      <c r="K213" s="1175">
        <v>1482</v>
      </c>
      <c r="L213" s="1175">
        <v>1530</v>
      </c>
      <c r="M213" s="1175">
        <v>1878</v>
      </c>
      <c r="N213" s="1176"/>
      <c r="O213" s="1176"/>
      <c r="P213" s="1176"/>
      <c r="Q213" s="1176"/>
      <c r="R213" s="1176"/>
      <c r="S213" s="1176"/>
      <c r="T213" s="1176"/>
      <c r="U213" s="1176"/>
      <c r="V213" s="1176"/>
      <c r="W213" s="1176"/>
      <c r="X213" s="1176"/>
      <c r="Y213" s="1176"/>
      <c r="Z213" s="1176"/>
      <c r="AA213" s="1176"/>
      <c r="AB213" s="1176"/>
      <c r="AC213" s="1176"/>
      <c r="AD213" s="1176"/>
      <c r="AE213" s="1176"/>
      <c r="AF213" s="1176"/>
      <c r="AG213" s="1176"/>
      <c r="AH213" s="1176"/>
      <c r="AI213" s="1176"/>
      <c r="AJ213" s="1176"/>
      <c r="AK213" s="1176"/>
      <c r="AL213" s="1176"/>
      <c r="AM213" s="1176"/>
      <c r="AN213" s="1176"/>
      <c r="AO213" s="1176"/>
      <c r="AP213" s="1176"/>
      <c r="AQ213" s="1176"/>
      <c r="AR213" s="1176"/>
      <c r="AS213" s="1176"/>
      <c r="AT213" s="1176"/>
      <c r="AU213" s="1176"/>
      <c r="AV213" s="1176"/>
      <c r="AW213" s="1176"/>
      <c r="AX213" s="1176"/>
      <c r="AY213" s="1176"/>
      <c r="AZ213" s="1176"/>
      <c r="BA213" s="1176"/>
      <c r="BB213" s="1176"/>
      <c r="BC213" s="1176"/>
      <c r="BD213" s="1176"/>
      <c r="BE213" s="1176"/>
      <c r="BF213" s="1176"/>
      <c r="BG213" s="1176"/>
      <c r="BH213" s="1176"/>
      <c r="BI213" s="1176"/>
      <c r="BJ213" s="1176"/>
      <c r="BK213" s="1176"/>
      <c r="BL213" s="1176"/>
      <c r="BM213" s="1176"/>
      <c r="BN213" s="1176"/>
      <c r="BO213" s="1176"/>
      <c r="BP213" s="1176"/>
      <c r="BQ213" s="1176"/>
      <c r="BR213" s="1176"/>
      <c r="BS213" s="1176"/>
      <c r="BT213" s="1176"/>
      <c r="BU213" s="1176"/>
      <c r="BV213" s="1176"/>
      <c r="BW213" s="1176"/>
      <c r="BX213" s="1176"/>
      <c r="BY213" s="1176"/>
      <c r="BZ213" s="1176"/>
      <c r="CA213" s="1176"/>
      <c r="CB213" s="1176"/>
      <c r="CC213" s="1176"/>
      <c r="CD213" s="1176"/>
      <c r="CE213" s="1176"/>
      <c r="CF213" s="1176"/>
      <c r="CG213" s="1176"/>
      <c r="CH213" s="1176"/>
    </row>
    <row r="214" spans="1:86" hidden="1" outlineLevel="1" x14ac:dyDescent="0.2">
      <c r="A214" s="619" t="s">
        <v>397</v>
      </c>
      <c r="B214" s="1178">
        <f t="shared" ref="B214:J214" si="69">B215-B212-B213</f>
        <v>-3</v>
      </c>
      <c r="C214" s="1178">
        <f t="shared" si="69"/>
        <v>0</v>
      </c>
      <c r="D214" s="1178">
        <f t="shared" si="69"/>
        <v>5</v>
      </c>
      <c r="E214" s="1178">
        <f t="shared" si="69"/>
        <v>3</v>
      </c>
      <c r="F214" s="1178">
        <f t="shared" si="69"/>
        <v>-675</v>
      </c>
      <c r="G214" s="1178">
        <f t="shared" si="69"/>
        <v>-854</v>
      </c>
      <c r="H214" s="1178">
        <f t="shared" si="69"/>
        <v>25</v>
      </c>
      <c r="I214" s="1178">
        <f t="shared" si="69"/>
        <v>0</v>
      </c>
      <c r="J214" s="1178">
        <f t="shared" si="69"/>
        <v>0</v>
      </c>
      <c r="K214" s="1179">
        <f>J214</f>
        <v>0</v>
      </c>
      <c r="L214" s="1179">
        <f>K214</f>
        <v>0</v>
      </c>
      <c r="M214" s="1179">
        <f>L214</f>
        <v>0</v>
      </c>
      <c r="N214" s="1179">
        <f>M214</f>
        <v>0</v>
      </c>
      <c r="O214" s="1179">
        <v>0</v>
      </c>
      <c r="P214" s="1179"/>
      <c r="Q214" s="1179"/>
      <c r="R214" s="1179"/>
      <c r="S214" s="1179"/>
      <c r="T214" s="1179"/>
      <c r="U214" s="1179"/>
      <c r="V214" s="1179"/>
      <c r="W214" s="1179"/>
      <c r="X214" s="1179"/>
      <c r="Y214" s="1179"/>
      <c r="Z214" s="1179"/>
      <c r="AA214" s="1179"/>
      <c r="AB214" s="1179"/>
      <c r="AC214" s="1179"/>
      <c r="AD214" s="1179"/>
      <c r="AE214" s="1179"/>
      <c r="AF214" s="1179"/>
      <c r="AG214" s="1179"/>
      <c r="AH214" s="1179"/>
      <c r="AI214" s="1179"/>
      <c r="AJ214" s="1179"/>
      <c r="AK214" s="1179"/>
      <c r="AL214" s="1179"/>
      <c r="AM214" s="1179"/>
      <c r="AN214" s="1179"/>
      <c r="AO214" s="1179"/>
      <c r="AP214" s="1179"/>
      <c r="AQ214" s="1179"/>
      <c r="AR214" s="1179"/>
      <c r="AS214" s="1179"/>
      <c r="AT214" s="1179"/>
      <c r="AU214" s="1179"/>
      <c r="AV214" s="1179"/>
      <c r="AW214" s="1179"/>
      <c r="AX214" s="1179"/>
      <c r="AY214" s="1179"/>
      <c r="AZ214" s="1179"/>
      <c r="BA214" s="1179"/>
      <c r="BB214" s="1179"/>
      <c r="BC214" s="1179"/>
      <c r="BD214" s="1179"/>
      <c r="BE214" s="1179"/>
      <c r="BF214" s="1179"/>
      <c r="BG214" s="1179"/>
      <c r="BH214" s="1179"/>
      <c r="BI214" s="1179"/>
      <c r="BJ214" s="1179"/>
      <c r="BK214" s="1179"/>
      <c r="BL214" s="1179"/>
      <c r="BM214" s="1179"/>
      <c r="BN214" s="1179"/>
      <c r="BO214" s="1179"/>
      <c r="BP214" s="1179"/>
      <c r="BQ214" s="1179"/>
      <c r="BR214" s="1179"/>
      <c r="BS214" s="1179"/>
      <c r="BT214" s="1179"/>
      <c r="BU214" s="1179"/>
      <c r="BV214" s="1179"/>
      <c r="BW214" s="1179"/>
      <c r="BX214" s="1179"/>
      <c r="BY214" s="1179"/>
      <c r="BZ214" s="1179"/>
      <c r="CA214" s="1179"/>
      <c r="CB214" s="1179"/>
      <c r="CC214" s="1179"/>
      <c r="CD214" s="1179"/>
      <c r="CE214" s="1179"/>
      <c r="CF214" s="1179"/>
      <c r="CG214" s="1179"/>
      <c r="CH214" s="1179"/>
    </row>
    <row r="215" spans="1:86" hidden="1" outlineLevel="1" x14ac:dyDescent="0.2">
      <c r="A215" s="616" t="s">
        <v>1055</v>
      </c>
      <c r="B215" s="1180">
        <f>Divisional!B8</f>
        <v>1159</v>
      </c>
      <c r="C215" s="1180">
        <f>Divisional!C8</f>
        <v>1231</v>
      </c>
      <c r="D215" s="1180">
        <f>Divisional!D8</f>
        <v>1445</v>
      </c>
      <c r="E215" s="1180">
        <f>Divisional!E8</f>
        <v>1596</v>
      </c>
      <c r="F215" s="1180">
        <f>Divisional!F8</f>
        <v>1021</v>
      </c>
      <c r="G215" s="1180">
        <f>Divisional!G8</f>
        <v>1061</v>
      </c>
      <c r="H215" s="1180">
        <f>Divisional!H8+Divisional!H10</f>
        <v>2281</v>
      </c>
      <c r="I215" s="1180">
        <f>Divisional!I8+Divisional!I10</f>
        <v>2513</v>
      </c>
      <c r="J215" s="1180">
        <f>Divisional!J8+Divisional!J10</f>
        <v>2861</v>
      </c>
      <c r="K215" s="1180">
        <f>Divisional!K8+Divisional!K10</f>
        <v>2679</v>
      </c>
      <c r="L215" s="1180">
        <f>Divisional!L8+Divisional!L10</f>
        <v>2751</v>
      </c>
      <c r="M215" s="1181">
        <f>M214+M213+M212</f>
        <v>3144</v>
      </c>
      <c r="N215" s="1181">
        <f>N214+N213+N212</f>
        <v>1238</v>
      </c>
      <c r="O215" s="1181">
        <f>O214+O213+O212</f>
        <v>1345</v>
      </c>
      <c r="P215" s="1181">
        <f>P214+P213+P212</f>
        <v>1316</v>
      </c>
      <c r="Q215" s="1181">
        <f>Q214+Q213+Q212</f>
        <v>1386</v>
      </c>
      <c r="R215" s="1181"/>
      <c r="S215" s="1181">
        <f>S214+S213+S212</f>
        <v>0</v>
      </c>
      <c r="T215" s="1181">
        <f>T214+T213+T212</f>
        <v>0</v>
      </c>
      <c r="U215" s="1181">
        <f>U214+U213+U212</f>
        <v>0</v>
      </c>
      <c r="V215" s="1181">
        <f>V214+V213+V212</f>
        <v>0</v>
      </c>
      <c r="W215" s="1181"/>
      <c r="X215" s="1181"/>
      <c r="Y215" s="1181"/>
      <c r="Z215" s="1181"/>
      <c r="AA215" s="1181"/>
      <c r="AB215" s="1181"/>
      <c r="AC215" s="1181"/>
      <c r="AD215" s="1181">
        <f>AD214+AD213+AD212</f>
        <v>0</v>
      </c>
      <c r="AE215" s="1181"/>
      <c r="AF215" s="1181"/>
      <c r="AG215" s="1181"/>
      <c r="AH215" s="1181"/>
      <c r="AI215" s="1181"/>
      <c r="AJ215" s="1181"/>
      <c r="AK215" s="1181"/>
      <c r="AL215" s="1181">
        <f>AL214+AL213+AL212</f>
        <v>0</v>
      </c>
      <c r="AM215" s="1181"/>
      <c r="AN215" s="1181"/>
      <c r="AO215" s="1181"/>
      <c r="AP215" s="1181"/>
      <c r="AQ215" s="1181"/>
      <c r="AR215" s="1181"/>
      <c r="AS215" s="1181"/>
      <c r="AT215" s="1181">
        <f>AT214+AT213+AT212</f>
        <v>0</v>
      </c>
      <c r="AU215" s="1181"/>
      <c r="AV215" s="1181"/>
      <c r="AW215" s="1181"/>
      <c r="AX215" s="1181"/>
      <c r="AY215" s="1181"/>
      <c r="AZ215" s="1181"/>
      <c r="BA215" s="1181"/>
      <c r="BB215" s="1181">
        <f>BB214+BB213+BB212</f>
        <v>0</v>
      </c>
      <c r="BC215" s="1181"/>
      <c r="BD215" s="1181"/>
      <c r="BE215" s="1181"/>
      <c r="BF215" s="1181"/>
      <c r="BG215" s="1181"/>
      <c r="BH215" s="1181"/>
      <c r="BI215" s="1181"/>
      <c r="BJ215" s="1181">
        <f>BJ214+BJ213+BJ212</f>
        <v>0</v>
      </c>
      <c r="BK215" s="1181"/>
      <c r="BL215" s="1181"/>
      <c r="BM215" s="1181"/>
      <c r="BN215" s="1181"/>
      <c r="BO215" s="1181"/>
      <c r="BP215" s="1181"/>
      <c r="BQ215" s="1181"/>
      <c r="BR215" s="1181">
        <f>BR214+BR213+BR212</f>
        <v>0</v>
      </c>
      <c r="BS215" s="1181"/>
      <c r="BT215" s="1181"/>
      <c r="BU215" s="1181"/>
      <c r="BV215" s="1181"/>
      <c r="BW215" s="1181"/>
      <c r="BX215" s="1181"/>
      <c r="BY215" s="1181"/>
      <c r="BZ215" s="1181">
        <f>BZ214+BZ213+BZ212</f>
        <v>0</v>
      </c>
      <c r="CA215" s="1181"/>
      <c r="CB215" s="1181"/>
      <c r="CC215" s="1181"/>
      <c r="CD215" s="1181"/>
      <c r="CE215" s="1181"/>
      <c r="CF215" s="1181"/>
      <c r="CG215" s="1181"/>
      <c r="CH215" s="1181">
        <f>CH214+CH213+CH212</f>
        <v>0</v>
      </c>
    </row>
    <row r="216" spans="1:86" hidden="1" outlineLevel="1" x14ac:dyDescent="0.2">
      <c r="A216" s="197" t="s">
        <v>728</v>
      </c>
      <c r="B216" s="1182"/>
      <c r="C216" s="1182"/>
      <c r="D216" s="1182"/>
      <c r="E216" s="1182"/>
      <c r="F216" s="1183">
        <f t="shared" ref="F216:O216" si="70">F215/E215-1</f>
        <v>-0.36027568922305764</v>
      </c>
      <c r="G216" s="1183">
        <f t="shared" si="70"/>
        <v>3.9177277179236025E-2</v>
      </c>
      <c r="H216" s="1183">
        <f t="shared" si="70"/>
        <v>1.1498586239396795</v>
      </c>
      <c r="I216" s="1183">
        <f t="shared" si="70"/>
        <v>0.10170977641385348</v>
      </c>
      <c r="J216" s="1183">
        <f t="shared" si="70"/>
        <v>0.13847990449661762</v>
      </c>
      <c r="K216" s="1183">
        <f t="shared" si="70"/>
        <v>-6.3614120936735352E-2</v>
      </c>
      <c r="L216" s="1183">
        <f t="shared" si="70"/>
        <v>2.6875699888017968E-2</v>
      </c>
      <c r="M216" s="1184">
        <f t="shared" si="70"/>
        <v>0.14285714285714279</v>
      </c>
      <c r="N216" s="1184">
        <f t="shared" si="70"/>
        <v>-0.60623409669211203</v>
      </c>
      <c r="O216" s="1184">
        <f t="shared" si="70"/>
        <v>8.6429725363489585E-2</v>
      </c>
      <c r="P216" s="1184"/>
      <c r="Q216" s="1184">
        <f t="shared" ref="Q216:V216" si="71">Q215/P215-1</f>
        <v>5.3191489361702038E-2</v>
      </c>
      <c r="R216" s="1184"/>
      <c r="S216" s="1184">
        <f>S215/Q215-1</f>
        <v>-1</v>
      </c>
      <c r="T216" s="1184" t="e">
        <f t="shared" si="71"/>
        <v>#DIV/0!</v>
      </c>
      <c r="U216" s="1183" t="e">
        <f t="shared" si="71"/>
        <v>#DIV/0!</v>
      </c>
      <c r="V216" s="1183" t="e">
        <f t="shared" si="71"/>
        <v>#DIV/0!</v>
      </c>
      <c r="W216" s="1183"/>
      <c r="X216" s="1183"/>
      <c r="Y216" s="1183"/>
      <c r="Z216" s="1183"/>
      <c r="AA216" s="1183"/>
      <c r="AB216" s="1183"/>
      <c r="AC216" s="1183"/>
      <c r="AD216" s="1183" t="e">
        <f>AD215/V215-1</f>
        <v>#DIV/0!</v>
      </c>
      <c r="AE216" s="1183"/>
      <c r="AF216" s="1183"/>
      <c r="AG216" s="1183"/>
      <c r="AH216" s="1183"/>
      <c r="AI216" s="1183"/>
      <c r="AJ216" s="1183"/>
      <c r="AK216" s="1183"/>
      <c r="AL216" s="1183"/>
      <c r="AM216" s="1183"/>
      <c r="AN216" s="1183"/>
      <c r="AO216" s="1183"/>
      <c r="AP216" s="1183"/>
      <c r="AQ216" s="1183"/>
      <c r="AR216" s="1183"/>
      <c r="AS216" s="1183"/>
      <c r="AT216" s="1183"/>
      <c r="AU216" s="1183"/>
      <c r="AV216" s="1183"/>
      <c r="AW216" s="1183"/>
      <c r="AX216" s="1183"/>
      <c r="AY216" s="1183"/>
      <c r="AZ216" s="1183"/>
      <c r="BA216" s="1183"/>
      <c r="BB216" s="1183"/>
      <c r="BC216" s="1183"/>
      <c r="BD216" s="1183"/>
      <c r="BE216" s="1183"/>
      <c r="BF216" s="1183"/>
      <c r="BG216" s="1183"/>
      <c r="BH216" s="1183"/>
      <c r="BI216" s="1183"/>
      <c r="BJ216" s="1183"/>
      <c r="BK216" s="1183"/>
      <c r="BL216" s="1183"/>
      <c r="BM216" s="1183"/>
      <c r="BN216" s="1183"/>
      <c r="BO216" s="1183"/>
      <c r="BP216" s="1183"/>
      <c r="BQ216" s="1183"/>
      <c r="BR216" s="1183"/>
      <c r="BS216" s="1183"/>
      <c r="BT216" s="1183"/>
      <c r="BU216" s="1183"/>
      <c r="BV216" s="1183"/>
      <c r="BW216" s="1183"/>
      <c r="BX216" s="1183"/>
      <c r="BY216" s="1183"/>
      <c r="BZ216" s="1183"/>
      <c r="CA216" s="1183"/>
      <c r="CB216" s="1183"/>
      <c r="CC216" s="1183"/>
      <c r="CD216" s="1183"/>
      <c r="CE216" s="1183"/>
      <c r="CF216" s="1183"/>
      <c r="CG216" s="1183"/>
      <c r="CH216" s="1183"/>
    </row>
    <row r="217" spans="1:86" hidden="1" outlineLevel="1" x14ac:dyDescent="0.2">
      <c r="A217" s="616"/>
      <c r="B217" s="1182"/>
      <c r="C217" s="1182"/>
      <c r="D217" s="1182"/>
      <c r="E217" s="1182"/>
      <c r="F217" s="1182"/>
      <c r="G217" s="1182"/>
      <c r="H217" s="1181"/>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row>
    <row r="218" spans="1:86" hidden="1" outlineLevel="1" x14ac:dyDescent="0.2">
      <c r="A218" s="619" t="s">
        <v>1056</v>
      </c>
      <c r="B218" s="46"/>
      <c r="C218" s="1185"/>
      <c r="D218" s="1185"/>
      <c r="E218" s="1185"/>
      <c r="F218" s="1173">
        <v>40</v>
      </c>
      <c r="G218" s="1173">
        <v>9</v>
      </c>
      <c r="H218" s="1186">
        <v>55</v>
      </c>
      <c r="I218" s="1186">
        <v>58</v>
      </c>
      <c r="J218" s="1186">
        <v>79</v>
      </c>
      <c r="K218" s="1187">
        <v>84</v>
      </c>
      <c r="L218" s="1187">
        <v>71</v>
      </c>
      <c r="M218" s="1187">
        <v>64</v>
      </c>
      <c r="N218" s="1187">
        <f>Divisional!N42</f>
        <v>76</v>
      </c>
      <c r="O218" s="1187">
        <f>Divisional!O42</f>
        <v>95</v>
      </c>
      <c r="P218" s="1187">
        <f>Divisional!P42</f>
        <v>93</v>
      </c>
      <c r="Q218" s="1187">
        <f>Divisional!Q42</f>
        <v>118</v>
      </c>
      <c r="R218" s="1187"/>
      <c r="S218" s="1188">
        <f>S219*S212</f>
        <v>0</v>
      </c>
      <c r="T218" s="1188">
        <f>T219*T212</f>
        <v>0</v>
      </c>
      <c r="U218" s="1188">
        <f>U219*U212</f>
        <v>0</v>
      </c>
      <c r="V218" s="1188">
        <f>V219*V212</f>
        <v>0</v>
      </c>
      <c r="W218" s="1188"/>
      <c r="X218" s="1188"/>
      <c r="Y218" s="1188"/>
      <c r="Z218" s="1188"/>
      <c r="AA218" s="1188"/>
      <c r="AB218" s="1188"/>
      <c r="AC218" s="1188"/>
      <c r="AD218" s="1188">
        <f>AD219*AD212</f>
        <v>0</v>
      </c>
      <c r="AE218" s="1188"/>
      <c r="AF218" s="1188"/>
      <c r="AG218" s="1188"/>
      <c r="AH218" s="1188"/>
      <c r="AI218" s="1188"/>
      <c r="AJ218" s="1188"/>
      <c r="AK218" s="1188"/>
      <c r="AL218" s="1188">
        <f>AL219*AL212</f>
        <v>0</v>
      </c>
      <c r="AM218" s="1188"/>
      <c r="AN218" s="1188"/>
      <c r="AO218" s="1188"/>
      <c r="AP218" s="1188"/>
      <c r="AQ218" s="1188"/>
      <c r="AR218" s="1188"/>
      <c r="AS218" s="1188"/>
      <c r="AT218" s="1188">
        <f>AT219*AT212</f>
        <v>0</v>
      </c>
      <c r="AU218" s="1188"/>
      <c r="AV218" s="1188"/>
      <c r="AW218" s="1188"/>
      <c r="AX218" s="1188"/>
      <c r="AY218" s="1188"/>
      <c r="AZ218" s="1188"/>
      <c r="BA218" s="1188"/>
      <c r="BB218" s="1188">
        <f>BB219*BB212</f>
        <v>0</v>
      </c>
      <c r="BC218" s="1188"/>
      <c r="BD218" s="1188"/>
      <c r="BE218" s="1188"/>
      <c r="BF218" s="1188"/>
      <c r="BG218" s="1188"/>
      <c r="BH218" s="1188"/>
      <c r="BI218" s="1188"/>
      <c r="BJ218" s="1188">
        <f>BJ219*BJ212</f>
        <v>0</v>
      </c>
      <c r="BK218" s="1188"/>
      <c r="BL218" s="1188"/>
      <c r="BM218" s="1188"/>
      <c r="BN218" s="1188"/>
      <c r="BO218" s="1188"/>
      <c r="BP218" s="1188"/>
      <c r="BQ218" s="1188"/>
      <c r="BR218" s="1188">
        <f>BR219*BR212</f>
        <v>0</v>
      </c>
      <c r="BS218" s="1188"/>
      <c r="BT218" s="1188"/>
      <c r="BU218" s="1188"/>
      <c r="BV218" s="1188"/>
      <c r="BW218" s="1188"/>
      <c r="BX218" s="1188"/>
      <c r="BY218" s="1188"/>
      <c r="BZ218" s="1188">
        <f>BZ219*BZ212</f>
        <v>0</v>
      </c>
      <c r="CA218" s="1188"/>
      <c r="CB218" s="1188"/>
      <c r="CC218" s="1188"/>
      <c r="CD218" s="1188"/>
      <c r="CE218" s="1188"/>
      <c r="CF218" s="1188"/>
      <c r="CG218" s="1188"/>
      <c r="CH218" s="1188">
        <f>CH219*CH212</f>
        <v>0</v>
      </c>
    </row>
    <row r="219" spans="1:86" hidden="1" outlineLevel="1" x14ac:dyDescent="0.2">
      <c r="A219" s="621" t="s">
        <v>461</v>
      </c>
      <c r="B219" s="46"/>
      <c r="C219" s="1185"/>
      <c r="D219" s="1185"/>
      <c r="E219" s="1185"/>
      <c r="F219" s="1183">
        <f t="shared" ref="F219:Q219" si="72">F218/F212</f>
        <v>3.937007874015748E-2</v>
      </c>
      <c r="G219" s="1183">
        <f t="shared" si="72"/>
        <v>8.7890625E-3</v>
      </c>
      <c r="H219" s="1183">
        <f t="shared" si="72"/>
        <v>4.4788273615635178E-2</v>
      </c>
      <c r="I219" s="1183">
        <f t="shared" si="72"/>
        <v>4.588607594936709E-2</v>
      </c>
      <c r="J219" s="1183">
        <f t="shared" si="72"/>
        <v>6.0076045627376423E-2</v>
      </c>
      <c r="K219" s="1183">
        <f t="shared" si="72"/>
        <v>7.0175438596491224E-2</v>
      </c>
      <c r="L219" s="1183">
        <f t="shared" si="72"/>
        <v>5.8149058149058151E-2</v>
      </c>
      <c r="M219" s="1183">
        <f t="shared" si="72"/>
        <v>5.0552922590837282E-2</v>
      </c>
      <c r="N219" s="1183">
        <f t="shared" si="72"/>
        <v>6.1389337641357025E-2</v>
      </c>
      <c r="O219" s="1183">
        <f t="shared" si="72"/>
        <v>7.0631970260223054E-2</v>
      </c>
      <c r="P219" s="1183">
        <f t="shared" si="72"/>
        <v>7.0668693009118544E-2</v>
      </c>
      <c r="Q219" s="1183">
        <f t="shared" si="72"/>
        <v>8.5137085137085136E-2</v>
      </c>
      <c r="R219" s="1183"/>
      <c r="S219" s="1189">
        <v>0.09</v>
      </c>
      <c r="T219" s="1189">
        <v>0.1</v>
      </c>
      <c r="U219" s="1190">
        <f>T219</f>
        <v>0.1</v>
      </c>
      <c r="V219" s="1190">
        <f>U219</f>
        <v>0.1</v>
      </c>
      <c r="W219" s="1190"/>
      <c r="X219" s="1190"/>
      <c r="Y219" s="1190"/>
      <c r="Z219" s="1190"/>
      <c r="AA219" s="1190"/>
      <c r="AB219" s="1190"/>
      <c r="AC219" s="1190"/>
      <c r="AD219" s="1190">
        <f>V219</f>
        <v>0.1</v>
      </c>
      <c r="AE219" s="1190"/>
      <c r="AF219" s="1190"/>
      <c r="AG219" s="1190"/>
      <c r="AH219" s="1190"/>
      <c r="AI219" s="1190"/>
      <c r="AJ219" s="1190"/>
      <c r="AK219" s="1190"/>
      <c r="AL219" s="1190">
        <f>AD219</f>
        <v>0.1</v>
      </c>
      <c r="AM219" s="1190"/>
      <c r="AN219" s="1190"/>
      <c r="AO219" s="1190"/>
      <c r="AP219" s="1190"/>
      <c r="AQ219" s="1190"/>
      <c r="AR219" s="1190"/>
      <c r="AS219" s="1190"/>
      <c r="AT219" s="1190">
        <f>AL219</f>
        <v>0.1</v>
      </c>
      <c r="AU219" s="1190"/>
      <c r="AV219" s="1190"/>
      <c r="AW219" s="1190"/>
      <c r="AX219" s="1190"/>
      <c r="AY219" s="1190"/>
      <c r="AZ219" s="1190"/>
      <c r="BA219" s="1190"/>
      <c r="BB219" s="1190">
        <f>AT219</f>
        <v>0.1</v>
      </c>
      <c r="BC219" s="1190"/>
      <c r="BD219" s="1190"/>
      <c r="BE219" s="1190"/>
      <c r="BF219" s="1190"/>
      <c r="BG219" s="1190"/>
      <c r="BH219" s="1190"/>
      <c r="BI219" s="1190"/>
      <c r="BJ219" s="1190">
        <f>BB219</f>
        <v>0.1</v>
      </c>
      <c r="BK219" s="1190"/>
      <c r="BL219" s="1190"/>
      <c r="BM219" s="1190"/>
      <c r="BN219" s="1190"/>
      <c r="BO219" s="1190"/>
      <c r="BP219" s="1190"/>
      <c r="BQ219" s="1190"/>
      <c r="BR219" s="1190">
        <f>BJ219</f>
        <v>0.1</v>
      </c>
      <c r="BS219" s="1190"/>
      <c r="BT219" s="1190"/>
      <c r="BU219" s="1190"/>
      <c r="BV219" s="1190"/>
      <c r="BW219" s="1190"/>
      <c r="BX219" s="1190"/>
      <c r="BY219" s="1190"/>
      <c r="BZ219" s="1190">
        <f>BR219</f>
        <v>0.1</v>
      </c>
      <c r="CA219" s="1190"/>
      <c r="CB219" s="1190"/>
      <c r="CC219" s="1190"/>
      <c r="CD219" s="1190"/>
      <c r="CE219" s="1190"/>
      <c r="CF219" s="1190"/>
      <c r="CG219" s="1190"/>
      <c r="CH219" s="1190">
        <f>BZ219</f>
        <v>0.1</v>
      </c>
    </row>
    <row r="220" spans="1:86" hidden="1" outlineLevel="1" x14ac:dyDescent="0.2">
      <c r="A220" s="621"/>
      <c r="B220" s="46"/>
      <c r="C220" s="1185"/>
      <c r="D220" s="1185"/>
      <c r="E220" s="1185"/>
      <c r="F220" s="1183"/>
      <c r="G220" s="1183"/>
      <c r="H220" s="1183"/>
      <c r="I220" s="1183"/>
      <c r="J220" s="1183"/>
      <c r="K220" s="1191"/>
      <c r="L220" s="1191"/>
      <c r="M220" s="1192"/>
      <c r="N220" s="1192"/>
      <c r="O220" s="1192"/>
      <c r="P220" s="1192"/>
      <c r="Q220" s="1192"/>
      <c r="R220" s="1192"/>
      <c r="S220" s="1192"/>
      <c r="T220" s="1192"/>
      <c r="U220" s="1191"/>
      <c r="V220" s="1191"/>
      <c r="W220" s="1191"/>
      <c r="X220" s="1191"/>
      <c r="Y220" s="1191"/>
      <c r="Z220" s="1191"/>
      <c r="AA220" s="1191"/>
      <c r="AB220" s="1191"/>
      <c r="AC220" s="1191"/>
      <c r="AD220" s="1191"/>
      <c r="AE220" s="1191"/>
      <c r="AF220" s="1191"/>
      <c r="AG220" s="1191"/>
      <c r="AH220" s="1191"/>
      <c r="AI220" s="1191"/>
      <c r="AJ220" s="1191"/>
      <c r="AK220" s="1191"/>
      <c r="AL220" s="1191"/>
      <c r="AM220" s="1191"/>
      <c r="AN220" s="1191"/>
      <c r="AO220" s="1191"/>
      <c r="AP220" s="1191"/>
      <c r="AQ220" s="1191"/>
      <c r="AR220" s="1191"/>
      <c r="AS220" s="1191"/>
      <c r="AT220" s="1191"/>
      <c r="AU220" s="1191"/>
      <c r="AV220" s="1191"/>
      <c r="AW220" s="1191"/>
      <c r="AX220" s="1191"/>
      <c r="AY220" s="1191"/>
      <c r="AZ220" s="1191"/>
      <c r="BA220" s="1191"/>
      <c r="BB220" s="1191"/>
      <c r="BC220" s="1191"/>
      <c r="BD220" s="1191"/>
      <c r="BE220" s="1191"/>
      <c r="BF220" s="1191"/>
      <c r="BG220" s="1191"/>
      <c r="BH220" s="1191"/>
      <c r="BI220" s="1191"/>
      <c r="BJ220" s="1191"/>
      <c r="BK220" s="1191"/>
      <c r="BL220" s="1191"/>
      <c r="BM220" s="1191"/>
      <c r="BN220" s="1191"/>
      <c r="BO220" s="1191"/>
      <c r="BP220" s="1191"/>
      <c r="BQ220" s="1191"/>
      <c r="BR220" s="1191"/>
      <c r="BS220" s="1191"/>
      <c r="BT220" s="1191"/>
      <c r="BU220" s="1191"/>
      <c r="BV220" s="1191"/>
      <c r="BW220" s="1191"/>
      <c r="BX220" s="1191"/>
      <c r="BY220" s="1191"/>
      <c r="BZ220" s="1191"/>
      <c r="CA220" s="1191"/>
      <c r="CB220" s="1191"/>
      <c r="CC220" s="1191"/>
      <c r="CD220" s="1191"/>
      <c r="CE220" s="1191"/>
      <c r="CF220" s="1191"/>
      <c r="CG220" s="1191"/>
      <c r="CH220" s="1191"/>
    </row>
    <row r="221" spans="1:86" hidden="1" outlineLevel="1" x14ac:dyDescent="0.2">
      <c r="A221" s="619" t="s">
        <v>1057</v>
      </c>
      <c r="B221" s="46"/>
      <c r="C221" s="1193"/>
      <c r="D221" s="1193"/>
      <c r="E221" s="1193"/>
      <c r="F221" s="1173">
        <v>27</v>
      </c>
      <c r="G221" s="1173">
        <v>86</v>
      </c>
      <c r="H221" s="1186">
        <v>128</v>
      </c>
      <c r="I221" s="1186">
        <v>139</v>
      </c>
      <c r="J221" s="1186">
        <v>145</v>
      </c>
      <c r="K221" s="1187">
        <v>120</v>
      </c>
      <c r="L221" s="1187">
        <v>134</v>
      </c>
      <c r="M221" s="1187">
        <v>151</v>
      </c>
      <c r="N221" s="1188"/>
    </row>
    <row r="222" spans="1:86" hidden="1" outlineLevel="1" x14ac:dyDescent="0.2">
      <c r="A222" s="621" t="s">
        <v>461</v>
      </c>
      <c r="B222" s="46"/>
      <c r="C222" s="1193"/>
      <c r="D222" s="1193"/>
      <c r="E222" s="1193"/>
      <c r="F222" s="1184">
        <f t="shared" ref="F222:M222" si="73">F221/F213</f>
        <v>3.9705882352941174E-2</v>
      </c>
      <c r="G222" s="1184">
        <f t="shared" si="73"/>
        <v>9.6520763187429859E-2</v>
      </c>
      <c r="H222" s="1184">
        <f t="shared" si="73"/>
        <v>0.1245136186770428</v>
      </c>
      <c r="I222" s="1184">
        <f t="shared" si="73"/>
        <v>0.11128903122497999</v>
      </c>
      <c r="J222" s="1184">
        <f t="shared" si="73"/>
        <v>9.3790426908150065E-2</v>
      </c>
      <c r="K222" s="1184">
        <f t="shared" si="73"/>
        <v>8.0971659919028341E-2</v>
      </c>
      <c r="L222" s="1184">
        <f t="shared" si="73"/>
        <v>8.7581699346405223E-2</v>
      </c>
      <c r="M222" s="1184">
        <f t="shared" si="73"/>
        <v>8.0404685835995734E-2</v>
      </c>
      <c r="N222" s="1184"/>
    </row>
    <row r="223" spans="1:86" hidden="1" outlineLevel="1" x14ac:dyDescent="0.2">
      <c r="A223" s="621"/>
      <c r="B223" s="46"/>
      <c r="C223" s="1193"/>
      <c r="D223" s="1193"/>
      <c r="E223" s="1193"/>
      <c r="F223" s="1184"/>
      <c r="G223" s="1184"/>
      <c r="H223" s="1184"/>
      <c r="I223" s="1184"/>
      <c r="J223" s="1184"/>
      <c r="K223" s="1192"/>
      <c r="L223" s="1192"/>
      <c r="M223" s="1192"/>
      <c r="N223" s="1192"/>
      <c r="O223" s="1192"/>
      <c r="P223" s="1192"/>
      <c r="Q223" s="1192"/>
      <c r="R223" s="1192"/>
      <c r="S223" s="1192"/>
      <c r="T223" s="1192"/>
      <c r="U223" s="1192"/>
      <c r="V223" s="1192"/>
      <c r="W223" s="1192"/>
      <c r="X223" s="1192"/>
      <c r="Y223" s="1192"/>
      <c r="Z223" s="1192"/>
      <c r="AA223" s="1192"/>
      <c r="AB223" s="1192"/>
      <c r="AC223" s="1192"/>
      <c r="AD223" s="1192"/>
      <c r="AE223" s="1192"/>
      <c r="AF223" s="1192"/>
      <c r="AG223" s="1192"/>
      <c r="AH223" s="1192"/>
      <c r="AI223" s="1192"/>
      <c r="AJ223" s="1192"/>
      <c r="AK223" s="1192"/>
      <c r="AL223" s="1192"/>
      <c r="AM223" s="1192"/>
      <c r="AN223" s="1192"/>
      <c r="AO223" s="1192"/>
      <c r="AP223" s="1192"/>
      <c r="AQ223" s="1192"/>
      <c r="AR223" s="1192"/>
      <c r="AS223" s="1192"/>
      <c r="AT223" s="1192"/>
      <c r="AU223" s="1192"/>
      <c r="AV223" s="1192"/>
      <c r="AW223" s="1192"/>
      <c r="AX223" s="1192"/>
      <c r="AY223" s="1192"/>
      <c r="AZ223" s="1192"/>
      <c r="BA223" s="1192"/>
      <c r="BB223" s="1192"/>
      <c r="BC223" s="1192"/>
      <c r="BD223" s="1192"/>
      <c r="BE223" s="1192"/>
      <c r="BF223" s="1192"/>
      <c r="BG223" s="1192"/>
      <c r="BH223" s="1192"/>
      <c r="BI223" s="1192"/>
      <c r="BJ223" s="1192"/>
      <c r="BK223" s="1192"/>
      <c r="BL223" s="1192"/>
      <c r="BM223" s="1192"/>
      <c r="BN223" s="1192"/>
      <c r="BO223" s="1192"/>
      <c r="BP223" s="1192"/>
      <c r="BQ223" s="1192"/>
      <c r="BR223" s="1192"/>
      <c r="BS223" s="1192"/>
      <c r="BT223" s="1192"/>
      <c r="BU223" s="1192"/>
      <c r="BV223" s="1192"/>
      <c r="BW223" s="1192"/>
      <c r="BX223" s="1192"/>
      <c r="BY223" s="1192"/>
      <c r="BZ223" s="1192"/>
      <c r="CA223" s="1192"/>
      <c r="CB223" s="1192"/>
      <c r="CC223" s="1192"/>
      <c r="CD223" s="1192"/>
      <c r="CE223" s="1192"/>
      <c r="CF223" s="1192"/>
      <c r="CG223" s="1192"/>
      <c r="CH223" s="1192"/>
    </row>
    <row r="224" spans="1:86" hidden="1" outlineLevel="1" x14ac:dyDescent="0.2">
      <c r="A224" s="616" t="s">
        <v>1058</v>
      </c>
      <c r="B224" s="514">
        <f>Divisional!B42</f>
        <v>103</v>
      </c>
      <c r="C224" s="514">
        <f>Divisional!C42</f>
        <v>35</v>
      </c>
      <c r="D224" s="1194">
        <f>Divisional!D42</f>
        <v>-102</v>
      </c>
      <c r="E224" s="514">
        <f>Divisional!E42</f>
        <v>75</v>
      </c>
      <c r="F224" s="1195">
        <f t="shared" ref="F224:Q224" si="74">F218+F221</f>
        <v>67</v>
      </c>
      <c r="G224" s="1195">
        <f t="shared" si="74"/>
        <v>95</v>
      </c>
      <c r="H224" s="1195">
        <f t="shared" si="74"/>
        <v>183</v>
      </c>
      <c r="I224" s="1195">
        <f t="shared" si="74"/>
        <v>197</v>
      </c>
      <c r="J224" s="1195">
        <f t="shared" si="74"/>
        <v>224</v>
      </c>
      <c r="K224" s="1195">
        <f t="shared" si="74"/>
        <v>204</v>
      </c>
      <c r="L224" s="1195">
        <f t="shared" si="74"/>
        <v>205</v>
      </c>
      <c r="M224" s="1195">
        <f t="shared" si="74"/>
        <v>215</v>
      </c>
      <c r="N224" s="1195">
        <f t="shared" si="74"/>
        <v>76</v>
      </c>
      <c r="O224" s="1195">
        <f t="shared" si="74"/>
        <v>95</v>
      </c>
      <c r="P224" s="1195">
        <f t="shared" si="74"/>
        <v>93</v>
      </c>
      <c r="Q224" s="1195">
        <f t="shared" si="74"/>
        <v>118</v>
      </c>
      <c r="R224" s="1195"/>
      <c r="S224" s="1195">
        <f>S218+S221</f>
        <v>0</v>
      </c>
      <c r="T224" s="1195">
        <f>T218+T221</f>
        <v>0</v>
      </c>
      <c r="U224" s="1195">
        <f>U218+U221</f>
        <v>0</v>
      </c>
      <c r="V224" s="1195">
        <f>V218+V221</f>
        <v>0</v>
      </c>
      <c r="W224" s="1195"/>
      <c r="X224" s="1195"/>
      <c r="Y224" s="1195"/>
      <c r="Z224" s="1195"/>
      <c r="AA224" s="1195"/>
      <c r="AB224" s="1195"/>
      <c r="AC224" s="1195"/>
      <c r="AD224" s="1195">
        <f>AD218+AD221</f>
        <v>0</v>
      </c>
      <c r="AE224" s="1195"/>
      <c r="AF224" s="1195"/>
      <c r="AG224" s="1195"/>
      <c r="AH224" s="1195"/>
      <c r="AI224" s="1195"/>
      <c r="AJ224" s="1195"/>
      <c r="AK224" s="1195"/>
      <c r="AL224" s="1195">
        <f>AL218+AL221</f>
        <v>0</v>
      </c>
      <c r="AM224" s="1195"/>
      <c r="AN224" s="1195"/>
      <c r="AO224" s="1195"/>
      <c r="AP224" s="1195"/>
      <c r="AQ224" s="1195"/>
      <c r="AR224" s="1195"/>
      <c r="AS224" s="1195"/>
      <c r="AT224" s="1195">
        <f>AT218+AT221</f>
        <v>0</v>
      </c>
      <c r="AU224" s="1195"/>
      <c r="AV224" s="1195"/>
      <c r="AW224" s="1195"/>
      <c r="AX224" s="1195"/>
      <c r="AY224" s="1195"/>
      <c r="AZ224" s="1195"/>
      <c r="BA224" s="1195"/>
      <c r="BB224" s="1195">
        <f>BB218+BB221</f>
        <v>0</v>
      </c>
      <c r="BC224" s="1195"/>
      <c r="BD224" s="1195"/>
      <c r="BE224" s="1195"/>
      <c r="BF224" s="1195"/>
      <c r="BG224" s="1195"/>
      <c r="BH224" s="1195"/>
      <c r="BI224" s="1195"/>
      <c r="BJ224" s="1195">
        <f>BJ218+BJ221</f>
        <v>0</v>
      </c>
      <c r="BK224" s="1195"/>
      <c r="BL224" s="1195"/>
      <c r="BM224" s="1195"/>
      <c r="BN224" s="1195"/>
      <c r="BO224" s="1195"/>
      <c r="BP224" s="1195"/>
      <c r="BQ224" s="1195"/>
      <c r="BR224" s="1195">
        <f>BR218+BR221</f>
        <v>0</v>
      </c>
      <c r="BS224" s="1195"/>
      <c r="BT224" s="1195"/>
      <c r="BU224" s="1195"/>
      <c r="BV224" s="1195"/>
      <c r="BW224" s="1195"/>
      <c r="BX224" s="1195"/>
      <c r="BY224" s="1195"/>
      <c r="BZ224" s="1195">
        <f>BZ218+BZ221</f>
        <v>0</v>
      </c>
      <c r="CA224" s="1195"/>
      <c r="CB224" s="1195"/>
      <c r="CC224" s="1195"/>
      <c r="CD224" s="1195"/>
      <c r="CE224" s="1195"/>
      <c r="CF224" s="1195"/>
      <c r="CG224" s="1195"/>
      <c r="CH224" s="1195">
        <f>CH218+CH221</f>
        <v>0</v>
      </c>
    </row>
    <row r="225" spans="1:86" hidden="1" outlineLevel="1" x14ac:dyDescent="0.2">
      <c r="A225" s="621" t="s">
        <v>461</v>
      </c>
      <c r="B225" s="1183">
        <f t="shared" ref="B225:Q225" si="75">B224/B215</f>
        <v>8.8869715271786026E-2</v>
      </c>
      <c r="C225" s="1183">
        <f t="shared" si="75"/>
        <v>2.843216896831844E-2</v>
      </c>
      <c r="D225" s="1183">
        <f t="shared" si="75"/>
        <v>-7.0588235294117646E-2</v>
      </c>
      <c r="E225" s="1183">
        <f t="shared" si="75"/>
        <v>4.6992481203007516E-2</v>
      </c>
      <c r="F225" s="1183">
        <f t="shared" si="75"/>
        <v>6.5621939275220378E-2</v>
      </c>
      <c r="G225" s="1183">
        <f t="shared" si="75"/>
        <v>8.9538171536286529E-2</v>
      </c>
      <c r="H225" s="1183">
        <f t="shared" si="75"/>
        <v>8.0227970188513811E-2</v>
      </c>
      <c r="I225" s="1183">
        <f t="shared" si="75"/>
        <v>7.8392359729407085E-2</v>
      </c>
      <c r="J225" s="1183">
        <f t="shared" si="75"/>
        <v>7.8294302691366655E-2</v>
      </c>
      <c r="K225" s="1183">
        <f t="shared" si="75"/>
        <v>7.6147816349384098E-2</v>
      </c>
      <c r="L225" s="1183">
        <f t="shared" si="75"/>
        <v>7.4518356961105051E-2</v>
      </c>
      <c r="M225" s="1184">
        <f t="shared" si="75"/>
        <v>6.8384223918575057E-2</v>
      </c>
      <c r="N225" s="1184">
        <f t="shared" si="75"/>
        <v>6.1389337641357025E-2</v>
      </c>
      <c r="O225" s="1184">
        <f t="shared" si="75"/>
        <v>7.0631970260223054E-2</v>
      </c>
      <c r="P225" s="1184">
        <f t="shared" si="75"/>
        <v>7.0668693009118544E-2</v>
      </c>
      <c r="Q225" s="1184">
        <f t="shared" si="75"/>
        <v>8.5137085137085136E-2</v>
      </c>
      <c r="R225" s="1184"/>
      <c r="S225" s="1184" t="e">
        <f>S224/S215</f>
        <v>#DIV/0!</v>
      </c>
      <c r="T225" s="1184" t="e">
        <f>T224/T215</f>
        <v>#DIV/0!</v>
      </c>
      <c r="U225" s="1183" t="e">
        <f>U224/U215</f>
        <v>#DIV/0!</v>
      </c>
      <c r="V225" s="1183" t="e">
        <f>V224/V215</f>
        <v>#DIV/0!</v>
      </c>
      <c r="W225" s="1183"/>
      <c r="X225" s="1183"/>
      <c r="Y225" s="1183"/>
      <c r="Z225" s="1183"/>
      <c r="AA225" s="1183"/>
      <c r="AB225" s="1183"/>
      <c r="AC225" s="1183"/>
      <c r="AD225" s="1183" t="e">
        <f>AD224/AD215</f>
        <v>#DIV/0!</v>
      </c>
      <c r="AE225" s="1183"/>
      <c r="AF225" s="1183"/>
      <c r="AG225" s="1183"/>
      <c r="AH225" s="1183"/>
      <c r="AI225" s="1183"/>
      <c r="AJ225" s="1183"/>
      <c r="AK225" s="1183"/>
      <c r="AL225" s="1183"/>
      <c r="AM225" s="1183"/>
      <c r="AN225" s="1183"/>
      <c r="AO225" s="1183"/>
      <c r="AP225" s="1183"/>
      <c r="AQ225" s="1183"/>
      <c r="AR225" s="1183"/>
      <c r="AS225" s="1183"/>
      <c r="AT225" s="1183"/>
      <c r="AU225" s="1183"/>
      <c r="AV225" s="1183"/>
      <c r="AW225" s="1183"/>
      <c r="AX225" s="1183"/>
      <c r="AY225" s="1183"/>
      <c r="AZ225" s="1183"/>
      <c r="BA225" s="1183"/>
      <c r="BB225" s="1183"/>
      <c r="BC225" s="1183"/>
      <c r="BD225" s="1183"/>
      <c r="BE225" s="1183"/>
      <c r="BF225" s="1183"/>
      <c r="BG225" s="1183"/>
      <c r="BH225" s="1183"/>
      <c r="BI225" s="1183"/>
      <c r="BJ225" s="1183"/>
      <c r="BK225" s="1183"/>
      <c r="BL225" s="1183"/>
      <c r="BM225" s="1183"/>
      <c r="BN225" s="1183"/>
      <c r="BO225" s="1183"/>
      <c r="BP225" s="1183"/>
      <c r="BQ225" s="1183"/>
      <c r="BR225" s="1183"/>
      <c r="BS225" s="1183"/>
      <c r="BT225" s="1183"/>
      <c r="BU225" s="1183"/>
      <c r="BV225" s="1183"/>
      <c r="BW225" s="1183"/>
      <c r="BX225" s="1183"/>
      <c r="BY225" s="1183"/>
      <c r="BZ225" s="1183"/>
      <c r="CA225" s="1183"/>
      <c r="CB225" s="1183"/>
      <c r="CC225" s="1183"/>
      <c r="CD225" s="1183"/>
      <c r="CE225" s="1183"/>
      <c r="CF225" s="1183"/>
      <c r="CG225" s="1183"/>
      <c r="CH225" s="1183"/>
    </row>
    <row r="226" spans="1:86" hidden="1" outlineLevel="1" x14ac:dyDescent="0.2">
      <c r="A226" s="620"/>
      <c r="B226" s="46"/>
      <c r="C226" s="46"/>
      <c r="D226" s="46"/>
      <c r="E226" s="46"/>
      <c r="F226" s="46"/>
      <c r="G226" s="46"/>
      <c r="H226" s="46"/>
      <c r="I226" s="46"/>
      <c r="J226" s="46"/>
      <c r="K226" s="46"/>
      <c r="L226" s="46"/>
      <c r="M226" s="46"/>
      <c r="N226" s="46"/>
      <c r="O226" s="46"/>
      <c r="P226" s="46"/>
      <c r="Q226" s="46"/>
      <c r="R226" s="46"/>
      <c r="S226" s="46"/>
      <c r="T226" s="46"/>
      <c r="U226" s="46"/>
      <c r="V226" s="46"/>
      <c r="W226" s="46"/>
      <c r="X226" s="46"/>
      <c r="Y226" s="46"/>
      <c r="Z226" s="46"/>
      <c r="AA226" s="46"/>
      <c r="AB226" s="46"/>
      <c r="AC226" s="46"/>
      <c r="AD226" s="46"/>
      <c r="AE226" s="46"/>
      <c r="AF226" s="46"/>
      <c r="AG226" s="46"/>
      <c r="AH226" s="46"/>
      <c r="AI226" s="46"/>
      <c r="AJ226" s="46"/>
      <c r="AK226" s="46"/>
      <c r="AL226" s="46"/>
      <c r="AM226" s="46"/>
      <c r="AN226" s="46"/>
      <c r="AO226" s="46"/>
      <c r="AP226" s="46"/>
      <c r="AQ226" s="46"/>
      <c r="AR226" s="46"/>
      <c r="AS226" s="46"/>
      <c r="AT226" s="46"/>
      <c r="AU226" s="46"/>
      <c r="AV226" s="46"/>
      <c r="AW226" s="46"/>
      <c r="AX226" s="46"/>
      <c r="AY226" s="46"/>
      <c r="AZ226" s="46"/>
      <c r="BA226" s="46"/>
      <c r="BB226" s="46"/>
      <c r="BC226" s="46"/>
      <c r="BD226" s="46"/>
      <c r="BE226" s="46"/>
      <c r="BF226" s="46"/>
      <c r="BG226" s="46"/>
      <c r="BH226" s="46"/>
      <c r="BI226" s="46"/>
      <c r="BJ226" s="46"/>
      <c r="BK226" s="46"/>
      <c r="BL226" s="46"/>
      <c r="BM226" s="46"/>
      <c r="BN226" s="46"/>
      <c r="BO226" s="46"/>
      <c r="BP226" s="46"/>
      <c r="BQ226" s="46"/>
      <c r="BR226" s="46"/>
      <c r="BS226" s="46"/>
      <c r="BT226" s="46"/>
      <c r="BU226" s="46"/>
      <c r="BV226" s="46"/>
      <c r="BW226" s="46"/>
      <c r="BX226" s="46"/>
      <c r="BY226" s="46"/>
      <c r="BZ226" s="46"/>
      <c r="CA226" s="46"/>
      <c r="CB226" s="46"/>
      <c r="CC226" s="46"/>
      <c r="CD226" s="46"/>
      <c r="CE226" s="46"/>
      <c r="CF226" s="46"/>
      <c r="CG226" s="46"/>
      <c r="CH226" s="46"/>
    </row>
    <row r="227" spans="1:86" hidden="1" outlineLevel="1" x14ac:dyDescent="0.2">
      <c r="A227" s="619" t="s">
        <v>733</v>
      </c>
      <c r="B227" s="1155">
        <v>0</v>
      </c>
      <c r="C227" s="1155">
        <v>0</v>
      </c>
      <c r="D227" s="1155">
        <v>0</v>
      </c>
      <c r="E227" s="1155">
        <v>0</v>
      </c>
      <c r="F227" s="1196">
        <v>146</v>
      </c>
      <c r="G227" s="1179">
        <v>0</v>
      </c>
      <c r="H227" s="1155">
        <f>-4</f>
        <v>-4</v>
      </c>
      <c r="I227" s="1179">
        <v>0</v>
      </c>
      <c r="J227" s="1179">
        <v>0</v>
      </c>
      <c r="K227" s="1179">
        <v>0</v>
      </c>
      <c r="L227" s="1197">
        <f>3-25</f>
        <v>-22</v>
      </c>
      <c r="M227" s="1197">
        <f>-10-18</f>
        <v>-28</v>
      </c>
      <c r="N227" s="1197">
        <v>-7</v>
      </c>
      <c r="O227" s="1197">
        <v>-14</v>
      </c>
      <c r="P227" s="1197">
        <v>-14</v>
      </c>
      <c r="Q227" s="1179">
        <v>3</v>
      </c>
      <c r="R227" s="1179"/>
      <c r="S227" s="1179"/>
      <c r="T227" s="1179"/>
      <c r="U227" s="1179"/>
      <c r="V227" s="1179"/>
      <c r="W227" s="1179"/>
      <c r="X227" s="1179"/>
      <c r="Y227" s="1179"/>
      <c r="Z227" s="1179"/>
      <c r="AA227" s="1179"/>
      <c r="AB227" s="1179"/>
      <c r="AC227" s="1179"/>
      <c r="AD227" s="1179"/>
      <c r="AE227" s="1179"/>
      <c r="AF227" s="1179"/>
      <c r="AG227" s="1179"/>
      <c r="AH227" s="1179"/>
      <c r="AI227" s="1179"/>
      <c r="AJ227" s="1179"/>
      <c r="AK227" s="1179"/>
      <c r="AL227" s="1179"/>
      <c r="AM227" s="1179"/>
      <c r="AN227" s="1179"/>
      <c r="AO227" s="1179"/>
      <c r="AP227" s="1179"/>
      <c r="AQ227" s="1179"/>
      <c r="AR227" s="1179"/>
      <c r="AS227" s="1179"/>
      <c r="AT227" s="1179"/>
      <c r="AU227" s="1179"/>
      <c r="AV227" s="1179"/>
      <c r="AW227" s="1179"/>
      <c r="AX227" s="1179"/>
      <c r="AY227" s="1179"/>
      <c r="AZ227" s="1179"/>
      <c r="BA227" s="1179"/>
      <c r="BB227" s="1179"/>
      <c r="BC227" s="1179"/>
      <c r="BD227" s="1179"/>
      <c r="BE227" s="1179"/>
      <c r="BF227" s="1179"/>
      <c r="BG227" s="1179"/>
      <c r="BH227" s="1179"/>
      <c r="BI227" s="1179"/>
      <c r="BJ227" s="1179"/>
      <c r="BK227" s="1179"/>
      <c r="BL227" s="1179"/>
      <c r="BM227" s="1179"/>
      <c r="BN227" s="1179"/>
      <c r="BO227" s="1179"/>
      <c r="BP227" s="1179"/>
      <c r="BQ227" s="1179"/>
      <c r="BR227" s="1179"/>
      <c r="BS227" s="1179"/>
      <c r="BT227" s="1179"/>
      <c r="BU227" s="1179"/>
      <c r="BV227" s="1179"/>
      <c r="BW227" s="1179"/>
      <c r="BX227" s="1179"/>
      <c r="BY227" s="1179"/>
      <c r="BZ227" s="1179"/>
      <c r="CA227" s="1179"/>
      <c r="CB227" s="1179"/>
      <c r="CC227" s="1179"/>
      <c r="CD227" s="1179"/>
      <c r="CE227" s="1179"/>
      <c r="CF227" s="1179"/>
      <c r="CG227" s="1179"/>
      <c r="CH227" s="1179"/>
    </row>
    <row r="228" spans="1:86" hidden="1" outlineLevel="1" x14ac:dyDescent="0.2">
      <c r="A228" s="619" t="s">
        <v>734</v>
      </c>
      <c r="B228" s="1198">
        <f t="shared" ref="B228:Q228" si="76">B227+B224</f>
        <v>103</v>
      </c>
      <c r="C228" s="46">
        <f t="shared" si="76"/>
        <v>35</v>
      </c>
      <c r="D228" s="1199">
        <f t="shared" si="76"/>
        <v>-102</v>
      </c>
      <c r="E228" s="46">
        <f t="shared" si="76"/>
        <v>75</v>
      </c>
      <c r="F228" s="46">
        <f t="shared" si="76"/>
        <v>213</v>
      </c>
      <c r="G228" s="46">
        <f t="shared" si="76"/>
        <v>95</v>
      </c>
      <c r="H228" s="1188">
        <f t="shared" si="76"/>
        <v>179</v>
      </c>
      <c r="I228" s="1188">
        <f t="shared" si="76"/>
        <v>197</v>
      </c>
      <c r="J228" s="1188">
        <f t="shared" si="76"/>
        <v>224</v>
      </c>
      <c r="K228" s="1188">
        <f t="shared" si="76"/>
        <v>204</v>
      </c>
      <c r="L228" s="1188">
        <f t="shared" si="76"/>
        <v>183</v>
      </c>
      <c r="M228" s="1188">
        <f t="shared" si="76"/>
        <v>187</v>
      </c>
      <c r="N228" s="1188">
        <f t="shared" si="76"/>
        <v>69</v>
      </c>
      <c r="O228" s="1188">
        <f t="shared" si="76"/>
        <v>81</v>
      </c>
      <c r="P228" s="1188">
        <f t="shared" si="76"/>
        <v>79</v>
      </c>
      <c r="Q228" s="1188">
        <f t="shared" si="76"/>
        <v>121</v>
      </c>
      <c r="R228" s="1188"/>
      <c r="S228" s="1188">
        <f>S227+S224</f>
        <v>0</v>
      </c>
      <c r="T228" s="1188">
        <f>T227+T224</f>
        <v>0</v>
      </c>
      <c r="U228" s="1188">
        <f>U227+U224</f>
        <v>0</v>
      </c>
      <c r="V228" s="1188">
        <f>V227+V224</f>
        <v>0</v>
      </c>
      <c r="W228" s="1188"/>
      <c r="X228" s="1188"/>
      <c r="Y228" s="1188"/>
      <c r="Z228" s="1188"/>
      <c r="AA228" s="1188"/>
      <c r="AB228" s="1188"/>
      <c r="AC228" s="1188"/>
      <c r="AD228" s="1188">
        <f>AD227+AD224</f>
        <v>0</v>
      </c>
      <c r="AE228" s="1188"/>
      <c r="AF228" s="1188"/>
      <c r="AG228" s="1188"/>
      <c r="AH228" s="1188"/>
      <c r="AI228" s="1188"/>
      <c r="AJ228" s="1188"/>
      <c r="AK228" s="1188"/>
      <c r="AL228" s="1188">
        <f>AL227+AL224</f>
        <v>0</v>
      </c>
      <c r="AM228" s="1188"/>
      <c r="AN228" s="1188"/>
      <c r="AO228" s="1188"/>
      <c r="AP228" s="1188"/>
      <c r="AQ228" s="1188"/>
      <c r="AR228" s="1188"/>
      <c r="AS228" s="1188"/>
      <c r="AT228" s="1188">
        <f>AT227+AT224</f>
        <v>0</v>
      </c>
      <c r="AU228" s="1188"/>
      <c r="AV228" s="1188"/>
      <c r="AW228" s="1188"/>
      <c r="AX228" s="1188"/>
      <c r="AY228" s="1188"/>
      <c r="AZ228" s="1188"/>
      <c r="BA228" s="1188"/>
      <c r="BB228" s="1188">
        <f>BB227+BB224</f>
        <v>0</v>
      </c>
      <c r="BC228" s="1188"/>
      <c r="BD228" s="1188"/>
      <c r="BE228" s="1188"/>
      <c r="BF228" s="1188"/>
      <c r="BG228" s="1188"/>
      <c r="BH228" s="1188"/>
      <c r="BI228" s="1188"/>
      <c r="BJ228" s="1188">
        <f>BJ227+BJ224</f>
        <v>0</v>
      </c>
      <c r="BK228" s="1188"/>
      <c r="BL228" s="1188"/>
      <c r="BM228" s="1188"/>
      <c r="BN228" s="1188"/>
      <c r="BO228" s="1188"/>
      <c r="BP228" s="1188"/>
      <c r="BQ228" s="1188"/>
      <c r="BR228" s="1188">
        <f>BR227+BR224</f>
        <v>0</v>
      </c>
      <c r="BS228" s="1188"/>
      <c r="BT228" s="1188"/>
      <c r="BU228" s="1188"/>
      <c r="BV228" s="1188"/>
      <c r="BW228" s="1188"/>
      <c r="BX228" s="1188"/>
      <c r="BY228" s="1188"/>
      <c r="BZ228" s="1188">
        <f>BZ227+BZ224</f>
        <v>0</v>
      </c>
      <c r="CA228" s="1188"/>
      <c r="CB228" s="1188"/>
      <c r="CC228" s="1188"/>
      <c r="CD228" s="1188"/>
      <c r="CE228" s="1188"/>
      <c r="CF228" s="1188"/>
      <c r="CG228" s="1188"/>
      <c r="CH228" s="1188">
        <f>CH227+CH224</f>
        <v>0</v>
      </c>
    </row>
    <row r="229" spans="1:86" hidden="1" outlineLevel="1" x14ac:dyDescent="0.2">
      <c r="A229" s="619"/>
      <c r="B229" s="46"/>
      <c r="C229" s="46"/>
      <c r="D229" s="46"/>
      <c r="E229" s="46"/>
      <c r="F229" s="46"/>
      <c r="G229" s="46"/>
      <c r="H229" s="46"/>
      <c r="I229" s="46"/>
      <c r="J229" s="46"/>
      <c r="K229" s="46"/>
      <c r="L229" s="46"/>
      <c r="M229" s="46"/>
      <c r="N229" s="46"/>
      <c r="O229" s="46"/>
      <c r="P229" s="46"/>
      <c r="Q229" s="46"/>
      <c r="R229" s="46"/>
      <c r="S229" s="46"/>
      <c r="T229" s="46"/>
      <c r="U229" s="46"/>
      <c r="V229" s="46"/>
      <c r="W229" s="46"/>
      <c r="X229" s="46"/>
      <c r="Y229" s="46"/>
      <c r="Z229" s="46"/>
      <c r="AA229" s="46"/>
      <c r="AB229" s="46"/>
      <c r="AC229" s="46"/>
      <c r="AD229" s="46"/>
      <c r="AE229" s="46"/>
      <c r="AF229" s="46"/>
      <c r="AG229" s="46"/>
      <c r="AH229" s="46"/>
      <c r="AI229" s="46"/>
      <c r="AJ229" s="46"/>
      <c r="AK229" s="46"/>
      <c r="AL229" s="46"/>
      <c r="AM229" s="46"/>
      <c r="AN229" s="46"/>
      <c r="AO229" s="46"/>
      <c r="AP229" s="46"/>
      <c r="AQ229" s="46"/>
      <c r="AR229" s="46"/>
      <c r="AS229" s="46"/>
      <c r="AT229" s="46"/>
      <c r="AU229" s="46"/>
      <c r="AV229" s="46"/>
      <c r="AW229" s="46"/>
      <c r="AX229" s="46"/>
      <c r="AY229" s="46"/>
      <c r="AZ229" s="46"/>
      <c r="BA229" s="46"/>
      <c r="BB229" s="46"/>
      <c r="BC229" s="46"/>
      <c r="BD229" s="46"/>
      <c r="BE229" s="46"/>
      <c r="BF229" s="46"/>
      <c r="BG229" s="46"/>
      <c r="BH229" s="46"/>
      <c r="BI229" s="46"/>
      <c r="BJ229" s="46"/>
      <c r="BK229" s="46"/>
      <c r="BL229" s="46"/>
      <c r="BM229" s="46"/>
      <c r="BN229" s="46"/>
      <c r="BO229" s="46"/>
      <c r="BP229" s="46"/>
      <c r="BQ229" s="46"/>
      <c r="BR229" s="46"/>
      <c r="BS229" s="46"/>
      <c r="BT229" s="46"/>
      <c r="BU229" s="46"/>
      <c r="BV229" s="46"/>
      <c r="BW229" s="46"/>
      <c r="BX229" s="46"/>
      <c r="BY229" s="46"/>
      <c r="BZ229" s="46"/>
      <c r="CA229" s="46"/>
      <c r="CB229" s="46"/>
      <c r="CC229" s="46"/>
      <c r="CD229" s="46"/>
      <c r="CE229" s="46"/>
      <c r="CF229" s="46"/>
      <c r="CG229" s="46"/>
      <c r="CH229" s="46"/>
    </row>
    <row r="230" spans="1:86" hidden="1" outlineLevel="1" x14ac:dyDescent="0.2">
      <c r="A230" s="619"/>
      <c r="B230" s="46"/>
      <c r="C230" s="46"/>
      <c r="D230" s="46"/>
      <c r="E230" s="46"/>
      <c r="F230" s="46"/>
      <c r="G230" s="46"/>
      <c r="H230" s="46"/>
      <c r="I230" s="46"/>
      <c r="J230" s="46"/>
      <c r="K230" s="46"/>
      <c r="L230" s="46"/>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row>
    <row r="231" spans="1:86" hidden="1" outlineLevel="1" x14ac:dyDescent="0.2">
      <c r="A231" s="616" t="s">
        <v>388</v>
      </c>
      <c r="B231" s="1200">
        <f>Divisional!B111</f>
        <v>0</v>
      </c>
      <c r="C231" s="514">
        <f>Divisional!C111</f>
        <v>54</v>
      </c>
      <c r="D231" s="514">
        <f>Divisional!D111</f>
        <v>70</v>
      </c>
      <c r="E231" s="514">
        <f>Divisional!E111</f>
        <v>73</v>
      </c>
      <c r="F231" s="514">
        <f>Divisional!F111</f>
        <v>40</v>
      </c>
      <c r="G231" s="514">
        <f>Divisional!G111</f>
        <v>63</v>
      </c>
      <c r="H231" s="637">
        <f>Divisional!H111</f>
        <v>72</v>
      </c>
      <c r="I231" s="637">
        <f>Divisional!I111</f>
        <v>66</v>
      </c>
      <c r="J231" s="637">
        <f>Divisional!J111</f>
        <v>125</v>
      </c>
      <c r="K231" s="637">
        <f>Divisional!K111</f>
        <v>82</v>
      </c>
      <c r="L231" s="637">
        <f>Divisional!L111</f>
        <v>108</v>
      </c>
      <c r="M231" s="637">
        <f>Divisional!M111</f>
        <v>138</v>
      </c>
      <c r="N231" s="637">
        <f>Divisional!N111</f>
        <v>46</v>
      </c>
      <c r="O231" s="637">
        <f>Divisional!O111</f>
        <v>63</v>
      </c>
      <c r="P231" s="637">
        <f>Divisional!P111</f>
        <v>78</v>
      </c>
      <c r="Q231" s="637">
        <f>Divisional!Q111</f>
        <v>71</v>
      </c>
      <c r="R231" s="637"/>
      <c r="S231" s="451">
        <f>S215*S232</f>
        <v>0</v>
      </c>
      <c r="T231" s="451">
        <f>T215*T232</f>
        <v>0</v>
      </c>
      <c r="U231" s="451">
        <f>U215*U232</f>
        <v>0</v>
      </c>
      <c r="V231" s="451">
        <f>V215*V232</f>
        <v>0</v>
      </c>
      <c r="W231" s="451"/>
      <c r="X231" s="451"/>
      <c r="Y231" s="451"/>
      <c r="Z231" s="451"/>
      <c r="AA231" s="451"/>
      <c r="AB231" s="451"/>
      <c r="AC231" s="451"/>
      <c r="AD231" s="451">
        <f>AD215*AD232</f>
        <v>0</v>
      </c>
      <c r="AE231" s="451"/>
      <c r="AF231" s="451"/>
      <c r="AG231" s="451"/>
      <c r="AH231" s="451"/>
      <c r="AI231" s="451"/>
      <c r="AJ231" s="451"/>
      <c r="AK231" s="451"/>
      <c r="AL231" s="451">
        <f>AL215*AL232</f>
        <v>0</v>
      </c>
      <c r="AM231" s="451"/>
      <c r="AN231" s="451"/>
      <c r="AO231" s="451"/>
      <c r="AP231" s="451"/>
      <c r="AQ231" s="451"/>
      <c r="AR231" s="451"/>
      <c r="AS231" s="451"/>
      <c r="AT231" s="451">
        <f>AT215*AT232</f>
        <v>0</v>
      </c>
      <c r="AU231" s="451"/>
      <c r="AV231" s="451"/>
      <c r="AW231" s="451"/>
      <c r="AX231" s="451"/>
      <c r="AY231" s="451"/>
      <c r="AZ231" s="451"/>
      <c r="BA231" s="451"/>
      <c r="BB231" s="451">
        <f>BB215*BB232</f>
        <v>0</v>
      </c>
      <c r="BC231" s="451"/>
      <c r="BD231" s="451"/>
      <c r="BE231" s="451"/>
      <c r="BF231" s="451"/>
      <c r="BG231" s="451"/>
      <c r="BH231" s="451"/>
      <c r="BI231" s="451"/>
      <c r="BJ231" s="451">
        <f>BJ215*BJ232</f>
        <v>0</v>
      </c>
      <c r="BK231" s="451"/>
      <c r="BL231" s="451"/>
      <c r="BM231" s="451"/>
      <c r="BN231" s="451"/>
      <c r="BO231" s="451"/>
      <c r="BP231" s="451"/>
      <c r="BQ231" s="451"/>
      <c r="BR231" s="451">
        <f>BR215*BR232</f>
        <v>0</v>
      </c>
      <c r="BS231" s="451"/>
      <c r="BT231" s="451"/>
      <c r="BU231" s="451"/>
      <c r="BV231" s="451"/>
      <c r="BW231" s="451"/>
      <c r="BX231" s="451"/>
      <c r="BY231" s="451"/>
      <c r="BZ231" s="451">
        <f>BZ215*BZ232</f>
        <v>0</v>
      </c>
      <c r="CA231" s="451"/>
      <c r="CB231" s="451"/>
      <c r="CC231" s="451"/>
      <c r="CD231" s="451"/>
      <c r="CE231" s="451"/>
      <c r="CF231" s="451"/>
      <c r="CG231" s="451"/>
      <c r="CH231" s="451">
        <f>CH215*CH232</f>
        <v>0</v>
      </c>
    </row>
    <row r="232" spans="1:86" hidden="1" outlineLevel="1" x14ac:dyDescent="0.2">
      <c r="A232" s="619" t="s">
        <v>1017</v>
      </c>
      <c r="B232" s="1201"/>
      <c r="C232" s="1201">
        <f t="shared" ref="C232:Q232" si="77">C231/C215</f>
        <v>4.3866774979691305E-2</v>
      </c>
      <c r="D232" s="1201">
        <f t="shared" si="77"/>
        <v>4.8442906574394463E-2</v>
      </c>
      <c r="E232" s="1201">
        <f t="shared" si="77"/>
        <v>4.5739348370927316E-2</v>
      </c>
      <c r="F232" s="1201">
        <f t="shared" si="77"/>
        <v>3.9177277179236046E-2</v>
      </c>
      <c r="G232" s="1201">
        <f t="shared" si="77"/>
        <v>5.937794533459001E-2</v>
      </c>
      <c r="H232" s="1201">
        <f t="shared" si="77"/>
        <v>3.1565103024989043E-2</v>
      </c>
      <c r="I232" s="1201">
        <f t="shared" si="77"/>
        <v>2.6263430163151611E-2</v>
      </c>
      <c r="J232" s="1201">
        <f t="shared" si="77"/>
        <v>4.3691017126878715E-2</v>
      </c>
      <c r="K232" s="1201">
        <f t="shared" si="77"/>
        <v>3.060843598357596E-2</v>
      </c>
      <c r="L232" s="1201">
        <f t="shared" si="77"/>
        <v>3.9258451472191931E-2</v>
      </c>
      <c r="M232" s="1201">
        <f t="shared" si="77"/>
        <v>4.3893129770992363E-2</v>
      </c>
      <c r="N232" s="1201">
        <f t="shared" si="77"/>
        <v>3.7156704361873988E-2</v>
      </c>
      <c r="O232" s="1201">
        <f t="shared" si="77"/>
        <v>4.6840148698884761E-2</v>
      </c>
      <c r="P232" s="1201">
        <f t="shared" si="77"/>
        <v>5.9270516717325229E-2</v>
      </c>
      <c r="Q232" s="1201">
        <f t="shared" si="77"/>
        <v>5.1226551226551224E-2</v>
      </c>
      <c r="R232" s="1201"/>
      <c r="S232" s="1202">
        <f>Q232</f>
        <v>5.1226551226551224E-2</v>
      </c>
      <c r="T232" s="1202">
        <f>S232</f>
        <v>5.1226551226551224E-2</v>
      </c>
      <c r="U232" s="1202">
        <f>T232</f>
        <v>5.1226551226551224E-2</v>
      </c>
      <c r="V232" s="1202">
        <f>U232</f>
        <v>5.1226551226551224E-2</v>
      </c>
      <c r="W232" s="1202"/>
      <c r="X232" s="1202"/>
      <c r="Y232" s="1202"/>
      <c r="Z232" s="1202"/>
      <c r="AA232" s="1202"/>
      <c r="AB232" s="1202"/>
      <c r="AC232" s="1202"/>
      <c r="AD232" s="1202">
        <f>V232</f>
        <v>5.1226551226551224E-2</v>
      </c>
      <c r="AE232" s="1202"/>
      <c r="AF232" s="1202"/>
      <c r="AG232" s="1202"/>
      <c r="AH232" s="1202"/>
      <c r="AI232" s="1202"/>
      <c r="AJ232" s="1202"/>
      <c r="AK232" s="1202"/>
      <c r="AL232" s="1202">
        <f>AD232</f>
        <v>5.1226551226551224E-2</v>
      </c>
      <c r="AM232" s="1202"/>
      <c r="AN232" s="1202"/>
      <c r="AO232" s="1202"/>
      <c r="AP232" s="1202"/>
      <c r="AQ232" s="1202"/>
      <c r="AR232" s="1202"/>
      <c r="AS232" s="1202"/>
      <c r="AT232" s="1202">
        <f>AL232</f>
        <v>5.1226551226551224E-2</v>
      </c>
      <c r="AU232" s="1202"/>
      <c r="AV232" s="1202"/>
      <c r="AW232" s="1202"/>
      <c r="AX232" s="1202"/>
      <c r="AY232" s="1202"/>
      <c r="AZ232" s="1202"/>
      <c r="BA232" s="1202"/>
      <c r="BB232" s="1202">
        <f>AT232</f>
        <v>5.1226551226551224E-2</v>
      </c>
      <c r="BC232" s="1202"/>
      <c r="BD232" s="1202"/>
      <c r="BE232" s="1202"/>
      <c r="BF232" s="1202"/>
      <c r="BG232" s="1202"/>
      <c r="BH232" s="1202"/>
      <c r="BI232" s="1202"/>
      <c r="BJ232" s="1202">
        <f>BB232</f>
        <v>5.1226551226551224E-2</v>
      </c>
      <c r="BK232" s="1202"/>
      <c r="BL232" s="1202"/>
      <c r="BM232" s="1202"/>
      <c r="BN232" s="1202"/>
      <c r="BO232" s="1202"/>
      <c r="BP232" s="1202"/>
      <c r="BQ232" s="1202"/>
      <c r="BR232" s="1202">
        <f>BJ232</f>
        <v>5.1226551226551224E-2</v>
      </c>
      <c r="BS232" s="1202"/>
      <c r="BT232" s="1202"/>
      <c r="BU232" s="1202"/>
      <c r="BV232" s="1202"/>
      <c r="BW232" s="1202"/>
      <c r="BX232" s="1202"/>
      <c r="BY232" s="1202"/>
      <c r="BZ232" s="1202">
        <f>BR232</f>
        <v>5.1226551226551224E-2</v>
      </c>
      <c r="CA232" s="1202"/>
      <c r="CB232" s="1202"/>
      <c r="CC232" s="1202"/>
      <c r="CD232" s="1202"/>
      <c r="CE232" s="1202"/>
      <c r="CF232" s="1202"/>
      <c r="CG232" s="1202"/>
      <c r="CH232" s="1202">
        <f>BZ232</f>
        <v>5.1226551226551224E-2</v>
      </c>
    </row>
    <row r="233" spans="1:86" hidden="1" outlineLevel="1" x14ac:dyDescent="0.2">
      <c r="A233" s="620"/>
      <c r="B233" s="46"/>
      <c r="C233" s="46"/>
      <c r="D233" s="46"/>
      <c r="E233" s="46"/>
      <c r="F233" s="46"/>
      <c r="G233" s="46"/>
      <c r="H233" s="46"/>
      <c r="I233" s="46"/>
      <c r="J233" s="46"/>
      <c r="K233" s="46"/>
      <c r="L233" s="46"/>
      <c r="M233" s="46"/>
      <c r="N233" s="46"/>
      <c r="O233" s="46"/>
      <c r="P233" s="46"/>
      <c r="Q233" s="46"/>
      <c r="R233" s="46"/>
      <c r="S233" s="46"/>
      <c r="T233" s="46"/>
      <c r="U233" s="46"/>
      <c r="V233" s="46"/>
      <c r="W233" s="46"/>
      <c r="X233" s="46"/>
      <c r="Y233" s="46"/>
      <c r="Z233" s="46"/>
      <c r="AA233" s="46"/>
      <c r="AB233" s="46"/>
      <c r="AC233" s="46"/>
      <c r="AD233" s="46"/>
      <c r="AE233" s="46"/>
      <c r="AF233" s="46"/>
      <c r="AG233" s="46"/>
      <c r="AH233" s="46"/>
      <c r="AI233" s="46"/>
      <c r="AJ233" s="46"/>
      <c r="AK233" s="46"/>
      <c r="AL233" s="46"/>
      <c r="AM233" s="46"/>
      <c r="AN233" s="46"/>
      <c r="AO233" s="46"/>
      <c r="AP233" s="46"/>
      <c r="AQ233" s="46"/>
      <c r="AR233" s="46"/>
      <c r="AS233" s="46"/>
      <c r="AT233" s="46"/>
      <c r="AU233" s="46"/>
      <c r="AV233" s="46"/>
      <c r="AW233" s="46"/>
      <c r="AX233" s="46"/>
      <c r="AY233" s="46"/>
      <c r="AZ233" s="46"/>
      <c r="BA233" s="46"/>
      <c r="BB233" s="46"/>
      <c r="BC233" s="46"/>
      <c r="BD233" s="46"/>
      <c r="BE233" s="46"/>
      <c r="BF233" s="46"/>
      <c r="BG233" s="46"/>
      <c r="BH233" s="46"/>
      <c r="BI233" s="46"/>
      <c r="BJ233" s="46"/>
      <c r="BK233" s="46"/>
      <c r="BL233" s="46"/>
      <c r="BM233" s="46"/>
      <c r="BN233" s="46"/>
      <c r="BO233" s="46"/>
      <c r="BP233" s="46"/>
      <c r="BQ233" s="46"/>
      <c r="BR233" s="46"/>
      <c r="BS233" s="46"/>
      <c r="BT233" s="46"/>
      <c r="BU233" s="46"/>
      <c r="BV233" s="46"/>
      <c r="BW233" s="46"/>
      <c r="BX233" s="46"/>
      <c r="BY233" s="46"/>
      <c r="BZ233" s="46"/>
      <c r="CA233" s="46"/>
      <c r="CB233" s="46"/>
      <c r="CC233" s="46"/>
      <c r="CD233" s="46"/>
      <c r="CE233" s="46"/>
      <c r="CF233" s="46"/>
      <c r="CG233" s="46"/>
      <c r="CH233" s="46"/>
    </row>
    <row r="234" spans="1:86" hidden="1" outlineLevel="1" x14ac:dyDescent="0.2">
      <c r="A234" s="616" t="s">
        <v>502</v>
      </c>
      <c r="B234" s="1172">
        <f t="shared" ref="B234:Q234" si="78">B224+B231</f>
        <v>103</v>
      </c>
      <c r="C234" s="1172">
        <f t="shared" si="78"/>
        <v>89</v>
      </c>
      <c r="D234" s="1203">
        <f t="shared" si="78"/>
        <v>-32</v>
      </c>
      <c r="E234" s="1172">
        <f t="shared" si="78"/>
        <v>148</v>
      </c>
      <c r="F234" s="1172">
        <f t="shared" si="78"/>
        <v>107</v>
      </c>
      <c r="G234" s="1172">
        <f t="shared" si="78"/>
        <v>158</v>
      </c>
      <c r="H234" s="1204">
        <f t="shared" si="78"/>
        <v>255</v>
      </c>
      <c r="I234" s="1204">
        <f t="shared" si="78"/>
        <v>263</v>
      </c>
      <c r="J234" s="1204">
        <f t="shared" si="78"/>
        <v>349</v>
      </c>
      <c r="K234" s="1204">
        <f t="shared" si="78"/>
        <v>286</v>
      </c>
      <c r="L234" s="1204">
        <f t="shared" si="78"/>
        <v>313</v>
      </c>
      <c r="M234" s="1204">
        <f t="shared" si="78"/>
        <v>353</v>
      </c>
      <c r="N234" s="1204">
        <f t="shared" si="78"/>
        <v>122</v>
      </c>
      <c r="O234" s="1204">
        <f t="shared" si="78"/>
        <v>158</v>
      </c>
      <c r="P234" s="1204">
        <f t="shared" si="78"/>
        <v>171</v>
      </c>
      <c r="Q234" s="1204">
        <f t="shared" si="78"/>
        <v>189</v>
      </c>
      <c r="R234" s="1204"/>
      <c r="S234" s="1204">
        <f>S224+S231</f>
        <v>0</v>
      </c>
      <c r="T234" s="1204">
        <f>T224+T231</f>
        <v>0</v>
      </c>
      <c r="U234" s="1204">
        <f>U224+U231</f>
        <v>0</v>
      </c>
      <c r="V234" s="1204">
        <f>V224+V231</f>
        <v>0</v>
      </c>
      <c r="W234" s="1204"/>
      <c r="X234" s="1204"/>
      <c r="Y234" s="1204"/>
      <c r="Z234" s="1204"/>
      <c r="AA234" s="1204"/>
      <c r="AB234" s="1204"/>
      <c r="AC234" s="1204"/>
      <c r="AD234" s="1204">
        <f>AD224+AD231</f>
        <v>0</v>
      </c>
      <c r="AE234" s="1204"/>
      <c r="AF234" s="1204"/>
      <c r="AG234" s="1204"/>
      <c r="AH234" s="1204"/>
      <c r="AI234" s="1204"/>
      <c r="AJ234" s="1204"/>
      <c r="AK234" s="1204"/>
      <c r="AL234" s="1204">
        <f>AL224+AL231</f>
        <v>0</v>
      </c>
      <c r="AM234" s="1204"/>
      <c r="AN234" s="1204"/>
      <c r="AO234" s="1204"/>
      <c r="AP234" s="1204"/>
      <c r="AQ234" s="1204"/>
      <c r="AR234" s="1204"/>
      <c r="AS234" s="1204"/>
      <c r="AT234" s="1204">
        <f>AT224+AT231</f>
        <v>0</v>
      </c>
      <c r="AU234" s="1204"/>
      <c r="AV234" s="1204"/>
      <c r="AW234" s="1204"/>
      <c r="AX234" s="1204"/>
      <c r="AY234" s="1204"/>
      <c r="AZ234" s="1204"/>
      <c r="BA234" s="1204"/>
      <c r="BB234" s="1204">
        <f>BB224+BB231</f>
        <v>0</v>
      </c>
      <c r="BC234" s="1204"/>
      <c r="BD234" s="1204"/>
      <c r="BE234" s="1204"/>
      <c r="BF234" s="1204"/>
      <c r="BG234" s="1204"/>
      <c r="BH234" s="1204"/>
      <c r="BI234" s="1204"/>
      <c r="BJ234" s="1204">
        <f>BJ224+BJ231</f>
        <v>0</v>
      </c>
      <c r="BK234" s="1204"/>
      <c r="BL234" s="1204"/>
      <c r="BM234" s="1204"/>
      <c r="BN234" s="1204"/>
      <c r="BO234" s="1204"/>
      <c r="BP234" s="1204"/>
      <c r="BQ234" s="1204"/>
      <c r="BR234" s="1204">
        <f>BR224+BR231</f>
        <v>0</v>
      </c>
      <c r="BS234" s="1204"/>
      <c r="BT234" s="1204"/>
      <c r="BU234" s="1204"/>
      <c r="BV234" s="1204"/>
      <c r="BW234" s="1204"/>
      <c r="BX234" s="1204"/>
      <c r="BY234" s="1204"/>
      <c r="BZ234" s="1204">
        <f>BZ224+BZ231</f>
        <v>0</v>
      </c>
      <c r="CA234" s="1204"/>
      <c r="CB234" s="1204"/>
      <c r="CC234" s="1204"/>
      <c r="CD234" s="1204"/>
      <c r="CE234" s="1204"/>
      <c r="CF234" s="1204"/>
      <c r="CG234" s="1204"/>
      <c r="CH234" s="1204">
        <f>CH224+CH231</f>
        <v>0</v>
      </c>
    </row>
    <row r="235" spans="1:86" hidden="1" outlineLevel="1" x14ac:dyDescent="0.2">
      <c r="A235" s="621" t="s">
        <v>461</v>
      </c>
      <c r="B235" s="1183">
        <f t="shared" ref="B235:Q235" si="79">B234/B215</f>
        <v>8.8869715271786026E-2</v>
      </c>
      <c r="C235" s="1183">
        <f t="shared" si="79"/>
        <v>7.2298943948009745E-2</v>
      </c>
      <c r="D235" s="1183">
        <f t="shared" si="79"/>
        <v>-2.2145328719723183E-2</v>
      </c>
      <c r="E235" s="1183">
        <f t="shared" si="79"/>
        <v>9.2731829573934832E-2</v>
      </c>
      <c r="F235" s="1183">
        <f t="shared" si="79"/>
        <v>0.10479921645445642</v>
      </c>
      <c r="G235" s="1183">
        <f t="shared" si="79"/>
        <v>0.14891611687087652</v>
      </c>
      <c r="H235" s="1183">
        <f t="shared" si="79"/>
        <v>0.11179307321350285</v>
      </c>
      <c r="I235" s="1183">
        <f t="shared" si="79"/>
        <v>0.10465578989255869</v>
      </c>
      <c r="J235" s="1183">
        <f t="shared" si="79"/>
        <v>0.12198531981824537</v>
      </c>
      <c r="K235" s="1183">
        <f t="shared" si="79"/>
        <v>0.10675625233296006</v>
      </c>
      <c r="L235" s="1183">
        <f t="shared" si="79"/>
        <v>0.11377680843329699</v>
      </c>
      <c r="M235" s="1184">
        <f t="shared" si="79"/>
        <v>0.11227735368956743</v>
      </c>
      <c r="N235" s="1184">
        <f t="shared" si="79"/>
        <v>9.8546042003231013E-2</v>
      </c>
      <c r="O235" s="1184">
        <f t="shared" si="79"/>
        <v>0.11747211895910781</v>
      </c>
      <c r="P235" s="1184">
        <f t="shared" si="79"/>
        <v>0.12993920972644377</v>
      </c>
      <c r="Q235" s="1184">
        <f t="shared" si="79"/>
        <v>0.13636363636363635</v>
      </c>
      <c r="R235" s="1184"/>
      <c r="S235" s="1184" t="e">
        <f>S234/S215</f>
        <v>#DIV/0!</v>
      </c>
      <c r="T235" s="1184" t="e">
        <f>T234/T215</f>
        <v>#DIV/0!</v>
      </c>
      <c r="U235" s="1183" t="e">
        <f>U234/U215</f>
        <v>#DIV/0!</v>
      </c>
      <c r="V235" s="1183" t="e">
        <f>V234/V215</f>
        <v>#DIV/0!</v>
      </c>
      <c r="W235" s="1183"/>
      <c r="X235" s="1183"/>
      <c r="Y235" s="1183"/>
      <c r="Z235" s="1183"/>
      <c r="AA235" s="1183"/>
      <c r="AB235" s="1183"/>
      <c r="AC235" s="1183"/>
      <c r="AD235" s="1183" t="e">
        <f>AD234/AD215</f>
        <v>#DIV/0!</v>
      </c>
      <c r="AE235" s="1183"/>
      <c r="AF235" s="1183"/>
      <c r="AG235" s="1183"/>
      <c r="AH235" s="1183"/>
      <c r="AI235" s="1183"/>
      <c r="AJ235" s="1183"/>
      <c r="AK235" s="1183"/>
      <c r="AL235" s="1183"/>
      <c r="AM235" s="1183"/>
      <c r="AN235" s="1183"/>
      <c r="AO235" s="1183"/>
      <c r="AP235" s="1183"/>
      <c r="AQ235" s="1183"/>
      <c r="AR235" s="1183"/>
      <c r="AS235" s="1183"/>
      <c r="AT235" s="1183"/>
      <c r="AU235" s="1183"/>
      <c r="AV235" s="1183"/>
      <c r="AW235" s="1183"/>
      <c r="AX235" s="1183"/>
      <c r="AY235" s="1183"/>
      <c r="AZ235" s="1183"/>
      <c r="BA235" s="1183"/>
      <c r="BB235" s="1183"/>
      <c r="BC235" s="1183"/>
      <c r="BD235" s="1183"/>
      <c r="BE235" s="1183"/>
      <c r="BF235" s="1183"/>
      <c r="BG235" s="1183"/>
      <c r="BH235" s="1183"/>
      <c r="BI235" s="1183"/>
      <c r="BJ235" s="1183"/>
      <c r="BK235" s="1183"/>
      <c r="BL235" s="1183"/>
      <c r="BM235" s="1183"/>
      <c r="BN235" s="1183"/>
      <c r="BO235" s="1183"/>
      <c r="BP235" s="1183"/>
      <c r="BQ235" s="1183"/>
      <c r="BR235" s="1183"/>
      <c r="BS235" s="1183"/>
      <c r="BT235" s="1183"/>
      <c r="BU235" s="1183"/>
      <c r="BV235" s="1183"/>
      <c r="BW235" s="1183"/>
      <c r="BX235" s="1183"/>
      <c r="BY235" s="1183"/>
      <c r="BZ235" s="1183"/>
      <c r="CA235" s="1183"/>
      <c r="CB235" s="1183"/>
      <c r="CC235" s="1183"/>
      <c r="CD235" s="1183"/>
      <c r="CE235" s="1183"/>
      <c r="CF235" s="1183"/>
      <c r="CG235" s="1183"/>
      <c r="CH235" s="1183"/>
    </row>
    <row r="236" spans="1:86" hidden="1" outlineLevel="1" x14ac:dyDescent="0.2">
      <c r="A236" s="619"/>
      <c r="B236" s="1205"/>
      <c r="C236" s="1205"/>
      <c r="D236" s="1205"/>
      <c r="E236" s="1205"/>
      <c r="F236" s="1205"/>
      <c r="G236" s="1205"/>
      <c r="H236" s="46"/>
      <c r="I236" s="46"/>
      <c r="J236" s="46"/>
      <c r="K236" s="46"/>
      <c r="L236" s="46"/>
      <c r="M236" s="46"/>
      <c r="N236" s="46"/>
      <c r="O236" s="46"/>
      <c r="P236" s="46"/>
      <c r="Q236" s="46"/>
      <c r="R236" s="46"/>
      <c r="S236" s="46"/>
      <c r="T236" s="46"/>
      <c r="U236" s="46"/>
      <c r="V236" s="46"/>
      <c r="W236" s="46"/>
      <c r="X236" s="46"/>
      <c r="Y236" s="46"/>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c r="AV236" s="46"/>
      <c r="AW236" s="46"/>
      <c r="AX236" s="46"/>
      <c r="AY236" s="46"/>
      <c r="AZ236" s="46"/>
      <c r="BA236" s="46"/>
      <c r="BB236" s="46"/>
      <c r="BC236" s="46"/>
      <c r="BD236" s="46"/>
      <c r="BE236" s="46"/>
      <c r="BF236" s="46"/>
      <c r="BG236" s="46"/>
      <c r="BH236" s="46"/>
      <c r="BI236" s="46"/>
      <c r="BJ236" s="46"/>
      <c r="BK236" s="46"/>
      <c r="BL236" s="46"/>
      <c r="BM236" s="46"/>
      <c r="BN236" s="46"/>
      <c r="BO236" s="46"/>
      <c r="BP236" s="46"/>
      <c r="BQ236" s="46"/>
      <c r="BR236" s="46"/>
      <c r="BS236" s="46"/>
      <c r="BT236" s="46"/>
      <c r="BU236" s="46"/>
      <c r="BV236" s="46"/>
      <c r="BW236" s="46"/>
      <c r="BX236" s="46"/>
      <c r="BY236" s="46"/>
      <c r="BZ236" s="46"/>
      <c r="CA236" s="46"/>
      <c r="CB236" s="46"/>
      <c r="CC236" s="46"/>
      <c r="CD236" s="46"/>
      <c r="CE236" s="46"/>
      <c r="CF236" s="46"/>
      <c r="CG236" s="46"/>
      <c r="CH236" s="46"/>
    </row>
    <row r="237" spans="1:86" hidden="1" outlineLevel="1" x14ac:dyDescent="0.2">
      <c r="A237" s="616" t="s">
        <v>736</v>
      </c>
      <c r="B237" s="514">
        <f>Divisional!B100</f>
        <v>60</v>
      </c>
      <c r="C237" s="514">
        <f>Divisional!C100</f>
        <v>38</v>
      </c>
      <c r="D237" s="514">
        <f>Divisional!D100</f>
        <v>63</v>
      </c>
      <c r="E237" s="514">
        <f>Divisional!E100</f>
        <v>57</v>
      </c>
      <c r="F237" s="514">
        <f>Divisional!F100</f>
        <v>69</v>
      </c>
      <c r="G237" s="514">
        <f>Divisional!G100</f>
        <v>53</v>
      </c>
      <c r="H237" s="637">
        <f>Divisional!H100</f>
        <v>95</v>
      </c>
      <c r="I237" s="637">
        <f>Divisional!I100</f>
        <v>100</v>
      </c>
      <c r="J237" s="637">
        <f>Divisional!J100</f>
        <v>93</v>
      </c>
      <c r="K237" s="637">
        <f>Divisional!K100</f>
        <v>74</v>
      </c>
      <c r="L237" s="637">
        <f>Divisional!L100</f>
        <v>105</v>
      </c>
      <c r="M237" s="637">
        <f>Divisional!M100</f>
        <v>123</v>
      </c>
      <c r="N237" s="637">
        <f>Divisional!N100</f>
        <v>60</v>
      </c>
      <c r="O237" s="637">
        <f>Divisional!O100</f>
        <v>57</v>
      </c>
      <c r="P237" s="1206">
        <f>O237</f>
        <v>57</v>
      </c>
      <c r="Q237" s="637">
        <f>Divisional!Q100</f>
        <v>65</v>
      </c>
      <c r="R237" s="637"/>
      <c r="S237" s="451">
        <f>S238*S215</f>
        <v>0</v>
      </c>
      <c r="T237" s="451">
        <f>T238*T215</f>
        <v>0</v>
      </c>
      <c r="U237" s="451">
        <f>U238*U215</f>
        <v>0</v>
      </c>
      <c r="V237" s="451">
        <f>V238*V215</f>
        <v>0</v>
      </c>
      <c r="W237" s="451"/>
      <c r="X237" s="451"/>
      <c r="Y237" s="451"/>
      <c r="Z237" s="451"/>
      <c r="AA237" s="451"/>
      <c r="AB237" s="451"/>
      <c r="AC237" s="451"/>
      <c r="AD237" s="451">
        <f>AD238*AD215</f>
        <v>0</v>
      </c>
      <c r="AE237" s="451"/>
      <c r="AF237" s="451"/>
      <c r="AG237" s="451"/>
      <c r="AH237" s="451"/>
      <c r="AI237" s="451"/>
      <c r="AJ237" s="451"/>
      <c r="AK237" s="451"/>
      <c r="AL237" s="451">
        <f>AL238*AL215</f>
        <v>0</v>
      </c>
      <c r="AM237" s="451"/>
      <c r="AN237" s="451"/>
      <c r="AO237" s="451"/>
      <c r="AP237" s="451"/>
      <c r="AQ237" s="451"/>
      <c r="AR237" s="451"/>
      <c r="AS237" s="451"/>
      <c r="AT237" s="451">
        <f>AT238*AT215</f>
        <v>0</v>
      </c>
      <c r="AU237" s="451"/>
      <c r="AV237" s="451"/>
      <c r="AW237" s="451"/>
      <c r="AX237" s="451"/>
      <c r="AY237" s="451"/>
      <c r="AZ237" s="451"/>
      <c r="BA237" s="451"/>
      <c r="BB237" s="451">
        <f>BB238*BB215</f>
        <v>0</v>
      </c>
      <c r="BC237" s="451"/>
      <c r="BD237" s="451"/>
      <c r="BE237" s="451"/>
      <c r="BF237" s="451"/>
      <c r="BG237" s="451"/>
      <c r="BH237" s="451"/>
      <c r="BI237" s="451"/>
      <c r="BJ237" s="451">
        <f>BJ238*BJ215</f>
        <v>0</v>
      </c>
      <c r="BK237" s="451"/>
      <c r="BL237" s="451"/>
      <c r="BM237" s="451"/>
      <c r="BN237" s="451"/>
      <c r="BO237" s="451"/>
      <c r="BP237" s="451"/>
      <c r="BQ237" s="451"/>
      <c r="BR237" s="451">
        <f>BR238*BR215</f>
        <v>0</v>
      </c>
      <c r="BS237" s="451"/>
      <c r="BT237" s="451"/>
      <c r="BU237" s="451"/>
      <c r="BV237" s="451"/>
      <c r="BW237" s="451"/>
      <c r="BX237" s="451"/>
      <c r="BY237" s="451"/>
      <c r="BZ237" s="451">
        <f>BZ238*BZ215</f>
        <v>0</v>
      </c>
      <c r="CA237" s="451"/>
      <c r="CB237" s="451"/>
      <c r="CC237" s="451"/>
      <c r="CD237" s="451"/>
      <c r="CE237" s="451"/>
      <c r="CF237" s="451"/>
      <c r="CG237" s="451"/>
      <c r="CH237" s="451">
        <f>CH238*CH215</f>
        <v>0</v>
      </c>
    </row>
    <row r="238" spans="1:86" hidden="1" outlineLevel="1" x14ac:dyDescent="0.2">
      <c r="A238" s="619" t="s">
        <v>1018</v>
      </c>
      <c r="B238" s="1207">
        <f t="shared" ref="B238:Q238" si="80">B237/B215</f>
        <v>5.1768766177739428E-2</v>
      </c>
      <c r="C238" s="1207">
        <f t="shared" si="80"/>
        <v>3.0869212022745736E-2</v>
      </c>
      <c r="D238" s="1207">
        <f t="shared" si="80"/>
        <v>4.3598615916955019E-2</v>
      </c>
      <c r="E238" s="1207">
        <f t="shared" si="80"/>
        <v>3.5714285714285712E-2</v>
      </c>
      <c r="F238" s="1207">
        <f t="shared" si="80"/>
        <v>6.7580803134182174E-2</v>
      </c>
      <c r="G238" s="1207">
        <f t="shared" si="80"/>
        <v>4.9952874646559849E-2</v>
      </c>
      <c r="H238" s="1207">
        <f t="shared" si="80"/>
        <v>4.1648399824638319E-2</v>
      </c>
      <c r="I238" s="1207">
        <f t="shared" si="80"/>
        <v>3.979307600477517E-2</v>
      </c>
      <c r="J238" s="1207">
        <f t="shared" si="80"/>
        <v>3.2506116742397763E-2</v>
      </c>
      <c r="K238" s="1207">
        <f t="shared" si="80"/>
        <v>2.7622247107129527E-2</v>
      </c>
      <c r="L238" s="1207">
        <f t="shared" si="80"/>
        <v>3.8167938931297711E-2</v>
      </c>
      <c r="M238" s="1207">
        <f t="shared" si="80"/>
        <v>3.9122137404580155E-2</v>
      </c>
      <c r="N238" s="1207">
        <f t="shared" si="80"/>
        <v>4.8465266558966075E-2</v>
      </c>
      <c r="O238" s="1207">
        <f t="shared" si="80"/>
        <v>4.2379182156133829E-2</v>
      </c>
      <c r="P238" s="1207">
        <f t="shared" si="80"/>
        <v>4.3313069908814589E-2</v>
      </c>
      <c r="Q238" s="1207">
        <f t="shared" si="80"/>
        <v>4.6897546897546896E-2</v>
      </c>
      <c r="R238" s="1207"/>
      <c r="S238" s="1208">
        <f>Q238</f>
        <v>4.6897546897546896E-2</v>
      </c>
      <c r="T238" s="1208">
        <f>S238</f>
        <v>4.6897546897546896E-2</v>
      </c>
      <c r="U238" s="1208">
        <f>T238</f>
        <v>4.6897546897546896E-2</v>
      </c>
      <c r="V238" s="1208">
        <f>U238</f>
        <v>4.6897546897546896E-2</v>
      </c>
      <c r="W238" s="1208"/>
      <c r="X238" s="1208"/>
      <c r="Y238" s="1208"/>
      <c r="Z238" s="1208"/>
      <c r="AA238" s="1208"/>
      <c r="AB238" s="1208"/>
      <c r="AC238" s="1208"/>
      <c r="AD238" s="1208">
        <f>V238</f>
        <v>4.6897546897546896E-2</v>
      </c>
      <c r="AE238" s="1208"/>
      <c r="AF238" s="1208"/>
      <c r="AG238" s="1208"/>
      <c r="AH238" s="1208"/>
      <c r="AI238" s="1208"/>
      <c r="AJ238" s="1208"/>
      <c r="AK238" s="1208"/>
      <c r="AL238" s="1208">
        <f>AD238</f>
        <v>4.6897546897546896E-2</v>
      </c>
      <c r="AM238" s="1208"/>
      <c r="AN238" s="1208"/>
      <c r="AO238" s="1208"/>
      <c r="AP238" s="1208"/>
      <c r="AQ238" s="1208"/>
      <c r="AR238" s="1208"/>
      <c r="AS238" s="1208"/>
      <c r="AT238" s="1208">
        <f>AL238</f>
        <v>4.6897546897546896E-2</v>
      </c>
      <c r="AU238" s="1208"/>
      <c r="AV238" s="1208"/>
      <c r="AW238" s="1208"/>
      <c r="AX238" s="1208"/>
      <c r="AY238" s="1208"/>
      <c r="AZ238" s="1208"/>
      <c r="BA238" s="1208"/>
      <c r="BB238" s="1208">
        <f>AT238</f>
        <v>4.6897546897546896E-2</v>
      </c>
      <c r="BC238" s="1208"/>
      <c r="BD238" s="1208"/>
      <c r="BE238" s="1208"/>
      <c r="BF238" s="1208"/>
      <c r="BG238" s="1208"/>
      <c r="BH238" s="1208"/>
      <c r="BI238" s="1208"/>
      <c r="BJ238" s="1208">
        <f>BB238</f>
        <v>4.6897546897546896E-2</v>
      </c>
      <c r="BK238" s="1208"/>
      <c r="BL238" s="1208"/>
      <c r="BM238" s="1208"/>
      <c r="BN238" s="1208"/>
      <c r="BO238" s="1208"/>
      <c r="BP238" s="1208"/>
      <c r="BQ238" s="1208"/>
      <c r="BR238" s="1208">
        <f>BJ238</f>
        <v>4.6897546897546896E-2</v>
      </c>
      <c r="BS238" s="1208"/>
      <c r="BT238" s="1208"/>
      <c r="BU238" s="1208"/>
      <c r="BV238" s="1208"/>
      <c r="BW238" s="1208"/>
      <c r="BX238" s="1208"/>
      <c r="BY238" s="1208"/>
      <c r="BZ238" s="1208">
        <f>BR238</f>
        <v>4.6897546897546896E-2</v>
      </c>
      <c r="CA238" s="1208"/>
      <c r="CB238" s="1208"/>
      <c r="CC238" s="1208"/>
      <c r="CD238" s="1208"/>
      <c r="CE238" s="1208"/>
      <c r="CF238" s="1208"/>
      <c r="CG238" s="1208"/>
      <c r="CH238" s="1208">
        <f>BZ238</f>
        <v>4.6897546897546896E-2</v>
      </c>
    </row>
    <row r="239" spans="1:86" hidden="1" outlineLevel="1" x14ac:dyDescent="0.2">
      <c r="A239" s="619"/>
      <c r="B239" s="1205"/>
      <c r="C239" s="1205"/>
      <c r="D239" s="1205"/>
      <c r="E239" s="1205"/>
      <c r="F239" s="1205"/>
      <c r="G239" s="1205"/>
      <c r="H239" s="46"/>
      <c r="I239" s="46"/>
      <c r="J239" s="46"/>
      <c r="K239" s="46"/>
      <c r="L239" s="46"/>
      <c r="M239" s="46"/>
      <c r="N239" s="46"/>
      <c r="O239" s="46"/>
      <c r="P239" s="46"/>
      <c r="Q239" s="46"/>
      <c r="R239" s="46"/>
      <c r="S239" s="46"/>
      <c r="T239" s="46"/>
      <c r="U239" s="46"/>
      <c r="V239" s="46"/>
      <c r="W239" s="46"/>
      <c r="X239" s="46"/>
      <c r="Y239" s="46"/>
      <c r="Z239" s="46"/>
      <c r="AA239" s="46"/>
      <c r="AB239" s="46"/>
      <c r="AC239" s="46"/>
      <c r="AD239" s="46"/>
      <c r="AE239" s="46"/>
      <c r="AF239" s="46"/>
      <c r="AG239" s="46"/>
      <c r="AH239" s="46"/>
      <c r="AI239" s="46"/>
      <c r="AJ239" s="46"/>
      <c r="AK239" s="46"/>
      <c r="AL239" s="46"/>
      <c r="AM239" s="46"/>
      <c r="AN239" s="46"/>
      <c r="AO239" s="46"/>
      <c r="AP239" s="46"/>
      <c r="AQ239" s="46"/>
      <c r="AR239" s="46"/>
      <c r="AS239" s="46"/>
      <c r="AT239" s="46"/>
      <c r="AU239" s="46"/>
      <c r="AV239" s="46"/>
      <c r="AW239" s="46"/>
      <c r="AX239" s="46"/>
      <c r="AY239" s="46"/>
      <c r="AZ239" s="46"/>
      <c r="BA239" s="46"/>
      <c r="BB239" s="46"/>
      <c r="BC239" s="46"/>
      <c r="BD239" s="46"/>
      <c r="BE239" s="46"/>
      <c r="BF239" s="46"/>
      <c r="BG239" s="46"/>
      <c r="BH239" s="46"/>
      <c r="BI239" s="46"/>
      <c r="BJ239" s="46"/>
      <c r="BK239" s="46"/>
      <c r="BL239" s="46"/>
      <c r="BM239" s="46"/>
      <c r="BN239" s="46"/>
      <c r="BO239" s="46"/>
      <c r="BP239" s="46"/>
      <c r="BQ239" s="46"/>
      <c r="BR239" s="46"/>
      <c r="BS239" s="46"/>
      <c r="BT239" s="46"/>
      <c r="BU239" s="46"/>
      <c r="BV239" s="46"/>
      <c r="BW239" s="46"/>
      <c r="BX239" s="46"/>
      <c r="BY239" s="46"/>
      <c r="BZ239" s="46"/>
      <c r="CA239" s="46"/>
      <c r="CB239" s="46"/>
      <c r="CC239" s="46"/>
      <c r="CD239" s="46"/>
      <c r="CE239" s="46"/>
      <c r="CF239" s="46"/>
      <c r="CG239" s="46"/>
      <c r="CH239" s="46"/>
    </row>
    <row r="240" spans="1:86" hidden="1" outlineLevel="1" x14ac:dyDescent="0.2">
      <c r="A240" s="619" t="s">
        <v>1059</v>
      </c>
      <c r="B240" s="1205"/>
      <c r="C240" s="1205"/>
      <c r="D240" s="1205"/>
      <c r="E240" s="1205"/>
      <c r="F240" s="1205"/>
      <c r="G240" s="1205"/>
      <c r="H240" s="46"/>
      <c r="I240" s="46"/>
      <c r="J240" s="46"/>
      <c r="K240" s="46">
        <f>Divisional!K128</f>
        <v>126</v>
      </c>
      <c r="L240" s="46">
        <f>Divisional!L128</f>
        <v>17</v>
      </c>
      <c r="M240" s="46">
        <f>Divisional!M128</f>
        <v>0</v>
      </c>
      <c r="N240" s="46">
        <f>Divisional!N128</f>
        <v>17</v>
      </c>
      <c r="O240" s="46">
        <f>Divisional!O128</f>
        <v>105</v>
      </c>
      <c r="P240" s="46">
        <f>Divisional!P128</f>
        <v>105</v>
      </c>
      <c r="Q240" s="46">
        <f>Divisional!Q128</f>
        <v>7</v>
      </c>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row>
    <row r="241" spans="1:86" hidden="1" outlineLevel="1" x14ac:dyDescent="0.2">
      <c r="A241" s="619" t="s">
        <v>1060</v>
      </c>
      <c r="B241" s="1205"/>
      <c r="C241" s="1205"/>
      <c r="D241" s="1205"/>
      <c r="E241" s="1205"/>
      <c r="F241" s="1205"/>
      <c r="G241" s="1205"/>
      <c r="H241" s="46"/>
      <c r="I241" s="46"/>
      <c r="J241" s="46"/>
      <c r="K241" s="46">
        <f>Divisional!K130</f>
        <v>-49</v>
      </c>
      <c r="L241" s="46">
        <f>Divisional!L130</f>
        <v>97</v>
      </c>
      <c r="M241" s="46">
        <f>Divisional!M130</f>
        <v>45</v>
      </c>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6"/>
      <c r="AU241" s="46"/>
      <c r="AV241" s="46"/>
      <c r="AW241" s="46"/>
      <c r="AX241" s="46"/>
      <c r="AY241" s="46"/>
      <c r="AZ241" s="46"/>
      <c r="BA241" s="46"/>
      <c r="BB241" s="46"/>
      <c r="BC241" s="46"/>
      <c r="BD241" s="46"/>
      <c r="BE241" s="46"/>
      <c r="BF241" s="46"/>
      <c r="BG241" s="46"/>
      <c r="BH241" s="46"/>
      <c r="BI241" s="46"/>
      <c r="BJ241" s="46"/>
      <c r="BK241" s="46"/>
      <c r="BL241" s="46"/>
      <c r="BM241" s="46"/>
      <c r="BN241" s="46"/>
      <c r="BO241" s="46"/>
      <c r="BP241" s="46"/>
      <c r="BQ241" s="46"/>
      <c r="BR241" s="46"/>
      <c r="BS241" s="46"/>
      <c r="BT241" s="46"/>
      <c r="BU241" s="46"/>
      <c r="BV241" s="46"/>
      <c r="BW241" s="46"/>
      <c r="BX241" s="46"/>
      <c r="BY241" s="46"/>
      <c r="BZ241" s="46"/>
      <c r="CA241" s="46"/>
      <c r="CB241" s="46"/>
      <c r="CC241" s="46"/>
      <c r="CD241" s="46"/>
      <c r="CE241" s="46"/>
      <c r="CF241" s="46"/>
      <c r="CG241" s="46"/>
      <c r="CH241" s="46"/>
    </row>
    <row r="242" spans="1:86" hidden="1" outlineLevel="1" x14ac:dyDescent="0.2">
      <c r="A242" s="616" t="s">
        <v>112</v>
      </c>
      <c r="B242" s="1205"/>
      <c r="C242" s="1205"/>
      <c r="D242" s="1205"/>
      <c r="E242" s="1205"/>
      <c r="F242" s="1205"/>
      <c r="G242" s="1205"/>
      <c r="H242" s="46"/>
      <c r="I242" s="46"/>
      <c r="J242" s="46"/>
      <c r="K242" s="1172">
        <f t="shared" ref="K242:Q242" si="81">SUM(K240:K241)</f>
        <v>77</v>
      </c>
      <c r="L242" s="1172">
        <f t="shared" si="81"/>
        <v>114</v>
      </c>
      <c r="M242" s="1172">
        <f t="shared" si="81"/>
        <v>45</v>
      </c>
      <c r="N242" s="1172">
        <f t="shared" si="81"/>
        <v>17</v>
      </c>
      <c r="O242" s="1172">
        <f t="shared" si="81"/>
        <v>105</v>
      </c>
      <c r="P242" s="1172">
        <f t="shared" si="81"/>
        <v>105</v>
      </c>
      <c r="Q242" s="1172">
        <f t="shared" si="81"/>
        <v>7</v>
      </c>
      <c r="R242" s="1172"/>
      <c r="S242" s="46"/>
      <c r="T242" s="46"/>
      <c r="U242" s="46"/>
      <c r="V242" s="46"/>
      <c r="W242" s="46"/>
      <c r="X242" s="46"/>
      <c r="Y242" s="46"/>
      <c r="Z242" s="46"/>
      <c r="AA242" s="46"/>
      <c r="AB242" s="46"/>
      <c r="AC242" s="46"/>
      <c r="AD242" s="46"/>
      <c r="AE242" s="46"/>
      <c r="AF242" s="46"/>
      <c r="AG242" s="46"/>
      <c r="AH242" s="46"/>
      <c r="AI242" s="46"/>
      <c r="AJ242" s="46"/>
      <c r="AK242" s="46"/>
      <c r="AL242" s="46"/>
      <c r="AM242" s="46"/>
      <c r="AN242" s="46"/>
      <c r="AO242" s="46"/>
      <c r="AP242" s="46"/>
      <c r="AQ242" s="46"/>
      <c r="AR242" s="46"/>
      <c r="AS242" s="46"/>
      <c r="AT242" s="46"/>
      <c r="AU242" s="46"/>
      <c r="AV242" s="46"/>
      <c r="AW242" s="46"/>
      <c r="AX242" s="46"/>
      <c r="AY242" s="46"/>
      <c r="AZ242" s="46"/>
      <c r="BA242" s="46"/>
      <c r="BB242" s="46"/>
      <c r="BC242" s="46"/>
      <c r="BD242" s="46"/>
      <c r="BE242" s="46"/>
      <c r="BF242" s="46"/>
      <c r="BG242" s="46"/>
      <c r="BH242" s="46"/>
      <c r="BI242" s="46"/>
      <c r="BJ242" s="46"/>
      <c r="BK242" s="46"/>
      <c r="BL242" s="46"/>
      <c r="BM242" s="46"/>
      <c r="BN242" s="46"/>
      <c r="BO242" s="46"/>
      <c r="BP242" s="46"/>
      <c r="BQ242" s="46"/>
      <c r="BR242" s="46"/>
      <c r="BS242" s="46"/>
      <c r="BT242" s="46"/>
      <c r="BU242" s="46"/>
      <c r="BV242" s="46"/>
      <c r="BW242" s="46"/>
      <c r="BX242" s="46"/>
      <c r="BY242" s="46"/>
      <c r="BZ242" s="46"/>
      <c r="CA242" s="46"/>
      <c r="CB242" s="46"/>
      <c r="CC242" s="46"/>
      <c r="CD242" s="46"/>
      <c r="CE242" s="46"/>
      <c r="CF242" s="46"/>
      <c r="CG242" s="46"/>
      <c r="CH242" s="46"/>
    </row>
    <row r="243" spans="1:86" hidden="1" outlineLevel="1" x14ac:dyDescent="0.2">
      <c r="A243" s="621" t="s">
        <v>737</v>
      </c>
      <c r="B243" s="1205"/>
      <c r="C243" s="1205"/>
      <c r="D243" s="1205"/>
      <c r="E243" s="1205"/>
      <c r="F243" s="1205"/>
      <c r="G243" s="1205"/>
      <c r="H243" s="46"/>
      <c r="I243" s="46"/>
      <c r="J243" s="46"/>
      <c r="K243" s="1183">
        <f t="shared" ref="K243:Q243" si="82">K242/K224</f>
        <v>0.37745098039215685</v>
      </c>
      <c r="L243" s="1183">
        <f t="shared" si="82"/>
        <v>0.55609756097560981</v>
      </c>
      <c r="M243" s="1183">
        <f t="shared" si="82"/>
        <v>0.20930232558139536</v>
      </c>
      <c r="N243" s="1183">
        <f t="shared" si="82"/>
        <v>0.22368421052631579</v>
      </c>
      <c r="O243" s="1183">
        <f t="shared" si="82"/>
        <v>1.1052631578947369</v>
      </c>
      <c r="P243" s="1183">
        <f t="shared" si="82"/>
        <v>1.1290322580645162</v>
      </c>
      <c r="Q243" s="1183">
        <f t="shared" si="82"/>
        <v>5.9322033898305086E-2</v>
      </c>
      <c r="R243" s="1183"/>
      <c r="S243" s="46"/>
      <c r="T243" s="46"/>
      <c r="U243" s="46"/>
      <c r="V243" s="46"/>
      <c r="W243" s="46"/>
      <c r="X243" s="46"/>
      <c r="Y243" s="46"/>
      <c r="Z243" s="46"/>
      <c r="AA243" s="46"/>
      <c r="AB243" s="46"/>
      <c r="AC243" s="46"/>
      <c r="AD243" s="46"/>
      <c r="AE243" s="46"/>
      <c r="AF243" s="46"/>
      <c r="AG243" s="46"/>
      <c r="AH243" s="46"/>
      <c r="AI243" s="46"/>
      <c r="AJ243" s="46"/>
      <c r="AK243" s="46"/>
      <c r="AL243" s="46"/>
      <c r="AM243" s="46"/>
      <c r="AN243" s="46"/>
      <c r="AO243" s="46"/>
      <c r="AP243" s="46"/>
      <c r="AQ243" s="46"/>
      <c r="AR243" s="46"/>
      <c r="AS243" s="46"/>
      <c r="AT243" s="46"/>
      <c r="AU243" s="46"/>
      <c r="AV243" s="46"/>
      <c r="AW243" s="46"/>
      <c r="AX243" s="46"/>
      <c r="AY243" s="46"/>
      <c r="AZ243" s="46"/>
      <c r="BA243" s="46"/>
      <c r="BB243" s="46"/>
      <c r="BC243" s="46"/>
      <c r="BD243" s="46"/>
      <c r="BE243" s="46"/>
      <c r="BF243" s="46"/>
      <c r="BG243" s="46"/>
      <c r="BH243" s="46"/>
      <c r="BI243" s="46"/>
      <c r="BJ243" s="46"/>
      <c r="BK243" s="46"/>
      <c r="BL243" s="46"/>
      <c r="BM243" s="46"/>
      <c r="BN243" s="46"/>
      <c r="BO243" s="46"/>
      <c r="BP243" s="46"/>
      <c r="BQ243" s="46"/>
      <c r="BR243" s="46"/>
      <c r="BS243" s="46"/>
      <c r="BT243" s="46"/>
      <c r="BU243" s="46"/>
      <c r="BV243" s="46"/>
      <c r="BW243" s="46"/>
      <c r="BX243" s="46"/>
      <c r="BY243" s="46"/>
      <c r="BZ243" s="46"/>
      <c r="CA243" s="46"/>
      <c r="CB243" s="46"/>
      <c r="CC243" s="46"/>
      <c r="CD243" s="46"/>
      <c r="CE243" s="46"/>
      <c r="CF243" s="46"/>
      <c r="CG243" s="46"/>
      <c r="CH243" s="46"/>
    </row>
    <row r="244" spans="1:86" hidden="1" outlineLevel="1" x14ac:dyDescent="0.2">
      <c r="A244" s="619"/>
      <c r="B244" s="1205"/>
      <c r="C244" s="1205"/>
      <c r="D244" s="1205"/>
      <c r="E244" s="1205"/>
      <c r="F244" s="1205"/>
      <c r="G244" s="1205"/>
      <c r="H244" s="46"/>
      <c r="I244" s="46"/>
      <c r="J244" s="46"/>
      <c r="K244" s="46"/>
      <c r="L244" s="46"/>
      <c r="M244" s="46"/>
      <c r="N244" s="46"/>
      <c r="O244" s="46"/>
      <c r="P244" s="46"/>
      <c r="Q244" s="46"/>
      <c r="R244" s="46"/>
      <c r="S244" s="46"/>
      <c r="T244" s="46"/>
      <c r="U244" s="46"/>
      <c r="V244" s="46"/>
      <c r="W244" s="46"/>
      <c r="X244" s="46"/>
      <c r="Y244" s="46"/>
      <c r="Z244" s="46"/>
      <c r="AA244" s="46"/>
      <c r="AB244" s="46"/>
      <c r="AC244" s="46"/>
      <c r="AD244" s="46"/>
      <c r="AE244" s="46"/>
      <c r="AF244" s="46"/>
      <c r="AG244" s="46"/>
      <c r="AH244" s="46"/>
      <c r="AI244" s="46"/>
      <c r="AJ244" s="46"/>
      <c r="AK244" s="46"/>
      <c r="AL244" s="46"/>
      <c r="AM244" s="46"/>
      <c r="AN244" s="46"/>
      <c r="AO244" s="46"/>
      <c r="AP244" s="46"/>
      <c r="AQ244" s="46"/>
      <c r="AR244" s="46"/>
      <c r="AS244" s="46"/>
      <c r="AT244" s="46"/>
      <c r="AU244" s="46"/>
      <c r="AV244" s="46"/>
      <c r="AW244" s="46"/>
      <c r="AX244" s="46"/>
      <c r="AY244" s="46"/>
      <c r="AZ244" s="46"/>
      <c r="BA244" s="46"/>
      <c r="BB244" s="46"/>
      <c r="BC244" s="46"/>
      <c r="BD244" s="46"/>
      <c r="BE244" s="46"/>
      <c r="BF244" s="46"/>
      <c r="BG244" s="46"/>
      <c r="BH244" s="46"/>
      <c r="BI244" s="46"/>
      <c r="BJ244" s="46"/>
      <c r="BK244" s="46"/>
      <c r="BL244" s="46"/>
      <c r="BM244" s="46"/>
      <c r="BN244" s="46"/>
      <c r="BO244" s="46"/>
      <c r="BP244" s="46"/>
      <c r="BQ244" s="46"/>
      <c r="BR244" s="46"/>
      <c r="BS244" s="46"/>
      <c r="BT244" s="46"/>
      <c r="BU244" s="46"/>
      <c r="BV244" s="46"/>
      <c r="BW244" s="46"/>
      <c r="BX244" s="46"/>
      <c r="BY244" s="46"/>
      <c r="BZ244" s="46"/>
      <c r="CA244" s="46"/>
      <c r="CB244" s="46"/>
      <c r="CC244" s="46"/>
      <c r="CD244" s="46"/>
      <c r="CE244" s="46"/>
      <c r="CF244" s="46"/>
      <c r="CG244" s="46"/>
      <c r="CH244" s="46"/>
    </row>
    <row r="245" spans="1:86" hidden="1" outlineLevel="1" x14ac:dyDescent="0.2">
      <c r="A245" s="1163" t="s">
        <v>1019</v>
      </c>
      <c r="B245" s="1205"/>
      <c r="C245" s="1205"/>
      <c r="D245" s="1205"/>
      <c r="E245" s="1205"/>
      <c r="F245" s="1205"/>
      <c r="G245" s="1205"/>
      <c r="H245" s="46"/>
      <c r="I245" s="46"/>
      <c r="J245" s="46"/>
      <c r="K245" s="46"/>
      <c r="L245" s="46"/>
      <c r="M245" s="46"/>
      <c r="N245" s="46"/>
      <c r="O245" s="46"/>
      <c r="P245" s="46"/>
      <c r="Q245" s="46"/>
      <c r="R245" s="46"/>
      <c r="S245" s="46"/>
      <c r="T245" s="46"/>
      <c r="U245" s="46"/>
      <c r="V245" s="46"/>
      <c r="W245" s="46"/>
      <c r="X245" s="46"/>
      <c r="Y245" s="46"/>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row>
    <row r="246" spans="1:86" hidden="1" outlineLevel="1" x14ac:dyDescent="0.2">
      <c r="A246" s="616" t="s">
        <v>742</v>
      </c>
      <c r="B246" s="514">
        <f>Divisional!B69</f>
        <v>76</v>
      </c>
      <c r="C246" s="514">
        <f>Divisional!C69</f>
        <v>74</v>
      </c>
      <c r="D246" s="514">
        <f>Divisional!D69</f>
        <v>103</v>
      </c>
      <c r="E246" s="514">
        <f>Divisional!E69</f>
        <v>120</v>
      </c>
      <c r="F246" s="514">
        <f>Divisional!F69</f>
        <v>159</v>
      </c>
      <c r="G246" s="514">
        <f>Divisional!G69</f>
        <v>209</v>
      </c>
      <c r="H246" s="637">
        <f>Divisional!H69</f>
        <v>194</v>
      </c>
      <c r="I246" s="637">
        <f>Divisional!I69</f>
        <v>229</v>
      </c>
      <c r="J246" s="637">
        <f>Divisional!J69</f>
        <v>241</v>
      </c>
      <c r="K246" s="637">
        <f>Divisional!K69</f>
        <v>246</v>
      </c>
      <c r="L246" s="637">
        <f>Divisional!L69</f>
        <v>262</v>
      </c>
      <c r="M246" s="637">
        <f>Divisional!M69</f>
        <v>252</v>
      </c>
      <c r="N246" s="637">
        <f>Divisional!N69</f>
        <v>113</v>
      </c>
      <c r="O246" s="637">
        <f>Divisional!O69</f>
        <v>123</v>
      </c>
      <c r="P246" s="637">
        <f>Divisional!P69</f>
        <v>132</v>
      </c>
      <c r="Q246" s="637">
        <f>Divisional!Q69</f>
        <v>123</v>
      </c>
      <c r="R246" s="637"/>
      <c r="S246" s="451">
        <f>S247*S215</f>
        <v>0</v>
      </c>
      <c r="T246" s="451">
        <f>T247*T215</f>
        <v>0</v>
      </c>
      <c r="U246" s="451">
        <f>U247*U215</f>
        <v>0</v>
      </c>
      <c r="V246" s="451">
        <f>V247*V215</f>
        <v>0</v>
      </c>
      <c r="W246" s="451"/>
      <c r="X246" s="451"/>
      <c r="Y246" s="451"/>
      <c r="Z246" s="451"/>
      <c r="AA246" s="451"/>
      <c r="AB246" s="451"/>
      <c r="AC246" s="451"/>
      <c r="AD246" s="451">
        <f>AD247*AD215</f>
        <v>0</v>
      </c>
      <c r="AE246" s="451"/>
      <c r="AF246" s="451"/>
      <c r="AG246" s="451"/>
      <c r="AH246" s="451"/>
      <c r="AI246" s="451"/>
      <c r="AJ246" s="451"/>
      <c r="AK246" s="451"/>
      <c r="AL246" s="451">
        <f>AL247*AL215</f>
        <v>0</v>
      </c>
      <c r="AM246" s="451"/>
      <c r="AN246" s="451"/>
      <c r="AO246" s="451"/>
      <c r="AP246" s="451"/>
      <c r="AQ246" s="451"/>
      <c r="AR246" s="451"/>
      <c r="AS246" s="451"/>
      <c r="AT246" s="451">
        <f>AT247*AT215</f>
        <v>0</v>
      </c>
      <c r="AU246" s="451"/>
      <c r="AV246" s="451"/>
      <c r="AW246" s="451"/>
      <c r="AX246" s="451"/>
      <c r="AY246" s="451"/>
      <c r="AZ246" s="451"/>
      <c r="BA246" s="451"/>
      <c r="BB246" s="451">
        <f>BB247*BB215</f>
        <v>0</v>
      </c>
      <c r="BC246" s="451"/>
      <c r="BD246" s="451"/>
      <c r="BE246" s="451"/>
      <c r="BF246" s="451"/>
      <c r="BG246" s="451"/>
      <c r="BH246" s="451"/>
      <c r="BI246" s="451"/>
      <c r="BJ246" s="451">
        <f>BJ247*BJ215</f>
        <v>0</v>
      </c>
      <c r="BK246" s="451"/>
      <c r="BL246" s="451"/>
      <c r="BM246" s="451"/>
      <c r="BN246" s="451"/>
      <c r="BO246" s="451"/>
      <c r="BP246" s="451"/>
      <c r="BQ246" s="451"/>
      <c r="BR246" s="451">
        <f>BR247*BR215</f>
        <v>0</v>
      </c>
      <c r="BS246" s="451"/>
      <c r="BT246" s="451"/>
      <c r="BU246" s="451"/>
      <c r="BV246" s="451"/>
      <c r="BW246" s="451"/>
      <c r="BX246" s="451"/>
      <c r="BY246" s="451"/>
      <c r="BZ246" s="451">
        <f>BZ247*BZ215</f>
        <v>0</v>
      </c>
      <c r="CA246" s="451"/>
      <c r="CB246" s="451"/>
      <c r="CC246" s="451"/>
      <c r="CD246" s="451"/>
      <c r="CE246" s="451"/>
      <c r="CF246" s="451"/>
      <c r="CG246" s="451"/>
      <c r="CH246" s="451">
        <f>CH247*CH215</f>
        <v>0</v>
      </c>
    </row>
    <row r="247" spans="1:86" hidden="1" outlineLevel="1" x14ac:dyDescent="0.2">
      <c r="A247" s="619" t="str">
        <f>A238</f>
        <v>As % Revenue</v>
      </c>
      <c r="B247" s="1207">
        <f t="shared" ref="B247:Q247" si="83">B246/B215</f>
        <v>6.5573770491803282E-2</v>
      </c>
      <c r="C247" s="1207">
        <f t="shared" si="83"/>
        <v>6.0113728675873272E-2</v>
      </c>
      <c r="D247" s="1207">
        <f t="shared" si="83"/>
        <v>7.1280276816608992E-2</v>
      </c>
      <c r="E247" s="1207">
        <f t="shared" si="83"/>
        <v>7.5187969924812026E-2</v>
      </c>
      <c r="F247" s="1207">
        <f t="shared" si="83"/>
        <v>0.15572967678746327</v>
      </c>
      <c r="G247" s="1207">
        <f t="shared" si="83"/>
        <v>0.19698397737983034</v>
      </c>
      <c r="H247" s="1207">
        <f t="shared" si="83"/>
        <v>8.5050416483998248E-2</v>
      </c>
      <c r="I247" s="1207">
        <f t="shared" si="83"/>
        <v>9.1126144050935137E-2</v>
      </c>
      <c r="J247" s="1207">
        <f t="shared" si="83"/>
        <v>8.4236281020622167E-2</v>
      </c>
      <c r="K247" s="1207">
        <f t="shared" si="83"/>
        <v>9.182530795072788E-2</v>
      </c>
      <c r="L247" s="1207">
        <f t="shared" si="83"/>
        <v>9.5238095238095233E-2</v>
      </c>
      <c r="M247" s="1207">
        <f t="shared" si="83"/>
        <v>8.0152671755725186E-2</v>
      </c>
      <c r="N247" s="1207">
        <f t="shared" si="83"/>
        <v>9.1276252019386106E-2</v>
      </c>
      <c r="O247" s="1207">
        <f t="shared" si="83"/>
        <v>9.1449814126394052E-2</v>
      </c>
      <c r="P247" s="1207">
        <f t="shared" si="83"/>
        <v>0.10030395136778116</v>
      </c>
      <c r="Q247" s="1207">
        <f t="shared" si="83"/>
        <v>8.8744588744588751E-2</v>
      </c>
      <c r="R247" s="1207"/>
      <c r="S247" s="1208">
        <f>Q247</f>
        <v>8.8744588744588751E-2</v>
      </c>
      <c r="T247" s="1208">
        <f>S247</f>
        <v>8.8744588744588751E-2</v>
      </c>
      <c r="U247" s="1208">
        <f>T247</f>
        <v>8.8744588744588751E-2</v>
      </c>
      <c r="V247" s="1208">
        <f>U247</f>
        <v>8.8744588744588751E-2</v>
      </c>
      <c r="W247" s="1208"/>
      <c r="X247" s="1208"/>
      <c r="Y247" s="1208"/>
      <c r="Z247" s="1208"/>
      <c r="AA247" s="1208"/>
      <c r="AB247" s="1208"/>
      <c r="AC247" s="1208"/>
      <c r="AD247" s="1208">
        <f>V247</f>
        <v>8.8744588744588751E-2</v>
      </c>
      <c r="AE247" s="1208"/>
      <c r="AF247" s="1208"/>
      <c r="AG247" s="1208"/>
      <c r="AH247" s="1208"/>
      <c r="AI247" s="1208"/>
      <c r="AJ247" s="1208"/>
      <c r="AK247" s="1208"/>
      <c r="AL247" s="1208">
        <f>AD247</f>
        <v>8.8744588744588751E-2</v>
      </c>
      <c r="AM247" s="1208"/>
      <c r="AN247" s="1208"/>
      <c r="AO247" s="1208"/>
      <c r="AP247" s="1208"/>
      <c r="AQ247" s="1208"/>
      <c r="AR247" s="1208"/>
      <c r="AS247" s="1208"/>
      <c r="AT247" s="1208">
        <f>AL247</f>
        <v>8.8744588744588751E-2</v>
      </c>
      <c r="AU247" s="1208"/>
      <c r="AV247" s="1208"/>
      <c r="AW247" s="1208"/>
      <c r="AX247" s="1208"/>
      <c r="AY247" s="1208"/>
      <c r="AZ247" s="1208"/>
      <c r="BA247" s="1208"/>
      <c r="BB247" s="1208">
        <f>AT247</f>
        <v>8.8744588744588751E-2</v>
      </c>
      <c r="BC247" s="1208"/>
      <c r="BD247" s="1208"/>
      <c r="BE247" s="1208"/>
      <c r="BF247" s="1208"/>
      <c r="BG247" s="1208"/>
      <c r="BH247" s="1208"/>
      <c r="BI247" s="1208"/>
      <c r="BJ247" s="1208">
        <f>BB247</f>
        <v>8.8744588744588751E-2</v>
      </c>
      <c r="BK247" s="1208"/>
      <c r="BL247" s="1208"/>
      <c r="BM247" s="1208"/>
      <c r="BN247" s="1208"/>
      <c r="BO247" s="1208"/>
      <c r="BP247" s="1208"/>
      <c r="BQ247" s="1208"/>
      <c r="BR247" s="1208">
        <f>BJ247</f>
        <v>8.8744588744588751E-2</v>
      </c>
      <c r="BS247" s="1208"/>
      <c r="BT247" s="1208"/>
      <c r="BU247" s="1208"/>
      <c r="BV247" s="1208"/>
      <c r="BW247" s="1208"/>
      <c r="BX247" s="1208"/>
      <c r="BY247" s="1208"/>
      <c r="BZ247" s="1208">
        <f>BR247</f>
        <v>8.8744588744588751E-2</v>
      </c>
      <c r="CA247" s="1208"/>
      <c r="CB247" s="1208"/>
      <c r="CC247" s="1208"/>
      <c r="CD247" s="1208"/>
      <c r="CE247" s="1208"/>
      <c r="CF247" s="1208"/>
      <c r="CG247" s="1208"/>
      <c r="CH247" s="1208">
        <f>BZ247</f>
        <v>8.8744588744588751E-2</v>
      </c>
    </row>
    <row r="248" spans="1:86" hidden="1" outlineLevel="1" x14ac:dyDescent="0.2">
      <c r="A248" s="619"/>
      <c r="B248" s="1205"/>
      <c r="C248" s="1205"/>
      <c r="D248" s="1205"/>
      <c r="E248" s="1205"/>
      <c r="F248" s="1205"/>
      <c r="G248" s="1205"/>
      <c r="H248" s="46"/>
      <c r="I248" s="46"/>
      <c r="J248" s="46"/>
      <c r="K248" s="46"/>
      <c r="L248" s="46"/>
      <c r="M248" s="46"/>
      <c r="N248" s="46"/>
      <c r="O248" s="46"/>
      <c r="P248" s="46"/>
      <c r="Q248" s="46"/>
      <c r="R248" s="46"/>
      <c r="S248" s="46"/>
      <c r="T248" s="46"/>
      <c r="U248" s="46"/>
      <c r="V248" s="46"/>
      <c r="W248" s="46"/>
      <c r="X248" s="46"/>
      <c r="Y248" s="46"/>
      <c r="Z248" s="46"/>
      <c r="AA248" s="46"/>
      <c r="AB248" s="46"/>
      <c r="AC248" s="46"/>
      <c r="AD248" s="46"/>
      <c r="AE248" s="46"/>
      <c r="AF248" s="46"/>
      <c r="AG248" s="46"/>
      <c r="AH248" s="46"/>
      <c r="AI248" s="46"/>
      <c r="AJ248" s="46"/>
      <c r="AK248" s="46"/>
      <c r="AL248" s="46"/>
      <c r="AM248" s="46"/>
      <c r="AN248" s="46"/>
      <c r="AO248" s="46"/>
      <c r="AP248" s="46"/>
      <c r="AQ248" s="46"/>
      <c r="AR248" s="46"/>
      <c r="AS248" s="46"/>
      <c r="AT248" s="46"/>
      <c r="AU248" s="46"/>
      <c r="AV248" s="46"/>
      <c r="AW248" s="46"/>
      <c r="AX248" s="46"/>
      <c r="AY248" s="46"/>
      <c r="AZ248" s="46"/>
      <c r="BA248" s="46"/>
      <c r="BB248" s="46"/>
      <c r="BC248" s="46"/>
      <c r="BD248" s="46"/>
      <c r="BE248" s="46"/>
      <c r="BF248" s="46"/>
      <c r="BG248" s="46"/>
      <c r="BH248" s="46"/>
      <c r="BI248" s="46"/>
      <c r="BJ248" s="46"/>
      <c r="BK248" s="46"/>
      <c r="BL248" s="46"/>
      <c r="BM248" s="46"/>
      <c r="BN248" s="46"/>
      <c r="BO248" s="46"/>
      <c r="BP248" s="46"/>
      <c r="BQ248" s="46"/>
      <c r="BR248" s="46"/>
      <c r="BS248" s="46"/>
      <c r="BT248" s="46"/>
      <c r="BU248" s="46"/>
      <c r="BV248" s="46"/>
      <c r="BW248" s="46"/>
      <c r="BX248" s="46"/>
      <c r="BY248" s="46"/>
      <c r="BZ248" s="46"/>
      <c r="CA248" s="46"/>
      <c r="CB248" s="46"/>
      <c r="CC248" s="46"/>
      <c r="CD248" s="46"/>
      <c r="CE248" s="46"/>
      <c r="CF248" s="46"/>
      <c r="CG248" s="46"/>
      <c r="CH248" s="46"/>
    </row>
    <row r="249" spans="1:86" hidden="1" outlineLevel="1" x14ac:dyDescent="0.2">
      <c r="A249" s="616" t="s">
        <v>382</v>
      </c>
      <c r="B249" s="514">
        <f>Divisional!B80</f>
        <v>20</v>
      </c>
      <c r="C249" s="514">
        <f>Divisional!C80</f>
        <v>8</v>
      </c>
      <c r="D249" s="1194">
        <f>Divisional!D80</f>
        <v>-7</v>
      </c>
      <c r="E249" s="514">
        <f>Divisional!E80</f>
        <v>2</v>
      </c>
      <c r="F249" s="514">
        <f>Divisional!F80</f>
        <v>20</v>
      </c>
      <c r="G249" s="514">
        <f>Divisional!G80</f>
        <v>33</v>
      </c>
      <c r="H249" s="637">
        <f>Divisional!H80</f>
        <v>36</v>
      </c>
      <c r="I249" s="637">
        <f>Divisional!I80</f>
        <v>40</v>
      </c>
      <c r="J249" s="637">
        <f>Divisional!J80</f>
        <v>36</v>
      </c>
      <c r="K249" s="637">
        <f>Divisional!K80</f>
        <v>48</v>
      </c>
      <c r="L249" s="637">
        <f>Divisional!L80</f>
        <v>47</v>
      </c>
      <c r="M249" s="637">
        <f>Divisional!M80</f>
        <v>40</v>
      </c>
      <c r="N249" s="637">
        <f>Divisional!N80</f>
        <v>43</v>
      </c>
      <c r="O249" s="637">
        <f>Divisional!O80</f>
        <v>44</v>
      </c>
      <c r="P249" s="637">
        <f>Divisional!P80</f>
        <v>54</v>
      </c>
      <c r="Q249" s="637">
        <f>Divisional!Q80</f>
        <v>45</v>
      </c>
      <c r="R249" s="637"/>
      <c r="S249" s="451">
        <f>S246*S250</f>
        <v>0</v>
      </c>
      <c r="T249" s="451">
        <f>T246*T250</f>
        <v>0</v>
      </c>
      <c r="U249" s="451">
        <f>U246*U250</f>
        <v>0</v>
      </c>
      <c r="V249" s="451">
        <f>V246*V250</f>
        <v>0</v>
      </c>
      <c r="W249" s="451"/>
      <c r="X249" s="451"/>
      <c r="Y249" s="451"/>
      <c r="Z249" s="451"/>
      <c r="AA249" s="451"/>
      <c r="AB249" s="451"/>
      <c r="AC249" s="451"/>
      <c r="AD249" s="451">
        <f>AD246*AD250</f>
        <v>0</v>
      </c>
      <c r="AE249" s="451"/>
      <c r="AF249" s="451"/>
      <c r="AG249" s="451"/>
      <c r="AH249" s="451"/>
      <c r="AI249" s="451"/>
      <c r="AJ249" s="451"/>
      <c r="AK249" s="451"/>
      <c r="AL249" s="451">
        <f>AL246*AL250</f>
        <v>0</v>
      </c>
      <c r="AM249" s="451"/>
      <c r="AN249" s="451"/>
      <c r="AO249" s="451"/>
      <c r="AP249" s="451"/>
      <c r="AQ249" s="451"/>
      <c r="AR249" s="451"/>
      <c r="AS249" s="451"/>
      <c r="AT249" s="451">
        <f>AT246*AT250</f>
        <v>0</v>
      </c>
      <c r="AU249" s="451"/>
      <c r="AV249" s="451"/>
      <c r="AW249" s="451"/>
      <c r="AX249" s="451"/>
      <c r="AY249" s="451"/>
      <c r="AZ249" s="451"/>
      <c r="BA249" s="451"/>
      <c r="BB249" s="451">
        <f>BB246*BB250</f>
        <v>0</v>
      </c>
      <c r="BC249" s="451"/>
      <c r="BD249" s="451"/>
      <c r="BE249" s="451"/>
      <c r="BF249" s="451"/>
      <c r="BG249" s="451"/>
      <c r="BH249" s="451"/>
      <c r="BI249" s="451"/>
      <c r="BJ249" s="451">
        <f>BJ246*BJ250</f>
        <v>0</v>
      </c>
      <c r="BK249" s="451"/>
      <c r="BL249" s="451"/>
      <c r="BM249" s="451"/>
      <c r="BN249" s="451"/>
      <c r="BO249" s="451"/>
      <c r="BP249" s="451"/>
      <c r="BQ249" s="451"/>
      <c r="BR249" s="451">
        <f>BR246*BR250</f>
        <v>0</v>
      </c>
      <c r="BS249" s="451"/>
      <c r="BT249" s="451"/>
      <c r="BU249" s="451"/>
      <c r="BV249" s="451"/>
      <c r="BW249" s="451"/>
      <c r="BX249" s="451"/>
      <c r="BY249" s="451"/>
      <c r="BZ249" s="451">
        <f>BZ246*BZ250</f>
        <v>0</v>
      </c>
      <c r="CA249" s="451"/>
      <c r="CB249" s="451"/>
      <c r="CC249" s="451"/>
      <c r="CD249" s="451"/>
      <c r="CE249" s="451"/>
      <c r="CF249" s="451"/>
      <c r="CG249" s="451"/>
      <c r="CH249" s="451">
        <f>CH246*CH250</f>
        <v>0</v>
      </c>
    </row>
    <row r="250" spans="1:86" hidden="1" outlineLevel="1" x14ac:dyDescent="0.2">
      <c r="A250" s="619" t="s">
        <v>105</v>
      </c>
      <c r="B250" s="1207">
        <f t="shared" ref="B250:Q250" si="84">B249/B246</f>
        <v>0.26315789473684209</v>
      </c>
      <c r="C250" s="1207">
        <f t="shared" si="84"/>
        <v>0.10810810810810811</v>
      </c>
      <c r="D250" s="1207">
        <f t="shared" si="84"/>
        <v>-6.7961165048543687E-2</v>
      </c>
      <c r="E250" s="1207">
        <f t="shared" si="84"/>
        <v>1.6666666666666666E-2</v>
      </c>
      <c r="F250" s="1207">
        <f t="shared" si="84"/>
        <v>0.12578616352201258</v>
      </c>
      <c r="G250" s="1207">
        <f t="shared" si="84"/>
        <v>0.15789473684210525</v>
      </c>
      <c r="H250" s="1207">
        <f t="shared" si="84"/>
        <v>0.18556701030927836</v>
      </c>
      <c r="I250" s="1207">
        <f t="shared" si="84"/>
        <v>0.17467248908296942</v>
      </c>
      <c r="J250" s="1207">
        <f t="shared" si="84"/>
        <v>0.14937759336099585</v>
      </c>
      <c r="K250" s="1207">
        <f t="shared" si="84"/>
        <v>0.1951219512195122</v>
      </c>
      <c r="L250" s="1207">
        <f t="shared" si="84"/>
        <v>0.17938931297709923</v>
      </c>
      <c r="M250" s="1207">
        <f t="shared" si="84"/>
        <v>0.15873015873015872</v>
      </c>
      <c r="N250" s="1207">
        <f t="shared" si="84"/>
        <v>0.38053097345132741</v>
      </c>
      <c r="O250" s="1207">
        <f t="shared" si="84"/>
        <v>0.35772357723577236</v>
      </c>
      <c r="P250" s="1207">
        <f t="shared" si="84"/>
        <v>0.40909090909090912</v>
      </c>
      <c r="Q250" s="1207">
        <f t="shared" si="84"/>
        <v>0.36585365853658536</v>
      </c>
      <c r="R250" s="1207"/>
      <c r="S250" s="1208">
        <f>Q250</f>
        <v>0.36585365853658536</v>
      </c>
      <c r="T250" s="1208">
        <f>S250</f>
        <v>0.36585365853658536</v>
      </c>
      <c r="U250" s="1208">
        <f>T250</f>
        <v>0.36585365853658536</v>
      </c>
      <c r="V250" s="1208">
        <f>U250</f>
        <v>0.36585365853658536</v>
      </c>
      <c r="W250" s="1208"/>
      <c r="X250" s="1208"/>
      <c r="Y250" s="1208"/>
      <c r="Z250" s="1208"/>
      <c r="AA250" s="1208"/>
      <c r="AB250" s="1208"/>
      <c r="AC250" s="1208"/>
      <c r="AD250" s="1208">
        <f>V250</f>
        <v>0.36585365853658536</v>
      </c>
      <c r="AE250" s="1208"/>
      <c r="AF250" s="1208"/>
      <c r="AG250" s="1208"/>
      <c r="AH250" s="1208"/>
      <c r="AI250" s="1208"/>
      <c r="AJ250" s="1208"/>
      <c r="AK250" s="1208"/>
      <c r="AL250" s="1208">
        <f>AD250</f>
        <v>0.36585365853658536</v>
      </c>
      <c r="AM250" s="1208"/>
      <c r="AN250" s="1208"/>
      <c r="AO250" s="1208"/>
      <c r="AP250" s="1208"/>
      <c r="AQ250" s="1208"/>
      <c r="AR250" s="1208"/>
      <c r="AS250" s="1208"/>
      <c r="AT250" s="1208">
        <f>AL250</f>
        <v>0.36585365853658536</v>
      </c>
      <c r="AU250" s="1208"/>
      <c r="AV250" s="1208"/>
      <c r="AW250" s="1208"/>
      <c r="AX250" s="1208"/>
      <c r="AY250" s="1208"/>
      <c r="AZ250" s="1208"/>
      <c r="BA250" s="1208"/>
      <c r="BB250" s="1208">
        <f>AT250</f>
        <v>0.36585365853658536</v>
      </c>
      <c r="BC250" s="1208"/>
      <c r="BD250" s="1208"/>
      <c r="BE250" s="1208"/>
      <c r="BF250" s="1208"/>
      <c r="BG250" s="1208"/>
      <c r="BH250" s="1208"/>
      <c r="BI250" s="1208"/>
      <c r="BJ250" s="1208">
        <f>BB250</f>
        <v>0.36585365853658536</v>
      </c>
      <c r="BK250" s="1208"/>
      <c r="BL250" s="1208"/>
      <c r="BM250" s="1208"/>
      <c r="BN250" s="1208"/>
      <c r="BO250" s="1208"/>
      <c r="BP250" s="1208"/>
      <c r="BQ250" s="1208"/>
      <c r="BR250" s="1208">
        <f>BJ250</f>
        <v>0.36585365853658536</v>
      </c>
      <c r="BS250" s="1208"/>
      <c r="BT250" s="1208"/>
      <c r="BU250" s="1208"/>
      <c r="BV250" s="1208"/>
      <c r="BW250" s="1208"/>
      <c r="BX250" s="1208"/>
      <c r="BY250" s="1208"/>
      <c r="BZ250" s="1208">
        <f>BR250</f>
        <v>0.36585365853658536</v>
      </c>
      <c r="CA250" s="1208"/>
      <c r="CB250" s="1208"/>
      <c r="CC250" s="1208"/>
      <c r="CD250" s="1208"/>
      <c r="CE250" s="1208"/>
      <c r="CF250" s="1208"/>
      <c r="CG250" s="1208"/>
      <c r="CH250" s="1208">
        <f>BZ250</f>
        <v>0.36585365853658536</v>
      </c>
    </row>
    <row r="251" spans="1:86" hidden="1" outlineLevel="1" x14ac:dyDescent="0.2">
      <c r="A251" s="619"/>
      <c r="B251" s="1205"/>
      <c r="C251" s="1205"/>
      <c r="D251" s="1205"/>
      <c r="E251" s="1205"/>
      <c r="F251" s="1205"/>
      <c r="G251" s="1205"/>
      <c r="H251" s="46"/>
      <c r="I251" s="46"/>
      <c r="J251" s="46"/>
      <c r="K251" s="46"/>
      <c r="L251" s="46"/>
      <c r="M251" s="46"/>
      <c r="N251" s="46"/>
      <c r="O251" s="46"/>
      <c r="P251" s="46"/>
      <c r="Q251" s="46"/>
      <c r="R251" s="46"/>
      <c r="S251" s="46"/>
      <c r="T251" s="46"/>
      <c r="U251" s="46"/>
      <c r="V251" s="46"/>
      <c r="W251" s="46"/>
      <c r="X251" s="46"/>
      <c r="Y251" s="46"/>
      <c r="Z251" s="46"/>
      <c r="AA251" s="46"/>
      <c r="AB251" s="46"/>
      <c r="AC251" s="46"/>
      <c r="AD251" s="46"/>
      <c r="AE251" s="46"/>
      <c r="AF251" s="46"/>
      <c r="AG251" s="46"/>
      <c r="AH251" s="46"/>
      <c r="AI251" s="46"/>
      <c r="AJ251" s="46"/>
      <c r="AK251" s="46"/>
      <c r="AL251" s="46"/>
      <c r="AM251" s="46"/>
      <c r="AN251" s="46"/>
      <c r="AO251" s="46"/>
      <c r="AP251" s="46"/>
      <c r="AQ251" s="46"/>
      <c r="AR251" s="46"/>
      <c r="AS251" s="46"/>
      <c r="AT251" s="46"/>
      <c r="AU251" s="46"/>
      <c r="AV251" s="46"/>
      <c r="AW251" s="46"/>
      <c r="AX251" s="46"/>
      <c r="AY251" s="46"/>
      <c r="AZ251" s="46"/>
      <c r="BA251" s="46"/>
      <c r="BB251" s="46"/>
      <c r="BC251" s="46"/>
      <c r="BD251" s="46"/>
      <c r="BE251" s="46"/>
      <c r="BF251" s="46"/>
      <c r="BG251" s="46"/>
      <c r="BH251" s="46"/>
      <c r="BI251" s="46"/>
      <c r="BJ251" s="46"/>
      <c r="BK251" s="46"/>
      <c r="BL251" s="46"/>
      <c r="BM251" s="46"/>
      <c r="BN251" s="46"/>
      <c r="BO251" s="46"/>
      <c r="BP251" s="46"/>
      <c r="BQ251" s="46"/>
      <c r="BR251" s="46"/>
      <c r="BS251" s="46"/>
      <c r="BT251" s="46"/>
      <c r="BU251" s="46"/>
      <c r="BV251" s="46"/>
      <c r="BW251" s="46"/>
      <c r="BX251" s="46"/>
      <c r="BY251" s="46"/>
      <c r="BZ251" s="46"/>
      <c r="CA251" s="46"/>
      <c r="CB251" s="46"/>
      <c r="CC251" s="46"/>
      <c r="CD251" s="46"/>
      <c r="CE251" s="46"/>
      <c r="CF251" s="46"/>
      <c r="CG251" s="46"/>
      <c r="CH251" s="46"/>
    </row>
    <row r="252" spans="1:86" hidden="1" outlineLevel="1" x14ac:dyDescent="0.2">
      <c r="A252" s="616" t="s">
        <v>744</v>
      </c>
      <c r="B252" s="1172">
        <f t="shared" ref="B252:Q252" si="85">B246-B249</f>
        <v>56</v>
      </c>
      <c r="C252" s="1172">
        <f t="shared" si="85"/>
        <v>66</v>
      </c>
      <c r="D252" s="1172">
        <f t="shared" si="85"/>
        <v>110</v>
      </c>
      <c r="E252" s="1172">
        <f t="shared" si="85"/>
        <v>118</v>
      </c>
      <c r="F252" s="1172">
        <f t="shared" si="85"/>
        <v>139</v>
      </c>
      <c r="G252" s="1172">
        <f t="shared" si="85"/>
        <v>176</v>
      </c>
      <c r="H252" s="1204">
        <f t="shared" si="85"/>
        <v>158</v>
      </c>
      <c r="I252" s="1204">
        <f t="shared" si="85"/>
        <v>189</v>
      </c>
      <c r="J252" s="1204">
        <f t="shared" si="85"/>
        <v>205</v>
      </c>
      <c r="K252" s="1204">
        <f t="shared" si="85"/>
        <v>198</v>
      </c>
      <c r="L252" s="1204">
        <f t="shared" si="85"/>
        <v>215</v>
      </c>
      <c r="M252" s="1204">
        <f t="shared" si="85"/>
        <v>212</v>
      </c>
      <c r="N252" s="1204">
        <f t="shared" si="85"/>
        <v>70</v>
      </c>
      <c r="O252" s="1204">
        <f t="shared" si="85"/>
        <v>79</v>
      </c>
      <c r="P252" s="1204">
        <f t="shared" si="85"/>
        <v>78</v>
      </c>
      <c r="Q252" s="1204">
        <f t="shared" si="85"/>
        <v>78</v>
      </c>
      <c r="R252" s="1204"/>
      <c r="S252" s="1204">
        <f>S246-S249</f>
        <v>0</v>
      </c>
      <c r="T252" s="1204">
        <f>T246-T249</f>
        <v>0</v>
      </c>
      <c r="U252" s="1204">
        <f>U246-U249</f>
        <v>0</v>
      </c>
      <c r="V252" s="1204">
        <f>V246-V249</f>
        <v>0</v>
      </c>
      <c r="W252" s="1204"/>
      <c r="X252" s="1204"/>
      <c r="Y252" s="1204"/>
      <c r="Z252" s="1204"/>
      <c r="AA252" s="1204"/>
      <c r="AB252" s="1204"/>
      <c r="AC252" s="1204"/>
      <c r="AD252" s="1204">
        <f>AD246-AD249</f>
        <v>0</v>
      </c>
      <c r="AE252" s="1204"/>
      <c r="AF252" s="1204"/>
      <c r="AG252" s="1204"/>
      <c r="AH252" s="1204"/>
      <c r="AI252" s="1204"/>
      <c r="AJ252" s="1204"/>
      <c r="AK252" s="1204"/>
      <c r="AL252" s="1204">
        <f>AL246-AL249</f>
        <v>0</v>
      </c>
      <c r="AM252" s="1204"/>
      <c r="AN252" s="1204"/>
      <c r="AO252" s="1204"/>
      <c r="AP252" s="1204"/>
      <c r="AQ252" s="1204"/>
      <c r="AR252" s="1204"/>
      <c r="AS252" s="1204"/>
      <c r="AT252" s="1204">
        <f>AT246-AT249</f>
        <v>0</v>
      </c>
      <c r="AU252" s="1204"/>
      <c r="AV252" s="1204"/>
      <c r="AW252" s="1204"/>
      <c r="AX252" s="1204"/>
      <c r="AY252" s="1204"/>
      <c r="AZ252" s="1204"/>
      <c r="BA252" s="1204"/>
      <c r="BB252" s="1204">
        <f>BB246-BB249</f>
        <v>0</v>
      </c>
      <c r="BC252" s="1204"/>
      <c r="BD252" s="1204"/>
      <c r="BE252" s="1204"/>
      <c r="BF252" s="1204"/>
      <c r="BG252" s="1204"/>
      <c r="BH252" s="1204"/>
      <c r="BI252" s="1204"/>
      <c r="BJ252" s="1204">
        <f>BJ246-BJ249</f>
        <v>0</v>
      </c>
      <c r="BK252" s="1204"/>
      <c r="BL252" s="1204"/>
      <c r="BM252" s="1204"/>
      <c r="BN252" s="1204"/>
      <c r="BO252" s="1204"/>
      <c r="BP252" s="1204"/>
      <c r="BQ252" s="1204"/>
      <c r="BR252" s="1204">
        <f>BR246-BR249</f>
        <v>0</v>
      </c>
      <c r="BS252" s="1204"/>
      <c r="BT252" s="1204"/>
      <c r="BU252" s="1204"/>
      <c r="BV252" s="1204"/>
      <c r="BW252" s="1204"/>
      <c r="BX252" s="1204"/>
      <c r="BY252" s="1204"/>
      <c r="BZ252" s="1204">
        <f>BZ246-BZ249</f>
        <v>0</v>
      </c>
      <c r="CA252" s="1204"/>
      <c r="CB252" s="1204"/>
      <c r="CC252" s="1204"/>
      <c r="CD252" s="1204"/>
      <c r="CE252" s="1204"/>
      <c r="CF252" s="1204"/>
      <c r="CG252" s="1204"/>
      <c r="CH252" s="1204">
        <f>CH246-CH249</f>
        <v>0</v>
      </c>
    </row>
    <row r="253" spans="1:86" hidden="1" outlineLevel="1" x14ac:dyDescent="0.2">
      <c r="A253" s="619" t="str">
        <f>A247</f>
        <v>As % Revenue</v>
      </c>
      <c r="B253" s="1205">
        <f t="shared" ref="B253:Q253" si="86">B252/B215</f>
        <v>4.8317515099223468E-2</v>
      </c>
      <c r="C253" s="1205">
        <f t="shared" si="86"/>
        <v>5.3614947197400488E-2</v>
      </c>
      <c r="D253" s="1205">
        <f t="shared" si="86"/>
        <v>7.6124567474048443E-2</v>
      </c>
      <c r="E253" s="1205">
        <f t="shared" si="86"/>
        <v>7.3934837092731825E-2</v>
      </c>
      <c r="F253" s="1205">
        <f t="shared" si="86"/>
        <v>0.13614103819784526</v>
      </c>
      <c r="G253" s="1205">
        <f t="shared" si="86"/>
        <v>0.16588124410933083</v>
      </c>
      <c r="H253" s="1205">
        <f t="shared" si="86"/>
        <v>6.9267864971503723E-2</v>
      </c>
      <c r="I253" s="1205">
        <f t="shared" si="86"/>
        <v>7.5208913649025072E-2</v>
      </c>
      <c r="J253" s="1205">
        <f t="shared" si="86"/>
        <v>7.165326808808109E-2</v>
      </c>
      <c r="K253" s="1205">
        <f t="shared" si="86"/>
        <v>7.3908174692049272E-2</v>
      </c>
      <c r="L253" s="1205">
        <f t="shared" si="86"/>
        <v>7.8153398764085794E-2</v>
      </c>
      <c r="M253" s="1205">
        <f t="shared" si="86"/>
        <v>6.7430025445292627E-2</v>
      </c>
      <c r="N253" s="1205">
        <f t="shared" si="86"/>
        <v>5.6542810985460421E-2</v>
      </c>
      <c r="O253" s="1205">
        <f t="shared" si="86"/>
        <v>5.8736059479553904E-2</v>
      </c>
      <c r="P253" s="1205">
        <f t="shared" si="86"/>
        <v>5.9270516717325229E-2</v>
      </c>
      <c r="Q253" s="1205">
        <f t="shared" si="86"/>
        <v>5.627705627705628E-2</v>
      </c>
      <c r="R253" s="1205"/>
      <c r="S253" s="1209" t="e">
        <f>S252/S215</f>
        <v>#DIV/0!</v>
      </c>
      <c r="T253" s="1209" t="e">
        <f>T252/T215</f>
        <v>#DIV/0!</v>
      </c>
      <c r="U253" s="1205" t="e">
        <f>U252/U215</f>
        <v>#DIV/0!</v>
      </c>
      <c r="V253" s="1205" t="e">
        <f>V252/V215</f>
        <v>#DIV/0!</v>
      </c>
      <c r="W253" s="1205"/>
      <c r="X253" s="1205"/>
      <c r="Y253" s="1205"/>
      <c r="Z253" s="1205"/>
      <c r="AA253" s="1205"/>
      <c r="AB253" s="1205"/>
      <c r="AC253" s="1205"/>
      <c r="AD253" s="1205" t="e">
        <f>AD252/AD215</f>
        <v>#DIV/0!</v>
      </c>
      <c r="AE253" s="1205"/>
      <c r="AF253" s="1205"/>
      <c r="AG253" s="1205"/>
      <c r="AH253" s="1205"/>
      <c r="AI253" s="1205"/>
      <c r="AJ253" s="1205"/>
      <c r="AK253" s="1205"/>
      <c r="AL253" s="1205"/>
      <c r="AM253" s="1205"/>
      <c r="AN253" s="1205"/>
      <c r="AO253" s="1205"/>
      <c r="AP253" s="1205"/>
      <c r="AQ253" s="1205"/>
      <c r="AR253" s="1205"/>
      <c r="AS253" s="1205"/>
      <c r="AT253" s="1205"/>
      <c r="AU253" s="1205"/>
      <c r="AV253" s="1205"/>
      <c r="AW253" s="1205"/>
      <c r="AX253" s="1205"/>
      <c r="AY253" s="1205"/>
      <c r="AZ253" s="1205"/>
      <c r="BA253" s="1205"/>
      <c r="BB253" s="1205"/>
      <c r="BC253" s="1205"/>
      <c r="BD253" s="1205"/>
      <c r="BE253" s="1205"/>
      <c r="BF253" s="1205"/>
      <c r="BG253" s="1205"/>
      <c r="BH253" s="1205"/>
      <c r="BI253" s="1205"/>
      <c r="BJ253" s="1205"/>
      <c r="BK253" s="1205"/>
      <c r="BL253" s="1205"/>
      <c r="BM253" s="1205"/>
      <c r="BN253" s="1205"/>
      <c r="BO253" s="1205"/>
      <c r="BP253" s="1205"/>
      <c r="BQ253" s="1205"/>
      <c r="BR253" s="1205"/>
      <c r="BS253" s="1205"/>
      <c r="BT253" s="1205"/>
      <c r="BU253" s="1205"/>
      <c r="BV253" s="1205"/>
      <c r="BW253" s="1205"/>
      <c r="BX253" s="1205"/>
      <c r="BY253" s="1205"/>
      <c r="BZ253" s="1205"/>
      <c r="CA253" s="1205"/>
      <c r="CB253" s="1205"/>
      <c r="CC253" s="1205"/>
      <c r="CD253" s="1205"/>
      <c r="CE253" s="1205"/>
      <c r="CF253" s="1205"/>
      <c r="CG253" s="1205"/>
      <c r="CH253" s="1205"/>
    </row>
    <row r="254" spans="1:86" hidden="1" outlineLevel="1" x14ac:dyDescent="0.2">
      <c r="A254" s="619"/>
      <c r="B254" s="1205"/>
      <c r="C254" s="1205"/>
      <c r="D254" s="1205"/>
      <c r="E254" s="1205"/>
      <c r="F254" s="1205"/>
      <c r="G254" s="1205"/>
      <c r="H254" s="1205"/>
      <c r="I254" s="1205"/>
      <c r="J254" s="1205"/>
      <c r="K254" s="1205"/>
      <c r="L254" s="1205"/>
      <c r="M254" s="1209"/>
      <c r="N254" s="1209"/>
      <c r="O254" s="1209"/>
      <c r="P254" s="1209"/>
      <c r="Q254" s="1209"/>
      <c r="R254" s="1209"/>
      <c r="S254" s="1209"/>
      <c r="T254" s="1209"/>
      <c r="U254" s="1205"/>
      <c r="V254" s="1205"/>
      <c r="W254" s="1205"/>
      <c r="X254" s="1205"/>
      <c r="Y254" s="1205"/>
      <c r="Z254" s="1205"/>
      <c r="AA254" s="1205"/>
      <c r="AB254" s="1205"/>
      <c r="AC254" s="1205"/>
      <c r="AD254" s="1205"/>
      <c r="AE254" s="1205"/>
      <c r="AF254" s="1205"/>
      <c r="AG254" s="1205"/>
      <c r="AH254" s="1205"/>
      <c r="AI254" s="1205"/>
      <c r="AJ254" s="1205"/>
      <c r="AK254" s="1205"/>
      <c r="AL254" s="1205"/>
      <c r="AM254" s="1205"/>
      <c r="AN254" s="1205"/>
      <c r="AO254" s="1205"/>
      <c r="AP254" s="1205"/>
      <c r="AQ254" s="1205"/>
      <c r="AR254" s="1205"/>
      <c r="AS254" s="1205"/>
      <c r="AT254" s="1205"/>
      <c r="AU254" s="1205"/>
      <c r="AV254" s="1205"/>
      <c r="AW254" s="1205"/>
      <c r="AX254" s="1205"/>
      <c r="AY254" s="1205"/>
      <c r="AZ254" s="1205"/>
      <c r="BA254" s="1205"/>
      <c r="BB254" s="1205"/>
      <c r="BC254" s="1205"/>
      <c r="BD254" s="1205"/>
      <c r="BE254" s="1205"/>
      <c r="BF254" s="1205"/>
      <c r="BG254" s="1205"/>
      <c r="BH254" s="1205"/>
      <c r="BI254" s="1205"/>
      <c r="BJ254" s="1205"/>
      <c r="BK254" s="1205"/>
      <c r="BL254" s="1205"/>
      <c r="BM254" s="1205"/>
      <c r="BN254" s="1205"/>
      <c r="BO254" s="1205"/>
      <c r="BP254" s="1205"/>
      <c r="BQ254" s="1205"/>
      <c r="BR254" s="1205"/>
      <c r="BS254" s="1205"/>
      <c r="BT254" s="1205"/>
      <c r="BU254" s="1205"/>
      <c r="BV254" s="1205"/>
      <c r="BW254" s="1205"/>
      <c r="BX254" s="1205"/>
      <c r="BY254" s="1205"/>
      <c r="BZ254" s="1205"/>
      <c r="CA254" s="1205"/>
      <c r="CB254" s="1205"/>
      <c r="CC254" s="1205"/>
      <c r="CD254" s="1205"/>
      <c r="CE254" s="1205"/>
      <c r="CF254" s="1205"/>
      <c r="CG254" s="1205"/>
      <c r="CH254" s="1205"/>
    </row>
    <row r="255" spans="1:86" hidden="1" outlineLevel="1" x14ac:dyDescent="0.2">
      <c r="A255" s="619" t="s">
        <v>1061</v>
      </c>
      <c r="B255" s="1205"/>
      <c r="C255" s="1205"/>
      <c r="D255" s="1205"/>
      <c r="E255" s="1205"/>
      <c r="F255" s="1205"/>
      <c r="G255" s="1205"/>
      <c r="H255" s="1205"/>
      <c r="I255" s="1205"/>
      <c r="J255" s="1205"/>
      <c r="K255" s="1210">
        <v>988</v>
      </c>
      <c r="L255" s="1210">
        <v>1337</v>
      </c>
      <c r="M255" s="1210">
        <v>1446</v>
      </c>
      <c r="N255" s="1209"/>
      <c r="O255" s="1209"/>
      <c r="P255" s="1209"/>
      <c r="Q255" s="1209"/>
      <c r="R255" s="1209"/>
      <c r="S255" s="1209"/>
      <c r="T255" s="1209"/>
      <c r="U255" s="1205"/>
      <c r="V255" s="1205"/>
      <c r="W255" s="1205"/>
      <c r="X255" s="1205"/>
      <c r="Y255" s="1205"/>
      <c r="Z255" s="1205"/>
      <c r="AA255" s="1205"/>
      <c r="AB255" s="1205"/>
      <c r="AC255" s="1205"/>
      <c r="AD255" s="1205"/>
      <c r="AE255" s="1205"/>
      <c r="AF255" s="1205"/>
      <c r="AG255" s="1205"/>
      <c r="AH255" s="1205"/>
      <c r="AI255" s="1205"/>
      <c r="AJ255" s="1205"/>
      <c r="AK255" s="1205"/>
      <c r="AL255" s="1205"/>
      <c r="AM255" s="1205"/>
      <c r="AN255" s="1205"/>
      <c r="AO255" s="1205"/>
      <c r="AP255" s="1205"/>
      <c r="AQ255" s="1205"/>
      <c r="AR255" s="1205"/>
      <c r="AS255" s="1205"/>
      <c r="AT255" s="1205"/>
      <c r="AU255" s="1205"/>
      <c r="AV255" s="1205"/>
      <c r="AW255" s="1205"/>
      <c r="AX255" s="1205"/>
      <c r="AY255" s="1205"/>
      <c r="AZ255" s="1205"/>
      <c r="BA255" s="1205"/>
      <c r="BB255" s="1205"/>
      <c r="BC255" s="1205"/>
      <c r="BD255" s="1205"/>
      <c r="BE255" s="1205"/>
      <c r="BF255" s="1205"/>
      <c r="BG255" s="1205"/>
      <c r="BH255" s="1205"/>
      <c r="BI255" s="1205"/>
      <c r="BJ255" s="1205"/>
      <c r="BK255" s="1205"/>
      <c r="BL255" s="1205"/>
      <c r="BM255" s="1205"/>
      <c r="BN255" s="1205"/>
      <c r="BO255" s="1205"/>
      <c r="BP255" s="1205"/>
      <c r="BQ255" s="1205"/>
      <c r="BR255" s="1205"/>
      <c r="BS255" s="1205"/>
      <c r="BT255" s="1205"/>
      <c r="BU255" s="1205"/>
      <c r="BV255" s="1205"/>
      <c r="BW255" s="1205"/>
      <c r="BX255" s="1205"/>
      <c r="BY255" s="1205"/>
      <c r="BZ255" s="1205"/>
      <c r="CA255" s="1205"/>
      <c r="CB255" s="1205"/>
      <c r="CC255" s="1205"/>
      <c r="CD255" s="1205"/>
      <c r="CE255" s="1205"/>
      <c r="CF255" s="1205"/>
      <c r="CG255" s="1205"/>
      <c r="CH255" s="1205"/>
    </row>
    <row r="256" spans="1:86" hidden="1" outlineLevel="1" x14ac:dyDescent="0.2">
      <c r="A256" s="619" t="s">
        <v>1062</v>
      </c>
      <c r="B256" s="1205"/>
      <c r="C256" s="1205"/>
      <c r="D256" s="1205"/>
      <c r="E256" s="1205"/>
      <c r="F256" s="1205"/>
      <c r="G256" s="1205"/>
      <c r="H256" s="1205"/>
      <c r="I256" s="1205"/>
      <c r="J256" s="1205"/>
      <c r="K256" s="1210">
        <v>1451</v>
      </c>
      <c r="L256" s="1210">
        <v>1463</v>
      </c>
      <c r="M256" s="1210">
        <v>2041</v>
      </c>
      <c r="N256" s="1209"/>
      <c r="O256" s="1209"/>
      <c r="P256" s="1209"/>
      <c r="Q256" s="1209"/>
      <c r="R256" s="1209"/>
      <c r="S256" s="1209"/>
      <c r="T256" s="1209"/>
      <c r="U256" s="1205"/>
      <c r="V256" s="1205"/>
      <c r="W256" s="1205"/>
      <c r="X256" s="1205"/>
      <c r="Y256" s="1205"/>
      <c r="Z256" s="1205"/>
      <c r="AA256" s="1205"/>
      <c r="AB256" s="1205"/>
      <c r="AC256" s="1205"/>
      <c r="AD256" s="1205"/>
      <c r="AE256" s="1205"/>
      <c r="AF256" s="1205"/>
      <c r="AG256" s="1205"/>
      <c r="AH256" s="1205"/>
      <c r="AI256" s="1205"/>
      <c r="AJ256" s="1205"/>
      <c r="AK256" s="1205"/>
      <c r="AL256" s="1205"/>
      <c r="AM256" s="1205"/>
      <c r="AN256" s="1205"/>
      <c r="AO256" s="1205"/>
      <c r="AP256" s="1205"/>
      <c r="AQ256" s="1205"/>
      <c r="AR256" s="1205"/>
      <c r="AS256" s="1205"/>
      <c r="AT256" s="1205"/>
      <c r="AU256" s="1205"/>
      <c r="AV256" s="1205"/>
      <c r="AW256" s="1205"/>
      <c r="AX256" s="1205"/>
      <c r="AY256" s="1205"/>
      <c r="AZ256" s="1205"/>
      <c r="BA256" s="1205"/>
      <c r="BB256" s="1205"/>
      <c r="BC256" s="1205"/>
      <c r="BD256" s="1205"/>
      <c r="BE256" s="1205"/>
      <c r="BF256" s="1205"/>
      <c r="BG256" s="1205"/>
      <c r="BH256" s="1205"/>
      <c r="BI256" s="1205"/>
      <c r="BJ256" s="1205"/>
      <c r="BK256" s="1205"/>
      <c r="BL256" s="1205"/>
      <c r="BM256" s="1205"/>
      <c r="BN256" s="1205"/>
      <c r="BO256" s="1205"/>
      <c r="BP256" s="1205"/>
      <c r="BQ256" s="1205"/>
      <c r="BR256" s="1205"/>
      <c r="BS256" s="1205"/>
      <c r="BT256" s="1205"/>
      <c r="BU256" s="1205"/>
      <c r="BV256" s="1205"/>
      <c r="BW256" s="1205"/>
      <c r="BX256" s="1205"/>
      <c r="BY256" s="1205"/>
      <c r="BZ256" s="1205"/>
      <c r="CA256" s="1205"/>
      <c r="CB256" s="1205"/>
      <c r="CC256" s="1205"/>
      <c r="CD256" s="1205"/>
      <c r="CE256" s="1205"/>
      <c r="CF256" s="1205"/>
      <c r="CG256" s="1205"/>
      <c r="CH256" s="1205"/>
    </row>
    <row r="257" spans="1:86" hidden="1" outlineLevel="1" x14ac:dyDescent="0.2">
      <c r="A257" s="619" t="s">
        <v>1063</v>
      </c>
      <c r="B257" s="1205"/>
      <c r="C257" s="1205"/>
      <c r="D257" s="1205"/>
      <c r="E257" s="1205"/>
      <c r="F257" s="1205"/>
      <c r="G257" s="1205"/>
      <c r="H257" s="1205"/>
      <c r="I257" s="1205"/>
      <c r="J257" s="1205"/>
      <c r="K257" s="1211">
        <f>K255+K256</f>
        <v>2439</v>
      </c>
      <c r="L257" s="1211">
        <f>L255+L256</f>
        <v>2800</v>
      </c>
      <c r="M257" s="1211">
        <f>M255+M256</f>
        <v>3487</v>
      </c>
      <c r="N257" s="1209"/>
      <c r="O257" s="1209"/>
      <c r="P257" s="1209"/>
      <c r="Q257" s="1209"/>
      <c r="R257" s="1209"/>
      <c r="S257" s="1209"/>
      <c r="T257" s="1209"/>
      <c r="U257" s="1205"/>
      <c r="V257" s="1205"/>
      <c r="W257" s="1205"/>
      <c r="X257" s="1205"/>
      <c r="Y257" s="1205"/>
      <c r="Z257" s="1205"/>
      <c r="AA257" s="1205"/>
      <c r="AB257" s="1205"/>
      <c r="AC257" s="1205"/>
      <c r="AD257" s="1205"/>
      <c r="AE257" s="1205"/>
      <c r="AF257" s="1205"/>
      <c r="AG257" s="1205"/>
      <c r="AH257" s="1205"/>
      <c r="AI257" s="1205"/>
      <c r="AJ257" s="1205"/>
      <c r="AK257" s="1205"/>
      <c r="AL257" s="1205"/>
      <c r="AM257" s="1205"/>
      <c r="AN257" s="1205"/>
      <c r="AO257" s="1205"/>
      <c r="AP257" s="1205"/>
      <c r="AQ257" s="1205"/>
      <c r="AR257" s="1205"/>
      <c r="AS257" s="1205"/>
      <c r="AT257" s="1205"/>
      <c r="AU257" s="1205"/>
      <c r="AV257" s="1205"/>
      <c r="AW257" s="1205"/>
      <c r="AX257" s="1205"/>
      <c r="AY257" s="1205"/>
      <c r="AZ257" s="1205"/>
      <c r="BA257" s="1205"/>
      <c r="BB257" s="1205"/>
      <c r="BC257" s="1205"/>
      <c r="BD257" s="1205"/>
      <c r="BE257" s="1205"/>
      <c r="BF257" s="1205"/>
      <c r="BG257" s="1205"/>
      <c r="BH257" s="1205"/>
      <c r="BI257" s="1205"/>
      <c r="BJ257" s="1205"/>
      <c r="BK257" s="1205"/>
      <c r="BL257" s="1205"/>
      <c r="BM257" s="1205"/>
      <c r="BN257" s="1205"/>
      <c r="BO257" s="1205"/>
      <c r="BP257" s="1205"/>
      <c r="BQ257" s="1205"/>
      <c r="BR257" s="1205"/>
      <c r="BS257" s="1205"/>
      <c r="BT257" s="1205"/>
      <c r="BU257" s="1205"/>
      <c r="BV257" s="1205"/>
      <c r="BW257" s="1205"/>
      <c r="BX257" s="1205"/>
      <c r="BY257" s="1205"/>
      <c r="BZ257" s="1205"/>
      <c r="CA257" s="1205"/>
      <c r="CB257" s="1205"/>
      <c r="CC257" s="1205"/>
      <c r="CD257" s="1205"/>
      <c r="CE257" s="1205"/>
      <c r="CF257" s="1205"/>
      <c r="CG257" s="1205"/>
      <c r="CH257" s="1205"/>
    </row>
    <row r="258" spans="1:86" hidden="1" outlineLevel="1" x14ac:dyDescent="0.2">
      <c r="A258" s="619" t="s">
        <v>739</v>
      </c>
      <c r="B258" s="1205"/>
      <c r="C258" s="1205"/>
      <c r="D258" s="1205"/>
      <c r="E258" s="1205"/>
      <c r="F258" s="1205"/>
      <c r="G258" s="1205"/>
      <c r="H258" s="1205"/>
      <c r="I258" s="1205"/>
      <c r="J258" s="1205"/>
      <c r="K258" s="1212">
        <f>K257/K215</f>
        <v>0.91041433370660696</v>
      </c>
      <c r="L258" s="1212">
        <f>L257/L215</f>
        <v>1.0178117048346056</v>
      </c>
      <c r="M258" s="1212">
        <f>M257/M215</f>
        <v>1.1090966921119594</v>
      </c>
      <c r="N258" s="1209"/>
      <c r="O258" s="1209"/>
      <c r="P258" s="1209"/>
      <c r="Q258" s="1209"/>
      <c r="R258" s="1209"/>
      <c r="S258" s="1209"/>
      <c r="T258" s="1209"/>
      <c r="U258" s="1205"/>
      <c r="V258" s="1205"/>
      <c r="W258" s="1205"/>
      <c r="X258" s="1205"/>
      <c r="Y258" s="1205"/>
      <c r="Z258" s="1205"/>
      <c r="AA258" s="1205"/>
      <c r="AB258" s="1205"/>
      <c r="AC258" s="1205"/>
      <c r="AD258" s="1205"/>
      <c r="AE258" s="1205"/>
      <c r="AF258" s="1205"/>
      <c r="AG258" s="1205"/>
      <c r="AH258" s="1205"/>
      <c r="AI258" s="1205"/>
      <c r="AJ258" s="1205"/>
      <c r="AK258" s="1205"/>
      <c r="AL258" s="1205"/>
      <c r="AM258" s="1205"/>
      <c r="AN258" s="1205"/>
      <c r="AO258" s="1205"/>
      <c r="AP258" s="1205"/>
      <c r="AQ258" s="1205"/>
      <c r="AR258" s="1205"/>
      <c r="AS258" s="1205"/>
      <c r="AT258" s="1205"/>
      <c r="AU258" s="1205"/>
      <c r="AV258" s="1205"/>
      <c r="AW258" s="1205"/>
      <c r="AX258" s="1205"/>
      <c r="AY258" s="1205"/>
      <c r="AZ258" s="1205"/>
      <c r="BA258" s="1205"/>
      <c r="BB258" s="1205"/>
      <c r="BC258" s="1205"/>
      <c r="BD258" s="1205"/>
      <c r="BE258" s="1205"/>
      <c r="BF258" s="1205"/>
      <c r="BG258" s="1205"/>
      <c r="BH258" s="1205"/>
      <c r="BI258" s="1205"/>
      <c r="BJ258" s="1205"/>
      <c r="BK258" s="1205"/>
      <c r="BL258" s="1205"/>
      <c r="BM258" s="1205"/>
      <c r="BN258" s="1205"/>
      <c r="BO258" s="1205"/>
      <c r="BP258" s="1205"/>
      <c r="BQ258" s="1205"/>
      <c r="BR258" s="1205"/>
      <c r="BS258" s="1205"/>
      <c r="BT258" s="1205"/>
      <c r="BU258" s="1205"/>
      <c r="BV258" s="1205"/>
      <c r="BW258" s="1205"/>
      <c r="BX258" s="1205"/>
      <c r="BY258" s="1205"/>
      <c r="BZ258" s="1205"/>
      <c r="CA258" s="1205"/>
      <c r="CB258" s="1205"/>
      <c r="CC258" s="1205"/>
      <c r="CD258" s="1205"/>
      <c r="CE258" s="1205"/>
      <c r="CF258" s="1205"/>
      <c r="CG258" s="1205"/>
      <c r="CH258" s="1205"/>
    </row>
    <row r="259" spans="1:86" hidden="1" outlineLevel="1" x14ac:dyDescent="0.2">
      <c r="A259" s="619" t="s">
        <v>1064</v>
      </c>
      <c r="B259" s="1205"/>
      <c r="C259" s="1205"/>
      <c r="D259" s="1205"/>
      <c r="E259" s="1205"/>
      <c r="F259" s="1205"/>
      <c r="G259" s="1205"/>
      <c r="H259" s="1205"/>
      <c r="I259" s="1205"/>
      <c r="J259" s="1205"/>
      <c r="K259" s="1210">
        <v>2095</v>
      </c>
      <c r="L259" s="1210">
        <v>2209</v>
      </c>
      <c r="M259" s="1210">
        <v>2389</v>
      </c>
      <c r="N259" s="1209"/>
      <c r="O259" s="1209"/>
      <c r="P259" s="1209"/>
      <c r="Q259" s="1209"/>
      <c r="R259" s="1209"/>
      <c r="S259" s="1209"/>
      <c r="T259" s="1209"/>
      <c r="U259" s="1205"/>
      <c r="V259" s="1205"/>
      <c r="W259" s="1205"/>
      <c r="X259" s="1205"/>
      <c r="Y259" s="1205"/>
      <c r="Z259" s="1205"/>
      <c r="AA259" s="1205"/>
      <c r="AB259" s="1205"/>
      <c r="AC259" s="1205"/>
      <c r="AD259" s="1205"/>
      <c r="AE259" s="1205"/>
      <c r="AF259" s="1205"/>
      <c r="AG259" s="1205"/>
      <c r="AH259" s="1205"/>
      <c r="AI259" s="1205"/>
      <c r="AJ259" s="1205"/>
      <c r="AK259" s="1205"/>
      <c r="AL259" s="1205"/>
      <c r="AM259" s="1205"/>
      <c r="AN259" s="1205"/>
      <c r="AO259" s="1205"/>
      <c r="AP259" s="1205"/>
      <c r="AQ259" s="1205"/>
      <c r="AR259" s="1205"/>
      <c r="AS259" s="1205"/>
      <c r="AT259" s="1205"/>
      <c r="AU259" s="1205"/>
      <c r="AV259" s="1205"/>
      <c r="AW259" s="1205"/>
      <c r="AX259" s="1205"/>
      <c r="AY259" s="1205"/>
      <c r="AZ259" s="1205"/>
      <c r="BA259" s="1205"/>
      <c r="BB259" s="1205"/>
      <c r="BC259" s="1205"/>
      <c r="BD259" s="1205"/>
      <c r="BE259" s="1205"/>
      <c r="BF259" s="1205"/>
      <c r="BG259" s="1205"/>
      <c r="BH259" s="1205"/>
      <c r="BI259" s="1205"/>
      <c r="BJ259" s="1205"/>
      <c r="BK259" s="1205"/>
      <c r="BL259" s="1205"/>
      <c r="BM259" s="1205"/>
      <c r="BN259" s="1205"/>
      <c r="BO259" s="1205"/>
      <c r="BP259" s="1205"/>
      <c r="BQ259" s="1205"/>
      <c r="BR259" s="1205"/>
      <c r="BS259" s="1205"/>
      <c r="BT259" s="1205"/>
      <c r="BU259" s="1205"/>
      <c r="BV259" s="1205"/>
      <c r="BW259" s="1205"/>
      <c r="BX259" s="1205"/>
      <c r="BY259" s="1205"/>
      <c r="BZ259" s="1205"/>
      <c r="CA259" s="1205"/>
      <c r="CB259" s="1205"/>
      <c r="CC259" s="1205"/>
      <c r="CD259" s="1205"/>
      <c r="CE259" s="1205"/>
      <c r="CF259" s="1205"/>
      <c r="CG259" s="1205"/>
      <c r="CH259" s="1205"/>
    </row>
    <row r="260" spans="1:86" hidden="1" outlineLevel="1" x14ac:dyDescent="0.2">
      <c r="A260" s="619" t="s">
        <v>1065</v>
      </c>
      <c r="B260" s="1205"/>
      <c r="C260" s="1205"/>
      <c r="D260" s="1205"/>
      <c r="E260" s="1205"/>
      <c r="F260" s="1205"/>
      <c r="G260" s="1205"/>
      <c r="H260" s="1205"/>
      <c r="I260" s="1205"/>
      <c r="J260" s="1205"/>
      <c r="K260" s="1210">
        <v>1586</v>
      </c>
      <c r="L260" s="1210">
        <v>1578</v>
      </c>
      <c r="M260" s="1210">
        <v>1902</v>
      </c>
      <c r="N260" s="1209"/>
      <c r="O260" s="1209"/>
      <c r="P260" s="1209"/>
      <c r="Q260" s="1209"/>
      <c r="R260" s="1209"/>
      <c r="S260" s="1209"/>
      <c r="T260" s="1209"/>
      <c r="U260" s="1205"/>
      <c r="V260" s="1205"/>
      <c r="W260" s="1205"/>
      <c r="X260" s="1205"/>
      <c r="Y260" s="1205"/>
      <c r="Z260" s="1205"/>
      <c r="AA260" s="1205"/>
      <c r="AB260" s="1205"/>
      <c r="AC260" s="1205"/>
      <c r="AD260" s="1205"/>
      <c r="AE260" s="1205"/>
      <c r="AF260" s="1205"/>
      <c r="AG260" s="1205"/>
      <c r="AH260" s="1205"/>
      <c r="AI260" s="1205"/>
      <c r="AJ260" s="1205"/>
      <c r="AK260" s="1205"/>
      <c r="AL260" s="1205"/>
      <c r="AM260" s="1205"/>
      <c r="AN260" s="1205"/>
      <c r="AO260" s="1205"/>
      <c r="AP260" s="1205"/>
      <c r="AQ260" s="1205"/>
      <c r="AR260" s="1205"/>
      <c r="AS260" s="1205"/>
      <c r="AT260" s="1205"/>
      <c r="AU260" s="1205"/>
      <c r="AV260" s="1205"/>
      <c r="AW260" s="1205"/>
      <c r="AX260" s="1205"/>
      <c r="AY260" s="1205"/>
      <c r="AZ260" s="1205"/>
      <c r="BA260" s="1205"/>
      <c r="BB260" s="1205"/>
      <c r="BC260" s="1205"/>
      <c r="BD260" s="1205"/>
      <c r="BE260" s="1205"/>
      <c r="BF260" s="1205"/>
      <c r="BG260" s="1205"/>
      <c r="BH260" s="1205"/>
      <c r="BI260" s="1205"/>
      <c r="BJ260" s="1205"/>
      <c r="BK260" s="1205"/>
      <c r="BL260" s="1205"/>
      <c r="BM260" s="1205"/>
      <c r="BN260" s="1205"/>
      <c r="BO260" s="1205"/>
      <c r="BP260" s="1205"/>
      <c r="BQ260" s="1205"/>
      <c r="BR260" s="1205"/>
      <c r="BS260" s="1205"/>
      <c r="BT260" s="1205"/>
      <c r="BU260" s="1205"/>
      <c r="BV260" s="1205"/>
      <c r="BW260" s="1205"/>
      <c r="BX260" s="1205"/>
      <c r="BY260" s="1205"/>
      <c r="BZ260" s="1205"/>
      <c r="CA260" s="1205"/>
      <c r="CB260" s="1205"/>
      <c r="CC260" s="1205"/>
      <c r="CD260" s="1205"/>
      <c r="CE260" s="1205"/>
      <c r="CF260" s="1205"/>
      <c r="CG260" s="1205"/>
      <c r="CH260" s="1205"/>
    </row>
    <row r="261" spans="1:86" hidden="1" outlineLevel="1" x14ac:dyDescent="0.2">
      <c r="A261" s="619" t="s">
        <v>740</v>
      </c>
      <c r="B261" s="1205"/>
      <c r="C261" s="1205"/>
      <c r="D261" s="1205"/>
      <c r="E261" s="1205"/>
      <c r="F261" s="1205"/>
      <c r="G261" s="1205"/>
      <c r="H261" s="1205"/>
      <c r="I261" s="1205"/>
      <c r="J261" s="1205"/>
      <c r="K261" s="1211">
        <f>K259+K260</f>
        <v>3681</v>
      </c>
      <c r="L261" s="1211">
        <f>L259+L260</f>
        <v>3787</v>
      </c>
      <c r="M261" s="1211">
        <f>M259+M260</f>
        <v>4291</v>
      </c>
      <c r="N261" s="1209"/>
      <c r="O261" s="1209"/>
      <c r="P261" s="1209"/>
      <c r="Q261" s="1209"/>
      <c r="R261" s="1209"/>
      <c r="S261" s="1209"/>
      <c r="T261" s="1209"/>
      <c r="U261" s="1205"/>
      <c r="V261" s="1205"/>
      <c r="W261" s="1205"/>
      <c r="X261" s="1205"/>
      <c r="Y261" s="1205"/>
      <c r="Z261" s="1205"/>
      <c r="AA261" s="1205"/>
      <c r="AB261" s="1205"/>
      <c r="AC261" s="1205"/>
      <c r="AD261" s="1205"/>
      <c r="AE261" s="1205"/>
      <c r="AF261" s="1205"/>
      <c r="AG261" s="1205"/>
      <c r="AH261" s="1205"/>
      <c r="AI261" s="1205"/>
      <c r="AJ261" s="1205"/>
      <c r="AK261" s="1205"/>
      <c r="AL261" s="1205"/>
      <c r="AM261" s="1205"/>
      <c r="AN261" s="1205"/>
      <c r="AO261" s="1205"/>
      <c r="AP261" s="1205"/>
      <c r="AQ261" s="1205"/>
      <c r="AR261" s="1205"/>
      <c r="AS261" s="1205"/>
      <c r="AT261" s="1205"/>
      <c r="AU261" s="1205"/>
      <c r="AV261" s="1205"/>
      <c r="AW261" s="1205"/>
      <c r="AX261" s="1205"/>
      <c r="AY261" s="1205"/>
      <c r="AZ261" s="1205"/>
      <c r="BA261" s="1205"/>
      <c r="BB261" s="1205"/>
      <c r="BC261" s="1205"/>
      <c r="BD261" s="1205"/>
      <c r="BE261" s="1205"/>
      <c r="BF261" s="1205"/>
      <c r="BG261" s="1205"/>
      <c r="BH261" s="1205"/>
      <c r="BI261" s="1205"/>
      <c r="BJ261" s="1205"/>
      <c r="BK261" s="1205"/>
      <c r="BL261" s="1205"/>
      <c r="BM261" s="1205"/>
      <c r="BN261" s="1205"/>
      <c r="BO261" s="1205"/>
      <c r="BP261" s="1205"/>
      <c r="BQ261" s="1205"/>
      <c r="BR261" s="1205"/>
      <c r="BS261" s="1205"/>
      <c r="BT261" s="1205"/>
      <c r="BU261" s="1205"/>
      <c r="BV261" s="1205"/>
      <c r="BW261" s="1205"/>
      <c r="BX261" s="1205"/>
      <c r="BY261" s="1205"/>
      <c r="BZ261" s="1205"/>
      <c r="CA261" s="1205"/>
      <c r="CB261" s="1205"/>
      <c r="CC261" s="1205"/>
      <c r="CD261" s="1205"/>
      <c r="CE261" s="1205"/>
      <c r="CF261" s="1205"/>
      <c r="CG261" s="1205"/>
      <c r="CH261" s="1205"/>
    </row>
    <row r="262" spans="1:86" hidden="1" outlineLevel="1" x14ac:dyDescent="0.2">
      <c r="A262" s="619"/>
      <c r="B262" s="1205"/>
      <c r="C262" s="1205"/>
      <c r="D262" s="1205"/>
      <c r="E262" s="1205"/>
      <c r="F262" s="1205"/>
      <c r="G262" s="1205"/>
      <c r="H262" s="1205"/>
      <c r="I262" s="1205"/>
      <c r="J262" s="1205"/>
      <c r="K262" s="1205"/>
      <c r="L262" s="1205"/>
      <c r="M262" s="1209"/>
      <c r="N262" s="1209"/>
      <c r="O262" s="1209"/>
      <c r="P262" s="1209"/>
      <c r="Q262" s="1209"/>
      <c r="R262" s="1209"/>
      <c r="S262" s="1209"/>
      <c r="T262" s="1209"/>
      <c r="U262" s="1205"/>
      <c r="V262" s="1205"/>
      <c r="W262" s="1205"/>
      <c r="X262" s="1205"/>
      <c r="Y262" s="1205"/>
      <c r="Z262" s="1205"/>
      <c r="AA262" s="1205"/>
      <c r="AB262" s="1205"/>
      <c r="AC262" s="1205"/>
      <c r="AD262" s="1205"/>
      <c r="AE262" s="1205"/>
      <c r="AF262" s="1205"/>
      <c r="AG262" s="1205"/>
      <c r="AH262" s="1205"/>
      <c r="AI262" s="1205"/>
      <c r="AJ262" s="1205"/>
      <c r="AK262" s="1205"/>
      <c r="AL262" s="1205"/>
      <c r="AM262" s="1205"/>
      <c r="AN262" s="1205"/>
      <c r="AO262" s="1205"/>
      <c r="AP262" s="1205"/>
      <c r="AQ262" s="1205"/>
      <c r="AR262" s="1205"/>
      <c r="AS262" s="1205"/>
      <c r="AT262" s="1205"/>
      <c r="AU262" s="1205"/>
      <c r="AV262" s="1205"/>
      <c r="AW262" s="1205"/>
      <c r="AX262" s="1205"/>
      <c r="AY262" s="1205"/>
      <c r="AZ262" s="1205"/>
      <c r="BA262" s="1205"/>
      <c r="BB262" s="1205"/>
      <c r="BC262" s="1205"/>
      <c r="BD262" s="1205"/>
      <c r="BE262" s="1205"/>
      <c r="BF262" s="1205"/>
      <c r="BG262" s="1205"/>
      <c r="BH262" s="1205"/>
      <c r="BI262" s="1205"/>
      <c r="BJ262" s="1205"/>
      <c r="BK262" s="1205"/>
      <c r="BL262" s="1205"/>
      <c r="BM262" s="1205"/>
      <c r="BN262" s="1205"/>
      <c r="BO262" s="1205"/>
      <c r="BP262" s="1205"/>
      <c r="BQ262" s="1205"/>
      <c r="BR262" s="1205"/>
      <c r="BS262" s="1205"/>
      <c r="BT262" s="1205"/>
      <c r="BU262" s="1205"/>
      <c r="BV262" s="1205"/>
      <c r="BW262" s="1205"/>
      <c r="BX262" s="1205"/>
      <c r="BY262" s="1205"/>
      <c r="BZ262" s="1205"/>
      <c r="CA262" s="1205"/>
      <c r="CB262" s="1205"/>
      <c r="CC262" s="1205"/>
      <c r="CD262" s="1205"/>
      <c r="CE262" s="1205"/>
      <c r="CF262" s="1205"/>
      <c r="CG262" s="1205"/>
      <c r="CH262" s="1205"/>
    </row>
    <row r="263" spans="1:86" hidden="1" outlineLevel="1" x14ac:dyDescent="0.2">
      <c r="A263" s="628" t="s">
        <v>745</v>
      </c>
      <c r="B263" s="454"/>
      <c r="C263" s="454"/>
      <c r="D263" s="454"/>
      <c r="E263" s="454"/>
      <c r="F263" s="454"/>
      <c r="G263" s="454"/>
      <c r="H263" s="454"/>
      <c r="I263" s="454"/>
      <c r="J263" s="630"/>
      <c r="K263" s="631"/>
      <c r="L263" s="632"/>
      <c r="M263" s="631"/>
      <c r="N263" s="631"/>
      <c r="O263" s="631"/>
      <c r="P263" s="631"/>
      <c r="Q263" s="631"/>
      <c r="R263" s="631"/>
      <c r="S263" s="631"/>
      <c r="T263" s="631"/>
      <c r="U263" s="631"/>
      <c r="V263" s="631"/>
      <c r="W263" s="631"/>
      <c r="X263" s="631"/>
      <c r="Y263" s="631"/>
      <c r="Z263" s="631"/>
      <c r="AA263" s="631"/>
      <c r="AB263" s="631"/>
      <c r="AC263" s="631"/>
      <c r="AD263" s="631"/>
      <c r="AE263" s="631"/>
      <c r="AF263" s="631"/>
      <c r="AG263" s="631"/>
      <c r="AH263" s="631"/>
      <c r="AI263" s="631"/>
      <c r="AJ263" s="631"/>
      <c r="AK263" s="631"/>
      <c r="AL263" s="631"/>
      <c r="AM263" s="631"/>
      <c r="AN263" s="631"/>
      <c r="AO263" s="631"/>
      <c r="AP263" s="631"/>
      <c r="AQ263" s="631"/>
      <c r="AR263" s="631"/>
      <c r="AS263" s="631"/>
      <c r="AT263" s="631"/>
      <c r="AU263" s="631"/>
      <c r="AV263" s="631"/>
      <c r="AW263" s="631"/>
      <c r="AX263" s="631"/>
      <c r="AY263" s="631"/>
      <c r="AZ263" s="631"/>
      <c r="BA263" s="631"/>
      <c r="BB263" s="631"/>
      <c r="BC263" s="631"/>
      <c r="BD263" s="631"/>
      <c r="BE263" s="631"/>
      <c r="BF263" s="631"/>
      <c r="BG263" s="631"/>
      <c r="BH263" s="631"/>
      <c r="BI263" s="631"/>
      <c r="BJ263" s="631"/>
      <c r="BK263" s="631"/>
      <c r="BL263" s="631"/>
      <c r="BM263" s="631"/>
      <c r="BN263" s="631"/>
      <c r="BO263" s="631"/>
      <c r="BP263" s="631"/>
      <c r="BQ263" s="631"/>
      <c r="BR263" s="631"/>
      <c r="BS263" s="631"/>
      <c r="BT263" s="631"/>
      <c r="BU263" s="631"/>
      <c r="BV263" s="631"/>
      <c r="BW263" s="631"/>
      <c r="BX263" s="631"/>
      <c r="BY263" s="631"/>
      <c r="BZ263" s="631"/>
      <c r="CA263" s="631"/>
      <c r="CB263" s="631"/>
      <c r="CC263" s="631"/>
      <c r="CD263" s="631"/>
      <c r="CE263" s="631"/>
      <c r="CF263" s="631"/>
      <c r="CG263" s="631"/>
      <c r="CH263" s="631"/>
    </row>
    <row r="264" spans="1:86" hidden="1" outlineLevel="1" x14ac:dyDescent="0.2">
      <c r="A264" s="636"/>
      <c r="B264" s="186"/>
      <c r="C264" s="186"/>
      <c r="D264" s="186"/>
      <c r="E264" s="186"/>
      <c r="F264" s="186"/>
      <c r="G264" s="186"/>
      <c r="H264" s="186"/>
      <c r="I264" s="186"/>
      <c r="J264" s="462"/>
      <c r="K264" s="580"/>
      <c r="L264" s="272"/>
      <c r="M264" s="580"/>
      <c r="N264" s="580"/>
      <c r="O264" s="580"/>
      <c r="P264" s="580"/>
      <c r="Q264" s="580"/>
      <c r="R264" s="580"/>
    </row>
    <row r="265" spans="1:86" hidden="1" outlineLevel="1" x14ac:dyDescent="0.2">
      <c r="A265" s="219" t="s">
        <v>1066</v>
      </c>
      <c r="B265" s="1213"/>
      <c r="C265" s="1213"/>
      <c r="D265" s="1213"/>
      <c r="E265" s="1213"/>
      <c r="F265" s="1213"/>
      <c r="G265" s="1213"/>
      <c r="H265" s="1181"/>
      <c r="I265" s="1172"/>
      <c r="J265" s="1172"/>
      <c r="K265" s="1172"/>
      <c r="L265" s="1172"/>
      <c r="M265" s="1172"/>
      <c r="N265" s="1172"/>
      <c r="O265" s="1172"/>
      <c r="P265" s="1172"/>
      <c r="Q265" s="1172"/>
      <c r="R265" s="1172"/>
    </row>
    <row r="266" spans="1:86" hidden="1" outlineLevel="1" x14ac:dyDescent="0.2">
      <c r="A266" s="619" t="s">
        <v>1067</v>
      </c>
      <c r="B266" s="1213"/>
      <c r="C266" s="1213"/>
      <c r="D266" s="1213"/>
      <c r="E266" s="1213"/>
      <c r="F266" s="1214"/>
      <c r="G266" s="1214">
        <v>594</v>
      </c>
      <c r="H266" s="1214">
        <v>852</v>
      </c>
      <c r="I266" s="1214">
        <f>915+112</f>
        <v>1027</v>
      </c>
      <c r="J266" s="1214">
        <f>939+107</f>
        <v>1046</v>
      </c>
      <c r="K266" s="1215">
        <f>806+106</f>
        <v>912</v>
      </c>
      <c r="L266" s="1215">
        <f>790+127</f>
        <v>917</v>
      </c>
      <c r="M266" s="1215">
        <f>802+134</f>
        <v>936</v>
      </c>
      <c r="N266" s="1215">
        <f>799+111</f>
        <v>910</v>
      </c>
      <c r="O266" s="1215">
        <f>887+123</f>
        <v>1010</v>
      </c>
      <c r="P266" s="1215">
        <f>863+122</f>
        <v>985</v>
      </c>
      <c r="Q266" s="1215">
        <f>921+117</f>
        <v>1038</v>
      </c>
      <c r="R266" s="1215"/>
    </row>
    <row r="267" spans="1:86" hidden="1" outlineLevel="1" x14ac:dyDescent="0.2">
      <c r="A267" s="619" t="s">
        <v>1068</v>
      </c>
      <c r="B267" s="1213"/>
      <c r="C267" s="1213"/>
      <c r="D267" s="1213"/>
      <c r="E267" s="1213"/>
      <c r="F267" s="1214"/>
      <c r="G267" s="1214">
        <v>184</v>
      </c>
      <c r="H267" s="1214">
        <v>203</v>
      </c>
      <c r="I267" s="1214">
        <v>227</v>
      </c>
      <c r="J267" s="1214">
        <v>257</v>
      </c>
      <c r="K267" s="1215">
        <v>282</v>
      </c>
      <c r="L267" s="1215">
        <v>300</v>
      </c>
      <c r="M267" s="1215">
        <v>326</v>
      </c>
      <c r="N267" s="1215">
        <v>325</v>
      </c>
      <c r="O267" s="1215">
        <v>333</v>
      </c>
      <c r="P267" s="1215">
        <v>330</v>
      </c>
      <c r="Q267" s="1215">
        <v>346</v>
      </c>
      <c r="R267" s="1215"/>
    </row>
    <row r="268" spans="1:86" hidden="1" outlineLevel="1" x14ac:dyDescent="0.2">
      <c r="A268" s="619" t="s">
        <v>1069</v>
      </c>
      <c r="B268" s="1213"/>
      <c r="C268" s="1213"/>
      <c r="D268" s="1213"/>
      <c r="E268" s="1213"/>
      <c r="F268" s="1216"/>
      <c r="G268" s="58"/>
      <c r="H268" s="58"/>
      <c r="I268" s="58">
        <f t="shared" ref="I268:Q268" si="87">I212-I266-I267</f>
        <v>10</v>
      </c>
      <c r="J268" s="58">
        <f t="shared" si="87"/>
        <v>12</v>
      </c>
      <c r="K268" s="58">
        <f t="shared" si="87"/>
        <v>3</v>
      </c>
      <c r="L268" s="58">
        <f t="shared" si="87"/>
        <v>4</v>
      </c>
      <c r="M268" s="58">
        <f t="shared" si="87"/>
        <v>4</v>
      </c>
      <c r="N268" s="58">
        <f t="shared" si="87"/>
        <v>3</v>
      </c>
      <c r="O268" s="58">
        <f t="shared" si="87"/>
        <v>2</v>
      </c>
      <c r="P268" s="58">
        <f t="shared" si="87"/>
        <v>1</v>
      </c>
      <c r="Q268" s="58">
        <f t="shared" si="87"/>
        <v>2</v>
      </c>
      <c r="R268" s="58"/>
    </row>
    <row r="269" spans="1:86" hidden="1" outlineLevel="1" x14ac:dyDescent="0.2">
      <c r="A269" s="619"/>
      <c r="B269" s="1213"/>
      <c r="C269" s="1213"/>
      <c r="D269" s="1213"/>
      <c r="E269" s="1213"/>
      <c r="F269" s="1216"/>
      <c r="G269" s="58"/>
      <c r="H269" s="58"/>
      <c r="I269" s="58"/>
      <c r="J269" s="58"/>
      <c r="K269" s="58"/>
      <c r="L269" s="58"/>
      <c r="M269" s="58"/>
      <c r="N269" s="58"/>
      <c r="O269" s="58"/>
      <c r="P269" s="58"/>
      <c r="Q269" s="58"/>
      <c r="R269" s="58"/>
    </row>
    <row r="270" spans="1:86" hidden="1" outlineLevel="1" x14ac:dyDescent="0.2">
      <c r="A270" s="619" t="s">
        <v>1070</v>
      </c>
      <c r="B270" s="1213"/>
      <c r="C270" s="1213"/>
      <c r="D270" s="1213"/>
      <c r="E270" s="1213"/>
      <c r="F270" s="1214"/>
      <c r="G270" s="1214">
        <v>774</v>
      </c>
      <c r="H270" s="1214">
        <v>750</v>
      </c>
      <c r="I270" s="1214">
        <f>947+8</f>
        <v>955</v>
      </c>
      <c r="J270" s="1214">
        <f>1212+13</f>
        <v>1225</v>
      </c>
      <c r="K270" s="1215">
        <f>1167+17</f>
        <v>1184</v>
      </c>
      <c r="L270" s="1215">
        <f>1209+6</f>
        <v>1215</v>
      </c>
      <c r="M270" s="1215">
        <f>1496+22</f>
        <v>1518</v>
      </c>
      <c r="N270" s="58"/>
      <c r="O270" s="58"/>
      <c r="P270" s="58"/>
      <c r="Q270" s="58"/>
      <c r="R270" s="58"/>
    </row>
    <row r="271" spans="1:86" hidden="1" outlineLevel="1" x14ac:dyDescent="0.2">
      <c r="A271" s="619" t="s">
        <v>1071</v>
      </c>
      <c r="B271" s="1213"/>
      <c r="C271" s="1213"/>
      <c r="D271" s="1213"/>
      <c r="E271" s="1213"/>
      <c r="F271" s="1214"/>
      <c r="G271" s="1214">
        <v>102</v>
      </c>
      <c r="H271" s="1214">
        <v>262</v>
      </c>
      <c r="I271" s="1214">
        <v>280</v>
      </c>
      <c r="J271" s="1214">
        <v>293</v>
      </c>
      <c r="K271" s="1215">
        <v>292</v>
      </c>
      <c r="L271" s="1215">
        <v>307</v>
      </c>
      <c r="M271" s="1215">
        <v>355</v>
      </c>
      <c r="N271" s="58"/>
      <c r="O271" s="58"/>
      <c r="P271" s="58"/>
      <c r="Q271" s="58"/>
      <c r="R271" s="58"/>
    </row>
    <row r="272" spans="1:86" hidden="1" outlineLevel="1" x14ac:dyDescent="0.2">
      <c r="A272" s="619" t="s">
        <v>1072</v>
      </c>
      <c r="B272" s="1213"/>
      <c r="C272" s="1213"/>
      <c r="D272" s="1213"/>
      <c r="E272" s="1213"/>
      <c r="F272" s="1216"/>
      <c r="G272" s="58"/>
      <c r="H272" s="58"/>
      <c r="I272" s="58">
        <f>I213-I270-I271</f>
        <v>14</v>
      </c>
      <c r="J272" s="58">
        <f>J213-J270-J271</f>
        <v>28</v>
      </c>
      <c r="K272" s="58">
        <f>K213-K270-K271</f>
        <v>6</v>
      </c>
      <c r="L272" s="58">
        <f>L213-L270-L271</f>
        <v>8</v>
      </c>
      <c r="M272" s="58">
        <f>M213-M270-M271</f>
        <v>5</v>
      </c>
      <c r="N272" s="58"/>
      <c r="O272" s="1217"/>
      <c r="P272" s="1217"/>
      <c r="Q272" s="1217"/>
      <c r="R272" s="1217"/>
    </row>
    <row r="273" spans="1:18" hidden="1" outlineLevel="1" x14ac:dyDescent="0.2">
      <c r="A273" s="186" t="s">
        <v>100</v>
      </c>
      <c r="B273" s="1213"/>
      <c r="C273" s="1213"/>
      <c r="D273" s="1213"/>
      <c r="E273" s="1213"/>
      <c r="F273" s="1218">
        <f t="shared" ref="F273:Q273" si="88">F215</f>
        <v>1021</v>
      </c>
      <c r="G273" s="1218">
        <f t="shared" si="88"/>
        <v>1061</v>
      </c>
      <c r="H273" s="1218">
        <f t="shared" si="88"/>
        <v>2281</v>
      </c>
      <c r="I273" s="1218">
        <f t="shared" si="88"/>
        <v>2513</v>
      </c>
      <c r="J273" s="1218">
        <f t="shared" si="88"/>
        <v>2861</v>
      </c>
      <c r="K273" s="1218">
        <f t="shared" si="88"/>
        <v>2679</v>
      </c>
      <c r="L273" s="1218">
        <f t="shared" si="88"/>
        <v>2751</v>
      </c>
      <c r="M273" s="1218">
        <f t="shared" si="88"/>
        <v>3144</v>
      </c>
      <c r="N273" s="1218">
        <f t="shared" si="88"/>
        <v>1238</v>
      </c>
      <c r="O273" s="1218">
        <f t="shared" si="88"/>
        <v>1345</v>
      </c>
      <c r="P273" s="1218">
        <f t="shared" si="88"/>
        <v>1316</v>
      </c>
      <c r="Q273" s="1218">
        <f t="shared" si="88"/>
        <v>1386</v>
      </c>
      <c r="R273" s="1218"/>
    </row>
    <row r="274" spans="1:18" hidden="1" outlineLevel="1" x14ac:dyDescent="0.2">
      <c r="A274" s="616"/>
      <c r="B274" s="1213"/>
      <c r="C274" s="1213"/>
      <c r="D274" s="1213"/>
      <c r="E274" s="1213"/>
      <c r="F274" s="1213"/>
      <c r="G274" s="1213"/>
      <c r="H274" s="1181"/>
      <c r="I274" s="1172"/>
      <c r="J274" s="1172"/>
      <c r="K274" s="1172"/>
      <c r="L274" s="1172"/>
      <c r="M274" s="1172"/>
      <c r="N274" s="1172"/>
      <c r="O274" s="1172"/>
      <c r="P274" s="1172"/>
      <c r="Q274" s="1172"/>
      <c r="R274" s="1172"/>
    </row>
    <row r="275" spans="1:18" hidden="1" outlineLevel="1" x14ac:dyDescent="0.2">
      <c r="A275" s="219" t="s">
        <v>1073</v>
      </c>
      <c r="B275" s="46"/>
      <c r="C275" s="1193"/>
      <c r="D275" s="1193"/>
      <c r="E275" s="1193"/>
      <c r="F275" s="1193"/>
      <c r="G275" s="1193"/>
      <c r="H275" s="46"/>
      <c r="I275" s="46"/>
      <c r="J275" s="46"/>
      <c r="K275" s="46"/>
      <c r="L275" s="46"/>
      <c r="M275" s="46"/>
      <c r="N275" s="46"/>
      <c r="O275" s="46"/>
      <c r="P275" s="46"/>
      <c r="Q275" s="46"/>
      <c r="R275" s="46"/>
    </row>
    <row r="276" spans="1:18" hidden="1" outlineLevel="1" x14ac:dyDescent="0.2">
      <c r="A276" s="619" t="s">
        <v>1074</v>
      </c>
      <c r="B276" s="46"/>
      <c r="C276" s="1193"/>
      <c r="D276" s="1193"/>
      <c r="E276" s="1193"/>
      <c r="F276" s="1193">
        <f>(543+638)/F215</f>
        <v>1.1567091087169441</v>
      </c>
      <c r="G276" s="1193">
        <f t="shared" ref="G276:Q276" si="89">(G266+G270)/G215</f>
        <v>1.289349670122526</v>
      </c>
      <c r="H276" s="1193">
        <f t="shared" si="89"/>
        <v>0.70232354230600613</v>
      </c>
      <c r="I276" s="1193">
        <f t="shared" si="89"/>
        <v>0.78869876641464387</v>
      </c>
      <c r="J276" s="1193">
        <f t="shared" si="89"/>
        <v>0.79377839916113246</v>
      </c>
      <c r="K276" s="1193">
        <f t="shared" si="89"/>
        <v>0.78238148562896603</v>
      </c>
      <c r="L276" s="1193">
        <f t="shared" si="89"/>
        <v>0.77499091239549256</v>
      </c>
      <c r="M276" s="1193">
        <f t="shared" si="89"/>
        <v>0.78053435114503822</v>
      </c>
      <c r="N276" s="1193">
        <f t="shared" si="89"/>
        <v>0.73505654281098542</v>
      </c>
      <c r="O276" s="1193">
        <f t="shared" si="89"/>
        <v>0.75092936802973975</v>
      </c>
      <c r="P276" s="1193">
        <f t="shared" si="89"/>
        <v>0.74848024316109418</v>
      </c>
      <c r="Q276" s="1193">
        <f t="shared" si="89"/>
        <v>0.74891774891774887</v>
      </c>
      <c r="R276" s="1193"/>
    </row>
    <row r="277" spans="1:18" hidden="1" outlineLevel="1" x14ac:dyDescent="0.2">
      <c r="A277" s="619" t="s">
        <v>1075</v>
      </c>
      <c r="B277" s="46"/>
      <c r="C277" s="1193"/>
      <c r="D277" s="1193"/>
      <c r="E277" s="1193"/>
      <c r="F277" s="1193">
        <f>(47+167+259+42)/F215</f>
        <v>0.5044074436826641</v>
      </c>
      <c r="G277" s="1193">
        <f t="shared" ref="G277:Q277" si="90">(G267+G271)/G215</f>
        <v>0.2695570216776626</v>
      </c>
      <c r="H277" s="1193">
        <f t="shared" si="90"/>
        <v>0.20385795703638754</v>
      </c>
      <c r="I277" s="1193">
        <f t="shared" si="90"/>
        <v>0.20175089534421012</v>
      </c>
      <c r="J277" s="1193">
        <f t="shared" si="90"/>
        <v>0.19224047535826633</v>
      </c>
      <c r="K277" s="1193">
        <f t="shared" si="90"/>
        <v>0.21425905188503172</v>
      </c>
      <c r="L277" s="1193">
        <f t="shared" si="90"/>
        <v>0.22064703744093056</v>
      </c>
      <c r="M277" s="1193">
        <f t="shared" si="90"/>
        <v>0.21660305343511452</v>
      </c>
      <c r="N277" s="1193">
        <f t="shared" si="90"/>
        <v>0.26252019386106623</v>
      </c>
      <c r="O277" s="1193">
        <f t="shared" si="90"/>
        <v>0.24758364312267658</v>
      </c>
      <c r="P277" s="1193">
        <f t="shared" si="90"/>
        <v>0.25075987841945291</v>
      </c>
      <c r="Q277" s="1193">
        <f t="shared" si="90"/>
        <v>0.24963924963924963</v>
      </c>
      <c r="R277" s="1193"/>
    </row>
    <row r="278" spans="1:18" hidden="1" outlineLevel="1" x14ac:dyDescent="0.2">
      <c r="A278" s="619" t="s">
        <v>265</v>
      </c>
      <c r="B278" s="46"/>
      <c r="C278" s="1193"/>
      <c r="D278" s="1193"/>
      <c r="E278" s="1193"/>
      <c r="F278" s="1193">
        <f>F214/F215</f>
        <v>-0.6611165523996082</v>
      </c>
      <c r="G278" s="1193">
        <f t="shared" ref="G278:Q278" si="91">G268/G215</f>
        <v>0</v>
      </c>
      <c r="H278" s="1193">
        <f t="shared" si="91"/>
        <v>0</v>
      </c>
      <c r="I278" s="1193">
        <f t="shared" si="91"/>
        <v>3.9793076004775172E-3</v>
      </c>
      <c r="J278" s="1193">
        <f t="shared" si="91"/>
        <v>4.1943376441803569E-3</v>
      </c>
      <c r="K278" s="1193">
        <f t="shared" si="91"/>
        <v>1.1198208286674132E-3</v>
      </c>
      <c r="L278" s="1193">
        <f t="shared" si="91"/>
        <v>1.4540167211922936E-3</v>
      </c>
      <c r="M278" s="1193">
        <f t="shared" si="91"/>
        <v>1.2722646310432571E-3</v>
      </c>
      <c r="N278" s="1193">
        <f t="shared" si="91"/>
        <v>2.4232633279483036E-3</v>
      </c>
      <c r="O278" s="1193">
        <f t="shared" si="91"/>
        <v>1.4869888475836431E-3</v>
      </c>
      <c r="P278" s="1193">
        <f t="shared" si="91"/>
        <v>7.5987841945288754E-4</v>
      </c>
      <c r="Q278" s="1193">
        <f t="shared" si="91"/>
        <v>1.443001443001443E-3</v>
      </c>
      <c r="R278" s="1193"/>
    </row>
    <row r="279" spans="1:18" hidden="1" outlineLevel="1" x14ac:dyDescent="0.2">
      <c r="A279" s="619" t="s">
        <v>1076</v>
      </c>
      <c r="B279" s="46"/>
      <c r="C279" s="1193"/>
      <c r="D279" s="1193"/>
      <c r="E279" s="1193"/>
      <c r="F279" s="1193">
        <f t="shared" ref="F279:Q279" si="92">SUM(F276:F278)</f>
        <v>0.99999999999999989</v>
      </c>
      <c r="G279" s="1193">
        <f t="shared" si="92"/>
        <v>1.5589066918001886</v>
      </c>
      <c r="H279" s="1193">
        <f t="shared" si="92"/>
        <v>0.90618149934239367</v>
      </c>
      <c r="I279" s="1193">
        <f t="shared" si="92"/>
        <v>0.99442896935933145</v>
      </c>
      <c r="J279" s="1193">
        <f t="shared" si="92"/>
        <v>0.99021321216357905</v>
      </c>
      <c r="K279" s="1193">
        <f t="shared" si="92"/>
        <v>0.99776035834266519</v>
      </c>
      <c r="L279" s="1193">
        <f t="shared" si="92"/>
        <v>0.99709196655761545</v>
      </c>
      <c r="M279" s="1193">
        <f t="shared" si="92"/>
        <v>0.998409669211196</v>
      </c>
      <c r="N279" s="1193">
        <f t="shared" si="92"/>
        <v>0.99999999999999989</v>
      </c>
      <c r="O279" s="1193">
        <f t="shared" si="92"/>
        <v>1</v>
      </c>
      <c r="P279" s="1193">
        <f t="shared" si="92"/>
        <v>1</v>
      </c>
      <c r="Q279" s="1193">
        <f t="shared" si="92"/>
        <v>1</v>
      </c>
      <c r="R279" s="1193"/>
    </row>
    <row r="280" spans="1:18" hidden="1" outlineLevel="1" x14ac:dyDescent="0.2">
      <c r="A280" s="619"/>
      <c r="B280" s="46"/>
      <c r="C280" s="1193"/>
      <c r="D280" s="1193"/>
      <c r="E280" s="1193"/>
      <c r="F280" s="1193"/>
      <c r="G280" s="1193"/>
      <c r="H280" s="1193"/>
      <c r="I280" s="1193"/>
      <c r="J280" s="1219"/>
      <c r="K280" s="1219"/>
      <c r="L280" s="1219"/>
      <c r="M280" s="1219"/>
      <c r="N280" s="1219"/>
      <c r="O280" s="1219"/>
      <c r="P280" s="1219"/>
      <c r="Q280" s="1219"/>
      <c r="R280" s="1219"/>
    </row>
    <row r="281" spans="1:18" hidden="1" outlineLevel="1" x14ac:dyDescent="0.2">
      <c r="A281" s="219" t="s">
        <v>1077</v>
      </c>
      <c r="B281" s="46"/>
      <c r="C281" s="1193"/>
      <c r="D281" s="1193"/>
      <c r="E281" s="1193"/>
      <c r="F281" s="1193"/>
      <c r="G281" s="1193"/>
      <c r="H281" s="1193"/>
      <c r="I281" s="1193"/>
      <c r="J281" s="1219"/>
      <c r="K281" s="1219"/>
      <c r="L281" s="1219"/>
      <c r="M281" s="1219"/>
      <c r="N281" s="1219"/>
      <c r="O281" s="1219"/>
      <c r="P281" s="1219"/>
      <c r="Q281" s="1219"/>
      <c r="R281" s="1219"/>
    </row>
    <row r="282" spans="1:18" hidden="1" outlineLevel="1" x14ac:dyDescent="0.2">
      <c r="A282" s="619" t="s">
        <v>1074</v>
      </c>
      <c r="B282" s="46"/>
      <c r="C282" s="1193"/>
      <c r="D282" s="1193"/>
      <c r="E282" s="1193"/>
      <c r="F282" s="1193"/>
      <c r="G282" s="1193">
        <f t="shared" ref="G282:Q282" si="93">G266/G212</f>
        <v>0.580078125</v>
      </c>
      <c r="H282" s="1193">
        <f t="shared" si="93"/>
        <v>0.69381107491856675</v>
      </c>
      <c r="I282" s="1193">
        <f t="shared" si="93"/>
        <v>0.8125</v>
      </c>
      <c r="J282" s="1193">
        <f t="shared" si="93"/>
        <v>0.79543726235741441</v>
      </c>
      <c r="K282" s="1193">
        <f t="shared" si="93"/>
        <v>0.76190476190476186</v>
      </c>
      <c r="L282" s="1193">
        <f t="shared" si="93"/>
        <v>0.75102375102375107</v>
      </c>
      <c r="M282" s="1193">
        <f t="shared" si="93"/>
        <v>0.73933649289099523</v>
      </c>
      <c r="N282" s="1193">
        <f t="shared" si="93"/>
        <v>0.73505654281098542</v>
      </c>
      <c r="O282" s="1193">
        <f t="shared" si="93"/>
        <v>0.75092936802973975</v>
      </c>
      <c r="P282" s="1193">
        <f t="shared" si="93"/>
        <v>0.74848024316109418</v>
      </c>
      <c r="Q282" s="1193">
        <f t="shared" si="93"/>
        <v>0.74891774891774887</v>
      </c>
      <c r="R282" s="1193"/>
    </row>
    <row r="283" spans="1:18" hidden="1" outlineLevel="1" x14ac:dyDescent="0.2">
      <c r="A283" s="619" t="s">
        <v>1075</v>
      </c>
      <c r="B283" s="46"/>
      <c r="C283" s="1193"/>
      <c r="D283" s="1193"/>
      <c r="E283" s="1193"/>
      <c r="F283" s="1193"/>
      <c r="G283" s="1193">
        <f t="shared" ref="G283:Q283" si="94">G267/G212</f>
        <v>0.1796875</v>
      </c>
      <c r="H283" s="1193">
        <f t="shared" si="94"/>
        <v>0.16530944625407165</v>
      </c>
      <c r="I283" s="1193">
        <f t="shared" si="94"/>
        <v>0.17958860759493672</v>
      </c>
      <c r="J283" s="1193">
        <f t="shared" si="94"/>
        <v>0.19543726235741446</v>
      </c>
      <c r="K283" s="1193">
        <f t="shared" si="94"/>
        <v>0.23558897243107768</v>
      </c>
      <c r="L283" s="1193">
        <f t="shared" si="94"/>
        <v>0.24570024570024571</v>
      </c>
      <c r="M283" s="1193">
        <f t="shared" si="94"/>
        <v>0.25750394944707738</v>
      </c>
      <c r="N283" s="1193">
        <f t="shared" si="94"/>
        <v>0.26252019386106623</v>
      </c>
      <c r="O283" s="1193">
        <f t="shared" si="94"/>
        <v>0.24758364312267658</v>
      </c>
      <c r="P283" s="1193">
        <f t="shared" si="94"/>
        <v>0.25075987841945291</v>
      </c>
      <c r="Q283" s="1193">
        <f t="shared" si="94"/>
        <v>0.24963924963924963</v>
      </c>
      <c r="R283" s="1193"/>
    </row>
    <row r="284" spans="1:18" hidden="1" outlineLevel="1" x14ac:dyDescent="0.2">
      <c r="A284" s="619" t="s">
        <v>265</v>
      </c>
      <c r="B284" s="46"/>
      <c r="C284" s="1193"/>
      <c r="D284" s="1193"/>
      <c r="E284" s="1193"/>
      <c r="F284" s="1193"/>
      <c r="G284" s="1193">
        <f t="shared" ref="G284:L284" si="95">(G212-G266-G267)/G212</f>
        <v>0.240234375</v>
      </c>
      <c r="H284" s="1193">
        <f t="shared" si="95"/>
        <v>0.14087947882736157</v>
      </c>
      <c r="I284" s="1193">
        <f t="shared" si="95"/>
        <v>7.9113924050632917E-3</v>
      </c>
      <c r="J284" s="1193">
        <f t="shared" si="95"/>
        <v>9.125475285171103E-3</v>
      </c>
      <c r="K284" s="1193">
        <f t="shared" si="95"/>
        <v>2.5062656641604009E-3</v>
      </c>
      <c r="L284" s="1193">
        <f t="shared" si="95"/>
        <v>3.2760032760032762E-3</v>
      </c>
      <c r="M284" s="1193">
        <f>M268/M212</f>
        <v>3.1595576619273301E-3</v>
      </c>
      <c r="N284" s="1193">
        <f>N268/N212</f>
        <v>2.4232633279483036E-3</v>
      </c>
      <c r="O284" s="1193">
        <f>O268/O212</f>
        <v>1.4869888475836431E-3</v>
      </c>
      <c r="P284" s="1193">
        <f>P268/P212</f>
        <v>7.5987841945288754E-4</v>
      </c>
      <c r="Q284" s="1193">
        <f>Q268/Q212</f>
        <v>1.443001443001443E-3</v>
      </c>
      <c r="R284" s="1193"/>
    </row>
    <row r="285" spans="1:18" hidden="1" outlineLevel="1" x14ac:dyDescent="0.2">
      <c r="A285" s="619" t="s">
        <v>1076</v>
      </c>
      <c r="B285" s="46"/>
      <c r="C285" s="1193"/>
      <c r="D285" s="1193"/>
      <c r="E285" s="1193"/>
      <c r="F285" s="1193"/>
      <c r="G285" s="1193">
        <f t="shared" ref="G285:Q285" si="96">SUM(G282:G284)</f>
        <v>1</v>
      </c>
      <c r="H285" s="1193">
        <f t="shared" si="96"/>
        <v>1</v>
      </c>
      <c r="I285" s="1193">
        <f t="shared" si="96"/>
        <v>1</v>
      </c>
      <c r="J285" s="1193">
        <f t="shared" si="96"/>
        <v>1</v>
      </c>
      <c r="K285" s="1193">
        <f t="shared" si="96"/>
        <v>1</v>
      </c>
      <c r="L285" s="1193">
        <f t="shared" si="96"/>
        <v>1</v>
      </c>
      <c r="M285" s="1193">
        <f t="shared" si="96"/>
        <v>0.99999999999999989</v>
      </c>
      <c r="N285" s="1193">
        <f t="shared" si="96"/>
        <v>0.99999999999999989</v>
      </c>
      <c r="O285" s="1193">
        <f t="shared" si="96"/>
        <v>1</v>
      </c>
      <c r="P285" s="1193">
        <f t="shared" si="96"/>
        <v>1</v>
      </c>
      <c r="Q285" s="1193">
        <f t="shared" si="96"/>
        <v>1</v>
      </c>
      <c r="R285" s="1193"/>
    </row>
    <row r="286" spans="1:18" hidden="1" outlineLevel="1" x14ac:dyDescent="0.2">
      <c r="A286" s="619"/>
      <c r="B286" s="46"/>
      <c r="C286" s="1193"/>
      <c r="D286" s="1193"/>
      <c r="E286" s="1193"/>
      <c r="F286" s="1193"/>
      <c r="G286" s="1193"/>
      <c r="H286" s="1193"/>
      <c r="I286" s="1193"/>
      <c r="J286" s="1219"/>
      <c r="K286" s="1219"/>
      <c r="L286" s="1219"/>
      <c r="M286" s="1219"/>
      <c r="N286" s="1219"/>
      <c r="O286" s="1219"/>
      <c r="P286" s="1219"/>
      <c r="Q286" s="1219"/>
      <c r="R286" s="1219"/>
    </row>
    <row r="287" spans="1:18" hidden="1" outlineLevel="1" x14ac:dyDescent="0.2">
      <c r="A287" s="219" t="s">
        <v>1078</v>
      </c>
      <c r="B287" s="46"/>
      <c r="C287" s="1193"/>
      <c r="D287" s="1193"/>
      <c r="E287" s="1193"/>
      <c r="F287" s="1193"/>
      <c r="G287" s="1193"/>
      <c r="H287" s="1193"/>
      <c r="I287" s="1193"/>
      <c r="J287" s="1219"/>
      <c r="K287" s="1219"/>
      <c r="L287" s="1219"/>
      <c r="M287" s="1219"/>
      <c r="N287" s="1219"/>
      <c r="O287" s="1219"/>
      <c r="P287" s="1219"/>
      <c r="Q287" s="1219"/>
      <c r="R287" s="1219"/>
    </row>
    <row r="288" spans="1:18" hidden="1" outlineLevel="1" x14ac:dyDescent="0.2">
      <c r="A288" s="619" t="s">
        <v>1074</v>
      </c>
      <c r="B288" s="46"/>
      <c r="C288" s="1193"/>
      <c r="D288" s="1193"/>
      <c r="E288" s="1193"/>
      <c r="F288" s="1193"/>
      <c r="G288" s="1193">
        <f t="shared" ref="G288:M288" si="97">G270/G213</f>
        <v>0.86868686868686873</v>
      </c>
      <c r="H288" s="1193">
        <f t="shared" si="97"/>
        <v>0.72957198443579763</v>
      </c>
      <c r="I288" s="1193">
        <f t="shared" si="97"/>
        <v>0.76461168935148116</v>
      </c>
      <c r="J288" s="1193">
        <f t="shared" si="97"/>
        <v>0.7923673997412678</v>
      </c>
      <c r="K288" s="1193">
        <f t="shared" si="97"/>
        <v>0.79892037786774628</v>
      </c>
      <c r="L288" s="1193">
        <f t="shared" si="97"/>
        <v>0.79411764705882348</v>
      </c>
      <c r="M288" s="1193">
        <f t="shared" si="97"/>
        <v>0.80830670926517567</v>
      </c>
      <c r="N288" s="1193"/>
      <c r="O288" s="1193"/>
      <c r="P288" s="1193"/>
      <c r="Q288" s="1193"/>
      <c r="R288" s="1193"/>
    </row>
    <row r="289" spans="1:18" hidden="1" outlineLevel="1" x14ac:dyDescent="0.2">
      <c r="A289" s="619" t="s">
        <v>1075</v>
      </c>
      <c r="B289" s="46"/>
      <c r="C289" s="1193"/>
      <c r="D289" s="1193"/>
      <c r="E289" s="1193"/>
      <c r="F289" s="1193"/>
      <c r="G289" s="1193">
        <f t="shared" ref="G289:M289" si="98">G271/G213</f>
        <v>0.11447811447811448</v>
      </c>
      <c r="H289" s="1193">
        <f t="shared" si="98"/>
        <v>0.25486381322957197</v>
      </c>
      <c r="I289" s="1193">
        <f t="shared" si="98"/>
        <v>0.22417934347477983</v>
      </c>
      <c r="J289" s="1193">
        <f t="shared" si="98"/>
        <v>0.18952134540750323</v>
      </c>
      <c r="K289" s="1193">
        <f t="shared" si="98"/>
        <v>0.19703103913630229</v>
      </c>
      <c r="L289" s="1193">
        <f t="shared" si="98"/>
        <v>0.20065359477124184</v>
      </c>
      <c r="M289" s="1193">
        <f t="shared" si="98"/>
        <v>0.18903088391906284</v>
      </c>
      <c r="N289" s="1193"/>
      <c r="O289" s="1193"/>
      <c r="P289" s="1193"/>
      <c r="Q289" s="1193"/>
      <c r="R289" s="1193"/>
    </row>
    <row r="290" spans="1:18" hidden="1" outlineLevel="1" x14ac:dyDescent="0.2">
      <c r="A290" s="619" t="s">
        <v>265</v>
      </c>
      <c r="B290" s="46"/>
      <c r="C290" s="1193"/>
      <c r="D290" s="1193"/>
      <c r="E290" s="1193"/>
      <c r="F290" s="1193"/>
      <c r="G290" s="1193">
        <f t="shared" ref="G290:L290" si="99">(G213-G270-G271)/G213</f>
        <v>1.6835016835016835E-2</v>
      </c>
      <c r="H290" s="1193">
        <f t="shared" si="99"/>
        <v>1.556420233463035E-2</v>
      </c>
      <c r="I290" s="1193">
        <f t="shared" si="99"/>
        <v>1.120896717373899E-2</v>
      </c>
      <c r="J290" s="1193">
        <f t="shared" si="99"/>
        <v>1.8111254851228976E-2</v>
      </c>
      <c r="K290" s="1193">
        <f t="shared" si="99"/>
        <v>4.048582995951417E-3</v>
      </c>
      <c r="L290" s="1193">
        <f t="shared" si="99"/>
        <v>5.2287581699346402E-3</v>
      </c>
      <c r="M290" s="1193">
        <f>M272/M213</f>
        <v>2.6624068157614484E-3</v>
      </c>
      <c r="N290" s="1193"/>
      <c r="O290" s="1193"/>
      <c r="P290" s="1193"/>
      <c r="Q290" s="1193"/>
      <c r="R290" s="1193"/>
    </row>
    <row r="291" spans="1:18" hidden="1" outlineLevel="1" x14ac:dyDescent="0.2">
      <c r="A291" s="619" t="s">
        <v>1076</v>
      </c>
      <c r="B291" s="46"/>
      <c r="C291" s="1193"/>
      <c r="D291" s="1193"/>
      <c r="E291" s="1193"/>
      <c r="F291" s="1193"/>
      <c r="G291" s="1193">
        <f t="shared" ref="G291:M291" si="100">SUM(G288:G290)</f>
        <v>1</v>
      </c>
      <c r="H291" s="1193">
        <f t="shared" si="100"/>
        <v>1</v>
      </c>
      <c r="I291" s="1193">
        <f t="shared" si="100"/>
        <v>1</v>
      </c>
      <c r="J291" s="1193">
        <f t="shared" si="100"/>
        <v>1</v>
      </c>
      <c r="K291" s="1193">
        <f t="shared" si="100"/>
        <v>1</v>
      </c>
      <c r="L291" s="1193">
        <f t="shared" si="100"/>
        <v>1</v>
      </c>
      <c r="M291" s="1193">
        <f t="shared" si="100"/>
        <v>1</v>
      </c>
      <c r="N291" s="1193"/>
      <c r="O291" s="1193"/>
      <c r="P291" s="1193"/>
      <c r="Q291" s="1193"/>
      <c r="R291" s="1193"/>
    </row>
    <row r="292" spans="1:18" hidden="1" outlineLevel="1" x14ac:dyDescent="0.2">
      <c r="A292" s="619"/>
      <c r="B292" s="46"/>
      <c r="C292" s="1193"/>
      <c r="D292" s="1193"/>
      <c r="E292" s="1193"/>
      <c r="F292" s="1193"/>
      <c r="G292" s="1193"/>
      <c r="H292" s="1219"/>
      <c r="I292" s="1219"/>
      <c r="J292" s="1219"/>
      <c r="K292" s="1219"/>
      <c r="L292" s="1219"/>
      <c r="M292" s="1219"/>
      <c r="N292" s="1219"/>
      <c r="O292" s="1219"/>
      <c r="P292" s="1219"/>
      <c r="Q292" s="1219"/>
      <c r="R292" s="1219"/>
    </row>
    <row r="293" spans="1:18" hidden="1" outlineLevel="1" x14ac:dyDescent="0.2">
      <c r="A293" s="1163" t="s">
        <v>728</v>
      </c>
      <c r="B293" s="46"/>
      <c r="C293" s="1193"/>
      <c r="D293" s="1193"/>
      <c r="E293" s="1193"/>
      <c r="F293" s="1193"/>
      <c r="G293" s="1193"/>
      <c r="H293" s="1219"/>
      <c r="I293" s="1219"/>
      <c r="J293" s="1219"/>
      <c r="K293" s="1219"/>
      <c r="L293" s="1219"/>
      <c r="M293" s="1219"/>
      <c r="N293" s="1219"/>
      <c r="O293" s="1219"/>
      <c r="P293" s="1219"/>
      <c r="Q293" s="1219"/>
      <c r="R293" s="1219"/>
    </row>
    <row r="294" spans="1:18" hidden="1" outlineLevel="1" x14ac:dyDescent="0.2">
      <c r="A294" s="619" t="s">
        <v>1079</v>
      </c>
      <c r="B294" s="46"/>
      <c r="C294" s="1193"/>
      <c r="D294" s="1193"/>
      <c r="E294" s="1193"/>
      <c r="F294" s="1193"/>
      <c r="G294" s="1184"/>
      <c r="H294" s="1184">
        <f t="shared" ref="H294:O295" si="101">H266/G266-1</f>
        <v>0.43434343434343425</v>
      </c>
      <c r="I294" s="1184">
        <f t="shared" si="101"/>
        <v>0.20539906103286376</v>
      </c>
      <c r="J294" s="1184">
        <f t="shared" si="101"/>
        <v>1.8500486854917231E-2</v>
      </c>
      <c r="K294" s="1184">
        <f t="shared" si="101"/>
        <v>-0.12810707456978965</v>
      </c>
      <c r="L294" s="1184">
        <f t="shared" si="101"/>
        <v>5.482456140350811E-3</v>
      </c>
      <c r="M294" s="1184">
        <f t="shared" si="101"/>
        <v>2.0719738276990141E-2</v>
      </c>
      <c r="N294" s="1184">
        <f t="shared" si="101"/>
        <v>-2.777777777777779E-2</v>
      </c>
      <c r="O294" s="1184">
        <f t="shared" si="101"/>
        <v>0.10989010989010994</v>
      </c>
      <c r="P294" s="1184"/>
      <c r="Q294" s="1184">
        <f>Q266/P266-1</f>
        <v>5.3807106598984689E-2</v>
      </c>
      <c r="R294" s="1184"/>
    </row>
    <row r="295" spans="1:18" hidden="1" outlineLevel="1" x14ac:dyDescent="0.2">
      <c r="A295" s="619" t="s">
        <v>1080</v>
      </c>
      <c r="B295" s="46"/>
      <c r="C295" s="1193"/>
      <c r="D295" s="1193"/>
      <c r="E295" s="1193"/>
      <c r="F295" s="1193"/>
      <c r="G295" s="1184"/>
      <c r="H295" s="1184">
        <f t="shared" si="101"/>
        <v>0.10326086956521729</v>
      </c>
      <c r="I295" s="1184">
        <f t="shared" si="101"/>
        <v>0.11822660098522175</v>
      </c>
      <c r="J295" s="1184">
        <f t="shared" si="101"/>
        <v>0.13215859030836996</v>
      </c>
      <c r="K295" s="1184">
        <f t="shared" si="101"/>
        <v>9.7276264591439787E-2</v>
      </c>
      <c r="L295" s="1184">
        <f t="shared" si="101"/>
        <v>6.3829787234042534E-2</v>
      </c>
      <c r="M295" s="1184">
        <f t="shared" si="101"/>
        <v>8.666666666666667E-2</v>
      </c>
      <c r="N295" s="1184">
        <f t="shared" si="101"/>
        <v>-3.0674846625766694E-3</v>
      </c>
      <c r="O295" s="1184">
        <f t="shared" si="101"/>
        <v>2.4615384615384706E-2</v>
      </c>
      <c r="P295" s="1184"/>
      <c r="Q295" s="1184">
        <f>Q267/P267-1</f>
        <v>4.8484848484848575E-2</v>
      </c>
      <c r="R295" s="1184"/>
    </row>
    <row r="296" spans="1:18" hidden="1" outlineLevel="1" x14ac:dyDescent="0.2">
      <c r="A296" s="619" t="s">
        <v>1081</v>
      </c>
      <c r="B296" s="46"/>
      <c r="C296" s="1184">
        <f t="shared" ref="C296:O296" si="102">C212/B212-1</f>
        <v>2.7303754266211566E-2</v>
      </c>
      <c r="D296" s="1184">
        <f t="shared" si="102"/>
        <v>9.966777408637828E-3</v>
      </c>
      <c r="E296" s="1184">
        <f t="shared" si="102"/>
        <v>1.3157894736842035E-2</v>
      </c>
      <c r="F296" s="1184">
        <f t="shared" si="102"/>
        <v>9.9567099567099637E-2</v>
      </c>
      <c r="G296" s="1184">
        <f t="shared" si="102"/>
        <v>7.8740157480314821E-3</v>
      </c>
      <c r="H296" s="1184">
        <f t="shared" si="102"/>
        <v>0.19921875</v>
      </c>
      <c r="I296" s="1184">
        <f t="shared" si="102"/>
        <v>2.931596091205213E-2</v>
      </c>
      <c r="J296" s="1184">
        <f t="shared" si="102"/>
        <v>4.0348101265822889E-2</v>
      </c>
      <c r="K296" s="1184">
        <f t="shared" si="102"/>
        <v>-8.9733840304182522E-2</v>
      </c>
      <c r="L296" s="1184">
        <f t="shared" si="102"/>
        <v>2.0050125313283207E-2</v>
      </c>
      <c r="M296" s="1184">
        <f t="shared" si="102"/>
        <v>3.6855036855036882E-2</v>
      </c>
      <c r="N296" s="1184">
        <f t="shared" si="102"/>
        <v>-2.2116903633491281E-2</v>
      </c>
      <c r="O296" s="1184">
        <f t="shared" si="102"/>
        <v>8.6429725363489585E-2</v>
      </c>
      <c r="P296" s="1184"/>
      <c r="Q296" s="1184">
        <f>Q212/P212-1</f>
        <v>5.3191489361702038E-2</v>
      </c>
      <c r="R296" s="1184"/>
    </row>
    <row r="297" spans="1:18" hidden="1" outlineLevel="1" x14ac:dyDescent="0.2">
      <c r="A297" s="619"/>
      <c r="B297" s="46"/>
      <c r="C297" s="1193"/>
      <c r="D297" s="1193"/>
      <c r="E297" s="1193"/>
      <c r="F297" s="1193"/>
      <c r="G297" s="1193"/>
      <c r="H297" s="1220"/>
      <c r="I297" s="1219"/>
      <c r="J297" s="1219"/>
      <c r="K297" s="1219"/>
      <c r="L297" s="1219"/>
      <c r="M297" s="1219"/>
      <c r="N297" s="1219"/>
      <c r="O297" s="1219"/>
      <c r="P297" s="1219"/>
      <c r="Q297" s="1219"/>
      <c r="R297" s="1219"/>
    </row>
    <row r="298" spans="1:18" hidden="1" outlineLevel="1" x14ac:dyDescent="0.2">
      <c r="A298" s="619" t="s">
        <v>1082</v>
      </c>
      <c r="B298" s="46"/>
      <c r="C298" s="1193"/>
      <c r="D298" s="1193"/>
      <c r="E298" s="1193"/>
      <c r="F298" s="1193"/>
      <c r="G298" s="1193"/>
      <c r="H298" s="1184">
        <f t="shared" ref="H298:M299" si="103">H270/G270-1</f>
        <v>-3.1007751937984551E-2</v>
      </c>
      <c r="I298" s="1184">
        <f t="shared" si="103"/>
        <v>0.27333333333333343</v>
      </c>
      <c r="J298" s="1184">
        <f t="shared" si="103"/>
        <v>0.2827225130890052</v>
      </c>
      <c r="K298" s="1184">
        <f t="shared" si="103"/>
        <v>-3.3469387755101998E-2</v>
      </c>
      <c r="L298" s="1184">
        <f t="shared" si="103"/>
        <v>2.6182432432432456E-2</v>
      </c>
      <c r="M298" s="1184">
        <f t="shared" si="103"/>
        <v>0.24938271604938267</v>
      </c>
      <c r="O298" s="1221"/>
      <c r="P298" s="1221"/>
      <c r="Q298" s="1221"/>
      <c r="R298" s="1221"/>
    </row>
    <row r="299" spans="1:18" hidden="1" outlineLevel="1" x14ac:dyDescent="0.2">
      <c r="A299" s="619" t="s">
        <v>1083</v>
      </c>
      <c r="B299" s="46"/>
      <c r="C299" s="197"/>
      <c r="D299" s="197"/>
      <c r="E299" s="197"/>
      <c r="F299" s="197"/>
      <c r="G299" s="19"/>
      <c r="H299" s="1184">
        <f t="shared" si="103"/>
        <v>1.5686274509803924</v>
      </c>
      <c r="I299" s="1184">
        <f t="shared" si="103"/>
        <v>6.8702290076335881E-2</v>
      </c>
      <c r="J299" s="1184">
        <f t="shared" si="103"/>
        <v>4.6428571428571486E-2</v>
      </c>
      <c r="K299" s="1184">
        <f t="shared" si="103"/>
        <v>-3.4129692832765013E-3</v>
      </c>
      <c r="L299" s="1184">
        <f t="shared" si="103"/>
        <v>5.1369863013698724E-2</v>
      </c>
      <c r="M299" s="1184">
        <f t="shared" si="103"/>
        <v>0.15635179153094469</v>
      </c>
      <c r="O299" s="1221"/>
      <c r="P299" s="1221"/>
      <c r="Q299" s="1221"/>
      <c r="R299" s="1221"/>
    </row>
    <row r="300" spans="1:18" hidden="1" outlineLevel="1" x14ac:dyDescent="0.2">
      <c r="A300" s="619" t="s">
        <v>1084</v>
      </c>
      <c r="B300" s="46"/>
      <c r="C300" s="1184">
        <f t="shared" ref="C300:M300" si="104">C213/B213-1</f>
        <v>0.1590106007067138</v>
      </c>
      <c r="D300" s="1184">
        <f t="shared" si="104"/>
        <v>0.60975609756097571</v>
      </c>
      <c r="E300" s="1184">
        <f t="shared" si="104"/>
        <v>0.26704545454545459</v>
      </c>
      <c r="F300" s="1184">
        <f t="shared" si="104"/>
        <v>1.6442451420029869E-2</v>
      </c>
      <c r="G300" s="1184">
        <f t="shared" si="104"/>
        <v>0.31029411764705883</v>
      </c>
      <c r="H300" s="1184">
        <f t="shared" si="104"/>
        <v>0.15375982042648717</v>
      </c>
      <c r="I300" s="1184">
        <f t="shared" si="104"/>
        <v>0.21498054474708161</v>
      </c>
      <c r="J300" s="1184">
        <f t="shared" si="104"/>
        <v>0.23779023218574857</v>
      </c>
      <c r="K300" s="1184">
        <f t="shared" si="104"/>
        <v>-4.1397153945666232E-2</v>
      </c>
      <c r="L300" s="1184">
        <f t="shared" si="104"/>
        <v>3.238866396761142E-2</v>
      </c>
      <c r="M300" s="1184">
        <f t="shared" si="104"/>
        <v>0.22745098039215694</v>
      </c>
      <c r="O300" s="1184"/>
      <c r="P300" s="1184"/>
      <c r="Q300" s="1184"/>
      <c r="R300" s="1184"/>
    </row>
    <row r="301" spans="1:18" hidden="1" outlineLevel="1" x14ac:dyDescent="0.2">
      <c r="A301" s="619"/>
      <c r="B301" s="46"/>
      <c r="C301" s="1193"/>
      <c r="D301" s="1193"/>
      <c r="E301" s="1193"/>
      <c r="F301" s="1193"/>
      <c r="G301" s="1193"/>
      <c r="H301" s="1220"/>
      <c r="I301" s="1219"/>
      <c r="J301" s="1219"/>
      <c r="K301" s="1219"/>
      <c r="L301" s="1219"/>
      <c r="M301" s="1219"/>
      <c r="N301" s="1219"/>
      <c r="O301" s="1219"/>
      <c r="P301" s="1219"/>
      <c r="Q301" s="1219"/>
      <c r="R301" s="1219"/>
    </row>
    <row r="302" spans="1:18" hidden="1" outlineLevel="1" x14ac:dyDescent="0.2">
      <c r="A302" s="616" t="s">
        <v>1085</v>
      </c>
      <c r="B302" s="1172"/>
      <c r="C302" s="1222">
        <f t="shared" ref="C302:M302" si="105">C215/B215-1</f>
        <v>6.212251941328728E-2</v>
      </c>
      <c r="D302" s="1222">
        <f t="shared" si="105"/>
        <v>0.17384240454914712</v>
      </c>
      <c r="E302" s="1222">
        <f t="shared" si="105"/>
        <v>0.10449826989619382</v>
      </c>
      <c r="F302" s="1222">
        <f t="shared" si="105"/>
        <v>-0.36027568922305764</v>
      </c>
      <c r="G302" s="1222">
        <f t="shared" si="105"/>
        <v>3.9177277179236025E-2</v>
      </c>
      <c r="H302" s="1222">
        <f t="shared" si="105"/>
        <v>1.1498586239396795</v>
      </c>
      <c r="I302" s="1222">
        <f t="shared" si="105"/>
        <v>0.10170977641385348</v>
      </c>
      <c r="J302" s="1222">
        <f t="shared" si="105"/>
        <v>0.13847990449661762</v>
      </c>
      <c r="K302" s="1222">
        <f t="shared" si="105"/>
        <v>-6.3614120936735352E-2</v>
      </c>
      <c r="L302" s="1222">
        <f t="shared" si="105"/>
        <v>2.6875699888017968E-2</v>
      </c>
      <c r="M302" s="1222">
        <f t="shared" si="105"/>
        <v>0.14285714285714279</v>
      </c>
      <c r="N302" s="1222"/>
      <c r="O302" s="1222">
        <f>O215/N215-1</f>
        <v>8.6429725363489585E-2</v>
      </c>
      <c r="P302" s="1222"/>
      <c r="Q302" s="1222">
        <f>Q215/P215-1</f>
        <v>5.3191489361702038E-2</v>
      </c>
      <c r="R302" s="1222"/>
    </row>
    <row r="303" spans="1:18" hidden="1" outlineLevel="1" x14ac:dyDescent="0.2">
      <c r="A303" s="621"/>
      <c r="B303" s="46"/>
      <c r="C303" s="1193"/>
      <c r="D303" s="1193"/>
      <c r="E303" s="1193"/>
      <c r="F303" s="1193"/>
      <c r="G303" s="1193"/>
      <c r="H303" s="46"/>
      <c r="I303" s="46"/>
      <c r="J303" s="46"/>
      <c r="K303" s="46"/>
      <c r="L303" s="46"/>
      <c r="M303" s="46"/>
      <c r="N303" s="46"/>
      <c r="O303" s="46"/>
      <c r="P303" s="46"/>
      <c r="Q303" s="46"/>
      <c r="R303" s="46"/>
    </row>
    <row r="304" spans="1:18" hidden="1" outlineLevel="1" x14ac:dyDescent="0.2">
      <c r="A304" s="1223" t="s">
        <v>1038</v>
      </c>
      <c r="B304" s="46"/>
      <c r="C304" s="1185"/>
      <c r="D304" s="1185"/>
      <c r="E304" s="1185"/>
      <c r="F304" s="1185"/>
      <c r="G304" s="1185"/>
      <c r="H304" s="46"/>
      <c r="I304" s="46"/>
      <c r="J304" s="46"/>
      <c r="K304" s="46"/>
      <c r="L304" s="46"/>
      <c r="M304" s="1209"/>
      <c r="N304" s="46"/>
      <c r="O304" s="46"/>
      <c r="P304" s="46"/>
      <c r="Q304" s="46"/>
      <c r="R304" s="46"/>
    </row>
    <row r="305" spans="1:86" hidden="1" outlineLevel="1" x14ac:dyDescent="0.2">
      <c r="A305" s="619" t="s">
        <v>1086</v>
      </c>
      <c r="B305" s="46"/>
      <c r="C305" s="1185"/>
      <c r="D305" s="1185"/>
      <c r="E305" s="1185"/>
      <c r="F305" s="1185"/>
      <c r="G305" s="1185"/>
      <c r="H305" s="46"/>
      <c r="I305" s="46"/>
      <c r="J305" s="46"/>
      <c r="K305" s="46"/>
      <c r="L305" s="1224">
        <v>1.33</v>
      </c>
      <c r="M305" s="1224">
        <v>1.1100000000000001</v>
      </c>
      <c r="N305" s="1224">
        <v>1.1100000000000001</v>
      </c>
      <c r="O305" s="1224">
        <v>1.1299999999999999</v>
      </c>
      <c r="P305" s="1224"/>
      <c r="Q305" s="1224">
        <v>1.18</v>
      </c>
      <c r="R305" s="1224"/>
    </row>
    <row r="306" spans="1:86" hidden="1" outlineLevel="1" x14ac:dyDescent="0.2">
      <c r="A306" s="619" t="s">
        <v>1087</v>
      </c>
      <c r="B306" s="46"/>
      <c r="C306" s="1185"/>
      <c r="D306" s="1185"/>
      <c r="E306" s="1185"/>
      <c r="F306" s="1185"/>
      <c r="G306" s="1185"/>
      <c r="H306" s="46"/>
      <c r="I306" s="46"/>
      <c r="J306" s="46"/>
      <c r="K306" s="46"/>
      <c r="L306" s="1224">
        <f>1/L305</f>
        <v>0.75187969924812026</v>
      </c>
      <c r="M306" s="1224">
        <f>1/M305</f>
        <v>0.9009009009009008</v>
      </c>
      <c r="N306" s="1224">
        <f>1/N305</f>
        <v>0.9009009009009008</v>
      </c>
      <c r="O306" s="1224">
        <f>1/O305</f>
        <v>0.88495575221238942</v>
      </c>
      <c r="P306" s="1224"/>
      <c r="Q306" s="1224">
        <f>1/Q305</f>
        <v>0.84745762711864414</v>
      </c>
      <c r="R306" s="1224"/>
    </row>
    <row r="307" spans="1:86" hidden="1" outlineLevel="1" x14ac:dyDescent="0.2">
      <c r="A307" s="619" t="s">
        <v>1088</v>
      </c>
      <c r="B307" s="46"/>
      <c r="C307" s="1185"/>
      <c r="D307" s="1185"/>
      <c r="E307" s="1185"/>
      <c r="F307" s="1185"/>
      <c r="G307" s="1185"/>
      <c r="H307" s="46"/>
      <c r="I307" s="46"/>
      <c r="J307" s="46"/>
      <c r="K307" s="46"/>
      <c r="L307" s="46"/>
      <c r="M307" s="1184">
        <f>M306/L306-1</f>
        <v>0.19819819819819817</v>
      </c>
      <c r="N307" s="1193">
        <f>N306/M306-1</f>
        <v>0</v>
      </c>
      <c r="O307" s="1193">
        <f>O306/N306-1</f>
        <v>-1.7699115044247593E-2</v>
      </c>
      <c r="P307" s="1193"/>
      <c r="Q307" s="1193">
        <f>Q306/O306-1</f>
        <v>-4.2372881355932202E-2</v>
      </c>
      <c r="R307" s="1193"/>
    </row>
    <row r="308" spans="1:86" hidden="1" outlineLevel="1" x14ac:dyDescent="0.2">
      <c r="A308" s="620"/>
      <c r="B308" s="46"/>
      <c r="C308" s="46"/>
      <c r="D308" s="46"/>
      <c r="E308" s="46"/>
      <c r="F308" s="46"/>
      <c r="G308" s="46"/>
      <c r="H308" s="46"/>
      <c r="I308" s="46"/>
      <c r="J308" s="46"/>
      <c r="K308" s="46"/>
      <c r="L308" s="46"/>
      <c r="M308" s="1222"/>
      <c r="N308" s="46"/>
      <c r="O308" s="46"/>
      <c r="P308" s="46"/>
      <c r="Q308" s="46"/>
      <c r="R308" s="46"/>
    </row>
    <row r="309" spans="1:86" hidden="1" outlineLevel="1" x14ac:dyDescent="0.2">
      <c r="A309" s="619" t="s">
        <v>1089</v>
      </c>
      <c r="B309" s="46"/>
      <c r="C309" s="46"/>
      <c r="D309" s="46"/>
      <c r="E309" s="46"/>
      <c r="F309" s="46"/>
      <c r="G309" s="46"/>
      <c r="H309" s="46"/>
      <c r="I309" s="46"/>
      <c r="J309" s="46"/>
      <c r="K309" s="46"/>
      <c r="L309" s="46"/>
      <c r="M309" s="1222"/>
      <c r="N309" s="1225">
        <v>0.25</v>
      </c>
      <c r="O309" s="1225">
        <v>0.25</v>
      </c>
      <c r="P309" s="1225"/>
      <c r="Q309" s="1225">
        <v>0.25</v>
      </c>
      <c r="R309" s="1225"/>
    </row>
    <row r="310" spans="1:86" hidden="1" outlineLevel="1" x14ac:dyDescent="0.2">
      <c r="A310" s="620" t="s">
        <v>1090</v>
      </c>
      <c r="B310" s="46"/>
      <c r="C310" s="46"/>
      <c r="D310" s="46"/>
      <c r="E310" s="46"/>
      <c r="F310" s="46"/>
      <c r="G310" s="46"/>
      <c r="H310" s="46"/>
      <c r="I310" s="46"/>
      <c r="J310" s="46"/>
      <c r="K310" s="46"/>
      <c r="L310" s="46"/>
      <c r="M310" s="1222"/>
      <c r="N310" s="1226">
        <f>N307*N309</f>
        <v>0</v>
      </c>
      <c r="O310" s="1226">
        <f>O307*O309</f>
        <v>-4.4247787610618983E-3</v>
      </c>
      <c r="P310" s="1226"/>
      <c r="Q310" s="1226">
        <f>Q307*Q309</f>
        <v>-1.059322033898305E-2</v>
      </c>
      <c r="R310" s="1226"/>
    </row>
    <row r="311" spans="1:86" hidden="1" outlineLevel="1" x14ac:dyDescent="0.2">
      <c r="A311" s="619"/>
      <c r="B311" s="46"/>
      <c r="C311" s="1185"/>
      <c r="D311" s="1185"/>
      <c r="E311" s="1185"/>
      <c r="F311" s="1185"/>
      <c r="G311" s="1185"/>
      <c r="H311" s="46"/>
      <c r="I311" s="46"/>
      <c r="J311" s="46"/>
      <c r="K311" s="46"/>
      <c r="L311" s="46"/>
      <c r="M311" s="1222"/>
      <c r="N311" s="1193"/>
      <c r="O311" s="1193"/>
      <c r="P311" s="1193"/>
      <c r="Q311" s="1193"/>
      <c r="R311" s="1193"/>
    </row>
    <row r="312" spans="1:86" hidden="1" outlineLevel="1" x14ac:dyDescent="0.2">
      <c r="A312" s="619" t="s">
        <v>1091</v>
      </c>
      <c r="B312" s="46"/>
      <c r="C312" s="1185"/>
      <c r="D312" s="1185"/>
      <c r="E312" s="1185"/>
      <c r="F312" s="1185"/>
      <c r="G312" s="1185"/>
      <c r="H312" s="46"/>
      <c r="I312" s="46"/>
      <c r="J312" s="46"/>
      <c r="K312" s="46"/>
      <c r="L312" s="46"/>
      <c r="M312" s="1222"/>
    </row>
    <row r="313" spans="1:86" hidden="1" outlineLevel="1" x14ac:dyDescent="0.2">
      <c r="A313" s="620" t="s">
        <v>1092</v>
      </c>
      <c r="B313" s="1172"/>
      <c r="C313" s="1227"/>
      <c r="D313" s="1227"/>
      <c r="E313" s="1227"/>
      <c r="F313" s="1227"/>
      <c r="G313" s="1227"/>
      <c r="H313" s="1172"/>
      <c r="I313" s="1172"/>
      <c r="J313" s="1172"/>
      <c r="K313" s="1172"/>
      <c r="L313" s="1172"/>
      <c r="M313" s="1222"/>
    </row>
    <row r="314" spans="1:86" hidden="1" outlineLevel="1" x14ac:dyDescent="0.2">
      <c r="M314" s="1222"/>
    </row>
    <row r="315" spans="1:86" hidden="1" outlineLevel="1" x14ac:dyDescent="0.2">
      <c r="A315" s="219"/>
    </row>
    <row r="316" spans="1:86" collapsed="1" x14ac:dyDescent="0.2">
      <c r="A316" s="620"/>
      <c r="B316" s="1172"/>
      <c r="C316" s="1172"/>
      <c r="D316" s="1172"/>
      <c r="E316" s="1172"/>
      <c r="F316" s="1172"/>
      <c r="G316" s="1172"/>
      <c r="H316" s="1172"/>
      <c r="I316" s="1172"/>
      <c r="J316" s="1172"/>
      <c r="K316" s="1172"/>
      <c r="L316" s="1172"/>
      <c r="M316" s="1172"/>
      <c r="N316" s="1172"/>
      <c r="O316" s="1172"/>
      <c r="P316" s="1172"/>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row>
    <row r="317" spans="1:86" x14ac:dyDescent="0.2">
      <c r="A317" s="616"/>
      <c r="B317" s="1172"/>
      <c r="C317" s="1172"/>
      <c r="D317" s="1172"/>
      <c r="E317" s="1172"/>
      <c r="F317" s="1172"/>
      <c r="G317" s="1172"/>
      <c r="H317" s="1172"/>
      <c r="I317" s="1172"/>
      <c r="J317" s="1172"/>
      <c r="K317" s="1172"/>
      <c r="L317" s="1172"/>
      <c r="M317" s="1172"/>
      <c r="N317" s="1172"/>
      <c r="O317" s="1172"/>
      <c r="P317" s="1172"/>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row>
    <row r="318" spans="1:86" x14ac:dyDescent="0.2">
      <c r="A318" s="619"/>
      <c r="B318" s="1172"/>
      <c r="C318" s="1172"/>
      <c r="D318" s="1172"/>
      <c r="E318" s="1172"/>
      <c r="F318" s="1172"/>
      <c r="G318" s="1172"/>
      <c r="H318" s="1172"/>
      <c r="I318" s="46">
        <v>530</v>
      </c>
      <c r="J318" s="1172"/>
      <c r="K318" s="1172"/>
      <c r="L318" s="1172"/>
      <c r="M318" s="1172"/>
      <c r="N318" s="1172"/>
      <c r="O318" s="1172"/>
      <c r="P318" s="1172"/>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row>
    <row r="319" spans="1:86" x14ac:dyDescent="0.2">
      <c r="A319" s="619"/>
      <c r="B319" s="1172"/>
      <c r="C319" s="1172"/>
      <c r="D319" s="1172"/>
      <c r="E319" s="1172"/>
      <c r="F319" s="1172"/>
      <c r="G319" s="1172"/>
      <c r="H319" s="1172"/>
      <c r="I319" s="46">
        <v>100</v>
      </c>
      <c r="J319" s="1172"/>
      <c r="K319" s="1228"/>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row>
    <row r="320" spans="1:86" x14ac:dyDescent="0.2">
      <c r="A320" s="620"/>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row>
    <row r="321" spans="2:86" x14ac:dyDescent="0.2">
      <c r="B321" s="49"/>
      <c r="C321" s="36"/>
      <c r="D321" s="49"/>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c r="AC321" s="49"/>
      <c r="AD321" s="49"/>
      <c r="AE321" s="49"/>
      <c r="AF321" s="49"/>
      <c r="AG321" s="49"/>
      <c r="AH321" s="49"/>
      <c r="AI321" s="49"/>
      <c r="AJ321" s="49"/>
      <c r="AK321" s="49"/>
      <c r="AL321" s="49"/>
      <c r="AM321" s="49"/>
      <c r="AN321" s="49"/>
      <c r="AO321" s="49"/>
      <c r="AP321" s="49"/>
      <c r="AQ321" s="49"/>
      <c r="AR321" s="49"/>
      <c r="AS321" s="49"/>
      <c r="AT321" s="49"/>
      <c r="AU321" s="49"/>
      <c r="AV321" s="49"/>
      <c r="AW321" s="49"/>
      <c r="AX321" s="49"/>
      <c r="AY321" s="49"/>
      <c r="AZ321" s="49"/>
      <c r="BA321" s="49"/>
      <c r="BB321" s="49"/>
      <c r="BC321" s="49"/>
      <c r="BD321" s="49"/>
      <c r="BE321" s="49"/>
      <c r="BF321" s="49"/>
      <c r="BG321" s="49"/>
      <c r="BH321" s="49"/>
      <c r="BI321" s="49"/>
      <c r="BJ321" s="49"/>
      <c r="BK321" s="49"/>
      <c r="BL321" s="49"/>
      <c r="BM321" s="49"/>
      <c r="BN321" s="49"/>
      <c r="BO321" s="49"/>
      <c r="BP321" s="49"/>
      <c r="BQ321" s="49"/>
      <c r="BR321" s="49"/>
      <c r="BS321" s="49"/>
      <c r="BT321" s="49"/>
      <c r="BU321" s="49"/>
      <c r="BV321" s="49"/>
      <c r="BW321" s="49"/>
      <c r="BX321" s="49"/>
      <c r="BY321" s="49"/>
      <c r="BZ321" s="49"/>
      <c r="CA321" s="49"/>
      <c r="CB321" s="49"/>
      <c r="CC321" s="49"/>
      <c r="CD321" s="49"/>
      <c r="CE321" s="49"/>
      <c r="CF321" s="49"/>
      <c r="CG321" s="49"/>
      <c r="CH321" s="49"/>
    </row>
    <row r="322" spans="2:86" x14ac:dyDescent="0.2">
      <c r="B322" s="281"/>
      <c r="C322" s="36"/>
      <c r="D322" s="1229"/>
      <c r="E322" s="1229"/>
      <c r="F322" s="1229"/>
      <c r="G322" s="1229"/>
      <c r="H322" s="1229"/>
      <c r="I322" s="49">
        <f>((9/12*I318)/1.35)</f>
        <v>294.4444444444444</v>
      </c>
      <c r="J322" s="1229"/>
      <c r="K322" s="1229"/>
      <c r="L322" s="1229"/>
      <c r="M322" s="1229"/>
      <c r="N322" s="1229"/>
      <c r="O322" s="1229"/>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row>
    <row r="323" spans="2:86" x14ac:dyDescent="0.2">
      <c r="B323" s="49"/>
      <c r="C323" s="36"/>
      <c r="D323" s="49"/>
      <c r="E323" s="49"/>
      <c r="F323" s="1230"/>
      <c r="G323" s="1230"/>
      <c r="H323" s="49"/>
      <c r="I323" s="49">
        <f>((9/12)*I319)/1.35*0.6</f>
        <v>33.333333333333329</v>
      </c>
      <c r="J323" s="49"/>
      <c r="K323" s="49"/>
      <c r="L323" s="49"/>
      <c r="M323" s="49"/>
      <c r="N323" s="49"/>
      <c r="O323" s="49"/>
      <c r="P323" s="49"/>
      <c r="Q323" s="49"/>
      <c r="R323" s="49"/>
      <c r="S323" s="49"/>
      <c r="T323" s="49"/>
      <c r="U323" s="49"/>
      <c r="V323" s="49"/>
      <c r="W323" s="49"/>
      <c r="X323" s="49"/>
      <c r="Y323" s="49"/>
      <c r="Z323" s="49"/>
      <c r="AA323" s="49"/>
      <c r="AB323" s="49"/>
      <c r="AC323" s="49"/>
      <c r="AD323" s="49"/>
      <c r="AE323" s="49"/>
      <c r="AF323" s="49"/>
      <c r="AG323" s="49"/>
      <c r="AH323" s="49"/>
      <c r="AI323" s="49"/>
      <c r="AJ323" s="49"/>
      <c r="AK323" s="49"/>
      <c r="AL323" s="49"/>
      <c r="AM323" s="49"/>
      <c r="AN323" s="49"/>
      <c r="AO323" s="49"/>
      <c r="AP323" s="49"/>
      <c r="AQ323" s="49"/>
      <c r="AR323" s="49"/>
      <c r="AS323" s="49"/>
      <c r="AT323" s="49"/>
      <c r="AU323" s="49"/>
      <c r="AV323" s="49"/>
      <c r="AW323" s="49"/>
      <c r="AX323" s="49"/>
      <c r="AY323" s="49"/>
      <c r="AZ323" s="49"/>
      <c r="BA323" s="49"/>
      <c r="BB323" s="49"/>
      <c r="BC323" s="49"/>
      <c r="BD323" s="49"/>
      <c r="BE323" s="49"/>
      <c r="BF323" s="49"/>
      <c r="BG323" s="49"/>
      <c r="BH323" s="49"/>
      <c r="BI323" s="49"/>
      <c r="BJ323" s="49"/>
      <c r="BK323" s="49"/>
      <c r="BL323" s="49"/>
      <c r="BM323" s="49"/>
      <c r="BN323" s="49"/>
      <c r="BO323" s="49"/>
      <c r="BP323" s="49"/>
      <c r="BQ323" s="49"/>
      <c r="BR323" s="49"/>
      <c r="BS323" s="49"/>
      <c r="BT323" s="49"/>
      <c r="BU323" s="49"/>
      <c r="BV323" s="49"/>
      <c r="BW323" s="49"/>
      <c r="BX323" s="49"/>
      <c r="BY323" s="49"/>
      <c r="BZ323" s="49"/>
      <c r="CA323" s="49"/>
      <c r="CB323" s="49"/>
      <c r="CC323" s="49"/>
      <c r="CD323" s="49"/>
      <c r="CE323" s="49"/>
      <c r="CF323" s="49"/>
      <c r="CG323" s="49"/>
      <c r="CH323" s="49"/>
    </row>
    <row r="327" spans="2:86" x14ac:dyDescent="0.2"/>
    <row r="335" spans="2:86" x14ac:dyDescent="0.2"/>
    <row r="365" spans="14:14" x14ac:dyDescent="0.2"/>
    <row r="393" spans="12:12" x14ac:dyDescent="0.2"/>
    <row r="437" spans="12:13" x14ac:dyDescent="0.2"/>
    <row r="438" spans="12:13" x14ac:dyDescent="0.2"/>
    <row r="440" spans="12:13" x14ac:dyDescent="0.2"/>
    <row r="473" spans="1:20" x14ac:dyDescent="0.2"/>
    <row r="474" spans="1:20" x14ac:dyDescent="0.2"/>
    <row r="476" spans="1:20" x14ac:dyDescent="0.2"/>
    <row r="480" spans="1:20" x14ac:dyDescent="0.2"/>
    <row r="482" spans="6:20" x14ac:dyDescent="0.2"/>
    <row r="486" spans="6:20" x14ac:dyDescent="0.2"/>
    <row r="488" spans="6:20" x14ac:dyDescent="0.2"/>
    <row r="557" spans="13:13" x14ac:dyDescent="0.2"/>
    <row r="561" spans="9:13" x14ac:dyDescent="0.2"/>
  </sheetData>
  <pageMargins left="0.75" right="0.75" top="1" bottom="1" header="0.5" footer="0.5"/>
  <pageSetup paperSize="9" fitToHeight="0" orientation="portrait" horizontalDpi="300" verticalDpi="3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25F6-D8D4-4D61-85A6-49A455327A20}">
  <sheetPr codeName="Sheet20">
    <tabColor theme="8"/>
  </sheetPr>
  <dimension ref="A1:BT86"/>
  <sheetViews>
    <sheetView showGridLines="0" workbookViewId="0">
      <pane xSplit="1" ySplit="2" topLeftCell="E3" activePane="bottomRight" state="frozen"/>
      <selection pane="topRight" activeCell="B1" sqref="B1"/>
      <selection pane="bottomLeft" activeCell="A3" sqref="A3"/>
      <selection pane="bottomRight" activeCell="E3" sqref="E3"/>
    </sheetView>
  </sheetViews>
  <sheetFormatPr defaultColWidth="7.140625" defaultRowHeight="11.25" outlineLevelRow="1" outlineLevelCol="2" x14ac:dyDescent="0.2"/>
  <cols>
    <col min="1" max="1" width="28" style="4" customWidth="1"/>
    <col min="2" max="2" width="7.28515625" style="4" bestFit="1" customWidth="1"/>
    <col min="3" max="3" width="7.5703125" style="4" bestFit="1" customWidth="1"/>
    <col min="4" max="4" width="7.42578125" style="4" bestFit="1" customWidth="1"/>
    <col min="5" max="7" width="8" style="4" bestFit="1" customWidth="1"/>
    <col min="8" max="11" width="7.7109375" style="4" hidden="1" customWidth="1" outlineLevel="2"/>
    <col min="12" max="14" width="7.7109375" style="4" hidden="1" customWidth="1" outlineLevel="1"/>
    <col min="15" max="15" width="7.28515625" style="4" bestFit="1" customWidth="1" collapsed="1"/>
    <col min="16" max="19" width="7.7109375" style="4" hidden="1" customWidth="1" outlineLevel="2"/>
    <col min="20" max="22" width="7.7109375" style="4" hidden="1" customWidth="1" outlineLevel="1"/>
    <col min="23" max="23" width="7.28515625" style="4" bestFit="1" customWidth="1" collapsed="1"/>
    <col min="24" max="27" width="7.7109375" style="4" hidden="1" customWidth="1" outlineLevel="2"/>
    <col min="28" max="30" width="7.7109375" style="4" hidden="1" customWidth="1" outlineLevel="1"/>
    <col min="31" max="31" width="7.28515625" style="4" bestFit="1" customWidth="1" collapsed="1"/>
    <col min="32" max="35" width="7.7109375" style="4" hidden="1" customWidth="1" outlineLevel="2"/>
    <col min="36" max="38" width="7.7109375" style="4" hidden="1" customWidth="1" outlineLevel="1"/>
    <col min="39" max="39" width="7.28515625" style="4" bestFit="1" customWidth="1" collapsed="1"/>
    <col min="40" max="43" width="7.7109375" style="4" hidden="1" customWidth="1" outlineLevel="2"/>
    <col min="44" max="46" width="7.7109375" style="4" hidden="1" customWidth="1" outlineLevel="1"/>
    <col min="47" max="47" width="7.28515625" style="4" bestFit="1" customWidth="1" collapsed="1"/>
    <col min="48" max="51" width="7.7109375" style="4" hidden="1" customWidth="1" outlineLevel="2"/>
    <col min="52" max="54" width="7.7109375" style="4" hidden="1" customWidth="1" outlineLevel="1"/>
    <col min="55" max="55" width="7.28515625" style="4" bestFit="1" customWidth="1" collapsed="1"/>
    <col min="56" max="59" width="7.7109375" style="4" hidden="1" customWidth="1" outlineLevel="2"/>
    <col min="60" max="62" width="7.7109375" style="4" hidden="1" customWidth="1" outlineLevel="1"/>
    <col min="63" max="63" width="7.28515625" style="4" bestFit="1" customWidth="1" collapsed="1"/>
    <col min="64" max="67" width="7.7109375" style="4" hidden="1" customWidth="1" outlineLevel="2"/>
    <col min="68" max="70" width="7.7109375" style="4" hidden="1" customWidth="1" outlineLevel="1"/>
    <col min="71" max="71" width="7.28515625" style="4" bestFit="1" customWidth="1" collapsed="1"/>
    <col min="72" max="72" width="7.28515625" style="4" customWidth="1"/>
    <col min="73" max="16384" width="7.140625" style="4"/>
  </cols>
  <sheetData>
    <row r="1" spans="1:72" x14ac:dyDescent="0.2">
      <c r="A1" s="186" t="s">
        <v>70</v>
      </c>
      <c r="B1" s="4" t="s">
        <v>1093</v>
      </c>
      <c r="C1" s="4" t="s">
        <v>1093</v>
      </c>
      <c r="G1" s="180"/>
    </row>
    <row r="2" spans="1:72" x14ac:dyDescent="0.2">
      <c r="A2" s="42" t="s">
        <v>2</v>
      </c>
      <c r="B2" s="40">
        <v>2018</v>
      </c>
      <c r="C2" s="40" t="s">
        <v>77</v>
      </c>
      <c r="D2" s="40">
        <f>B2+1</f>
        <v>2019</v>
      </c>
      <c r="E2" s="40">
        <f>D2+1</f>
        <v>2020</v>
      </c>
      <c r="F2" s="40">
        <f>E2+1</f>
        <v>2021</v>
      </c>
      <c r="G2" s="43">
        <f>F2+1</f>
        <v>2022</v>
      </c>
      <c r="H2" s="41" t="str">
        <f>'Equipment &amp; Defense'!W3</f>
        <v>1Q23</v>
      </c>
      <c r="I2" s="41" t="str">
        <f>'Equipment &amp; Defense'!X3</f>
        <v>2Q23</v>
      </c>
      <c r="J2" s="41" t="str">
        <f>'Equipment &amp; Defense'!Y3</f>
        <v>3Q23</v>
      </c>
      <c r="K2" s="1376" t="str">
        <f>'Equipment &amp; Defense'!Z3</f>
        <v>4Q23</v>
      </c>
      <c r="L2" s="41" t="str">
        <f>'Equipment &amp; Defense'!AA3</f>
        <v>1H23</v>
      </c>
      <c r="M2" s="41" t="str">
        <f>'Equipment &amp; Defense'!AB3</f>
        <v>2H23</v>
      </c>
      <c r="N2" s="41" t="str">
        <f>'Equipment &amp; Defense'!AC3</f>
        <v>9M23</v>
      </c>
      <c r="O2" s="1348">
        <f>G2+1</f>
        <v>2023</v>
      </c>
      <c r="P2" s="41" t="str">
        <f>'Equipment &amp; Defense'!AE3</f>
        <v>1Q24</v>
      </c>
      <c r="Q2" s="41" t="str">
        <f>'Equipment &amp; Defense'!AF3</f>
        <v>2Q24</v>
      </c>
      <c r="R2" s="41" t="str">
        <f>'Equipment &amp; Defense'!AG3</f>
        <v>3Q24</v>
      </c>
      <c r="S2" s="1376" t="str">
        <f>'Equipment &amp; Defense'!AH3</f>
        <v>4Q24</v>
      </c>
      <c r="T2" s="41" t="str">
        <f>'Equipment &amp; Defense'!AI3</f>
        <v>1H24</v>
      </c>
      <c r="U2" s="41" t="str">
        <f>'Equipment &amp; Defense'!AJ3</f>
        <v>2H24</v>
      </c>
      <c r="V2" s="41" t="str">
        <f>'Equipment &amp; Defense'!AK3</f>
        <v>9M24</v>
      </c>
      <c r="W2" s="1348">
        <f>O2+1</f>
        <v>2024</v>
      </c>
      <c r="X2" s="41" t="str">
        <f>'Equipment &amp; Defense'!AM3</f>
        <v>1Q25</v>
      </c>
      <c r="Y2" s="41" t="str">
        <f>'Equipment &amp; Defense'!AN3</f>
        <v>2Q25</v>
      </c>
      <c r="Z2" s="41" t="str">
        <f>'Equipment &amp; Defense'!AO3</f>
        <v>3Q25</v>
      </c>
      <c r="AA2" s="1376" t="str">
        <f>'Equipment &amp; Defense'!AP3</f>
        <v>4Q25</v>
      </c>
      <c r="AB2" s="41" t="str">
        <f>'Equipment &amp; Defense'!AQ3</f>
        <v>1H25</v>
      </c>
      <c r="AC2" s="41" t="str">
        <f>'Equipment &amp; Defense'!AR3</f>
        <v>2H25</v>
      </c>
      <c r="AD2" s="41" t="str">
        <f>'Equipment &amp; Defense'!AS3</f>
        <v>9M25</v>
      </c>
      <c r="AE2" s="1348">
        <f>W2+1</f>
        <v>2025</v>
      </c>
      <c r="AF2" s="41" t="str">
        <f>'Equipment &amp; Defense'!AU3</f>
        <v>1Q26</v>
      </c>
      <c r="AG2" s="41" t="str">
        <f>'Equipment &amp; Defense'!AV3</f>
        <v>2Q26</v>
      </c>
      <c r="AH2" s="578" t="str">
        <f>'Equipment &amp; Defense'!AW3</f>
        <v>3Q26e</v>
      </c>
      <c r="AI2" s="837" t="str">
        <f>'Equipment &amp; Defense'!AX3</f>
        <v>4Q26e</v>
      </c>
      <c r="AJ2" s="41" t="str">
        <f>'Equipment &amp; Defense'!AY3</f>
        <v>1H26</v>
      </c>
      <c r="AK2" s="578" t="str">
        <f>'Equipment &amp; Defense'!AZ3</f>
        <v>2H26e</v>
      </c>
      <c r="AL2" s="578" t="str">
        <f>'Equipment &amp; Defense'!BA3</f>
        <v>9M26e</v>
      </c>
      <c r="AM2" s="579">
        <f>AE2+1</f>
        <v>2026</v>
      </c>
      <c r="AN2" s="578" t="str">
        <f>'Equipment &amp; Defense'!BC3</f>
        <v>1Q27e</v>
      </c>
      <c r="AO2" s="578" t="str">
        <f>'Equipment &amp; Defense'!BD3</f>
        <v>2Q27e</v>
      </c>
      <c r="AP2" s="578" t="str">
        <f>'Equipment &amp; Defense'!BE3</f>
        <v>3Q27e</v>
      </c>
      <c r="AQ2" s="837" t="str">
        <f>'Equipment &amp; Defense'!BF3</f>
        <v>4Q27e</v>
      </c>
      <c r="AR2" s="578" t="str">
        <f>'Equipment &amp; Defense'!BG3</f>
        <v>1H27e</v>
      </c>
      <c r="AS2" s="578" t="str">
        <f>'Equipment &amp; Defense'!BH3</f>
        <v>2H27e</v>
      </c>
      <c r="AT2" s="578" t="str">
        <f>'Equipment &amp; Defense'!BI3</f>
        <v>9M27e</v>
      </c>
      <c r="AU2" s="579">
        <f>AM2+1</f>
        <v>2027</v>
      </c>
      <c r="AV2" s="578" t="str">
        <f>'Equipment &amp; Defense'!BK3</f>
        <v>1Q28e</v>
      </c>
      <c r="AW2" s="578" t="str">
        <f>'Equipment &amp; Defense'!BL3</f>
        <v>2Q28e</v>
      </c>
      <c r="AX2" s="578" t="str">
        <f>'Equipment &amp; Defense'!BM3</f>
        <v>3Q28e</v>
      </c>
      <c r="AY2" s="837" t="str">
        <f>'Equipment &amp; Defense'!BN3</f>
        <v>4Q28e</v>
      </c>
      <c r="AZ2" s="578" t="str">
        <f>'Equipment &amp; Defense'!BO3</f>
        <v>1H28e</v>
      </c>
      <c r="BA2" s="578" t="str">
        <f>'Equipment &amp; Defense'!BP3</f>
        <v>2H28e</v>
      </c>
      <c r="BB2" s="578" t="str">
        <f>'Equipment &amp; Defense'!BQ3</f>
        <v>9M28e</v>
      </c>
      <c r="BC2" s="579">
        <f>AU2+1</f>
        <v>2028</v>
      </c>
      <c r="BD2" s="578" t="str">
        <f>'Equipment &amp; Defense'!BS3</f>
        <v>1Q29e</v>
      </c>
      <c r="BE2" s="578" t="str">
        <f>'Equipment &amp; Defense'!BT3</f>
        <v>2Q29e</v>
      </c>
      <c r="BF2" s="578" t="str">
        <f>'Equipment &amp; Defense'!BU3</f>
        <v>3Q29e</v>
      </c>
      <c r="BG2" s="837" t="str">
        <f>'Equipment &amp; Defense'!BV3</f>
        <v>4Q29e</v>
      </c>
      <c r="BH2" s="578" t="str">
        <f>'Equipment &amp; Defense'!BW3</f>
        <v>1H29e</v>
      </c>
      <c r="BI2" s="578" t="str">
        <f>'Equipment &amp; Defense'!BX3</f>
        <v>2H29e</v>
      </c>
      <c r="BJ2" s="578" t="str">
        <f>'Equipment &amp; Defense'!BY3</f>
        <v>9M29e</v>
      </c>
      <c r="BK2" s="579">
        <f>BC2+1</f>
        <v>2029</v>
      </c>
      <c r="BL2" s="578" t="str">
        <f>'Equipment &amp; Defense'!CA3</f>
        <v>1Q30e</v>
      </c>
      <c r="BM2" s="578" t="str">
        <f>'Equipment &amp; Defense'!CB3</f>
        <v>2Q30e</v>
      </c>
      <c r="BN2" s="578" t="str">
        <f>'Equipment &amp; Defense'!CC3</f>
        <v>3Q30e</v>
      </c>
      <c r="BO2" s="837" t="str">
        <f>'Equipment &amp; Defense'!CD3</f>
        <v>4Q30e</v>
      </c>
      <c r="BP2" s="578" t="str">
        <f>'Equipment &amp; Defense'!CE3</f>
        <v>1H30e</v>
      </c>
      <c r="BQ2" s="578" t="str">
        <f>'Equipment &amp; Defense'!CF3</f>
        <v>2H30e</v>
      </c>
      <c r="BR2" s="578" t="str">
        <f>'Equipment &amp; Defense'!CG3</f>
        <v>9M30e</v>
      </c>
      <c r="BS2" s="579">
        <f>BK2+1</f>
        <v>2030</v>
      </c>
    </row>
    <row r="3" spans="1:72" x14ac:dyDescent="0.2">
      <c r="G3" s="180"/>
      <c r="K3" s="179"/>
      <c r="O3" s="314"/>
      <c r="S3" s="179"/>
      <c r="W3" s="314"/>
      <c r="AA3" s="179"/>
      <c r="AE3" s="314"/>
      <c r="AI3" s="179"/>
      <c r="AM3" s="314"/>
      <c r="AQ3" s="179"/>
      <c r="AU3" s="314"/>
      <c r="AY3" s="179"/>
      <c r="BC3" s="314"/>
      <c r="BG3" s="179"/>
      <c r="BK3" s="314"/>
      <c r="BO3" s="179"/>
      <c r="BS3" s="314"/>
    </row>
    <row r="4" spans="1:72" ht="11.25" customHeight="1" x14ac:dyDescent="0.2">
      <c r="A4" s="186" t="s">
        <v>1094</v>
      </c>
      <c r="B4" s="186"/>
      <c r="C4" s="186">
        <f>C14-C9</f>
        <v>1855</v>
      </c>
      <c r="D4" s="186">
        <f>D14-D9</f>
        <v>2426</v>
      </c>
      <c r="E4" s="186">
        <f>E14-E9</f>
        <v>1444</v>
      </c>
      <c r="F4" s="186">
        <f>F14-F9</f>
        <v>1067</v>
      </c>
      <c r="G4" s="284">
        <f>G14-G9</f>
        <v>1389</v>
      </c>
      <c r="H4" s="186">
        <v>395</v>
      </c>
      <c r="I4" s="186">
        <f>L4-H4</f>
        <v>368</v>
      </c>
      <c r="J4" s="186">
        <v>381</v>
      </c>
      <c r="K4" s="283">
        <f>M4-J4</f>
        <v>453</v>
      </c>
      <c r="L4" s="186">
        <v>763</v>
      </c>
      <c r="M4" s="186">
        <f>O4-L4</f>
        <v>834</v>
      </c>
      <c r="N4" s="186">
        <f>H4+I4+J4</f>
        <v>1144</v>
      </c>
      <c r="O4" s="341">
        <f>O14-O9</f>
        <v>1597</v>
      </c>
      <c r="P4" s="186">
        <v>417</v>
      </c>
      <c r="Q4" s="186">
        <f>T4-P4</f>
        <v>463</v>
      </c>
      <c r="R4" s="186">
        <v>487</v>
      </c>
      <c r="S4" s="283">
        <f>U4-R4</f>
        <v>549</v>
      </c>
      <c r="T4" s="186">
        <v>880</v>
      </c>
      <c r="U4" s="186">
        <f>W4-T4</f>
        <v>1036</v>
      </c>
      <c r="V4" s="186">
        <f>P4+Q4+R4</f>
        <v>1367</v>
      </c>
      <c r="W4" s="341">
        <f>W14-W9</f>
        <v>1916</v>
      </c>
      <c r="X4" s="186">
        <v>477</v>
      </c>
      <c r="Y4" s="186">
        <f>AB4-X4</f>
        <v>523</v>
      </c>
      <c r="Z4" s="186">
        <v>503</v>
      </c>
      <c r="AA4" s="283">
        <f>AC4-Z4</f>
        <v>612</v>
      </c>
      <c r="AB4" s="186">
        <v>1000</v>
      </c>
      <c r="AC4" s="186">
        <f>AE4-AB4</f>
        <v>1115</v>
      </c>
      <c r="AD4" s="186">
        <f>X4+Y4+Z4</f>
        <v>1503</v>
      </c>
      <c r="AE4" s="341">
        <f>AE14-AE9</f>
        <v>2115</v>
      </c>
      <c r="AF4" s="186">
        <v>424</v>
      </c>
      <c r="AG4" s="186">
        <f>AJ4-AF4</f>
        <v>456</v>
      </c>
      <c r="AH4" s="285">
        <f>Z4*(1+AH5)</f>
        <v>490.39551716694723</v>
      </c>
      <c r="AI4" s="728">
        <f>AK4-AH4</f>
        <v>638.73051426067377</v>
      </c>
      <c r="AJ4" s="186">
        <v>880</v>
      </c>
      <c r="AK4" s="285">
        <f>AM4-AJ4</f>
        <v>1129.126031427621</v>
      </c>
      <c r="AL4" s="285">
        <f>AF4+AG4+AH4</f>
        <v>1370.3955171669472</v>
      </c>
      <c r="AM4" s="301">
        <f>AE4*(1+AM5)</f>
        <v>2009.126031427621</v>
      </c>
      <c r="AN4" s="285">
        <f>AF4*(1+AN5)</f>
        <v>463.27012687427913</v>
      </c>
      <c r="AO4" s="285">
        <f>AR4-AN4</f>
        <v>498.23391003460216</v>
      </c>
      <c r="AP4" s="285">
        <f>AH4*(1+AP5)</f>
        <v>535.8150789068618</v>
      </c>
      <c r="AQ4" s="728">
        <f>AS4-AP4</f>
        <v>697.88859995286771</v>
      </c>
      <c r="AR4" s="285">
        <f>AJ4*(1+AR5)</f>
        <v>961.50403690888129</v>
      </c>
      <c r="AS4" s="285">
        <f>AU4-AR4</f>
        <v>1233.7036788597295</v>
      </c>
      <c r="AT4" s="285">
        <f>AN4+AO4+AP4</f>
        <v>1497.3191158157431</v>
      </c>
      <c r="AU4" s="301">
        <f>AM4*(1+AU5)</f>
        <v>2195.2077157686108</v>
      </c>
      <c r="AV4" s="285">
        <f>AN4*(1+AV5)</f>
        <v>507.9176104008335</v>
      </c>
      <c r="AW4" s="285">
        <f>AZ4-AV4</f>
        <v>546.25101495938713</v>
      </c>
      <c r="AX4" s="285">
        <f>AP4*(1+AX5)</f>
        <v>587.45405478942644</v>
      </c>
      <c r="AY4" s="728">
        <f>BA4-AX4</f>
        <v>765.14735022022865</v>
      </c>
      <c r="AZ4" s="285">
        <f>AR4*(1+AZ5)</f>
        <v>1054.1686253602206</v>
      </c>
      <c r="BA4" s="285">
        <f>BC4-AZ4</f>
        <v>1352.6014050096551</v>
      </c>
      <c r="BB4" s="285">
        <f>AV4+AW4+AX4</f>
        <v>1641.6226801496471</v>
      </c>
      <c r="BC4" s="301">
        <f>AU4*(1+BC5)</f>
        <v>2406.7700303698757</v>
      </c>
      <c r="BD4" s="285">
        <f>AV4*(1+BD5)</f>
        <v>552.55545081644186</v>
      </c>
      <c r="BE4" s="285">
        <f>BH4-BD4</f>
        <v>594.25774899126804</v>
      </c>
      <c r="BF4" s="285">
        <f>AX4*(1+BF5)</f>
        <v>639.08187751543574</v>
      </c>
      <c r="BG4" s="728">
        <f>BI4-BF4</f>
        <v>832.39157372057639</v>
      </c>
      <c r="BH4" s="285">
        <f>AZ4*(1+BH5)</f>
        <v>1146.8131998077099</v>
      </c>
      <c r="BI4" s="285">
        <f>BK4-BH4</f>
        <v>1471.4734512360121</v>
      </c>
      <c r="BJ4" s="285">
        <f>BD4+BE4+BF4</f>
        <v>1785.8950773231456</v>
      </c>
      <c r="BK4" s="301">
        <f>BC4*(1+BK5)</f>
        <v>2618.286651043722</v>
      </c>
      <c r="BL4" s="285">
        <f>BD4*(1+BL5)</f>
        <v>582.54491683549691</v>
      </c>
      <c r="BM4" s="285">
        <f>BP4-BL4</f>
        <v>626.51057093628947</v>
      </c>
      <c r="BN4" s="285">
        <f>BF4*(1+BN5)</f>
        <v>673.76749001066003</v>
      </c>
      <c r="BO4" s="728">
        <f>BQ4-BN4</f>
        <v>877.5689016751852</v>
      </c>
      <c r="BP4" s="285">
        <f>BH4*(1+BP5)</f>
        <v>1209.0554877717864</v>
      </c>
      <c r="BQ4" s="285">
        <f>BS4-BP4</f>
        <v>1551.3363916858452</v>
      </c>
      <c r="BR4" s="285">
        <f>BL4+BM4+BN4</f>
        <v>1882.8229777824463</v>
      </c>
      <c r="BS4" s="301">
        <f>BK4*(1+BS5)</f>
        <v>2760.3918794576316</v>
      </c>
    </row>
    <row r="5" spans="1:72" ht="11.25" customHeight="1" x14ac:dyDescent="0.2">
      <c r="A5" s="1129" t="s">
        <v>998</v>
      </c>
      <c r="D5" s="88">
        <f>D4/C4-1</f>
        <v>0.30781671159029655</v>
      </c>
      <c r="E5" s="88">
        <f>E4/D4-1</f>
        <v>-0.40478153338829348</v>
      </c>
      <c r="F5" s="88">
        <f>F4/E4-1</f>
        <v>-0.2610803324099723</v>
      </c>
      <c r="G5" s="91">
        <f>G4/F4-1</f>
        <v>0.30178069353327075</v>
      </c>
      <c r="H5" s="653">
        <f>H4/Quarterlies!CM187-1</f>
        <v>0.37152777777777768</v>
      </c>
      <c r="I5" s="653">
        <f>I4/Quarterlies!CN187-1</f>
        <v>0.13230769230769224</v>
      </c>
      <c r="J5" s="653">
        <f>J4/Quarterlies!CO187-1</f>
        <v>4.9586776859504189E-2</v>
      </c>
      <c r="K5" s="654">
        <f>K4/Quarterlies!CP187-1</f>
        <v>9.6852300242130651E-2</v>
      </c>
      <c r="L5" s="653">
        <f>L4/Quarterlies!CQ187-1</f>
        <v>0.24469820554649258</v>
      </c>
      <c r="M5" s="653">
        <f>M4/Quarterlies!CR187-1</f>
        <v>7.474226804123707E-2</v>
      </c>
      <c r="N5" s="653">
        <f>N4/Quarterlies!CS187-1</f>
        <v>0.17213114754098369</v>
      </c>
      <c r="O5" s="357">
        <f t="shared" ref="O5:AC5" si="0">O4/G4-1</f>
        <v>0.1497480201583874</v>
      </c>
      <c r="P5" s="653">
        <f t="shared" si="0"/>
        <v>5.5696202531645644E-2</v>
      </c>
      <c r="Q5" s="653">
        <f t="shared" si="0"/>
        <v>0.25815217391304346</v>
      </c>
      <c r="R5" s="653">
        <f t="shared" si="0"/>
        <v>0.27821522309711288</v>
      </c>
      <c r="S5" s="654">
        <f t="shared" si="0"/>
        <v>0.21192052980132448</v>
      </c>
      <c r="T5" s="653">
        <f t="shared" si="0"/>
        <v>0.15334207077326334</v>
      </c>
      <c r="U5" s="653">
        <f t="shared" si="0"/>
        <v>0.24220623501199046</v>
      </c>
      <c r="V5" s="653">
        <f t="shared" si="0"/>
        <v>0.19493006993007</v>
      </c>
      <c r="W5" s="357">
        <f t="shared" si="0"/>
        <v>0.19974953036944276</v>
      </c>
      <c r="X5" s="653">
        <f t="shared" si="0"/>
        <v>0.14388489208633093</v>
      </c>
      <c r="Y5" s="653">
        <f t="shared" si="0"/>
        <v>0.12958963282937375</v>
      </c>
      <c r="Z5" s="653">
        <f t="shared" si="0"/>
        <v>3.2854209445585258E-2</v>
      </c>
      <c r="AA5" s="654">
        <f t="shared" si="0"/>
        <v>0.11475409836065564</v>
      </c>
      <c r="AB5" s="653">
        <f t="shared" ref="AB5" si="1">AB4/T4-1</f>
        <v>0.13636363636363646</v>
      </c>
      <c r="AC5" s="653">
        <f t="shared" si="0"/>
        <v>7.6254826254826158E-2</v>
      </c>
      <c r="AD5" s="653">
        <f t="shared" ref="AD5:AG5" si="2">AD4/V4-1</f>
        <v>9.9487929773226069E-2</v>
      </c>
      <c r="AE5" s="357">
        <f t="shared" si="2"/>
        <v>0.10386221294363263</v>
      </c>
      <c r="AF5" s="653">
        <f t="shared" si="2"/>
        <v>-0.11111111111111116</v>
      </c>
      <c r="AG5" s="653">
        <f t="shared" si="2"/>
        <v>-0.12810707456978965</v>
      </c>
      <c r="AH5" s="655">
        <f>AH6+AH7</f>
        <v>-2.5058613982212319E-2</v>
      </c>
      <c r="AI5" s="1131">
        <f>AI4/AA4-1</f>
        <v>4.3677310883453835E-2</v>
      </c>
      <c r="AJ5" s="653">
        <f t="shared" ref="AJ5" si="3">AJ4/AB4-1</f>
        <v>-0.12</v>
      </c>
      <c r="AK5" s="655">
        <f>AK4/AC4-1</f>
        <v>1.2669086482171243E-2</v>
      </c>
      <c r="AL5" s="655">
        <f>AL4/AD4-1</f>
        <v>-8.8226535484399737E-2</v>
      </c>
      <c r="AM5" s="1231">
        <f>AM6+AM7</f>
        <v>-5.0058613982212313E-2</v>
      </c>
      <c r="AN5" s="655">
        <f>AN6+AN7</f>
        <v>9.261822376009235E-2</v>
      </c>
      <c r="AO5" s="655">
        <f>AO4/AG4-1</f>
        <v>9.2618223760092544E-2</v>
      </c>
      <c r="AP5" s="655">
        <f>AP6+AP7</f>
        <v>9.261822376009235E-2</v>
      </c>
      <c r="AQ5" s="1131">
        <f>AQ4/AI4-1</f>
        <v>9.2618223760092322E-2</v>
      </c>
      <c r="AR5" s="655">
        <f>AR6+AR7</f>
        <v>9.261822376009235E-2</v>
      </c>
      <c r="AS5" s="655">
        <f>AS4/AK4-1</f>
        <v>9.2618223760092322E-2</v>
      </c>
      <c r="AT5" s="655">
        <f>AT4/AL4-1</f>
        <v>9.2618223760092322E-2</v>
      </c>
      <c r="AU5" s="1231">
        <f>AU6+AU7</f>
        <v>9.261822376009235E-2</v>
      </c>
      <c r="AV5" s="655">
        <f>AV6+AV7</f>
        <v>9.6374622356495437E-2</v>
      </c>
      <c r="AW5" s="655">
        <f>AW4/AO4-1</f>
        <v>9.6374622356495632E-2</v>
      </c>
      <c r="AX5" s="655">
        <f>AX6+AX7</f>
        <v>9.6374622356495437E-2</v>
      </c>
      <c r="AY5" s="1131">
        <f>AY4/AQ4-1</f>
        <v>9.637462235649541E-2</v>
      </c>
      <c r="AZ5" s="655">
        <f>AZ6+AZ7</f>
        <v>9.6374622356495437E-2</v>
      </c>
      <c r="BA5" s="655">
        <f>BA4/AS4-1</f>
        <v>9.637462235649541E-2</v>
      </c>
      <c r="BB5" s="655">
        <f>BB4/AT4-1</f>
        <v>9.637462235649541E-2</v>
      </c>
      <c r="BC5" s="1231">
        <f>BC6+BC7</f>
        <v>9.6374622356495437E-2</v>
      </c>
      <c r="BD5" s="655">
        <f>BD6+BD7</f>
        <v>8.7884018001229608E-2</v>
      </c>
      <c r="BE5" s="655">
        <f>BE4/AW4-1</f>
        <v>8.7884018001229913E-2</v>
      </c>
      <c r="BF5" s="655">
        <f>BF6+BF7</f>
        <v>8.7884018001229608E-2</v>
      </c>
      <c r="BG5" s="1131">
        <f>BG4/AY4-1</f>
        <v>8.7884018001229691E-2</v>
      </c>
      <c r="BH5" s="655">
        <f>BH6+BH7</f>
        <v>8.7884018001229608E-2</v>
      </c>
      <c r="BI5" s="655">
        <f>BI4/BA4-1</f>
        <v>8.7884018001229691E-2</v>
      </c>
      <c r="BJ5" s="655">
        <f>BJ4/BB4-1</f>
        <v>8.7884018001229691E-2</v>
      </c>
      <c r="BK5" s="1231">
        <f>BK6+BK7</f>
        <v>8.7884018001229608E-2</v>
      </c>
      <c r="BL5" s="655">
        <f>BL6+BL7</f>
        <v>5.427412936519474E-2</v>
      </c>
      <c r="BM5" s="655">
        <f>BM4/BE4-1</f>
        <v>5.4274129365194712E-2</v>
      </c>
      <c r="BN5" s="655">
        <f>BN6+BN7</f>
        <v>5.427412936519474E-2</v>
      </c>
      <c r="BO5" s="1131">
        <f>BO4/BG4-1</f>
        <v>5.4274129365194934E-2</v>
      </c>
      <c r="BP5" s="655">
        <f>BP6+BP7</f>
        <v>5.427412936519474E-2</v>
      </c>
      <c r="BQ5" s="655">
        <f>BQ4/BI4-1</f>
        <v>5.4274129365194934E-2</v>
      </c>
      <c r="BR5" s="655">
        <f>BR4/BJ4-1</f>
        <v>5.4274129365194712E-2</v>
      </c>
      <c r="BS5" s="1231">
        <f>BS6+BS7</f>
        <v>5.427412936519474E-2</v>
      </c>
    </row>
    <row r="6" spans="1:72" ht="11.25" customHeight="1" x14ac:dyDescent="0.2">
      <c r="A6" s="1132" t="s">
        <v>729</v>
      </c>
      <c r="D6" s="1438">
        <v>7.6999999999999999E-2</v>
      </c>
      <c r="E6" s="1438">
        <v>-0.38500000000000001</v>
      </c>
      <c r="F6" s="1438">
        <v>-0.224</v>
      </c>
      <c r="G6" s="1439">
        <v>0.20599999999999999</v>
      </c>
      <c r="H6" s="151">
        <v>0.32</v>
      </c>
      <c r="I6" s="151">
        <f>(L6*Quarterlies!CQ187-H6*Quarterlies!CM187)/Quarterlies!CN187</f>
        <v>0.18796923076923078</v>
      </c>
      <c r="J6" s="151">
        <v>0.2</v>
      </c>
      <c r="K6" s="818">
        <f>(M6*Quarterlies!CR187-J6*Quarterlies!CO187)/Quarterlies!CP187</f>
        <v>0.28722033898305077</v>
      </c>
      <c r="L6" s="151">
        <v>0.25</v>
      </c>
      <c r="M6" s="151">
        <f>(O6*Quarterlies!CT187-L6*Quarterlies!CQ187)/Quarterlies!CR187</f>
        <v>0.24642010309278348</v>
      </c>
      <c r="N6" s="24">
        <f>(H6*Quarterlies!CM187+I6*Quarterlies!CN187+J6*Quarterlies!CO187)/Quarterlies!CS187</f>
        <v>0.2314036885245902</v>
      </c>
      <c r="O6" s="1448">
        <v>0.248</v>
      </c>
      <c r="P6" s="151">
        <v>0.17</v>
      </c>
      <c r="Q6" s="151">
        <f>(T6*L4-P6*H4)/I4</f>
        <v>0.30476902173913034</v>
      </c>
      <c r="R6" s="151">
        <v>0.30199999999999999</v>
      </c>
      <c r="S6" s="818">
        <f>(U6*M4-R6*J4)/K4</f>
        <v>0.21390286975717435</v>
      </c>
      <c r="T6" s="151">
        <v>0.23499999999999999</v>
      </c>
      <c r="U6" s="151">
        <f>(W6*O4-T6*L4)/M4</f>
        <v>0.25414868105515587</v>
      </c>
      <c r="V6" s="151">
        <f>(P6*H4+Q6*I4+R6*J4)/N4</f>
        <v>0.25731381118881114</v>
      </c>
      <c r="W6" s="1448">
        <v>0.245</v>
      </c>
      <c r="X6" s="151">
        <v>0.115</v>
      </c>
      <c r="Y6" s="151">
        <f>(AB6*T4-X6*P4)/Q4</f>
        <v>0.17011879049676024</v>
      </c>
      <c r="Z6" s="151">
        <v>0.11700000000000001</v>
      </c>
      <c r="AA6" s="818">
        <f>(AC6*U4-Z6*R4)/S4</f>
        <v>0.1784207650273224</v>
      </c>
      <c r="AB6" s="151">
        <v>0.14399999999999999</v>
      </c>
      <c r="AC6" s="151">
        <f>(AE6*W4-AB6*T4)/U4</f>
        <v>0.14954826254826256</v>
      </c>
      <c r="AD6" s="151">
        <f>(X6*P4+Y6*Q4+Z6*R4)/V4</f>
        <v>0.13438112655449891</v>
      </c>
      <c r="AE6" s="1415">
        <v>0.14699999999999999</v>
      </c>
      <c r="AF6" s="151">
        <v>0.105</v>
      </c>
      <c r="AG6" s="151">
        <f>(AJ6*AB4-AF6*X4)/Y4</f>
        <v>-9.7227533460803074E-3</v>
      </c>
      <c r="AH6" s="1138">
        <v>0.15</v>
      </c>
      <c r="AI6" s="1133">
        <f>(AK6*AC4-AH6*Z4)/AA4</f>
        <v>0.23517156862745101</v>
      </c>
      <c r="AJ6" s="151">
        <v>4.4999999999999998E-2</v>
      </c>
      <c r="AK6" s="155">
        <f>(AM6*AE4-AJ6*AB4)/AC4</f>
        <v>0.19674887892376683</v>
      </c>
      <c r="AL6" s="155">
        <f>(AF6*X4+AG6*Y4+AH6*Z4)/AD4</f>
        <v>8.0139720558882244E-2</v>
      </c>
      <c r="AM6" s="1134">
        <v>0.125</v>
      </c>
      <c r="AN6" s="155">
        <f>AU6</f>
        <v>0.1</v>
      </c>
      <c r="AO6" s="155">
        <f>(AR6*AJ4-AN6*AF4)/AG4</f>
        <v>9.9999999999999992E-2</v>
      </c>
      <c r="AP6" s="155">
        <f>AU6</f>
        <v>0.1</v>
      </c>
      <c r="AQ6" s="1133">
        <f>(AS6*AK4-AP6*AH4)/AI4</f>
        <v>0.10000000000000003</v>
      </c>
      <c r="AR6" s="155">
        <f>AU6</f>
        <v>0.1</v>
      </c>
      <c r="AS6" s="155">
        <f>(AU6*AM4-AR6*AJ4)/AK4</f>
        <v>0.10000000000000002</v>
      </c>
      <c r="AT6" s="155">
        <f>(AN6*AF4+AO6*AG4+AP6*AH4)/AL4</f>
        <v>9.9999999999999992E-2</v>
      </c>
      <c r="AU6" s="1134">
        <v>0.1</v>
      </c>
      <c r="AV6" s="155">
        <f>BC6</f>
        <v>0.1</v>
      </c>
      <c r="AW6" s="155">
        <f>(AZ6*AR4-AV6*AN4)/AO4</f>
        <v>0.10000000000000002</v>
      </c>
      <c r="AX6" s="155">
        <f>BC6</f>
        <v>0.1</v>
      </c>
      <c r="AY6" s="1133">
        <f>(BA6*AS4-AX6*AP4)/AQ4</f>
        <v>9.9999999999999978E-2</v>
      </c>
      <c r="AZ6" s="155">
        <f>BC6</f>
        <v>0.1</v>
      </c>
      <c r="BA6" s="155">
        <f>(BC6*AU4-AZ6*AR4)/AS4</f>
        <v>9.9999999999999992E-2</v>
      </c>
      <c r="BB6" s="155">
        <f>(AV6*AN4+AW6*AO4+AX6*AP4)/AT4</f>
        <v>0.1</v>
      </c>
      <c r="BC6" s="1134">
        <v>0.1</v>
      </c>
      <c r="BD6" s="155">
        <f>BK6</f>
        <v>0.1</v>
      </c>
      <c r="BE6" s="155">
        <f>(BH6*AZ4-BD6*AV4)/AW4</f>
        <v>0.1</v>
      </c>
      <c r="BF6" s="155">
        <f>BK6</f>
        <v>0.1</v>
      </c>
      <c r="BG6" s="1133">
        <f>(BI6*BA4-BF6*AX4)/AY4</f>
        <v>0.10000000000000002</v>
      </c>
      <c r="BH6" s="155">
        <f>BK6</f>
        <v>0.1</v>
      </c>
      <c r="BI6" s="155">
        <f>(BK6*BC4-BH6*AZ4)/BA4</f>
        <v>0.1</v>
      </c>
      <c r="BJ6" s="155">
        <f>(BD6*AV4+BE6*AW4+BF6*AX4)/BB4</f>
        <v>9.9999999999999992E-2</v>
      </c>
      <c r="BK6" s="1134">
        <v>0.1</v>
      </c>
      <c r="BL6" s="155">
        <f>BS6</f>
        <v>0.1</v>
      </c>
      <c r="BM6" s="155">
        <f>(BP6*BH4-BL6*BD4)/BE4</f>
        <v>0.1</v>
      </c>
      <c r="BN6" s="155">
        <f>BS6</f>
        <v>0.1</v>
      </c>
      <c r="BO6" s="1133">
        <f>(BQ6*BI4-BN6*BF4)/BG4</f>
        <v>9.9999999999999992E-2</v>
      </c>
      <c r="BP6" s="155">
        <f>BS6</f>
        <v>0.1</v>
      </c>
      <c r="BQ6" s="155">
        <f>(BS6*BK4-BP6*BH4)/BI4</f>
        <v>0.1</v>
      </c>
      <c r="BR6" s="155">
        <f>(BL6*BD4+BM6*BE4+BN6*BF4)/BJ4</f>
        <v>0.10000000000000002</v>
      </c>
      <c r="BS6" s="1134">
        <v>0.1</v>
      </c>
    </row>
    <row r="7" spans="1:72" ht="11.25" customHeight="1" x14ac:dyDescent="0.2">
      <c r="A7" s="1132" t="s">
        <v>999</v>
      </c>
      <c r="G7" s="180"/>
      <c r="H7" s="151">
        <f>H5-H6</f>
        <v>5.1527777777777672E-2</v>
      </c>
      <c r="I7" s="151">
        <f>(L7*Quarterlies!CQ187-H7*Quarterlies!CM187)/Quarterlies!CN187</f>
        <v>-5.5661538461538526E-2</v>
      </c>
      <c r="J7" s="151">
        <f>J5-J6</f>
        <v>-0.15041322314049582</v>
      </c>
      <c r="K7" s="818">
        <f>(M7*Quarterlies!CR187-J7*Quarterlies!CO187)/Quarterlies!CP187</f>
        <v>-0.19036803874091976</v>
      </c>
      <c r="L7" s="151">
        <f>L5-L6</f>
        <v>-5.3017944535074246E-3</v>
      </c>
      <c r="M7" s="151">
        <f>(O7*Quarterlies!CT187-L7*Quarterlies!CQ187)/Quarterlies!CR187</f>
        <v>-0.17167783505154618</v>
      </c>
      <c r="N7" s="24">
        <f>(H7*Quarterlies!CM187+I7*Quarterlies!CN187+J7*Quarterlies!CO187)/Quarterlies!CS187</f>
        <v>-5.9272540983606591E-2</v>
      </c>
      <c r="O7" s="1415">
        <f>O5-O6</f>
        <v>-9.8251979841612602E-2</v>
      </c>
      <c r="P7" s="151">
        <f>P5-P6</f>
        <v>-0.11430379746835437</v>
      </c>
      <c r="Q7" s="151">
        <f>(T7*L4-P7*H4)/I4</f>
        <v>-4.6616847826087195E-2</v>
      </c>
      <c r="R7" s="151">
        <f>R5-R6</f>
        <v>-2.3784776902887106E-2</v>
      </c>
      <c r="S7" s="818">
        <f>(U7*M4-R7*J4)/K4</f>
        <v>-1.9823399558495597E-3</v>
      </c>
      <c r="T7" s="151">
        <f>T5-T6</f>
        <v>-8.1657929226736647E-2</v>
      </c>
      <c r="U7" s="151">
        <f>(W7*O4-T7*L4)/M4</f>
        <v>-1.1942446043165272E-2</v>
      </c>
      <c r="V7" s="151">
        <f>(P7*H4+Q7*I4+R7*J4)/N4</f>
        <v>-6.2383741258741299E-2</v>
      </c>
      <c r="W7" s="1415">
        <f>W5-W6</f>
        <v>-4.5250469630557233E-2</v>
      </c>
      <c r="X7" s="151">
        <f>X5-X6</f>
        <v>2.8884892086330924E-2</v>
      </c>
      <c r="Y7" s="151">
        <f>(AB7*T4-X7*P4)/Q4</f>
        <v>-4.0529157667386378E-2</v>
      </c>
      <c r="Z7" s="151">
        <f>Z5-Z6</f>
        <v>-8.4145790554414748E-2</v>
      </c>
      <c r="AA7" s="818">
        <f>(AC7*U4-Z7*R4)/S4</f>
        <v>-6.3666666666666649E-2</v>
      </c>
      <c r="AB7" s="151">
        <f>AB5-AB6</f>
        <v>-7.6363636363635246E-3</v>
      </c>
      <c r="AC7" s="151">
        <f>(AE7*W4-AB7*T4)/U4</f>
        <v>-7.3293436293436265E-2</v>
      </c>
      <c r="AD7" s="151">
        <f>(X7*P4+Y7*Q4+Z7*R4)/V4</f>
        <v>-3.4893196781272777E-2</v>
      </c>
      <c r="AE7" s="1415">
        <f>AE5-AE6</f>
        <v>-4.3137787056367366E-2</v>
      </c>
      <c r="AF7" s="151">
        <f>AF5-AF6</f>
        <v>-0.21611111111111114</v>
      </c>
      <c r="AG7" s="151">
        <f>(AJ7*AB4-AF7*X4)/Y4</f>
        <v>-0.1183843212237093</v>
      </c>
      <c r="AH7" s="155">
        <f>AM7</f>
        <v>-0.17505861398221231</v>
      </c>
      <c r="AI7" s="1133">
        <f>(AK7*AC4-AH7*Z4)/AA4</f>
        <v>-0.19149425774399723</v>
      </c>
      <c r="AJ7" s="151">
        <f>AJ5-AJ6</f>
        <v>-0.16499999999999998</v>
      </c>
      <c r="AK7" s="155">
        <f>(AM7*AE4-AJ7*AB4)/AC4</f>
        <v>-0.18407979244159559</v>
      </c>
      <c r="AL7" s="155">
        <f>(AF7*X4+AG7*Y4+AH7*Z4)/AD4</f>
        <v>-0.16836625604328195</v>
      </c>
      <c r="AM7" s="1136">
        <f>AM17+AM18</f>
        <v>-0.17505861398221231</v>
      </c>
      <c r="AN7" s="155">
        <f>AU7</f>
        <v>-7.3817762399076559E-3</v>
      </c>
      <c r="AO7" s="155">
        <f>(AR7*AJ4-AN7*AF4)/AG4</f>
        <v>-7.3817762399076559E-3</v>
      </c>
      <c r="AP7" s="155">
        <f>AU7</f>
        <v>-7.3817762399076559E-3</v>
      </c>
      <c r="AQ7" s="1133">
        <f>(AS7*AK4-AP7*AH4)/AI4</f>
        <v>-7.3817762399076559E-3</v>
      </c>
      <c r="AR7" s="155">
        <f>AU7</f>
        <v>-7.3817762399076559E-3</v>
      </c>
      <c r="AS7" s="155">
        <f>(AU7*AM4-AR7*AJ4)/AK4</f>
        <v>-7.3817762399076559E-3</v>
      </c>
      <c r="AT7" s="155">
        <f>(AN7*AF4+AO7*AG4+AP7*AH4)/AL4</f>
        <v>-7.3817762399076559E-3</v>
      </c>
      <c r="AU7" s="1136">
        <f>AU17+AU18</f>
        <v>-7.3817762399076559E-3</v>
      </c>
      <c r="AV7" s="155">
        <f>BC7</f>
        <v>-3.6253776435045681E-3</v>
      </c>
      <c r="AW7" s="155">
        <f>(AZ7*AR4-AV7*AN4)/AO4</f>
        <v>-3.6253776435045681E-3</v>
      </c>
      <c r="AX7" s="155">
        <f>BC7</f>
        <v>-3.6253776435045681E-3</v>
      </c>
      <c r="AY7" s="1133">
        <f>(BA7*AS4-AX7*AP4)/AQ4</f>
        <v>-3.6253776435045673E-3</v>
      </c>
      <c r="AZ7" s="155">
        <f>BC7</f>
        <v>-3.6253776435045681E-3</v>
      </c>
      <c r="BA7" s="155">
        <f>(BC7*AU4-AZ7*AR4)/AS4</f>
        <v>-3.6253776435045677E-3</v>
      </c>
      <c r="BB7" s="155">
        <f>(AV7*AN4+AW7*AO4+AX7*AP4)/AT4</f>
        <v>-3.6253776435045681E-3</v>
      </c>
      <c r="BC7" s="1136">
        <f>BC17+BC18</f>
        <v>-3.6253776435045681E-3</v>
      </c>
      <c r="BD7" s="155">
        <f>BK7</f>
        <v>-1.2115981998770398E-2</v>
      </c>
      <c r="BE7" s="155">
        <f>(BH7*AZ4-BD7*AV4)/AW4</f>
        <v>-1.2115981998770398E-2</v>
      </c>
      <c r="BF7" s="155">
        <f>BK7</f>
        <v>-1.2115981998770398E-2</v>
      </c>
      <c r="BG7" s="1133">
        <f>(BI7*BA4-BF7*AX4)/AY4</f>
        <v>-1.2115981998770394E-2</v>
      </c>
      <c r="BH7" s="155">
        <f>BK7</f>
        <v>-1.2115981998770398E-2</v>
      </c>
      <c r="BI7" s="155">
        <f>(BK7*BC4-BH7*AZ4)/BA4</f>
        <v>-1.2115981998770396E-2</v>
      </c>
      <c r="BJ7" s="155">
        <f>(BD7*AV4+BE7*AW4+BF7*AX4)/BB4</f>
        <v>-1.2115981998770399E-2</v>
      </c>
      <c r="BK7" s="1136">
        <f>BK17+BK18</f>
        <v>-1.2115981998770398E-2</v>
      </c>
      <c r="BL7" s="155">
        <f>BS7</f>
        <v>-4.5725870634805266E-2</v>
      </c>
      <c r="BM7" s="155">
        <f>(BP7*BH4-BL7*BD4)/BE4</f>
        <v>-4.5725870634805266E-2</v>
      </c>
      <c r="BN7" s="155">
        <f>BS7</f>
        <v>-4.5725870634805266E-2</v>
      </c>
      <c r="BO7" s="1133">
        <f>(BQ7*BI4-BN7*BF4)/BG4</f>
        <v>-4.5725870634805266E-2</v>
      </c>
      <c r="BP7" s="155">
        <f>BS7</f>
        <v>-4.5725870634805266E-2</v>
      </c>
      <c r="BQ7" s="155">
        <f>(BS7*BK4-BP7*BH4)/BI4</f>
        <v>-4.5725870634805266E-2</v>
      </c>
      <c r="BR7" s="155">
        <f>(BL7*BD4+BM7*BE4+BN7*BF4)/BJ4</f>
        <v>-4.5725870634805266E-2</v>
      </c>
      <c r="BS7" s="1136">
        <f>BS17+BS18</f>
        <v>-4.5725870634805266E-2</v>
      </c>
    </row>
    <row r="8" spans="1:72" ht="11.25" customHeight="1" x14ac:dyDescent="0.2">
      <c r="A8" s="1135"/>
      <c r="G8" s="180"/>
      <c r="K8" s="179"/>
      <c r="O8" s="314"/>
      <c r="S8" s="179"/>
      <c r="W8" s="314"/>
      <c r="AA8" s="179"/>
      <c r="AE8" s="314"/>
      <c r="AI8" s="179"/>
      <c r="AM8" s="1232"/>
      <c r="AQ8" s="179"/>
      <c r="AU8" s="314"/>
      <c r="AY8" s="179"/>
      <c r="BC8" s="314"/>
      <c r="BG8" s="179"/>
      <c r="BK8" s="314"/>
      <c r="BO8" s="179"/>
      <c r="BS8" s="314"/>
    </row>
    <row r="9" spans="1:72" ht="11.25" customHeight="1" x14ac:dyDescent="0.2">
      <c r="A9" s="186" t="s">
        <v>324</v>
      </c>
      <c r="B9" s="186"/>
      <c r="C9" s="186">
        <v>656</v>
      </c>
      <c r="D9" s="186">
        <v>895</v>
      </c>
      <c r="E9" s="186">
        <v>478</v>
      </c>
      <c r="F9" s="186">
        <v>408</v>
      </c>
      <c r="G9" s="284">
        <v>589</v>
      </c>
      <c r="H9" s="186">
        <v>189</v>
      </c>
      <c r="I9" s="186">
        <f>L9-H9</f>
        <v>211</v>
      </c>
      <c r="J9" s="186">
        <v>224</v>
      </c>
      <c r="K9" s="283">
        <f>M9-J9</f>
        <v>256</v>
      </c>
      <c r="L9" s="186">
        <v>400</v>
      </c>
      <c r="M9" s="186">
        <f>O9-L9</f>
        <v>480</v>
      </c>
      <c r="N9" s="186">
        <f>H9+I9+J9</f>
        <v>624</v>
      </c>
      <c r="O9" s="341">
        <v>880</v>
      </c>
      <c r="P9" s="186">
        <v>259</v>
      </c>
      <c r="Q9" s="186">
        <f>T9-P9</f>
        <v>272</v>
      </c>
      <c r="R9" s="186">
        <v>284</v>
      </c>
      <c r="S9" s="283">
        <f>U9-R9</f>
        <v>306</v>
      </c>
      <c r="T9" s="186">
        <v>531</v>
      </c>
      <c r="U9" s="186">
        <f>W9-T9</f>
        <v>590</v>
      </c>
      <c r="V9" s="186">
        <f>P9+Q9+R9</f>
        <v>815</v>
      </c>
      <c r="W9" s="341">
        <v>1121</v>
      </c>
      <c r="X9" s="186">
        <v>311</v>
      </c>
      <c r="Y9" s="186">
        <f>AB9-X9</f>
        <v>305</v>
      </c>
      <c r="Z9" s="186">
        <v>299</v>
      </c>
      <c r="AA9" s="283">
        <f>AC9-Z9</f>
        <v>319</v>
      </c>
      <c r="AB9" s="186">
        <v>616</v>
      </c>
      <c r="AC9" s="186">
        <f>AE9-AB9</f>
        <v>618</v>
      </c>
      <c r="AD9" s="186">
        <f>X9+Y9+Z9</f>
        <v>915</v>
      </c>
      <c r="AE9" s="341">
        <v>1234</v>
      </c>
      <c r="AF9" s="186">
        <v>276</v>
      </c>
      <c r="AG9" s="186">
        <f>AJ9-AF9</f>
        <v>299</v>
      </c>
      <c r="AH9" s="285">
        <f>Z9*(1+AH10)</f>
        <v>291.5074744193185</v>
      </c>
      <c r="AI9" s="728">
        <f>AK9-AH9</f>
        <v>305.72019592663145</v>
      </c>
      <c r="AJ9" s="186">
        <v>575</v>
      </c>
      <c r="AK9" s="285">
        <f>AM9-AJ9</f>
        <v>597.22767034594995</v>
      </c>
      <c r="AL9" s="285">
        <f>AF9+AG9+AH9</f>
        <v>866.50747441931844</v>
      </c>
      <c r="AM9" s="301">
        <f>AE9*(1+AM10)</f>
        <v>1172.2276703459499</v>
      </c>
      <c r="AN9" s="285">
        <f>AF9*(1+AN10)</f>
        <v>301.56262975778549</v>
      </c>
      <c r="AO9" s="285">
        <f>AR9-AN9</f>
        <v>326.69284890426758</v>
      </c>
      <c r="AP9" s="285">
        <f>AH9*(1+AP10)</f>
        <v>318.50637891282634</v>
      </c>
      <c r="AQ9" s="728">
        <f>AS9-AP9</f>
        <v>334.03545744094356</v>
      </c>
      <c r="AR9" s="285">
        <f>AJ9*(1+AR10)</f>
        <v>628.25547866205306</v>
      </c>
      <c r="AS9" s="285">
        <f>AU9-AR9</f>
        <v>652.5418363537699</v>
      </c>
      <c r="AT9" s="285">
        <f>AN9+AO9+AP9</f>
        <v>946.7618575748794</v>
      </c>
      <c r="AU9" s="301">
        <f>AM9*(1+AU10)</f>
        <v>1280.797315015823</v>
      </c>
      <c r="AV9" s="285">
        <f>AN9*(1+AV10)</f>
        <v>323.08654857357908</v>
      </c>
      <c r="AW9" s="285">
        <f>AZ9-AV9</f>
        <v>350.01042762137729</v>
      </c>
      <c r="AX9" s="285">
        <f>AP9*(1+AX10)</f>
        <v>341.23965142586417</v>
      </c>
      <c r="AY9" s="728">
        <f>BA9-AX9</f>
        <v>357.87711206947029</v>
      </c>
      <c r="AZ9" s="285">
        <f>AR9*(1+AZ10)</f>
        <v>673.09697619495637</v>
      </c>
      <c r="BA9" s="285">
        <f>BC9-AZ9</f>
        <v>699.11676349533445</v>
      </c>
      <c r="BB9" s="285">
        <f>AV9+AW9+AX9</f>
        <v>1014.3366276208205</v>
      </c>
      <c r="BC9" s="301">
        <f>AU9*(1+BC10)</f>
        <v>1372.2137396902908</v>
      </c>
      <c r="BD9" s="285">
        <f>AV9*(1+BD10)</f>
        <v>343.40352891003516</v>
      </c>
      <c r="BE9" s="285">
        <f>BH9-BD9</f>
        <v>372.02048965253806</v>
      </c>
      <c r="BF9" s="285">
        <f>AX9*(1+BF10)</f>
        <v>362.6981718088615</v>
      </c>
      <c r="BG9" s="728">
        <f>BI9-BF9</f>
        <v>380.38186282707488</v>
      </c>
      <c r="BH9" s="285">
        <f>AZ9*(1+BH10)</f>
        <v>715.42401856257322</v>
      </c>
      <c r="BI9" s="285">
        <f>BK9-BH9</f>
        <v>743.08003463593639</v>
      </c>
      <c r="BJ9" s="285">
        <f>BD9+BE9+BF9</f>
        <v>1078.1221903714347</v>
      </c>
      <c r="BK9" s="301">
        <f>BC9*(1+BK10)</f>
        <v>1458.5040531985096</v>
      </c>
      <c r="BL9" s="285">
        <f>BD9*(1+BL10)</f>
        <v>353.45636823981192</v>
      </c>
      <c r="BM9" s="285">
        <f>BP9-BL9</f>
        <v>382.91106559312959</v>
      </c>
      <c r="BN9" s="285">
        <f>BF9*(1+BN10)</f>
        <v>373.31584501091379</v>
      </c>
      <c r="BO9" s="728">
        <f>BQ9-BN9</f>
        <v>391.51721068764846</v>
      </c>
      <c r="BP9" s="285">
        <f>BH9*(1+BP10)</f>
        <v>736.36743383294151</v>
      </c>
      <c r="BQ9" s="285">
        <f>BS9-BP9</f>
        <v>764.83305569856225</v>
      </c>
      <c r="BR9" s="285">
        <f>BL9+BM9+BN9</f>
        <v>1109.6832788438553</v>
      </c>
      <c r="BS9" s="301">
        <f>BK9*(1+BS10)</f>
        <v>1501.2004895315038</v>
      </c>
      <c r="BT9" s="10">
        <f>AE9/F9</f>
        <v>3.0245098039215685</v>
      </c>
    </row>
    <row r="10" spans="1:72" ht="11.25" customHeight="1" x14ac:dyDescent="0.2">
      <c r="A10" s="1129" t="s">
        <v>998</v>
      </c>
      <c r="D10" s="88">
        <f>D9/C9-1</f>
        <v>0.36432926829268286</v>
      </c>
      <c r="E10" s="88">
        <f>E9/D9-1</f>
        <v>-0.46592178770949721</v>
      </c>
      <c r="F10" s="88">
        <f>F9/E9-1</f>
        <v>-0.14644351464435146</v>
      </c>
      <c r="G10" s="91">
        <f>G9/F9-1</f>
        <v>0.44362745098039214</v>
      </c>
      <c r="H10" s="653">
        <f>H9/Quarterlies!CM188-1</f>
        <v>0.56198347107438007</v>
      </c>
      <c r="I10" s="653">
        <f>I9/Quarterlies!CN188-1</f>
        <v>0.55147058823529416</v>
      </c>
      <c r="J10" s="653">
        <f>J9/Quarterlies!CO188-1</f>
        <v>0.40880503144654079</v>
      </c>
      <c r="K10" s="654">
        <f>K9/Quarterlies!CP188-1</f>
        <v>0.47976878612716756</v>
      </c>
      <c r="L10" s="653">
        <f>L9/Quarterlies!CQ188-1</f>
        <v>0.55642023346303504</v>
      </c>
      <c r="M10" s="653">
        <f>M9/Quarterlies!CR188-1</f>
        <v>0.44578313253012047</v>
      </c>
      <c r="N10" s="653">
        <f>N9/Quarterlies!CS188-1</f>
        <v>0.5</v>
      </c>
      <c r="O10" s="357">
        <f t="shared" ref="O10:AC10" si="4">O9/G9-1</f>
        <v>0.49405772495755529</v>
      </c>
      <c r="P10" s="653">
        <f t="shared" si="4"/>
        <v>0.37037037037037046</v>
      </c>
      <c r="Q10" s="653">
        <f t="shared" si="4"/>
        <v>0.2890995260663507</v>
      </c>
      <c r="R10" s="653">
        <f t="shared" si="4"/>
        <v>0.26785714285714279</v>
      </c>
      <c r="S10" s="654">
        <f t="shared" si="4"/>
        <v>0.1953125</v>
      </c>
      <c r="T10" s="653">
        <f t="shared" si="4"/>
        <v>0.3274999999999999</v>
      </c>
      <c r="U10" s="653">
        <f t="shared" si="4"/>
        <v>0.22916666666666674</v>
      </c>
      <c r="V10" s="653">
        <f t="shared" si="4"/>
        <v>0.30608974358974361</v>
      </c>
      <c r="W10" s="357">
        <f t="shared" si="4"/>
        <v>0.27386363636363642</v>
      </c>
      <c r="X10" s="653">
        <f t="shared" si="4"/>
        <v>0.20077220077220082</v>
      </c>
      <c r="Y10" s="653">
        <f t="shared" si="4"/>
        <v>0.12132352941176472</v>
      </c>
      <c r="Z10" s="653">
        <f t="shared" si="4"/>
        <v>5.2816901408450745E-2</v>
      </c>
      <c r="AA10" s="654">
        <f t="shared" si="4"/>
        <v>4.2483660130719025E-2</v>
      </c>
      <c r="AB10" s="653">
        <f t="shared" ref="AB10" si="5">AB9/T9-1</f>
        <v>0.16007532956685488</v>
      </c>
      <c r="AC10" s="653">
        <f t="shared" si="4"/>
        <v>4.7457627118643986E-2</v>
      </c>
      <c r="AD10" s="653">
        <f t="shared" ref="AD10:AG10" si="6">AD9/V9-1</f>
        <v>0.12269938650306744</v>
      </c>
      <c r="AE10" s="357">
        <f t="shared" si="6"/>
        <v>0.10080285459411242</v>
      </c>
      <c r="AF10" s="653">
        <f t="shared" si="6"/>
        <v>-0.112540192926045</v>
      </c>
      <c r="AG10" s="653">
        <f t="shared" si="6"/>
        <v>-1.9672131147540961E-2</v>
      </c>
      <c r="AH10" s="655">
        <f>AH11+AH12</f>
        <v>-2.5058613982212319E-2</v>
      </c>
      <c r="AI10" s="1131">
        <f>AI9/AA9-1</f>
        <v>-4.1629479853819928E-2</v>
      </c>
      <c r="AJ10" s="653">
        <f t="shared" ref="AJ10" si="7">AJ9/AB9-1</f>
        <v>-6.6558441558441594E-2</v>
      </c>
      <c r="AK10" s="655">
        <f>AK9/AC9-1</f>
        <v>-3.3612183906229887E-2</v>
      </c>
      <c r="AL10" s="655">
        <f>AL9/AD9-1</f>
        <v>-5.2997295716591841E-2</v>
      </c>
      <c r="AM10" s="1231">
        <f>AM11+AM12</f>
        <v>-5.0058613982212313E-2</v>
      </c>
      <c r="AN10" s="655">
        <f>AN11+AN12</f>
        <v>9.261822376009235E-2</v>
      </c>
      <c r="AO10" s="655">
        <f>AO9/AG9-1</f>
        <v>9.2618223760092322E-2</v>
      </c>
      <c r="AP10" s="655">
        <f>AP11+AP12</f>
        <v>9.261822376009235E-2</v>
      </c>
      <c r="AQ10" s="1131">
        <f>AQ9/AI9-1</f>
        <v>9.2618223760092544E-2</v>
      </c>
      <c r="AR10" s="655">
        <f>AR11+AR12</f>
        <v>9.261822376009235E-2</v>
      </c>
      <c r="AS10" s="655">
        <f>AS9/AK9-1</f>
        <v>9.2618223760092544E-2</v>
      </c>
      <c r="AT10" s="655">
        <f>AT9/AL9-1</f>
        <v>9.2618223760092322E-2</v>
      </c>
      <c r="AU10" s="1231">
        <f>AU11+AU12</f>
        <v>9.261822376009235E-2</v>
      </c>
      <c r="AV10" s="655">
        <f>AV11+AV12</f>
        <v>7.1374622356495429E-2</v>
      </c>
      <c r="AW10" s="655">
        <f>AW9/AO9-1</f>
        <v>7.1374622356495498E-2</v>
      </c>
      <c r="AX10" s="655">
        <f>AX11+AX12</f>
        <v>7.1374622356495429E-2</v>
      </c>
      <c r="AY10" s="1131">
        <f>AY9/AQ9-1</f>
        <v>7.1374622356495943E-2</v>
      </c>
      <c r="AZ10" s="655">
        <f>AZ11+AZ12</f>
        <v>7.1374622356495429E-2</v>
      </c>
      <c r="BA10" s="655">
        <f>BA9/AS9-1</f>
        <v>7.1374622356495721E-2</v>
      </c>
      <c r="BB10" s="655">
        <f>BB9/AT9-1</f>
        <v>7.1374622356495498E-2</v>
      </c>
      <c r="BC10" s="1231">
        <f>BC11+BC12</f>
        <v>7.1374622356495429E-2</v>
      </c>
      <c r="BD10" s="655">
        <f>BD11+BD12</f>
        <v>6.28840180012296E-2</v>
      </c>
      <c r="BE10" s="655">
        <f>BE9/AW9-1</f>
        <v>6.2884018001229558E-2</v>
      </c>
      <c r="BF10" s="655">
        <f>BF11+BF12</f>
        <v>6.28840180012296E-2</v>
      </c>
      <c r="BG10" s="1131">
        <f>BG9/AY9-1</f>
        <v>6.2884018001229558E-2</v>
      </c>
      <c r="BH10" s="655">
        <f>BH11+BH12</f>
        <v>6.28840180012296E-2</v>
      </c>
      <c r="BI10" s="655">
        <f>BI9/BA9-1</f>
        <v>6.2884018001229558E-2</v>
      </c>
      <c r="BJ10" s="655">
        <f>BJ9/BB9-1</f>
        <v>6.2884018001229558E-2</v>
      </c>
      <c r="BK10" s="1231">
        <f>BK11+BK12</f>
        <v>6.28840180012296E-2</v>
      </c>
      <c r="BL10" s="655">
        <f>BL11+BL12</f>
        <v>2.9274129365194725E-2</v>
      </c>
      <c r="BM10" s="655">
        <f>BM9/BE9-1</f>
        <v>2.9274129365194801E-2</v>
      </c>
      <c r="BN10" s="655">
        <f>BN11+BN12</f>
        <v>2.9274129365194725E-2</v>
      </c>
      <c r="BO10" s="1131">
        <f>BO9/BG9-1</f>
        <v>2.9274129365194801E-2</v>
      </c>
      <c r="BP10" s="655">
        <f>BP11+BP12</f>
        <v>2.9274129365194725E-2</v>
      </c>
      <c r="BQ10" s="655">
        <f>BQ9/BI9-1</f>
        <v>2.9274129365194801E-2</v>
      </c>
      <c r="BR10" s="655">
        <f>BR9/BJ9-1</f>
        <v>2.9274129365194801E-2</v>
      </c>
      <c r="BS10" s="1231">
        <f>BS11+BS12</f>
        <v>2.9274129365194725E-2</v>
      </c>
    </row>
    <row r="11" spans="1:72" ht="11.25" customHeight="1" x14ac:dyDescent="0.2">
      <c r="A11" s="1132" t="str">
        <f>A6</f>
        <v>Organic</v>
      </c>
      <c r="D11" s="1438">
        <v>0.11899999999999999</v>
      </c>
      <c r="E11" s="1438">
        <v>-0.48499999999999999</v>
      </c>
      <c r="F11" s="1438">
        <v>-0.123</v>
      </c>
      <c r="G11" s="1439">
        <v>0.36799999999999999</v>
      </c>
      <c r="H11" s="151">
        <v>0.51</v>
      </c>
      <c r="I11" s="24">
        <f>(L11*Quarterlies!CQ188-H11*Quarterlies!CM188)/Quarterlies!CN188</f>
        <v>0.58558823529411774</v>
      </c>
      <c r="J11" s="151">
        <v>0.5</v>
      </c>
      <c r="K11" s="818">
        <f>(M11*Quarterlies!CR188-J11*Quarterlies!CO188)/Quarterlies!CP188</f>
        <v>0.48700578034682085</v>
      </c>
      <c r="L11" s="151">
        <v>0.55000000000000004</v>
      </c>
      <c r="M11" s="151">
        <f>(O11*Quarterlies!CT188-L11*Quarterlies!CQ188)/Quarterlies!CR188</f>
        <v>0.49322891566265065</v>
      </c>
      <c r="N11" s="24">
        <f>(H11*Quarterlies!CM188+I11*Quarterlies!CN188+J11*Quarterlies!CO188)/Quarterlies!CS188</f>
        <v>0.53088942307692311</v>
      </c>
      <c r="O11" s="1448">
        <v>0.51800000000000002</v>
      </c>
      <c r="P11" s="151">
        <v>0.39</v>
      </c>
      <c r="Q11" s="151">
        <f>(T11*L9-P11*H9)/I9</f>
        <v>0.26677725118483409</v>
      </c>
      <c r="R11" s="151">
        <v>0.254</v>
      </c>
      <c r="S11" s="818">
        <f>(U11*M9-R11*J9)/K9</f>
        <v>0.17399999999999999</v>
      </c>
      <c r="T11" s="151">
        <v>0.32500000000000001</v>
      </c>
      <c r="U11" s="151">
        <f>(W11*O9-T11*L9)/M9</f>
        <v>0.21133333333333332</v>
      </c>
      <c r="V11" s="151">
        <f>(P11*H9+Q11*I9+R11*J9)/N9</f>
        <v>0.29951282051282052</v>
      </c>
      <c r="W11" s="1448">
        <v>0.26300000000000001</v>
      </c>
      <c r="X11" s="151">
        <v>0.17399999999999999</v>
      </c>
      <c r="Y11" s="151">
        <f>(AB11*T9-X11*P9)/Q9</f>
        <v>0.17204779411764706</v>
      </c>
      <c r="Z11" s="151">
        <v>6.8000000000000005E-2</v>
      </c>
      <c r="AA11" s="818">
        <f>(AC11*U9-Z11*R9)/S9</f>
        <v>0.1312418300653595</v>
      </c>
      <c r="AB11" s="151">
        <v>0.17299999999999999</v>
      </c>
      <c r="AC11" s="151">
        <f>(AE11*W9-AB11*T9)/U9</f>
        <v>0.10080000000000001</v>
      </c>
      <c r="AD11" s="151">
        <f>(X11*P9+Y11*Q9+Z11*R9)/V9</f>
        <v>0.13641104294478526</v>
      </c>
      <c r="AE11" s="1415">
        <v>0.13500000000000001</v>
      </c>
      <c r="AF11" s="151">
        <v>7.1999999999999995E-2</v>
      </c>
      <c r="AG11" s="151">
        <f>(AJ11*AB9-AF11*X9)/Y9</f>
        <v>5.9881967213114749E-2</v>
      </c>
      <c r="AH11" s="1138">
        <v>0.15</v>
      </c>
      <c r="AI11" s="1133">
        <f>(AK11*AC9-AH11*Z9)/AA9</f>
        <v>0.21549843260188087</v>
      </c>
      <c r="AJ11" s="151">
        <v>6.6000000000000003E-2</v>
      </c>
      <c r="AK11" s="155">
        <f>(AM11*AE9-AJ11*AB9)/AC9</f>
        <v>0.18380906148867313</v>
      </c>
      <c r="AL11" s="155">
        <f>(AF11*X9+AG11*Y9+AH11*Z9)/AD9</f>
        <v>9.344918032786885E-2</v>
      </c>
      <c r="AM11" s="1134">
        <v>0.125</v>
      </c>
      <c r="AN11" s="155">
        <f>AU11</f>
        <v>0.1</v>
      </c>
      <c r="AO11" s="155">
        <f>(AR11*AJ9-AN11*AF9)/AG9</f>
        <v>9.9999999999999992E-2</v>
      </c>
      <c r="AP11" s="155">
        <f>AU11</f>
        <v>0.1</v>
      </c>
      <c r="AQ11" s="1133">
        <f>(AS11*AK9-AP11*AH9)/AI9</f>
        <v>9.9999999999999992E-2</v>
      </c>
      <c r="AR11" s="155">
        <f>AU11</f>
        <v>0.1</v>
      </c>
      <c r="AS11" s="155">
        <f>(AU11*AM9-AR11*AJ9)/AK9</f>
        <v>0.1</v>
      </c>
      <c r="AT11" s="155">
        <f>(AN11*AF9+AO11*AG9+AP11*AH9)/AL9</f>
        <v>0.10000000000000002</v>
      </c>
      <c r="AU11" s="1134">
        <v>0.1</v>
      </c>
      <c r="AV11" s="155">
        <f>BC11</f>
        <v>7.4999999999999997E-2</v>
      </c>
      <c r="AW11" s="155">
        <f>(AZ11*AR9-AV11*AN9)/AO9</f>
        <v>7.4999999999999997E-2</v>
      </c>
      <c r="AX11" s="155">
        <f>BC11</f>
        <v>7.4999999999999997E-2</v>
      </c>
      <c r="AY11" s="1133">
        <f>(BA11*AS9-AX11*AP9)/AQ9</f>
        <v>7.5000000000000011E-2</v>
      </c>
      <c r="AZ11" s="155">
        <f>BC11</f>
        <v>7.4999999999999997E-2</v>
      </c>
      <c r="BA11" s="155">
        <f>(BC11*AU9-AZ11*AR9)/AS9</f>
        <v>7.4999999999999997E-2</v>
      </c>
      <c r="BB11" s="155">
        <f>(AV11*AN9+AW11*AO9+AX11*AP9)/AT9</f>
        <v>7.4999999999999997E-2</v>
      </c>
      <c r="BC11" s="1134">
        <v>7.4999999999999997E-2</v>
      </c>
      <c r="BD11" s="155">
        <f>BK11</f>
        <v>7.4999999999999997E-2</v>
      </c>
      <c r="BE11" s="155">
        <f>(BH11*AZ9-BD11*AV9)/AW9</f>
        <v>7.4999999999999997E-2</v>
      </c>
      <c r="BF11" s="155">
        <f>BK11</f>
        <v>7.4999999999999997E-2</v>
      </c>
      <c r="BG11" s="1133">
        <f>(BI11*BA9-BF11*AX9)/AY9</f>
        <v>7.4999999999999997E-2</v>
      </c>
      <c r="BH11" s="155">
        <f>BK11</f>
        <v>7.4999999999999997E-2</v>
      </c>
      <c r="BI11" s="155">
        <f>(BK11*BC9-BH11*AZ9)/BA9</f>
        <v>7.4999999999999997E-2</v>
      </c>
      <c r="BJ11" s="155">
        <f>(BD11*AV9+BE11*AW9+BF11*AX9)/BB9</f>
        <v>7.4999999999999997E-2</v>
      </c>
      <c r="BK11" s="1134">
        <v>7.4999999999999997E-2</v>
      </c>
      <c r="BL11" s="155">
        <f>BS11</f>
        <v>7.4999999999999997E-2</v>
      </c>
      <c r="BM11" s="155">
        <f>(BP11*BH9-BL11*BD9)/BE9</f>
        <v>7.4999999999999997E-2</v>
      </c>
      <c r="BN11" s="155">
        <f>BS11</f>
        <v>7.4999999999999997E-2</v>
      </c>
      <c r="BO11" s="1133">
        <f>(BQ11*BI9-BN11*BF9)/BG9</f>
        <v>7.4999999999999997E-2</v>
      </c>
      <c r="BP11" s="155">
        <f>BS11</f>
        <v>7.4999999999999997E-2</v>
      </c>
      <c r="BQ11" s="155">
        <f>(BS11*BK9-BP11*BH9)/BI9</f>
        <v>7.4999999999999997E-2</v>
      </c>
      <c r="BR11" s="155">
        <f>(BL11*BD9+BM11*BE9+BN11*BF9)/BJ9</f>
        <v>7.4999999999999997E-2</v>
      </c>
      <c r="BS11" s="1134">
        <v>7.4999999999999997E-2</v>
      </c>
    </row>
    <row r="12" spans="1:72" ht="11.25" customHeight="1" x14ac:dyDescent="0.2">
      <c r="A12" s="1132" t="str">
        <f>A7</f>
        <v>Scope and FX (split not disclosed at sub-segment level)</v>
      </c>
      <c r="G12" s="180"/>
      <c r="H12" s="151">
        <f>H10-H11</f>
        <v>5.1983471074380061E-2</v>
      </c>
      <c r="I12" s="24">
        <f>(L12*Quarterlies!CQ188-H12*Quarterlies!CM188)/Quarterlies!CN188</f>
        <v>-3.4117647058823482E-2</v>
      </c>
      <c r="J12" s="151">
        <f>J10-J11</f>
        <v>-9.119496855345921E-2</v>
      </c>
      <c r="K12" s="818">
        <f>(M12*Quarterlies!CR188-J12*Quarterlies!CO188)/Quarterlies!CP188</f>
        <v>-7.2369942196527414E-3</v>
      </c>
      <c r="L12" s="151">
        <f>L10-L11</f>
        <v>6.4202334630349966E-3</v>
      </c>
      <c r="M12" s="151">
        <f>(O12*Quarterlies!CT188-L12*Quarterlies!CQ188)/Quarterlies!CR188</f>
        <v>-4.7445783132529937E-2</v>
      </c>
      <c r="N12" s="24">
        <f>(H12*Quarterlies!CM188+I12*Quarterlies!CN188+J12*Quarterlies!CO188)/Quarterlies!CS188</f>
        <v>-3.0889423076923123E-2</v>
      </c>
      <c r="O12" s="1415">
        <f>O10-O11</f>
        <v>-2.3942275042444727E-2</v>
      </c>
      <c r="P12" s="151">
        <f>P10-P11</f>
        <v>-1.9629629629629552E-2</v>
      </c>
      <c r="Q12" s="151">
        <f>(T12*L9-P12*H9)/I9</f>
        <v>2.2322274881516314E-2</v>
      </c>
      <c r="R12" s="151">
        <f>R10-R11</f>
        <v>1.385714285714279E-2</v>
      </c>
      <c r="S12" s="818">
        <f>(U12*M9-R12*J9)/K9</f>
        <v>2.1312500000000387E-2</v>
      </c>
      <c r="T12" s="151">
        <f>T10-T11</f>
        <v>2.4999999999998912E-3</v>
      </c>
      <c r="U12" s="151">
        <f>(W12*O9-T12*L9)/M9</f>
        <v>1.783333333333351E-2</v>
      </c>
      <c r="V12" s="151">
        <f>(P12*H9+Q12*I9+R12*J9)/N9</f>
        <v>6.5769230769229846E-3</v>
      </c>
      <c r="W12" s="1415">
        <f>W10-W11</f>
        <v>1.0863636363636409E-2</v>
      </c>
      <c r="X12" s="151">
        <f>X10-X11</f>
        <v>2.6772200772200827E-2</v>
      </c>
      <c r="Y12" s="151">
        <f>(AB12*T9-X12*P9)/Q9</f>
        <v>-5.0724264705882594E-2</v>
      </c>
      <c r="Z12" s="151">
        <f>Z10-Z11</f>
        <v>-1.518309859154926E-2</v>
      </c>
      <c r="AA12" s="818">
        <f>(AC12*U9-Z12*R9)/S9</f>
        <v>-8.8758169934640349E-2</v>
      </c>
      <c r="AB12" s="151">
        <f>AB10-AB11</f>
        <v>-1.2924670433145102E-2</v>
      </c>
      <c r="AC12" s="151">
        <f>(AE12*W9-AB12*T9)/U9</f>
        <v>-5.3342372881355828E-2</v>
      </c>
      <c r="AD12" s="151">
        <f>(X12*P9+Y12*Q9+Z12*R9)/V9</f>
        <v>-1.371165644171784E-2</v>
      </c>
      <c r="AE12" s="1415">
        <f>AE10-AE11</f>
        <v>-3.4197145405887586E-2</v>
      </c>
      <c r="AF12" s="151">
        <f>AF10-AF11</f>
        <v>-0.18454019292604501</v>
      </c>
      <c r="AG12" s="151">
        <f>(AJ12*AB9-AF12*X9)/Y9</f>
        <v>-7.9554098360655814E-2</v>
      </c>
      <c r="AH12" s="155">
        <f>AM12</f>
        <v>-0.17505861398221231</v>
      </c>
      <c r="AI12" s="1133">
        <f>(AK12*AC9-AH12*Z9)/AA9</f>
        <v>-0.25712791245570066</v>
      </c>
      <c r="AJ12" s="151">
        <f>AJ10-AJ11</f>
        <v>-0.1325584415584416</v>
      </c>
      <c r="AK12" s="155">
        <f>(AM12*AE9-AJ12*AB9)/AC9</f>
        <v>-0.2174212453949029</v>
      </c>
      <c r="AL12" s="155">
        <f>(AF12*X9+AG12*Y9+AH12*Z9)/AD9</f>
        <v>-0.14644647604446065</v>
      </c>
      <c r="AM12" s="1136">
        <f>(((AM17+AM18)*AE14)-(AM7*AE4))/AE9</f>
        <v>-0.17505861398221231</v>
      </c>
      <c r="AN12" s="155">
        <f>AU12</f>
        <v>-7.3817762399076541E-3</v>
      </c>
      <c r="AO12" s="155">
        <f>(AR12*AJ9-AN12*AF9)/AG9</f>
        <v>-7.381776239907655E-3</v>
      </c>
      <c r="AP12" s="155">
        <f>AU12</f>
        <v>-7.3817762399076541E-3</v>
      </c>
      <c r="AQ12" s="1133">
        <f>(AS12*AK9-AP12*AH9)/AI9</f>
        <v>-7.3817762399076541E-3</v>
      </c>
      <c r="AR12" s="155">
        <f>AU12</f>
        <v>-7.3817762399076541E-3</v>
      </c>
      <c r="AS12" s="155">
        <f>(AU12*AM9-AR12*AJ9)/AK9</f>
        <v>-7.3817762399076533E-3</v>
      </c>
      <c r="AT12" s="155">
        <f>(AN12*AF9+AO12*AG9+AP12*AH9)/AL9</f>
        <v>-7.381776239907655E-3</v>
      </c>
      <c r="AU12" s="1136">
        <f>(((AU17+AU18)*AM14)-(AU7*AM4))/AM9</f>
        <v>-7.3817762399076541E-3</v>
      </c>
      <c r="AV12" s="155">
        <f>BC12</f>
        <v>-3.6253776435045686E-3</v>
      </c>
      <c r="AW12" s="155">
        <f>(AZ12*AR9-AV12*AN9)/AO9</f>
        <v>-3.6253776435045677E-3</v>
      </c>
      <c r="AX12" s="155">
        <f>BC12</f>
        <v>-3.6253776435045686E-3</v>
      </c>
      <c r="AY12" s="1133">
        <f>(BA12*AS9-AX12*AP9)/AQ9</f>
        <v>-3.6253776435045686E-3</v>
      </c>
      <c r="AZ12" s="155">
        <f>BC12</f>
        <v>-3.6253776435045686E-3</v>
      </c>
      <c r="BA12" s="155">
        <f>(BC12*AU9-AZ12*AR9)/AS9</f>
        <v>-3.6253776435045686E-3</v>
      </c>
      <c r="BB12" s="155">
        <f>(AV12*AN9+AW12*AO9+AX12*AP9)/AT9</f>
        <v>-3.6253776435045681E-3</v>
      </c>
      <c r="BC12" s="1136">
        <f>(((BC17+BC18)*AU14)-(BC7*AU4))/AU9</f>
        <v>-3.6253776435045686E-3</v>
      </c>
      <c r="BD12" s="155">
        <f>BK12</f>
        <v>-1.2115981998770394E-2</v>
      </c>
      <c r="BE12" s="155">
        <f>(BH12*AZ9-BD12*AV9)/AW9</f>
        <v>-1.2115981998770396E-2</v>
      </c>
      <c r="BF12" s="155">
        <f>BK12</f>
        <v>-1.2115981998770394E-2</v>
      </c>
      <c r="BG12" s="1133">
        <f>(BI12*BA9-BF12*AX9)/AY9</f>
        <v>-1.2115981998770398E-2</v>
      </c>
      <c r="BH12" s="155">
        <f>BK12</f>
        <v>-1.2115981998770394E-2</v>
      </c>
      <c r="BI12" s="155">
        <f>(BK12*BC9-BH12*AZ9)/BA9</f>
        <v>-1.2115981998770394E-2</v>
      </c>
      <c r="BJ12" s="155">
        <f>(BD12*AV9+BE12*AW9+BF12*AX9)/BB9</f>
        <v>-1.2115981998770394E-2</v>
      </c>
      <c r="BK12" s="1136">
        <f>(((BK17+BK18)*BC14)-(BK7*BC4))/BC9</f>
        <v>-1.2115981998770394E-2</v>
      </c>
      <c r="BL12" s="155">
        <f>BS12</f>
        <v>-4.5725870634805273E-2</v>
      </c>
      <c r="BM12" s="155">
        <f>(BP12*BH9-BL12*BD9)/BE9</f>
        <v>-4.5725870634805266E-2</v>
      </c>
      <c r="BN12" s="155">
        <f>BS12</f>
        <v>-4.5725870634805273E-2</v>
      </c>
      <c r="BO12" s="1133">
        <f>(BQ12*BI9-BN12*BF9)/BG9</f>
        <v>-4.5725870634805287E-2</v>
      </c>
      <c r="BP12" s="155">
        <f>BS12</f>
        <v>-4.5725870634805273E-2</v>
      </c>
      <c r="BQ12" s="155">
        <f>(BS12*BK9-BP12*BH9)/BI9</f>
        <v>-4.572587063480528E-2</v>
      </c>
      <c r="BR12" s="155">
        <f>(BL12*BD9+BM12*BE9+BN12*BF9)/BJ9</f>
        <v>-4.5725870634805266E-2</v>
      </c>
      <c r="BS12" s="1136">
        <f>(((BS17+BS18)*BK14)-(BS7*BK4))/BK9</f>
        <v>-4.5725870634805273E-2</v>
      </c>
    </row>
    <row r="13" spans="1:72" ht="11.25" customHeight="1" x14ac:dyDescent="0.2">
      <c r="A13" s="1132"/>
      <c r="E13" s="1440"/>
      <c r="F13" s="1440"/>
      <c r="G13" s="1439"/>
      <c r="H13" s="151"/>
      <c r="I13" s="24"/>
      <c r="J13" s="151"/>
      <c r="K13" s="1133"/>
      <c r="L13" s="151"/>
      <c r="M13" s="155"/>
      <c r="N13" s="24"/>
      <c r="O13" s="1136"/>
      <c r="P13" s="151"/>
      <c r="Q13" s="151"/>
      <c r="R13" s="155"/>
      <c r="S13" s="818"/>
      <c r="T13" s="151"/>
      <c r="U13" s="151"/>
      <c r="V13" s="151"/>
      <c r="W13" s="1136"/>
      <c r="X13" s="151"/>
      <c r="Y13" s="151"/>
      <c r="Z13" s="155"/>
      <c r="AA13" s="818"/>
      <c r="AB13" s="151"/>
      <c r="AC13" s="151"/>
      <c r="AD13" s="151"/>
      <c r="AE13" s="1136"/>
      <c r="AF13" s="151"/>
      <c r="AG13" s="151"/>
      <c r="AH13" s="155"/>
      <c r="AI13" s="1133"/>
      <c r="AJ13" s="151"/>
      <c r="AK13" s="155"/>
      <c r="AL13" s="155"/>
      <c r="AM13" s="1136"/>
      <c r="AN13" s="155"/>
      <c r="AO13" s="155"/>
      <c r="AP13" s="155"/>
      <c r="AQ13" s="1133"/>
      <c r="AR13" s="155"/>
      <c r="AS13" s="155"/>
      <c r="AT13" s="155"/>
      <c r="AU13" s="1136"/>
      <c r="AV13" s="155"/>
      <c r="AW13" s="155"/>
      <c r="AX13" s="155"/>
      <c r="AY13" s="1133"/>
      <c r="AZ13" s="155"/>
      <c r="BA13" s="155"/>
      <c r="BB13" s="155"/>
      <c r="BC13" s="1136"/>
      <c r="BD13" s="155"/>
      <c r="BE13" s="155"/>
      <c r="BF13" s="155"/>
      <c r="BG13" s="1133"/>
      <c r="BH13" s="155"/>
      <c r="BI13" s="155"/>
      <c r="BJ13" s="155"/>
      <c r="BK13" s="1136"/>
      <c r="BL13" s="155"/>
      <c r="BM13" s="155"/>
      <c r="BN13" s="155"/>
      <c r="BO13" s="1133"/>
      <c r="BP13" s="155"/>
      <c r="BQ13" s="155"/>
      <c r="BR13" s="155"/>
      <c r="BS13" s="1136"/>
    </row>
    <row r="14" spans="1:72" ht="11.25" customHeight="1" x14ac:dyDescent="0.2">
      <c r="A14" s="419" t="s">
        <v>266</v>
      </c>
      <c r="B14" s="419"/>
      <c r="C14" s="419">
        <f>Divisional!R6</f>
        <v>2511</v>
      </c>
      <c r="D14" s="419">
        <f>Divisional!S6</f>
        <v>3321</v>
      </c>
      <c r="E14" s="419">
        <f>Divisional!T6</f>
        <v>1922</v>
      </c>
      <c r="F14" s="419">
        <f>Divisional!U6</f>
        <v>1475</v>
      </c>
      <c r="G14" s="729">
        <f>Divisional!V6</f>
        <v>1978</v>
      </c>
      <c r="H14" s="419">
        <f>H4+H9</f>
        <v>584</v>
      </c>
      <c r="I14" s="419">
        <f>L14-H14</f>
        <v>579</v>
      </c>
      <c r="J14" s="419">
        <f>J4+J9</f>
        <v>605</v>
      </c>
      <c r="K14" s="779">
        <f>M14-J14</f>
        <v>709</v>
      </c>
      <c r="L14" s="419">
        <f t="shared" ref="L14" si="8">L4+L9</f>
        <v>1163</v>
      </c>
      <c r="M14" s="419">
        <f>O14-L14</f>
        <v>1314</v>
      </c>
      <c r="N14" s="419">
        <f>N4+N9</f>
        <v>1768</v>
      </c>
      <c r="O14" s="1367">
        <f>Divisional!W6</f>
        <v>2477</v>
      </c>
      <c r="P14" s="419">
        <f>P4+P9</f>
        <v>676</v>
      </c>
      <c r="Q14" s="419">
        <f>Q4+Q9</f>
        <v>735</v>
      </c>
      <c r="R14" s="419">
        <f>R4+R9</f>
        <v>771</v>
      </c>
      <c r="S14" s="779">
        <f>U14-R14</f>
        <v>855</v>
      </c>
      <c r="T14" s="419">
        <f t="shared" ref="T14" si="9">T4+T9</f>
        <v>1411</v>
      </c>
      <c r="U14" s="419">
        <f>W14-T14</f>
        <v>1626</v>
      </c>
      <c r="V14" s="419">
        <f>V4+V9</f>
        <v>2182</v>
      </c>
      <c r="W14" s="1367">
        <f>Divisional!X6</f>
        <v>3037</v>
      </c>
      <c r="X14" s="419">
        <f>X4+X9</f>
        <v>788</v>
      </c>
      <c r="Y14" s="419">
        <f>Y4+Y9</f>
        <v>828</v>
      </c>
      <c r="Z14" s="419">
        <f>Z4+Z9</f>
        <v>802</v>
      </c>
      <c r="AA14" s="779">
        <f>AC14-Z14</f>
        <v>931</v>
      </c>
      <c r="AB14" s="419">
        <f t="shared" ref="AB14" si="10">AB4+AB9</f>
        <v>1616</v>
      </c>
      <c r="AC14" s="419">
        <f>AE14-AB14</f>
        <v>1733</v>
      </c>
      <c r="AD14" s="419">
        <f>AD4+AD9</f>
        <v>2418</v>
      </c>
      <c r="AE14" s="1367">
        <f>Divisional!Y6</f>
        <v>3349</v>
      </c>
      <c r="AF14" s="419">
        <f>AF4+AF9</f>
        <v>700</v>
      </c>
      <c r="AG14" s="419">
        <f>AG4+AG9</f>
        <v>755</v>
      </c>
      <c r="AH14" s="731">
        <f>AH4+AH9</f>
        <v>781.90299158626567</v>
      </c>
      <c r="AI14" s="730">
        <f>AK14-AH14</f>
        <v>944.45071018730505</v>
      </c>
      <c r="AJ14" s="419">
        <f t="shared" ref="AJ14" si="11">AJ4+AJ9</f>
        <v>1455</v>
      </c>
      <c r="AK14" s="731">
        <f>AM14-AJ14</f>
        <v>1726.3537017735707</v>
      </c>
      <c r="AL14" s="731">
        <f>AL4+AL9</f>
        <v>2236.9029915862657</v>
      </c>
      <c r="AM14" s="732">
        <f>AM4+AM9</f>
        <v>3181.3537017735707</v>
      </c>
      <c r="AN14" s="731">
        <f>AN4+AN9</f>
        <v>764.83275663206462</v>
      </c>
      <c r="AO14" s="731">
        <f>AR14-AN14</f>
        <v>824.92675893886974</v>
      </c>
      <c r="AP14" s="731">
        <f>AP4+AP9</f>
        <v>854.32145781968813</v>
      </c>
      <c r="AQ14" s="730">
        <f>AS14-AP14</f>
        <v>1031.9240573938114</v>
      </c>
      <c r="AR14" s="731">
        <f>AR4+AR9</f>
        <v>1589.7595155709344</v>
      </c>
      <c r="AS14" s="731">
        <f>AU14-AR14</f>
        <v>1886.2455152134996</v>
      </c>
      <c r="AT14" s="731">
        <f>AT4+AT9</f>
        <v>2444.0809733906226</v>
      </c>
      <c r="AU14" s="732">
        <f>AU4+AU9</f>
        <v>3476.005030784434</v>
      </c>
      <c r="AV14" s="731">
        <f>AV4+AV9</f>
        <v>831.00415897441258</v>
      </c>
      <c r="AW14" s="731">
        <f>AZ14-AV14</f>
        <v>896.26144258076442</v>
      </c>
      <c r="AX14" s="731">
        <f>AX4+AX9</f>
        <v>928.6937062152906</v>
      </c>
      <c r="AY14" s="730">
        <f>BA14-AX14</f>
        <v>1123.0244622896989</v>
      </c>
      <c r="AZ14" s="731">
        <f>AZ4+AZ9</f>
        <v>1727.265601555177</v>
      </c>
      <c r="BA14" s="731">
        <f>BC14-AZ14</f>
        <v>2051.7181685049895</v>
      </c>
      <c r="BB14" s="731">
        <f>BB4+BB9</f>
        <v>2655.9593077704676</v>
      </c>
      <c r="BC14" s="732">
        <f>BC4+BC9</f>
        <v>3778.9837700601665</v>
      </c>
      <c r="BD14" s="731">
        <f>BD4+BD9</f>
        <v>895.95897972647708</v>
      </c>
      <c r="BE14" s="731">
        <f>BH14-BD14</f>
        <v>966.27823864380616</v>
      </c>
      <c r="BF14" s="731">
        <f>BF4+BF9</f>
        <v>1001.7800493242972</v>
      </c>
      <c r="BG14" s="730">
        <f>BI14-BF14</f>
        <v>1212.7734365476513</v>
      </c>
      <c r="BH14" s="731">
        <f>BH4+BH9</f>
        <v>1862.2372183702832</v>
      </c>
      <c r="BI14" s="731">
        <f>BK14-BH14</f>
        <v>2214.5534858719484</v>
      </c>
      <c r="BJ14" s="731">
        <f>BJ4+BJ9</f>
        <v>2864.0172676945804</v>
      </c>
      <c r="BK14" s="732">
        <f>BK4+BK9</f>
        <v>4076.7907042422316</v>
      </c>
      <c r="BL14" s="731">
        <f>BL4+BL9</f>
        <v>936.00128507530883</v>
      </c>
      <c r="BM14" s="731">
        <f>BP14-BL14</f>
        <v>1009.4216365294191</v>
      </c>
      <c r="BN14" s="731">
        <f>BN4+BN9</f>
        <v>1047.0833350215739</v>
      </c>
      <c r="BO14" s="730">
        <f>BQ14-BN14</f>
        <v>1269.0861123628333</v>
      </c>
      <c r="BP14" s="731">
        <f>BP4+BP9</f>
        <v>1945.4229216047279</v>
      </c>
      <c r="BQ14" s="731">
        <f>BS14-BP14</f>
        <v>2316.1694473844072</v>
      </c>
      <c r="BR14" s="731">
        <f>BR4+BR9</f>
        <v>2992.5062566263014</v>
      </c>
      <c r="BS14" s="732">
        <f>BS4+BS9</f>
        <v>4261.5923689891351</v>
      </c>
      <c r="BT14" s="1537">
        <f>(BC14/W14)^(1/4)-1</f>
        <v>5.616691462034562E-2</v>
      </c>
    </row>
    <row r="15" spans="1:72" ht="11.25" customHeight="1" x14ac:dyDescent="0.2">
      <c r="A15" s="1129" t="s">
        <v>998</v>
      </c>
      <c r="D15" s="88">
        <f>D14/C14-1</f>
        <v>0.32258064516129026</v>
      </c>
      <c r="E15" s="89">
        <f>E14/D14-1</f>
        <v>-0.42125865703101473</v>
      </c>
      <c r="F15" s="89">
        <f>F14/E14-1</f>
        <v>-0.2325702393340271</v>
      </c>
      <c r="G15" s="91">
        <f>G14/F14-1</f>
        <v>0.34101694915254233</v>
      </c>
      <c r="H15" s="89">
        <f>H14/Quarterlies!CM189-1</f>
        <v>0.42787286063569674</v>
      </c>
      <c r="I15" s="89">
        <f>I14/Quarterlies!CN189-1</f>
        <v>0.25596529284164848</v>
      </c>
      <c r="J15" s="89">
        <f>J14/Quarterlies!CO5-1</f>
        <v>0.15900383141762453</v>
      </c>
      <c r="K15" s="356">
        <f>K14/Quarterlies!CP189-1</f>
        <v>0.20989761092150161</v>
      </c>
      <c r="L15" s="89">
        <f>L14/Quarterlies!CQ189-1</f>
        <v>0.33678160919540234</v>
      </c>
      <c r="M15" s="89">
        <f>M14/Quarterlies!CR189-1</f>
        <v>0.1859205776173285</v>
      </c>
      <c r="N15" s="89">
        <f>N14/Quarterlies!CS189-1</f>
        <v>0.27011494252873569</v>
      </c>
      <c r="O15" s="357">
        <f>O14/G14-1</f>
        <v>0.25227502527805856</v>
      </c>
      <c r="P15" s="89">
        <f t="shared" ref="P15:BS15" si="12">P14/H14-1</f>
        <v>0.15753424657534243</v>
      </c>
      <c r="Q15" s="653">
        <f t="shared" si="12"/>
        <v>0.26943005181347157</v>
      </c>
      <c r="R15" s="653">
        <f t="shared" si="12"/>
        <v>0.27438016528925613</v>
      </c>
      <c r="S15" s="654">
        <f t="shared" si="12"/>
        <v>0.20592383638928058</v>
      </c>
      <c r="T15" s="89">
        <f t="shared" si="12"/>
        <v>0.21324161650902829</v>
      </c>
      <c r="U15" s="653">
        <f t="shared" si="12"/>
        <v>0.23744292237442921</v>
      </c>
      <c r="V15" s="653">
        <f t="shared" si="12"/>
        <v>0.23416289592760187</v>
      </c>
      <c r="W15" s="357">
        <f>W14/O14-1</f>
        <v>0.22607993540573279</v>
      </c>
      <c r="X15" s="89">
        <f t="shared" si="12"/>
        <v>0.16568047337278102</v>
      </c>
      <c r="Y15" s="653">
        <f t="shared" si="12"/>
        <v>0.12653061224489792</v>
      </c>
      <c r="Z15" s="653">
        <f t="shared" si="12"/>
        <v>4.0207522697795151E-2</v>
      </c>
      <c r="AA15" s="654">
        <f t="shared" si="12"/>
        <v>8.8888888888888795E-2</v>
      </c>
      <c r="AB15" s="89">
        <f t="shared" si="12"/>
        <v>0.14528703047484059</v>
      </c>
      <c r="AC15" s="653">
        <f t="shared" si="12"/>
        <v>6.5805658056580674E-2</v>
      </c>
      <c r="AD15" s="653">
        <f t="shared" si="12"/>
        <v>0.10815765352887263</v>
      </c>
      <c r="AE15" s="357">
        <f>AE14/W14-1</f>
        <v>0.10273296015805067</v>
      </c>
      <c r="AF15" s="89">
        <f t="shared" si="12"/>
        <v>-0.1116751269035533</v>
      </c>
      <c r="AG15" s="653">
        <f t="shared" si="12"/>
        <v>-8.8164251207729416E-2</v>
      </c>
      <c r="AH15" s="655">
        <f t="shared" si="12"/>
        <v>-2.505861398221243E-2</v>
      </c>
      <c r="AI15" s="1131">
        <f t="shared" si="12"/>
        <v>1.4447594186149271E-2</v>
      </c>
      <c r="AJ15" s="89">
        <f t="shared" si="12"/>
        <v>-9.9628712871287162E-2</v>
      </c>
      <c r="AK15" s="655">
        <f t="shared" si="12"/>
        <v>-3.8351403499303771E-3</v>
      </c>
      <c r="AL15" s="655">
        <f t="shared" si="12"/>
        <v>-7.4895371552412882E-2</v>
      </c>
      <c r="AM15" s="1231">
        <f t="shared" si="12"/>
        <v>-5.0058613982212341E-2</v>
      </c>
      <c r="AN15" s="655">
        <f t="shared" si="12"/>
        <v>9.2618223760092322E-2</v>
      </c>
      <c r="AO15" s="655">
        <f t="shared" si="12"/>
        <v>9.2618223760092322E-2</v>
      </c>
      <c r="AP15" s="655">
        <f t="shared" si="12"/>
        <v>9.2618223760092544E-2</v>
      </c>
      <c r="AQ15" s="1131">
        <f t="shared" si="12"/>
        <v>9.2618223760092766E-2</v>
      </c>
      <c r="AR15" s="655">
        <f t="shared" si="12"/>
        <v>9.2618223760092322E-2</v>
      </c>
      <c r="AS15" s="655">
        <f t="shared" si="12"/>
        <v>9.2618223760092766E-2</v>
      </c>
      <c r="AT15" s="655">
        <f t="shared" si="12"/>
        <v>9.2618223760092544E-2</v>
      </c>
      <c r="AU15" s="1231">
        <f t="shared" si="12"/>
        <v>9.2618223760092544E-2</v>
      </c>
      <c r="AV15" s="655">
        <f t="shared" si="12"/>
        <v>8.6517479499352623E-2</v>
      </c>
      <c r="AW15" s="655">
        <f t="shared" si="12"/>
        <v>8.6473960104839875E-2</v>
      </c>
      <c r="AX15" s="655">
        <f t="shared" si="12"/>
        <v>8.7054173478690045E-2</v>
      </c>
      <c r="AY15" s="1131">
        <f t="shared" si="12"/>
        <v>8.828208262337367E-2</v>
      </c>
      <c r="AZ15" s="655">
        <f t="shared" si="12"/>
        <v>8.6494897270584792E-2</v>
      </c>
      <c r="BA15" s="655">
        <f t="shared" si="12"/>
        <v>8.7725935970090596E-2</v>
      </c>
      <c r="BB15" s="655">
        <f t="shared" si="12"/>
        <v>8.669039065670181E-2</v>
      </c>
      <c r="BC15" s="1231">
        <f t="shared" si="12"/>
        <v>8.7162917369932202E-2</v>
      </c>
      <c r="BD15" s="655">
        <f t="shared" si="12"/>
        <v>7.816425471591959E-2</v>
      </c>
      <c r="BE15" s="655">
        <f t="shared" si="12"/>
        <v>7.8120950803629352E-2</v>
      </c>
      <c r="BF15" s="655">
        <f t="shared" si="12"/>
        <v>7.8698006263933529E-2</v>
      </c>
      <c r="BG15" s="1131">
        <f t="shared" si="12"/>
        <v>7.9917203294900707E-2</v>
      </c>
      <c r="BH15" s="655">
        <f t="shared" si="12"/>
        <v>7.8141784733964492E-2</v>
      </c>
      <c r="BI15" s="655">
        <f t="shared" si="12"/>
        <v>7.9365343577188607E-2</v>
      </c>
      <c r="BJ15" s="655">
        <f t="shared" si="12"/>
        <v>7.8336275452490334E-2</v>
      </c>
      <c r="BK15" s="1231">
        <f t="shared" si="12"/>
        <v>7.8806089759237974E-2</v>
      </c>
      <c r="BL15" s="655">
        <f t="shared" si="12"/>
        <v>4.4692119008680642E-2</v>
      </c>
      <c r="BM15" s="655">
        <f t="shared" si="12"/>
        <v>4.4649042232562053E-2</v>
      </c>
      <c r="BN15" s="655">
        <f t="shared" si="12"/>
        <v>4.5222786906001788E-2</v>
      </c>
      <c r="BO15" s="1131">
        <f t="shared" si="12"/>
        <v>4.6432972654385285E-2</v>
      </c>
      <c r="BP15" s="655">
        <f t="shared" si="12"/>
        <v>4.466976731742256E-2</v>
      </c>
      <c r="BQ15" s="655">
        <f t="shared" si="12"/>
        <v>4.5885530496658555E-2</v>
      </c>
      <c r="BR15" s="655">
        <f t="shared" si="12"/>
        <v>4.486320329875304E-2</v>
      </c>
      <c r="BS15" s="1231">
        <f t="shared" si="12"/>
        <v>4.5330182036228184E-2</v>
      </c>
    </row>
    <row r="16" spans="1:72" ht="11.25" customHeight="1" x14ac:dyDescent="0.2">
      <c r="A16" s="1135" t="s">
        <v>729</v>
      </c>
      <c r="D16" s="1438">
        <f>D15-D17-D18</f>
        <v>8.7580645161290244E-2</v>
      </c>
      <c r="E16" s="1440">
        <f>Divisional!T28</f>
        <v>-0.40400000000000003</v>
      </c>
      <c r="F16" s="1440">
        <f>Divisional!U28</f>
        <v>-0.19900000000000001</v>
      </c>
      <c r="G16" s="1439">
        <f>Divisional!V28</f>
        <v>0.251</v>
      </c>
      <c r="H16" s="83">
        <v>0.377</v>
      </c>
      <c r="I16" s="24">
        <f>(L16*Quarterlies!CQ189-H16*Quarterlies!CM189)/Quarterlies!CN189</f>
        <v>0.30339913232104121</v>
      </c>
      <c r="J16" s="83">
        <v>0.308</v>
      </c>
      <c r="K16" s="329">
        <v>0.33100000000000002</v>
      </c>
      <c r="L16" s="83">
        <v>0.33800000000000002</v>
      </c>
      <c r="M16" s="151">
        <f>(O16*Quarterlies!CT189-L16*Quarterlies!CQ189)/Quarterlies!CR189</f>
        <v>0.32014801444043323</v>
      </c>
      <c r="N16" s="24">
        <f>(H16*Quarterlies!CM189+I16*Quarterlies!CN189+J16*Quarterlies!CO189)/Quarterlies!CS189</f>
        <v>0.32674999999999998</v>
      </c>
      <c r="O16" s="1448">
        <f>Divisional!W28</f>
        <v>0.32800000000000001</v>
      </c>
      <c r="P16" s="83">
        <v>0.23799999999999999</v>
      </c>
      <c r="Q16" s="151">
        <v>0.29399999999999998</v>
      </c>
      <c r="R16" s="83">
        <v>0.28399999999999997</v>
      </c>
      <c r="S16" s="818">
        <v>0.2</v>
      </c>
      <c r="T16" s="83">
        <v>0.26600000000000001</v>
      </c>
      <c r="U16" s="151">
        <f t="shared" ref="U16:BS16" si="13">((M$9*U11)+(M$4*U6))/M$14</f>
        <v>0.23850837138508368</v>
      </c>
      <c r="V16" s="151">
        <f t="shared" si="13"/>
        <v>0.27220757918552035</v>
      </c>
      <c r="W16" s="1448">
        <f>Divisional!X28</f>
        <v>0.252</v>
      </c>
      <c r="X16" s="83">
        <v>0.13800000000000001</v>
      </c>
      <c r="Y16" s="151">
        <v>0.215</v>
      </c>
      <c r="Z16" s="83">
        <v>9.8000000000000004E-2</v>
      </c>
      <c r="AA16" s="818">
        <v>0.16200000000000001</v>
      </c>
      <c r="AB16" s="83">
        <v>0.155</v>
      </c>
      <c r="AC16" s="151">
        <f t="shared" si="13"/>
        <v>0.131859778597786</v>
      </c>
      <c r="AD16" s="151">
        <f t="shared" si="13"/>
        <v>0.13513932172318974</v>
      </c>
      <c r="AE16" s="1448">
        <f>Divisional!Y28</f>
        <v>0.14199999999999999</v>
      </c>
      <c r="AF16" s="83">
        <v>9.1999999999999998E-2</v>
      </c>
      <c r="AG16" s="151">
        <f>(AJ16*AB14-AF16*X14)/Y14</f>
        <v>4.1256038647343007E-2</v>
      </c>
      <c r="AH16" s="155">
        <f t="shared" si="13"/>
        <v>0.15000000000000002</v>
      </c>
      <c r="AI16" s="1133">
        <f t="shared" si="13"/>
        <v>0.22843071965628359</v>
      </c>
      <c r="AJ16" s="83">
        <v>6.6000000000000003E-2</v>
      </c>
      <c r="AK16" s="155">
        <f t="shared" si="13"/>
        <v>0.19213444893248705</v>
      </c>
      <c r="AL16" s="155">
        <f t="shared" si="13"/>
        <v>8.5176178660049631E-2</v>
      </c>
      <c r="AM16" s="336">
        <f t="shared" si="13"/>
        <v>0.125</v>
      </c>
      <c r="AN16" s="155">
        <f t="shared" si="13"/>
        <v>0.1</v>
      </c>
      <c r="AO16" s="155">
        <f t="shared" si="13"/>
        <v>0.1</v>
      </c>
      <c r="AP16" s="155">
        <f t="shared" si="13"/>
        <v>0.1</v>
      </c>
      <c r="AQ16" s="1133">
        <f t="shared" si="13"/>
        <v>0.10000000000000005</v>
      </c>
      <c r="AR16" s="155">
        <f t="shared" si="13"/>
        <v>0.1</v>
      </c>
      <c r="AS16" s="155">
        <f t="shared" si="13"/>
        <v>0.10000000000000002</v>
      </c>
      <c r="AT16" s="155">
        <f t="shared" si="13"/>
        <v>0.1</v>
      </c>
      <c r="AU16" s="336">
        <f t="shared" si="13"/>
        <v>0.10000000000000002</v>
      </c>
      <c r="AV16" s="155">
        <f t="shared" si="13"/>
        <v>9.0142857142857136E-2</v>
      </c>
      <c r="AW16" s="155">
        <f t="shared" si="13"/>
        <v>9.0099337748344388E-2</v>
      </c>
      <c r="AX16" s="155">
        <f t="shared" si="13"/>
        <v>9.0679551122194516E-2</v>
      </c>
      <c r="AY16" s="1133">
        <f t="shared" si="13"/>
        <v>9.1907460266878266E-2</v>
      </c>
      <c r="AZ16" s="155">
        <f t="shared" si="13"/>
        <v>9.012027491408936E-2</v>
      </c>
      <c r="BA16" s="155">
        <f t="shared" si="13"/>
        <v>9.1351313613595109E-2</v>
      </c>
      <c r="BB16" s="155">
        <f t="shared" si="13"/>
        <v>9.0315768300206337E-2</v>
      </c>
      <c r="BC16" s="336">
        <f t="shared" si="13"/>
        <v>9.078829501343684E-2</v>
      </c>
      <c r="BD16" s="155">
        <f t="shared" si="13"/>
        <v>9.0280236714689932E-2</v>
      </c>
      <c r="BE16" s="155">
        <f t="shared" si="13"/>
        <v>9.023693280239943E-2</v>
      </c>
      <c r="BF16" s="155">
        <f t="shared" si="13"/>
        <v>9.0813988262703968E-2</v>
      </c>
      <c r="BG16" s="1133">
        <f t="shared" si="13"/>
        <v>9.2033185293671049E-2</v>
      </c>
      <c r="BH16" s="155">
        <f t="shared" si="13"/>
        <v>9.0257766732734668E-2</v>
      </c>
      <c r="BI16" s="155">
        <f t="shared" si="13"/>
        <v>9.1481325575959171E-2</v>
      </c>
      <c r="BJ16" s="155">
        <f t="shared" si="13"/>
        <v>9.0452257451260606E-2</v>
      </c>
      <c r="BK16" s="336">
        <f t="shared" si="13"/>
        <v>9.0922071758008358E-2</v>
      </c>
      <c r="BL16" s="155">
        <f t="shared" si="13"/>
        <v>9.0417989643485921E-2</v>
      </c>
      <c r="BM16" s="155">
        <f t="shared" si="13"/>
        <v>9.0374912867367332E-2</v>
      </c>
      <c r="BN16" s="155">
        <f t="shared" si="13"/>
        <v>9.0948657540806943E-2</v>
      </c>
      <c r="BO16" s="1133">
        <f t="shared" si="13"/>
        <v>9.2158843289190689E-2</v>
      </c>
      <c r="BP16" s="155">
        <f t="shared" si="13"/>
        <v>9.0395637952227853E-2</v>
      </c>
      <c r="BQ16" s="155">
        <f t="shared" si="13"/>
        <v>9.1611401131463766E-2</v>
      </c>
      <c r="BR16" s="155">
        <f t="shared" si="13"/>
        <v>9.0589073933558376E-2</v>
      </c>
      <c r="BS16" s="336">
        <f t="shared" si="13"/>
        <v>9.1056052671033491E-2</v>
      </c>
    </row>
    <row r="17" spans="1:71" ht="11.25" customHeight="1" x14ac:dyDescent="0.2">
      <c r="A17" s="1135" t="s">
        <v>94</v>
      </c>
      <c r="D17" s="1438">
        <v>0.193</v>
      </c>
      <c r="E17" s="1438">
        <v>-8.9999999999999993E-3</v>
      </c>
      <c r="F17" s="1438">
        <v>-1.4E-2</v>
      </c>
      <c r="G17" s="1439">
        <v>-3.6999999999999998E-2</v>
      </c>
      <c r="H17" s="83">
        <v>0</v>
      </c>
      <c r="I17" s="24">
        <f>(L17*Quarterlies!CQ189-H17*Quarterlies!CM189)/Quarterlies!CN189</f>
        <v>-2.1691973969631236E-2</v>
      </c>
      <c r="J17" s="83">
        <f>(-39/Quarterlies!CO5)</f>
        <v>-7.4712643678160925E-2</v>
      </c>
      <c r="K17" s="329">
        <v>-7.0000000000000007E-2</v>
      </c>
      <c r="L17" s="83">
        <f>-10/Quarterlies!CQ189</f>
        <v>-1.1494252873563218E-2</v>
      </c>
      <c r="M17" s="151">
        <f>(O17*Quarterlies!CT189-L17*Quarterlies!CQ189)/Quarterlies!CR189</f>
        <v>-7.3093862815884481E-2</v>
      </c>
      <c r="N17" s="24">
        <f>(H17*Quarterlies!CM189+I17*Quarterlies!CN189+J17*Quarterlies!CO189)/Quarterlies!CS189</f>
        <v>-3.5201149425287355E-2</v>
      </c>
      <c r="O17" s="1448">
        <v>-4.5999999999999999E-2</v>
      </c>
      <c r="P17" s="83">
        <v>-7.0000000000000007E-2</v>
      </c>
      <c r="Q17" s="151">
        <f>(T17*L14-P17*H14)/I14</f>
        <v>-3.5853195164075979E-2</v>
      </c>
      <c r="R17" s="83">
        <v>0</v>
      </c>
      <c r="S17" s="818">
        <f>(U17*M14-R17*J14)/K14</f>
        <v>-4.033850493653152E-4</v>
      </c>
      <c r="T17" s="151">
        <v>-5.2999999999999999E-2</v>
      </c>
      <c r="U17" s="151">
        <f>(W17*O14-T17*L14)/M14</f>
        <v>-2.1765601217656658E-4</v>
      </c>
      <c r="V17" s="151">
        <f>(P17*H14+Q17*I14+R17*J14)/N14</f>
        <v>-3.4863687782805429E-2</v>
      </c>
      <c r="W17" s="1448">
        <v>-2.5000000000000001E-2</v>
      </c>
      <c r="X17" s="151">
        <v>0</v>
      </c>
      <c r="Y17" s="151">
        <f>(AB17*T14-X17*P14)/Q14</f>
        <v>0</v>
      </c>
      <c r="Z17" s="151">
        <v>0</v>
      </c>
      <c r="AA17" s="818">
        <f>(AC17*U14-Z17*R14)/S14</f>
        <v>0</v>
      </c>
      <c r="AB17" s="151">
        <v>0</v>
      </c>
      <c r="AC17" s="151">
        <f>(AE17*W14-AB17*T14)/U14</f>
        <v>0</v>
      </c>
      <c r="AD17" s="151">
        <f>(X17*P14+Y17*Q14+Z17*R14)/V14</f>
        <v>0</v>
      </c>
      <c r="AE17" s="1433">
        <v>0</v>
      </c>
      <c r="AF17" s="151">
        <v>-0.12</v>
      </c>
      <c r="AG17" s="151">
        <f>(AJ17*AB14-AF17*X14)/Y14</f>
        <v>-0.1102415458937198</v>
      </c>
      <c r="AH17" s="1138">
        <v>-0.17499999999999999</v>
      </c>
      <c r="AI17" s="1133">
        <f>(AK17*AC14-AH17*Z14)/AA14</f>
        <v>-0.22428571428571425</v>
      </c>
      <c r="AJ17" s="151">
        <v>-0.115</v>
      </c>
      <c r="AK17" s="155">
        <f>(AM17*AE14-AJ17*AB14)/AC14</f>
        <v>-0.20147720715522213</v>
      </c>
      <c r="AL17" s="155">
        <f>(AF17*X14+AG17*Y14+AH17*Z14)/AD14</f>
        <v>-0.13490074441687344</v>
      </c>
      <c r="AM17" s="1134">
        <f>(-360-175)/AE14</f>
        <v>-0.15974917885936099</v>
      </c>
      <c r="AN17" s="155">
        <f>AU17</f>
        <v>0</v>
      </c>
      <c r="AO17" s="155">
        <f>(AR17*AJ14-AN17*AF14)/AG14</f>
        <v>0</v>
      </c>
      <c r="AP17" s="155">
        <f>AU17</f>
        <v>0</v>
      </c>
      <c r="AQ17" s="1133">
        <f>(AS17*AK14-AP17*AH14)/AI14</f>
        <v>0</v>
      </c>
      <c r="AR17" s="155">
        <f>AU17</f>
        <v>0</v>
      </c>
      <c r="AS17" s="155">
        <f>(AU17*AM14-AR17*AJ14)/AK14</f>
        <v>0</v>
      </c>
      <c r="AT17" s="155">
        <f>(AN17*AF14+AO17*AG14+AP17*AH14)/AL14</f>
        <v>0</v>
      </c>
      <c r="AU17" s="1233">
        <f>0/AM14</f>
        <v>0</v>
      </c>
      <c r="AV17" s="155">
        <f>BC17</f>
        <v>0</v>
      </c>
      <c r="AW17" s="155">
        <f>(AZ17*AR14-AV17*AN14)/AO14</f>
        <v>0</v>
      </c>
      <c r="AX17" s="155">
        <f>BC17</f>
        <v>0</v>
      </c>
      <c r="AY17" s="1133">
        <f>(BA17*AS14-AX17*AP14)/AQ14</f>
        <v>0</v>
      </c>
      <c r="AZ17" s="155">
        <f>BC17</f>
        <v>0</v>
      </c>
      <c r="BA17" s="155">
        <f>(BC17*AU14-AZ17*AR14)/AS14</f>
        <v>0</v>
      </c>
      <c r="BB17" s="155">
        <f>(AV17*AN14+AW17*AO14+AX17*AP14)/AT14</f>
        <v>0</v>
      </c>
      <c r="BC17" s="1233">
        <f>0/AU14</f>
        <v>0</v>
      </c>
      <c r="BD17" s="155">
        <f>BK17</f>
        <v>0</v>
      </c>
      <c r="BE17" s="155">
        <f>(BH17*AZ14-BD17*AV14)/AW14</f>
        <v>0</v>
      </c>
      <c r="BF17" s="155">
        <f>BK17</f>
        <v>0</v>
      </c>
      <c r="BG17" s="1133">
        <f>(BI17*BA14-BF17*AX14)/AY14</f>
        <v>0</v>
      </c>
      <c r="BH17" s="155">
        <f>BK17</f>
        <v>0</v>
      </c>
      <c r="BI17" s="155">
        <f>(BK17*BC14-BH17*AZ14)/BA14</f>
        <v>0</v>
      </c>
      <c r="BJ17" s="155">
        <f>(BD17*AV14+BE17*AW14+BF17*AX14)/BB14</f>
        <v>0</v>
      </c>
      <c r="BK17" s="1233">
        <f>0/BC14</f>
        <v>0</v>
      </c>
      <c r="BL17" s="155">
        <f>BS17</f>
        <v>0</v>
      </c>
      <c r="BM17" s="155">
        <f>(BP17*BH14-BL17*BD14)/BE14</f>
        <v>0</v>
      </c>
      <c r="BN17" s="155">
        <f>BS17</f>
        <v>0</v>
      </c>
      <c r="BO17" s="1133">
        <f>(BQ17*BI14-BN17*BF14)/BG14</f>
        <v>0</v>
      </c>
      <c r="BP17" s="155">
        <f>BS17</f>
        <v>0</v>
      </c>
      <c r="BQ17" s="155">
        <f>(BS17*BK14-BP17*BH14)/BI14</f>
        <v>0</v>
      </c>
      <c r="BR17" s="155">
        <f>(BL17*BD14+BM17*BE14+BN17*BF14)/BJ14</f>
        <v>0</v>
      </c>
      <c r="BS17" s="1233">
        <f>0/BK14</f>
        <v>0</v>
      </c>
    </row>
    <row r="18" spans="1:71" ht="11.25" customHeight="1" x14ac:dyDescent="0.2">
      <c r="A18" s="1135" t="s">
        <v>275</v>
      </c>
      <c r="D18" s="1438">
        <v>4.2000000000000003E-2</v>
      </c>
      <c r="E18" s="1438">
        <v>-8.0000000000000002E-3</v>
      </c>
      <c r="F18" s="1438">
        <v>-0.02</v>
      </c>
      <c r="G18" s="1439">
        <f>G15-G16-G17</f>
        <v>0.12701694915254233</v>
      </c>
      <c r="H18" s="83">
        <f>H15-H16-H17</f>
        <v>5.0872860635696737E-2</v>
      </c>
      <c r="I18" s="1440">
        <f>(L18*Quarterlies!CQ189-H18*Quarterlies!CM189)/Quarterlies!CN189</f>
        <v>-2.5741865509761274E-2</v>
      </c>
      <c r="J18" s="83">
        <f>J15-J16-J17</f>
        <v>-7.428352490421454E-2</v>
      </c>
      <c r="K18" s="329">
        <f>K15-K16-K17</f>
        <v>-5.11023890784984E-2</v>
      </c>
      <c r="L18" s="83">
        <f>L15-L16-L17</f>
        <v>1.0275862068965538E-2</v>
      </c>
      <c r="M18" s="151">
        <f>(O18*Quarterlies!CT189-L18*Quarterlies!CQ189)/Quarterlies!CR189</f>
        <v>-6.1133574007220415E-2</v>
      </c>
      <c r="N18" s="24">
        <f>(H18*Quarterlies!CM189+I18*Quarterlies!CN189+J18*Quarterlies!CO189)/Quarterlies!CS189</f>
        <v>-2.1433908045976991E-2</v>
      </c>
      <c r="O18" s="1448">
        <f t="shared" ref="O18:T18" si="14">O15-O16-O17</f>
        <v>-2.9724974721941452E-2</v>
      </c>
      <c r="P18" s="83">
        <f t="shared" si="14"/>
        <v>-1.0465753424657553E-2</v>
      </c>
      <c r="Q18" s="151">
        <f t="shared" si="14"/>
        <v>1.1283246977547567E-2</v>
      </c>
      <c r="R18" s="83">
        <f t="shared" si="14"/>
        <v>-9.6198347107438464E-3</v>
      </c>
      <c r="S18" s="329">
        <f t="shared" si="14"/>
        <v>6.3272214386458827E-3</v>
      </c>
      <c r="T18" s="151">
        <f t="shared" si="14"/>
        <v>2.4161650902827098E-4</v>
      </c>
      <c r="U18" s="151">
        <f>(W18*O14-T18*L14)/M14</f>
        <v>-1.948249619482312E-3</v>
      </c>
      <c r="V18" s="151">
        <f>(P18*H14+Q18*I14+R18*J14)/N14</f>
        <v>-3.0537330316742061E-3</v>
      </c>
      <c r="W18" s="1448">
        <f>W15-W16-W17</f>
        <v>-9.2006459426721005E-4</v>
      </c>
      <c r="X18" s="83">
        <f t="shared" ref="X18:AA18" si="15">X15-X16-X17</f>
        <v>2.7680473372781011E-2</v>
      </c>
      <c r="Y18" s="151">
        <f t="shared" si="15"/>
        <v>-8.8469387755102075E-2</v>
      </c>
      <c r="Z18" s="83">
        <f t="shared" si="15"/>
        <v>-5.7792477302204853E-2</v>
      </c>
      <c r="AA18" s="329">
        <f t="shared" si="15"/>
        <v>-7.311111111111121E-2</v>
      </c>
      <c r="AB18" s="151">
        <f t="shared" ref="AB18" si="16">AB15-AB16-AB17</f>
        <v>-9.7129695251594039E-3</v>
      </c>
      <c r="AC18" s="151">
        <f>(AE18*W14-AB18*T14)/U14</f>
        <v>-6.4913284132841434E-2</v>
      </c>
      <c r="AD18" s="151">
        <f>(X18*P14+Y18*Q14+Z18*R14)/V14</f>
        <v>-4.1645737855178742E-2</v>
      </c>
      <c r="AE18" s="1448">
        <f>AE15-AE16-AE17</f>
        <v>-3.9267039841949319E-2</v>
      </c>
      <c r="AF18" s="83">
        <f t="shared" ref="AF18:AG18" si="17">AF15-AF16-AF17</f>
        <v>-8.3675126903553304E-2</v>
      </c>
      <c r="AG18" s="151">
        <f t="shared" si="17"/>
        <v>-1.9178743961352621E-2</v>
      </c>
      <c r="AH18" s="155">
        <f>AM18</f>
        <v>-1.5309435122851323E-2</v>
      </c>
      <c r="AI18" s="1133">
        <f>(AK18*AC14-AH18*Z14)/AA14</f>
        <v>4.5996636672500243E-2</v>
      </c>
      <c r="AJ18" s="151">
        <f t="shared" ref="AJ18" si="18">AJ15-AJ16-AJ17</f>
        <v>-5.062871287128716E-2</v>
      </c>
      <c r="AK18" s="155">
        <f>(AM18*AE14-AJ18*AB14)/AC14</f>
        <v>1.7625332817986707E-2</v>
      </c>
      <c r="AL18" s="155">
        <f>(AF18*X14+AG18*Y14+AH18*Z14)/AD14</f>
        <v>-3.8914047546950679E-2</v>
      </c>
      <c r="AM18" s="1136">
        <f>Quarterlies!DZ129</f>
        <v>-1.5309435122851323E-2</v>
      </c>
      <c r="AN18" s="155">
        <f>AU18</f>
        <v>-7.3817762399076559E-3</v>
      </c>
      <c r="AO18" s="155">
        <f>(AR18*AJ14-AN18*AF14)/AG14</f>
        <v>-7.3817762399076541E-3</v>
      </c>
      <c r="AP18" s="155">
        <f>AU18</f>
        <v>-7.3817762399076559E-3</v>
      </c>
      <c r="AQ18" s="1133">
        <f>(AS18*AK14-AP18*AH14)/AI14</f>
        <v>-7.3817762399076567E-3</v>
      </c>
      <c r="AR18" s="155">
        <f>AU18</f>
        <v>-7.3817762399076559E-3</v>
      </c>
      <c r="AS18" s="155">
        <f>(AU18*AM14-AR18*AJ14)/AK14</f>
        <v>-7.3817762399076559E-3</v>
      </c>
      <c r="AT18" s="155">
        <f>(AN18*AF14+AO18*AG14+AP18*AH14)/AL14</f>
        <v>-7.3817762399076559E-3</v>
      </c>
      <c r="AU18" s="1136">
        <f>Quarterlies!EH129</f>
        <v>-7.3817762399076559E-3</v>
      </c>
      <c r="AV18" s="155">
        <f>BC18</f>
        <v>-3.6253776435045681E-3</v>
      </c>
      <c r="AW18" s="155">
        <f>(AZ18*AR14-AV18*AN14)/AO14</f>
        <v>-3.6253776435045686E-3</v>
      </c>
      <c r="AX18" s="155">
        <f>BC18</f>
        <v>-3.6253776435045681E-3</v>
      </c>
      <c r="AY18" s="1133">
        <f>(BA18*AS14-AX18*AP14)/AQ14</f>
        <v>-3.6253776435045677E-3</v>
      </c>
      <c r="AZ18" s="155">
        <f>BC18</f>
        <v>-3.6253776435045681E-3</v>
      </c>
      <c r="BA18" s="155">
        <f>(BC18*AU14-AZ18*AR14)/AS14</f>
        <v>-3.6253776435045677E-3</v>
      </c>
      <c r="BB18" s="155">
        <f>(AV18*AN14+AW18*AO14+AX18*AP14)/AT14</f>
        <v>-3.6253776435045681E-3</v>
      </c>
      <c r="BC18" s="1136">
        <f>Quarterlies!EP129</f>
        <v>-3.6253776435045681E-3</v>
      </c>
      <c r="BD18" s="155">
        <f>BK18</f>
        <v>-1.2115981998770398E-2</v>
      </c>
      <c r="BE18" s="155">
        <f>(BH18*AZ14-BD18*AV14)/AW14</f>
        <v>-1.2115981998770398E-2</v>
      </c>
      <c r="BF18" s="155">
        <f>BK18</f>
        <v>-1.2115981998770398E-2</v>
      </c>
      <c r="BG18" s="1133">
        <f>(BI18*BA14-BF18*AX14)/AY14</f>
        <v>-1.2115981998770394E-2</v>
      </c>
      <c r="BH18" s="155">
        <f>BK18</f>
        <v>-1.2115981998770398E-2</v>
      </c>
      <c r="BI18" s="155">
        <f>(BK18*BC14-BH18*AZ14)/BA14</f>
        <v>-1.2115981998770396E-2</v>
      </c>
      <c r="BJ18" s="155">
        <f>(BD18*AV14+BE18*AW14+BF18*AX14)/BB14</f>
        <v>-1.2115981998770398E-2</v>
      </c>
      <c r="BK18" s="1136">
        <f>Quarterlies!EX129</f>
        <v>-1.2115981998770398E-2</v>
      </c>
      <c r="BL18" s="155">
        <f>BS18</f>
        <v>-4.5725870634805266E-2</v>
      </c>
      <c r="BM18" s="155">
        <f>(BP18*BH14-BL18*BD14)/BE14</f>
        <v>-4.5725870634805273E-2</v>
      </c>
      <c r="BN18" s="155">
        <f>BS18</f>
        <v>-4.5725870634805266E-2</v>
      </c>
      <c r="BO18" s="1133">
        <f>(BQ18*BI14-BN18*BF14)/BG14</f>
        <v>-4.5725870634805266E-2</v>
      </c>
      <c r="BP18" s="155">
        <f>BS18</f>
        <v>-4.5725870634805266E-2</v>
      </c>
      <c r="BQ18" s="155">
        <f>(BS18*BK14-BP18*BH14)/BI14</f>
        <v>-4.5725870634805266E-2</v>
      </c>
      <c r="BR18" s="155">
        <f>(BL18*BD14+BM18*BE14+BN18*BF14)/BJ14</f>
        <v>-4.5725870634805273E-2</v>
      </c>
      <c r="BS18" s="1136">
        <f>Quarterlies!FF129</f>
        <v>-4.5725870634805266E-2</v>
      </c>
    </row>
    <row r="19" spans="1:71" ht="11.25" customHeight="1" x14ac:dyDescent="0.2">
      <c r="G19" s="180"/>
      <c r="K19" s="179"/>
      <c r="O19" s="314"/>
      <c r="S19" s="179"/>
      <c r="W19" s="314"/>
      <c r="AA19" s="179"/>
      <c r="AE19" s="314"/>
      <c r="AI19" s="179"/>
      <c r="AM19" s="314"/>
      <c r="AQ19" s="179"/>
      <c r="AU19" s="314"/>
      <c r="AY19" s="179"/>
      <c r="BC19" s="314"/>
      <c r="BG19" s="179"/>
      <c r="BK19" s="314"/>
      <c r="BO19" s="179"/>
      <c r="BS19" s="314"/>
    </row>
    <row r="20" spans="1:71" ht="11.25" customHeight="1" x14ac:dyDescent="0.2">
      <c r="A20" s="419" t="s">
        <v>1095</v>
      </c>
      <c r="B20" s="419"/>
      <c r="C20" s="419">
        <f>Divisional!R40</f>
        <v>81</v>
      </c>
      <c r="D20" s="419">
        <f>Divisional!S40</f>
        <v>188</v>
      </c>
      <c r="E20" s="419">
        <f>Divisional!T40</f>
        <v>-174</v>
      </c>
      <c r="F20" s="419">
        <f>Divisional!U40</f>
        <v>-167</v>
      </c>
      <c r="G20" s="729">
        <f>Divisional!V40</f>
        <v>-140</v>
      </c>
      <c r="H20" s="419"/>
      <c r="I20" s="419"/>
      <c r="J20" s="419"/>
      <c r="K20" s="779"/>
      <c r="L20" s="419">
        <v>-100</v>
      </c>
      <c r="M20" s="419">
        <f>O20-L20</f>
        <v>-16</v>
      </c>
      <c r="N20" s="419"/>
      <c r="O20" s="1367">
        <f>Divisional!W40</f>
        <v>-116</v>
      </c>
      <c r="P20" s="419"/>
      <c r="Q20" s="419"/>
      <c r="R20" s="419"/>
      <c r="S20" s="779"/>
      <c r="T20" s="419">
        <v>10</v>
      </c>
      <c r="U20" s="419">
        <f>W20-T20</f>
        <v>17</v>
      </c>
      <c r="V20" s="419"/>
      <c r="W20" s="1367">
        <f>Divisional!X40</f>
        <v>27</v>
      </c>
      <c r="X20" s="419"/>
      <c r="Y20" s="419"/>
      <c r="Z20" s="419"/>
      <c r="AA20" s="779"/>
      <c r="AB20" s="419">
        <v>27</v>
      </c>
      <c r="AC20" s="419">
        <f>AE20-AB20</f>
        <v>81</v>
      </c>
      <c r="AD20" s="419"/>
      <c r="AE20" s="1367">
        <f>Divisional!Y40</f>
        <v>108</v>
      </c>
      <c r="AF20" s="419"/>
      <c r="AG20" s="419"/>
      <c r="AH20" s="419"/>
      <c r="AI20" s="779"/>
      <c r="AJ20" s="419">
        <v>54</v>
      </c>
      <c r="AK20" s="731">
        <f>AM20-AJ20</f>
        <v>105.06768508867856</v>
      </c>
      <c r="AL20" s="419"/>
      <c r="AM20" s="732">
        <f>AM21*AM14</f>
        <v>159.06768508867856</v>
      </c>
      <c r="AN20" s="419"/>
      <c r="AO20" s="419"/>
      <c r="AP20" s="419"/>
      <c r="AQ20" s="779"/>
      <c r="AR20" s="731">
        <f>AR21*AR14</f>
        <v>95.385570934256052</v>
      </c>
      <c r="AS20" s="731">
        <f>AU20-AR20</f>
        <v>113.17473091280998</v>
      </c>
      <c r="AT20" s="419"/>
      <c r="AU20" s="732">
        <f>AU21*AU14</f>
        <v>208.56030184706603</v>
      </c>
      <c r="AV20" s="419"/>
      <c r="AW20" s="419"/>
      <c r="AX20" s="419"/>
      <c r="AY20" s="779"/>
      <c r="AZ20" s="731">
        <f>AZ21*AZ14</f>
        <v>120.90859210886241</v>
      </c>
      <c r="BA20" s="731">
        <f>BC20-AZ20</f>
        <v>143.62027179534925</v>
      </c>
      <c r="BB20" s="419"/>
      <c r="BC20" s="732">
        <f>BC21*BC14</f>
        <v>264.52886390421168</v>
      </c>
      <c r="BD20" s="419"/>
      <c r="BE20" s="419"/>
      <c r="BF20" s="419"/>
      <c r="BG20" s="779"/>
      <c r="BH20" s="731">
        <f>BH21*BH14</f>
        <v>148.97897746962266</v>
      </c>
      <c r="BI20" s="731">
        <f>BK20-BH20</f>
        <v>177.16427886975586</v>
      </c>
      <c r="BJ20" s="419"/>
      <c r="BK20" s="732">
        <f>BK21*BK14</f>
        <v>326.14325633937852</v>
      </c>
      <c r="BL20" s="419"/>
      <c r="BM20" s="419"/>
      <c r="BN20" s="419"/>
      <c r="BO20" s="779"/>
      <c r="BP20" s="731">
        <f>BP21*BP14</f>
        <v>155.63383372837822</v>
      </c>
      <c r="BQ20" s="731">
        <f>BS20-BP20</f>
        <v>185.29355579075261</v>
      </c>
      <c r="BR20" s="419"/>
      <c r="BS20" s="732">
        <f>BS21*BS14</f>
        <v>340.92738951913083</v>
      </c>
    </row>
    <row r="21" spans="1:71" ht="11.25" customHeight="1" x14ac:dyDescent="0.2">
      <c r="A21" s="186" t="s">
        <v>1096</v>
      </c>
      <c r="C21" s="88">
        <f>C20/C14</f>
        <v>3.2258064516129031E-2</v>
      </c>
      <c r="D21" s="88">
        <f>D20/D14</f>
        <v>5.6609454983438723E-2</v>
      </c>
      <c r="E21" s="88">
        <f>E20/E14</f>
        <v>-9.053069719042664E-2</v>
      </c>
      <c r="F21" s="88">
        <f>F20/F14</f>
        <v>-0.11322033898305085</v>
      </c>
      <c r="G21" s="91">
        <f>G20/G14</f>
        <v>-7.0778564206268962E-2</v>
      </c>
      <c r="H21" s="89"/>
      <c r="I21" s="89"/>
      <c r="J21" s="89"/>
      <c r="K21" s="356"/>
      <c r="L21" s="653">
        <f>L20/L14</f>
        <v>-8.5984522785898534E-2</v>
      </c>
      <c r="M21" s="88">
        <f>M20/M14</f>
        <v>-1.2176560121765601E-2</v>
      </c>
      <c r="N21" s="89"/>
      <c r="O21" s="357">
        <f>O20/O14</f>
        <v>-4.6830843762616065E-2</v>
      </c>
      <c r="P21" s="89"/>
      <c r="Q21" s="89"/>
      <c r="R21" s="89"/>
      <c r="S21" s="356"/>
      <c r="T21" s="653">
        <f>T20/T14</f>
        <v>7.0871722182849041E-3</v>
      </c>
      <c r="U21" s="88">
        <f>U20/U14</f>
        <v>1.0455104551045511E-2</v>
      </c>
      <c r="V21" s="89"/>
      <c r="W21" s="357">
        <f>W20/W14</f>
        <v>8.8903523213697735E-3</v>
      </c>
      <c r="X21" s="89"/>
      <c r="Y21" s="89"/>
      <c r="Z21" s="89"/>
      <c r="AA21" s="356"/>
      <c r="AB21" s="653">
        <f>AB20/AB14</f>
        <v>1.6707920792079209E-2</v>
      </c>
      <c r="AC21" s="88">
        <f>AC20/AC14</f>
        <v>4.6739757645701097E-2</v>
      </c>
      <c r="AD21" s="89"/>
      <c r="AE21" s="357">
        <f>AE20/AE14</f>
        <v>3.2248432367871005E-2</v>
      </c>
      <c r="AF21" s="89"/>
      <c r="AG21" s="89"/>
      <c r="AH21" s="89"/>
      <c r="AI21" s="356"/>
      <c r="AJ21" s="653">
        <f>AJ20/AJ14</f>
        <v>3.711340206185567E-2</v>
      </c>
      <c r="AK21" s="92">
        <f>AK20/AK14</f>
        <v>6.086104196419146E-2</v>
      </c>
      <c r="AL21" s="89"/>
      <c r="AM21" s="1139">
        <v>0.05</v>
      </c>
      <c r="AN21" s="89"/>
      <c r="AO21" s="89"/>
      <c r="AP21" s="89"/>
      <c r="AQ21" s="356"/>
      <c r="AR21" s="655">
        <f>AU21</f>
        <v>0.06</v>
      </c>
      <c r="AS21" s="92">
        <f>AS20/AS14</f>
        <v>0.06</v>
      </c>
      <c r="AT21" s="89"/>
      <c r="AU21" s="1139">
        <v>0.06</v>
      </c>
      <c r="AV21" s="89"/>
      <c r="AW21" s="89"/>
      <c r="AX21" s="89"/>
      <c r="AY21" s="356"/>
      <c r="AZ21" s="655">
        <f>BC21</f>
        <v>7.0000000000000007E-2</v>
      </c>
      <c r="BA21" s="92">
        <f>BA20/BA14</f>
        <v>6.9999999999999993E-2</v>
      </c>
      <c r="BB21" s="89"/>
      <c r="BC21" s="1139">
        <v>7.0000000000000007E-2</v>
      </c>
      <c r="BD21" s="89"/>
      <c r="BE21" s="89"/>
      <c r="BF21" s="89"/>
      <c r="BG21" s="356"/>
      <c r="BH21" s="655">
        <f>BK21</f>
        <v>0.08</v>
      </c>
      <c r="BI21" s="92">
        <f>BI20/BI14</f>
        <v>0.08</v>
      </c>
      <c r="BJ21" s="89"/>
      <c r="BK21" s="1139">
        <v>0.08</v>
      </c>
      <c r="BL21" s="89"/>
      <c r="BM21" s="89"/>
      <c r="BN21" s="89"/>
      <c r="BO21" s="356"/>
      <c r="BP21" s="655">
        <f>BS21</f>
        <v>0.08</v>
      </c>
      <c r="BQ21" s="92">
        <f>BQ20/BQ14</f>
        <v>8.0000000000000016E-2</v>
      </c>
      <c r="BR21" s="89"/>
      <c r="BS21" s="656">
        <f>BK21</f>
        <v>0.08</v>
      </c>
    </row>
    <row r="22" spans="1:71" ht="11.25" customHeight="1" x14ac:dyDescent="0.2">
      <c r="A22" s="186"/>
      <c r="C22" s="88"/>
      <c r="D22" s="88"/>
      <c r="E22" s="1140"/>
      <c r="G22" s="180"/>
      <c r="K22" s="179"/>
      <c r="O22" s="314"/>
      <c r="S22" s="179"/>
      <c r="W22" s="314"/>
      <c r="AA22" s="179"/>
      <c r="AE22" s="314"/>
      <c r="AI22" s="179"/>
      <c r="AM22" s="314"/>
      <c r="AQ22" s="179"/>
      <c r="AU22" s="314"/>
      <c r="AY22" s="179"/>
      <c r="BC22" s="314"/>
      <c r="BG22" s="179"/>
      <c r="BK22" s="314"/>
      <c r="BO22" s="179"/>
      <c r="BS22" s="314"/>
    </row>
    <row r="23" spans="1:71" ht="11.25" customHeight="1" x14ac:dyDescent="0.2">
      <c r="A23" s="4" t="s">
        <v>1001</v>
      </c>
      <c r="B23" s="186"/>
      <c r="C23" s="4">
        <v>-39</v>
      </c>
      <c r="D23" s="4">
        <v>-6</v>
      </c>
      <c r="E23" s="4">
        <v>-72</v>
      </c>
      <c r="F23" s="4">
        <v>-17</v>
      </c>
      <c r="G23" s="180">
        <v>-346</v>
      </c>
      <c r="K23" s="179"/>
      <c r="L23" s="4">
        <v>-38</v>
      </c>
      <c r="M23" s="4">
        <f>O23-L23</f>
        <v>-78</v>
      </c>
      <c r="O23" s="314">
        <v>-116</v>
      </c>
      <c r="S23" s="179"/>
      <c r="T23" s="4">
        <v>-9</v>
      </c>
      <c r="U23" s="4">
        <f>W23-T23</f>
        <v>36</v>
      </c>
      <c r="W23" s="314">
        <v>27</v>
      </c>
      <c r="AA23" s="179"/>
      <c r="AB23" s="4">
        <v>-29</v>
      </c>
      <c r="AC23" s="4">
        <f>AE23-AB23</f>
        <v>-248</v>
      </c>
      <c r="AE23" s="314">
        <v>-277</v>
      </c>
      <c r="AI23" s="179"/>
      <c r="AJ23" s="4">
        <v>11</v>
      </c>
      <c r="AK23" s="11">
        <f>AM23-AJ23</f>
        <v>0</v>
      </c>
      <c r="AM23" s="605">
        <v>11</v>
      </c>
      <c r="AQ23" s="179"/>
      <c r="AR23" s="571">
        <v>0</v>
      </c>
      <c r="AS23" s="11">
        <f>AU23-AR23</f>
        <v>0</v>
      </c>
      <c r="AU23" s="605">
        <v>0</v>
      </c>
      <c r="AY23" s="179"/>
      <c r="AZ23" s="571">
        <v>0</v>
      </c>
      <c r="BA23" s="11">
        <f>BC23-AZ23</f>
        <v>0</v>
      </c>
      <c r="BC23" s="605">
        <v>0</v>
      </c>
      <c r="BG23" s="179"/>
      <c r="BH23" s="571">
        <v>0</v>
      </c>
      <c r="BI23" s="11">
        <f>BK23-BH23</f>
        <v>0</v>
      </c>
      <c r="BK23" s="605">
        <v>0</v>
      </c>
      <c r="BO23" s="179"/>
      <c r="BP23" s="571">
        <v>0</v>
      </c>
      <c r="BQ23" s="11">
        <f>BS23-BP23</f>
        <v>0</v>
      </c>
      <c r="BS23" s="605">
        <v>0</v>
      </c>
    </row>
    <row r="24" spans="1:71" ht="11.25" customHeight="1" x14ac:dyDescent="0.2">
      <c r="A24" s="186" t="s">
        <v>468</v>
      </c>
      <c r="B24" s="186"/>
      <c r="C24" s="186">
        <f>C20+C23</f>
        <v>42</v>
      </c>
      <c r="D24" s="186">
        <f>D20+D23</f>
        <v>182</v>
      </c>
      <c r="E24" s="186">
        <f>E20+E23</f>
        <v>-246</v>
      </c>
      <c r="F24" s="186">
        <f>F20+F23</f>
        <v>-184</v>
      </c>
      <c r="G24" s="284">
        <f>G20+G23</f>
        <v>-486</v>
      </c>
      <c r="H24" s="186"/>
      <c r="I24" s="186"/>
      <c r="J24" s="186"/>
      <c r="K24" s="283"/>
      <c r="L24" s="186">
        <f>L20+L23</f>
        <v>-138</v>
      </c>
      <c r="M24" s="186">
        <f>M20+M23</f>
        <v>-94</v>
      </c>
      <c r="N24" s="186"/>
      <c r="O24" s="341">
        <f>O20+O23</f>
        <v>-232</v>
      </c>
      <c r="P24" s="186"/>
      <c r="Q24" s="186"/>
      <c r="R24" s="186"/>
      <c r="S24" s="283"/>
      <c r="T24" s="186">
        <f>T20+T23</f>
        <v>1</v>
      </c>
      <c r="U24" s="186">
        <f>U20+U23</f>
        <v>53</v>
      </c>
      <c r="V24" s="186"/>
      <c r="W24" s="341">
        <f>W20+W23</f>
        <v>54</v>
      </c>
      <c r="X24" s="186"/>
      <c r="Y24" s="186"/>
      <c r="Z24" s="186"/>
      <c r="AA24" s="283"/>
      <c r="AB24" s="186">
        <f>AB20+AB23</f>
        <v>-2</v>
      </c>
      <c r="AC24" s="186">
        <f>AC20+AC23</f>
        <v>-167</v>
      </c>
      <c r="AD24" s="186"/>
      <c r="AE24" s="341">
        <f>AE20+AE23</f>
        <v>-169</v>
      </c>
      <c r="AF24" s="186"/>
      <c r="AG24" s="186"/>
      <c r="AH24" s="186"/>
      <c r="AI24" s="283"/>
      <c r="AJ24" s="186">
        <f>AJ20+AJ23</f>
        <v>65</v>
      </c>
      <c r="AK24" s="285">
        <f>AK20+AK23</f>
        <v>105.06768508867856</v>
      </c>
      <c r="AL24" s="186"/>
      <c r="AM24" s="301">
        <f>AM20+AM23</f>
        <v>170.06768508867856</v>
      </c>
      <c r="AN24" s="186"/>
      <c r="AO24" s="186"/>
      <c r="AP24" s="186"/>
      <c r="AQ24" s="283"/>
      <c r="AR24" s="285">
        <f>AR20+AR23</f>
        <v>95.385570934256052</v>
      </c>
      <c r="AS24" s="285">
        <f>AS20+AS23</f>
        <v>113.17473091280998</v>
      </c>
      <c r="AT24" s="186"/>
      <c r="AU24" s="301">
        <f>AU20+AU23</f>
        <v>208.56030184706603</v>
      </c>
      <c r="AV24" s="186"/>
      <c r="AW24" s="186"/>
      <c r="AX24" s="186"/>
      <c r="AY24" s="283"/>
      <c r="AZ24" s="285">
        <f>AZ20+AZ23</f>
        <v>120.90859210886241</v>
      </c>
      <c r="BA24" s="285">
        <f>BA20+BA23</f>
        <v>143.62027179534925</v>
      </c>
      <c r="BB24" s="186"/>
      <c r="BC24" s="301">
        <f>BC20+BC23</f>
        <v>264.52886390421168</v>
      </c>
      <c r="BD24" s="186"/>
      <c r="BE24" s="186"/>
      <c r="BF24" s="186"/>
      <c r="BG24" s="283"/>
      <c r="BH24" s="285">
        <f>BH20+BH23</f>
        <v>148.97897746962266</v>
      </c>
      <c r="BI24" s="285">
        <f>BI20+BI23</f>
        <v>177.16427886975586</v>
      </c>
      <c r="BJ24" s="186"/>
      <c r="BK24" s="301">
        <f>BK20+BK23</f>
        <v>326.14325633937852</v>
      </c>
      <c r="BL24" s="186"/>
      <c r="BM24" s="186"/>
      <c r="BN24" s="186"/>
      <c r="BO24" s="283"/>
      <c r="BP24" s="285">
        <f>BP20+BP23</f>
        <v>155.63383372837822</v>
      </c>
      <c r="BQ24" s="285">
        <f>BQ20+BQ23</f>
        <v>185.29355579075261</v>
      </c>
      <c r="BR24" s="186"/>
      <c r="BS24" s="301">
        <f>BS20+BS23</f>
        <v>340.92738951913083</v>
      </c>
    </row>
    <row r="25" spans="1:71" ht="11.25" customHeight="1" x14ac:dyDescent="0.2">
      <c r="A25" s="186"/>
      <c r="B25" s="186"/>
      <c r="C25" s="186"/>
      <c r="D25" s="186"/>
      <c r="E25" s="186"/>
      <c r="F25" s="186"/>
      <c r="G25" s="284"/>
      <c r="H25" s="186"/>
      <c r="I25" s="186"/>
      <c r="J25" s="186"/>
      <c r="K25" s="283"/>
      <c r="L25" s="186"/>
      <c r="M25" s="186"/>
      <c r="N25" s="186"/>
      <c r="O25" s="341"/>
      <c r="P25" s="186"/>
      <c r="Q25" s="186"/>
      <c r="R25" s="186"/>
      <c r="S25" s="283"/>
      <c r="T25" s="186"/>
      <c r="U25" s="186"/>
      <c r="V25" s="186"/>
      <c r="W25" s="341"/>
      <c r="X25" s="186"/>
      <c r="Y25" s="186"/>
      <c r="Z25" s="186"/>
      <c r="AA25" s="283"/>
      <c r="AB25" s="186"/>
      <c r="AC25" s="186"/>
      <c r="AD25" s="186"/>
      <c r="AE25" s="341"/>
      <c r="AF25" s="186"/>
      <c r="AG25" s="186"/>
      <c r="AH25" s="186"/>
      <c r="AI25" s="283"/>
      <c r="AJ25" s="186"/>
      <c r="AK25" s="186"/>
      <c r="AL25" s="186"/>
      <c r="AM25" s="341"/>
      <c r="AN25" s="186"/>
      <c r="AO25" s="186"/>
      <c r="AP25" s="186"/>
      <c r="AQ25" s="283"/>
      <c r="AR25" s="186"/>
      <c r="AS25" s="186"/>
      <c r="AT25" s="186"/>
      <c r="AU25" s="341"/>
      <c r="AV25" s="186"/>
      <c r="AW25" s="186"/>
      <c r="AX25" s="186"/>
      <c r="AY25" s="283"/>
      <c r="AZ25" s="186"/>
      <c r="BA25" s="186"/>
      <c r="BB25" s="186"/>
      <c r="BC25" s="341"/>
      <c r="BD25" s="186"/>
      <c r="BE25" s="186"/>
      <c r="BF25" s="186"/>
      <c r="BG25" s="283"/>
      <c r="BH25" s="186"/>
      <c r="BI25" s="186"/>
      <c r="BJ25" s="186"/>
      <c r="BK25" s="341"/>
      <c r="BL25" s="186"/>
      <c r="BM25" s="186"/>
      <c r="BN25" s="186"/>
      <c r="BO25" s="283"/>
      <c r="BP25" s="186"/>
      <c r="BQ25" s="186"/>
      <c r="BR25" s="186"/>
      <c r="BS25" s="341"/>
    </row>
    <row r="26" spans="1:71" ht="11.25" customHeight="1" x14ac:dyDescent="0.2">
      <c r="A26" s="4" t="s">
        <v>388</v>
      </c>
      <c r="B26" s="186"/>
      <c r="C26" s="4">
        <f>Divisional!R109</f>
        <v>-1</v>
      </c>
      <c r="D26" s="4">
        <f>Divisional!S109</f>
        <v>4</v>
      </c>
      <c r="E26" s="4">
        <f>Divisional!T109</f>
        <v>52</v>
      </c>
      <c r="F26" s="4">
        <f>Divisional!U109</f>
        <v>132</v>
      </c>
      <c r="G26" s="180">
        <f>Divisional!V109</f>
        <v>68</v>
      </c>
      <c r="K26" s="179"/>
      <c r="L26" s="4">
        <f>L27*L14</f>
        <v>40.705000000000005</v>
      </c>
      <c r="M26" s="4">
        <f>O26-L26</f>
        <v>86.294999999999987</v>
      </c>
      <c r="O26" s="314">
        <f>Divisional!W109</f>
        <v>127</v>
      </c>
      <c r="S26" s="179"/>
      <c r="T26" s="4">
        <f>T27*T14</f>
        <v>70.55</v>
      </c>
      <c r="U26" s="4">
        <f>W26-T26</f>
        <v>70.45</v>
      </c>
      <c r="W26" s="314">
        <f>Divisional!X109</f>
        <v>141</v>
      </c>
      <c r="AA26" s="179"/>
      <c r="AB26" s="4">
        <f>AB27*AB14</f>
        <v>80.800000000000011</v>
      </c>
      <c r="AC26" s="4">
        <f>AE26-AB26</f>
        <v>60.199999999999989</v>
      </c>
      <c r="AE26" s="314">
        <f>Divisional!Y109</f>
        <v>141</v>
      </c>
      <c r="AI26" s="179"/>
      <c r="AJ26" s="4">
        <f>AJ27*AJ14</f>
        <v>58.2</v>
      </c>
      <c r="AK26" s="11">
        <f>AM26-AJ26</f>
        <v>69.05414807094283</v>
      </c>
      <c r="AM26" s="603">
        <f>AM27*AM14</f>
        <v>127.25414807094283</v>
      </c>
      <c r="AQ26" s="179"/>
      <c r="AR26" s="11">
        <f>AR27*AR14</f>
        <v>63.590380622837372</v>
      </c>
      <c r="AS26" s="11">
        <f>AU26-AR26</f>
        <v>75.44982060853998</v>
      </c>
      <c r="AU26" s="603">
        <f>AU27*AU14</f>
        <v>139.04020123137735</v>
      </c>
      <c r="AY26" s="179"/>
      <c r="AZ26" s="11">
        <f>AZ27*AZ14</f>
        <v>69.090624062207084</v>
      </c>
      <c r="BA26" s="11">
        <f>BC26-AZ26</f>
        <v>82.06872674019958</v>
      </c>
      <c r="BC26" s="603">
        <f>BC27*BC14</f>
        <v>151.15935080240666</v>
      </c>
      <c r="BG26" s="179"/>
      <c r="BH26" s="11">
        <f>BH27*BH14</f>
        <v>74.489488734811331</v>
      </c>
      <c r="BI26" s="11">
        <f>BK26-BH26</f>
        <v>88.582139434877931</v>
      </c>
      <c r="BK26" s="603">
        <f>BK27*BK14</f>
        <v>163.07162816968926</v>
      </c>
      <c r="BO26" s="179"/>
      <c r="BP26" s="11">
        <f>BP27*BP14</f>
        <v>77.81691686418911</v>
      </c>
      <c r="BQ26" s="11">
        <f>BS26-BP26</f>
        <v>92.646777895376303</v>
      </c>
      <c r="BS26" s="603">
        <f>BS27*BS14</f>
        <v>170.46369475956541</v>
      </c>
    </row>
    <row r="27" spans="1:71" ht="11.25" customHeight="1" x14ac:dyDescent="0.25">
      <c r="A27" s="4" t="s">
        <v>1002</v>
      </c>
      <c r="C27" s="1438">
        <f>C26/C14</f>
        <v>-3.9824771007566706E-4</v>
      </c>
      <c r="D27" s="1438">
        <f>D26/D14</f>
        <v>1.2044564890093346E-3</v>
      </c>
      <c r="E27" s="1438">
        <f>E26/E14</f>
        <v>2.7055150884495317E-2</v>
      </c>
      <c r="F27" s="1438">
        <f>F26/F14</f>
        <v>8.9491525423728818E-2</v>
      </c>
      <c r="G27" s="1439">
        <f>G26/G14</f>
        <v>3.4378159757330634E-2</v>
      </c>
      <c r="H27" s="1440"/>
      <c r="I27" s="1440"/>
      <c r="J27" s="1440"/>
      <c r="K27" s="1441"/>
      <c r="L27" s="24">
        <v>3.5000000000000003E-2</v>
      </c>
      <c r="M27" s="82">
        <f>M26/M14</f>
        <v>6.5673515981735153E-2</v>
      </c>
      <c r="N27" s="1440"/>
      <c r="O27" s="1448">
        <f>O26/O14</f>
        <v>5.1271699636657245E-2</v>
      </c>
      <c r="P27" s="330"/>
      <c r="Q27" s="330"/>
      <c r="R27" s="330"/>
      <c r="S27" s="334"/>
      <c r="T27" s="151">
        <v>0.05</v>
      </c>
      <c r="U27" s="82">
        <f>U26/U14</f>
        <v>4.3327183271832721E-2</v>
      </c>
      <c r="V27" s="330"/>
      <c r="W27" s="1448">
        <f>W26/W14</f>
        <v>4.6427395456042145E-2</v>
      </c>
      <c r="X27" s="330"/>
      <c r="Y27" s="330"/>
      <c r="Z27" s="330"/>
      <c r="AA27" s="334"/>
      <c r="AB27" s="151">
        <v>0.05</v>
      </c>
      <c r="AC27" s="82">
        <f>AC26/AC14</f>
        <v>3.4737449509521054E-2</v>
      </c>
      <c r="AD27" s="330"/>
      <c r="AE27" s="1448">
        <f>AE26/AE14</f>
        <v>4.2102120035831594E-2</v>
      </c>
      <c r="AF27" s="330"/>
      <c r="AG27" s="330"/>
      <c r="AH27" s="330"/>
      <c r="AI27" s="334"/>
      <c r="AJ27" s="151">
        <v>0.04</v>
      </c>
      <c r="AK27" s="25">
        <f>AK26/AK14</f>
        <v>0.04</v>
      </c>
      <c r="AL27" s="330"/>
      <c r="AM27" s="1134">
        <v>0.04</v>
      </c>
      <c r="AN27" s="330"/>
      <c r="AO27" s="330"/>
      <c r="AP27" s="330"/>
      <c r="AQ27" s="334"/>
      <c r="AR27" s="155">
        <f>AU27</f>
        <v>0.04</v>
      </c>
      <c r="AS27" s="25">
        <f>AS26/AS14</f>
        <v>3.9999999999999994E-2</v>
      </c>
      <c r="AT27" s="330"/>
      <c r="AU27" s="1134">
        <v>0.04</v>
      </c>
      <c r="AV27" s="330"/>
      <c r="AW27" s="330"/>
      <c r="AX27" s="330"/>
      <c r="AY27" s="334"/>
      <c r="AZ27" s="155">
        <f>BC27</f>
        <v>0.04</v>
      </c>
      <c r="BA27" s="25">
        <f>BA26/BA14</f>
        <v>0.04</v>
      </c>
      <c r="BB27" s="330"/>
      <c r="BC27" s="1136">
        <f>AU27</f>
        <v>0.04</v>
      </c>
      <c r="BD27" s="330"/>
      <c r="BE27" s="330"/>
      <c r="BF27" s="330"/>
      <c r="BG27" s="334"/>
      <c r="BH27" s="155">
        <f>BK27</f>
        <v>0.04</v>
      </c>
      <c r="BI27" s="25">
        <f>BI26/BI14</f>
        <v>0.04</v>
      </c>
      <c r="BJ27" s="330"/>
      <c r="BK27" s="1136">
        <f>BC27</f>
        <v>0.04</v>
      </c>
      <c r="BL27" s="330"/>
      <c r="BM27" s="330"/>
      <c r="BN27" s="330"/>
      <c r="BO27" s="334"/>
      <c r="BP27" s="155">
        <f>BS27</f>
        <v>0.04</v>
      </c>
      <c r="BQ27" s="25">
        <f>BQ26/BQ14</f>
        <v>4.0000000000000008E-2</v>
      </c>
      <c r="BR27" s="330"/>
      <c r="BS27" s="1136">
        <f>BK27</f>
        <v>0.04</v>
      </c>
    </row>
    <row r="28" spans="1:71" ht="11.25" customHeight="1" x14ac:dyDescent="0.2">
      <c r="G28" s="180"/>
      <c r="K28" s="179"/>
      <c r="O28" s="314"/>
      <c r="S28" s="179"/>
      <c r="W28" s="314"/>
      <c r="AA28" s="179"/>
      <c r="AE28" s="314"/>
      <c r="AI28" s="179"/>
      <c r="AM28" s="314"/>
      <c r="AQ28" s="179"/>
      <c r="AU28" s="314"/>
      <c r="AY28" s="179"/>
      <c r="BC28" s="314"/>
      <c r="BG28" s="179"/>
      <c r="BK28" s="314"/>
      <c r="BO28" s="179"/>
      <c r="BS28" s="314"/>
    </row>
    <row r="29" spans="1:71" ht="11.25" customHeight="1" x14ac:dyDescent="0.2">
      <c r="A29" s="4" t="s">
        <v>1003</v>
      </c>
      <c r="C29" s="4">
        <f>Divisional!R98</f>
        <v>41</v>
      </c>
      <c r="D29" s="4">
        <f>Divisional!S98</f>
        <v>60</v>
      </c>
      <c r="E29" s="4">
        <f>Divisional!T98</f>
        <v>31</v>
      </c>
      <c r="F29" s="4">
        <f>Divisional!U98</f>
        <v>5</v>
      </c>
      <c r="G29" s="180">
        <f>Divisional!V98</f>
        <v>31</v>
      </c>
      <c r="K29" s="179"/>
      <c r="L29" s="4">
        <f>L30*L14</f>
        <v>24.415018167137667</v>
      </c>
      <c r="M29" s="4">
        <f>O29-L29</f>
        <v>27.584981832862333</v>
      </c>
      <c r="O29" s="314">
        <f>Divisional!W98</f>
        <v>52</v>
      </c>
      <c r="S29" s="179"/>
      <c r="T29" s="4">
        <f>T30*T14</f>
        <v>28.22</v>
      </c>
      <c r="U29" s="4">
        <f>W29-T29</f>
        <v>32.78</v>
      </c>
      <c r="W29" s="314">
        <f>Divisional!X98</f>
        <v>61</v>
      </c>
      <c r="AA29" s="179"/>
      <c r="AB29" s="4">
        <f>AB30*AB14</f>
        <v>32.32</v>
      </c>
      <c r="AC29" s="4">
        <f>AE29-AB29</f>
        <v>20.68</v>
      </c>
      <c r="AE29" s="314">
        <f>Divisional!Y98</f>
        <v>53</v>
      </c>
      <c r="AI29" s="179"/>
      <c r="AJ29" s="4">
        <f>AJ30*AJ14</f>
        <v>29.1</v>
      </c>
      <c r="AK29" s="11">
        <f>AM29-AJ29</f>
        <v>34.527074035471415</v>
      </c>
      <c r="AM29" s="603">
        <f>AM30*AM14</f>
        <v>63.627074035471416</v>
      </c>
      <c r="AQ29" s="179"/>
      <c r="AR29" s="11">
        <f>AR30*AR14</f>
        <v>31.795190311418686</v>
      </c>
      <c r="AS29" s="11">
        <f>AU29-AR29</f>
        <v>37.72491030426999</v>
      </c>
      <c r="AU29" s="603">
        <f>AU30*AU14</f>
        <v>69.520100615688676</v>
      </c>
      <c r="AY29" s="179"/>
      <c r="AZ29" s="11">
        <f>AZ30*AZ14</f>
        <v>34.545312031103542</v>
      </c>
      <c r="BA29" s="11">
        <f>BC29-AZ29</f>
        <v>41.03436337009979</v>
      </c>
      <c r="BC29" s="603">
        <f>BC30*BC14</f>
        <v>75.579675401203332</v>
      </c>
      <c r="BG29" s="179"/>
      <c r="BH29" s="11">
        <f>BH30*BH14</f>
        <v>37.244744367405666</v>
      </c>
      <c r="BI29" s="11">
        <f>BK29-BH29</f>
        <v>44.291069717438965</v>
      </c>
      <c r="BK29" s="603">
        <f>BK30*BK14</f>
        <v>81.535814084844631</v>
      </c>
      <c r="BO29" s="179"/>
      <c r="BP29" s="11">
        <f>BP30*BP14</f>
        <v>38.908458432094555</v>
      </c>
      <c r="BQ29" s="11">
        <f>BS29-BP29</f>
        <v>46.323388947688152</v>
      </c>
      <c r="BS29" s="603">
        <f>BS30*BS14</f>
        <v>85.231847379782707</v>
      </c>
    </row>
    <row r="30" spans="1:71" ht="11.25" customHeight="1" x14ac:dyDescent="0.25">
      <c r="A30" s="4" t="s">
        <v>1002</v>
      </c>
      <c r="C30" s="1438">
        <f>C29/C14</f>
        <v>1.632815611310235E-2</v>
      </c>
      <c r="D30" s="1438">
        <f>D29/D14</f>
        <v>1.8066847335140017E-2</v>
      </c>
      <c r="E30" s="1438">
        <f>E29/E14</f>
        <v>1.6129032258064516E-2</v>
      </c>
      <c r="F30" s="24">
        <f t="shared" ref="F30:G30" si="19">F29/F14</f>
        <v>3.3898305084745762E-3</v>
      </c>
      <c r="G30" s="1431">
        <f t="shared" si="19"/>
        <v>1.5672396359959553E-2</v>
      </c>
      <c r="H30" s="24"/>
      <c r="I30" s="24"/>
      <c r="J30" s="24"/>
      <c r="K30" s="1432"/>
      <c r="L30" s="24">
        <f>O30</f>
        <v>2.0993136859103756E-2</v>
      </c>
      <c r="M30" s="151">
        <f>M29/M14</f>
        <v>2.0993136859103752E-2</v>
      </c>
      <c r="N30" s="24"/>
      <c r="O30" s="1415">
        <f t="shared" ref="O30" si="20">O29/O14</f>
        <v>2.0993136859103756E-2</v>
      </c>
      <c r="P30" s="28"/>
      <c r="Q30" s="28"/>
      <c r="R30" s="28"/>
      <c r="S30" s="1141"/>
      <c r="T30" s="151">
        <v>0.02</v>
      </c>
      <c r="U30" s="151">
        <f>U29/U14</f>
        <v>2.015990159901599E-2</v>
      </c>
      <c r="V30" s="28"/>
      <c r="W30" s="1415">
        <f>W29/W14</f>
        <v>2.0085610800131708E-2</v>
      </c>
      <c r="X30" s="28"/>
      <c r="Y30" s="28"/>
      <c r="Z30" s="28"/>
      <c r="AA30" s="1141"/>
      <c r="AB30" s="151">
        <v>0.02</v>
      </c>
      <c r="AC30" s="151">
        <f>AC29/AC14</f>
        <v>1.1933064050778996E-2</v>
      </c>
      <c r="AD30" s="28"/>
      <c r="AE30" s="1415">
        <f>AE29/AE14</f>
        <v>1.5825619587936698E-2</v>
      </c>
      <c r="AF30" s="28"/>
      <c r="AG30" s="28"/>
      <c r="AH30" s="28"/>
      <c r="AI30" s="1141"/>
      <c r="AJ30" s="151">
        <v>0.02</v>
      </c>
      <c r="AK30" s="155">
        <f>AK29/AK14</f>
        <v>0.02</v>
      </c>
      <c r="AL30" s="28"/>
      <c r="AM30" s="1134">
        <v>0.02</v>
      </c>
      <c r="AN30" s="28"/>
      <c r="AO30" s="28"/>
      <c r="AP30" s="28"/>
      <c r="AQ30" s="1141"/>
      <c r="AR30" s="155">
        <f>AU30</f>
        <v>0.02</v>
      </c>
      <c r="AS30" s="155">
        <f>AS29/AS14</f>
        <v>1.9999999999999997E-2</v>
      </c>
      <c r="AT30" s="28"/>
      <c r="AU30" s="1134">
        <v>0.02</v>
      </c>
      <c r="AV30" s="28"/>
      <c r="AW30" s="28"/>
      <c r="AX30" s="28"/>
      <c r="AY30" s="1141"/>
      <c r="AZ30" s="155">
        <f>BC30</f>
        <v>0.02</v>
      </c>
      <c r="BA30" s="155">
        <f>BA29/BA14</f>
        <v>0.02</v>
      </c>
      <c r="BB30" s="28"/>
      <c r="BC30" s="1136">
        <f>AU30</f>
        <v>0.02</v>
      </c>
      <c r="BD30" s="330"/>
      <c r="BE30" s="330"/>
      <c r="BF30" s="330"/>
      <c r="BG30" s="334"/>
      <c r="BH30" s="155">
        <f>BK30</f>
        <v>0.02</v>
      </c>
      <c r="BI30" s="25" t="e">
        <f>BI29/BI17</f>
        <v>#DIV/0!</v>
      </c>
      <c r="BJ30" s="330"/>
      <c r="BK30" s="1136">
        <f>BC30</f>
        <v>0.02</v>
      </c>
      <c r="BL30" s="330"/>
      <c r="BM30" s="330"/>
      <c r="BN30" s="330"/>
      <c r="BO30" s="334"/>
      <c r="BP30" s="155">
        <f>BS30</f>
        <v>0.02</v>
      </c>
      <c r="BQ30" s="25" t="e">
        <f>BQ29/BQ17</f>
        <v>#DIV/0!</v>
      </c>
      <c r="BR30" s="330"/>
      <c r="BS30" s="1136">
        <f>BK30</f>
        <v>0.02</v>
      </c>
    </row>
    <row r="31" spans="1:71" ht="11.25" customHeight="1" x14ac:dyDescent="0.2">
      <c r="A31" s="186"/>
      <c r="G31" s="180"/>
      <c r="K31" s="179"/>
      <c r="O31" s="314"/>
      <c r="S31" s="179"/>
      <c r="W31" s="314"/>
      <c r="AA31" s="179"/>
      <c r="AE31" s="314"/>
      <c r="AI31" s="179"/>
      <c r="AM31" s="314"/>
      <c r="AQ31" s="179"/>
      <c r="AU31" s="314"/>
      <c r="AY31" s="179"/>
      <c r="BC31" s="314"/>
      <c r="BG31" s="179"/>
      <c r="BK31" s="314"/>
      <c r="BO31" s="179"/>
      <c r="BS31" s="314"/>
    </row>
    <row r="32" spans="1:71" ht="11.25" customHeight="1" x14ac:dyDescent="0.2">
      <c r="A32" s="186" t="s">
        <v>112</v>
      </c>
      <c r="C32" s="186">
        <f>Divisional!R126</f>
        <v>-67</v>
      </c>
      <c r="D32" s="186">
        <f>Divisional!S126</f>
        <v>-1</v>
      </c>
      <c r="E32" s="186">
        <f>Divisional!T126</f>
        <v>-377</v>
      </c>
      <c r="F32" s="186">
        <f>Divisional!U126</f>
        <v>-181</v>
      </c>
      <c r="G32" s="284">
        <f>Divisional!V126</f>
        <v>-483</v>
      </c>
      <c r="H32" s="186"/>
      <c r="I32" s="186"/>
      <c r="J32" s="186"/>
      <c r="K32" s="283"/>
      <c r="L32" s="186">
        <v>-192</v>
      </c>
      <c r="M32" s="186">
        <f>O32-L32</f>
        <v>-85</v>
      </c>
      <c r="N32" s="186"/>
      <c r="O32" s="341">
        <f>Divisional!W126</f>
        <v>-277</v>
      </c>
      <c r="P32" s="186"/>
      <c r="Q32" s="186"/>
      <c r="R32" s="186"/>
      <c r="S32" s="283"/>
      <c r="T32" s="186">
        <v>-135</v>
      </c>
      <c r="U32" s="186">
        <f>W32-T32</f>
        <v>3</v>
      </c>
      <c r="V32" s="186"/>
      <c r="W32" s="341">
        <f>Divisional!X126</f>
        <v>-132</v>
      </c>
      <c r="X32" s="186"/>
      <c r="Y32" s="186"/>
      <c r="Z32" s="186"/>
      <c r="AA32" s="283"/>
      <c r="AB32" s="186">
        <v>-68</v>
      </c>
      <c r="AC32" s="186">
        <f>AE32-AB32</f>
        <v>77</v>
      </c>
      <c r="AD32" s="186"/>
      <c r="AE32" s="341">
        <f>Divisional!Y126</f>
        <v>9</v>
      </c>
      <c r="AF32" s="186"/>
      <c r="AG32" s="186"/>
      <c r="AH32" s="186"/>
      <c r="AI32" s="283"/>
      <c r="AJ32" s="186">
        <v>-27</v>
      </c>
      <c r="AK32" s="186"/>
      <c r="AL32" s="186"/>
      <c r="AM32" s="314"/>
      <c r="AN32" s="186"/>
      <c r="AO32" s="186"/>
      <c r="AP32" s="186"/>
      <c r="AQ32" s="283"/>
      <c r="AS32" s="186"/>
      <c r="AT32" s="186"/>
      <c r="AU32" s="314"/>
      <c r="AV32" s="186"/>
      <c r="AW32" s="186"/>
      <c r="AX32" s="186"/>
      <c r="AY32" s="283"/>
      <c r="BA32" s="186"/>
      <c r="BB32" s="186"/>
      <c r="BC32" s="314"/>
      <c r="BD32" s="186"/>
      <c r="BE32" s="186"/>
      <c r="BF32" s="186"/>
      <c r="BG32" s="283"/>
      <c r="BI32" s="186"/>
      <c r="BJ32" s="186"/>
      <c r="BK32" s="314"/>
      <c r="BL32" s="186"/>
      <c r="BM32" s="186"/>
      <c r="BN32" s="186"/>
      <c r="BO32" s="283"/>
      <c r="BQ32" s="186"/>
      <c r="BR32" s="186"/>
      <c r="BS32" s="314"/>
    </row>
    <row r="33" spans="1:71" ht="11.25" customHeight="1" x14ac:dyDescent="0.25">
      <c r="A33" s="4" t="s">
        <v>1004</v>
      </c>
      <c r="C33" s="1438">
        <f>C32/C20</f>
        <v>-0.8271604938271605</v>
      </c>
      <c r="D33" s="1438">
        <f>D32/D20</f>
        <v>-5.3191489361702126E-3</v>
      </c>
      <c r="E33" s="1438">
        <f>E32/E20</f>
        <v>2.1666666666666665</v>
      </c>
      <c r="F33" s="1438">
        <f>F32/F20</f>
        <v>1.0838323353293413</v>
      </c>
      <c r="G33" s="1439">
        <f>G32/G20</f>
        <v>3.45</v>
      </c>
      <c r="H33" s="1440"/>
      <c r="I33" s="1440"/>
      <c r="J33" s="1440"/>
      <c r="K33" s="1441"/>
      <c r="L33" s="1440">
        <f>L32/L20</f>
        <v>1.92</v>
      </c>
      <c r="M33" s="1440">
        <f>M32/M20</f>
        <v>5.3125</v>
      </c>
      <c r="N33" s="1440"/>
      <c r="O33" s="1448">
        <f>O32/O20</f>
        <v>2.3879310344827585</v>
      </c>
      <c r="P33" s="330"/>
      <c r="Q33" s="330"/>
      <c r="R33" s="330"/>
      <c r="S33" s="334"/>
      <c r="T33" s="1440">
        <f>T32/T20</f>
        <v>-13.5</v>
      </c>
      <c r="U33" s="1440">
        <f>U32/U20</f>
        <v>0.17647058823529413</v>
      </c>
      <c r="V33" s="1440"/>
      <c r="W33" s="1448">
        <f>W32/W20</f>
        <v>-4.8888888888888893</v>
      </c>
      <c r="X33" s="330"/>
      <c r="Y33" s="330"/>
      <c r="Z33" s="330"/>
      <c r="AA33" s="334"/>
      <c r="AB33" s="1440">
        <f>AB32/AB20</f>
        <v>-2.5185185185185186</v>
      </c>
      <c r="AC33" s="1440">
        <f>AC32/AC20</f>
        <v>0.95061728395061729</v>
      </c>
      <c r="AD33" s="1440"/>
      <c r="AE33" s="1448">
        <f>AE32/AE20</f>
        <v>8.3333333333333329E-2</v>
      </c>
      <c r="AF33" s="330"/>
      <c r="AG33" s="330"/>
      <c r="AH33" s="330"/>
      <c r="AI33" s="334"/>
      <c r="AJ33" s="1440">
        <f>AJ32/AJ20</f>
        <v>-0.5</v>
      </c>
      <c r="AK33" s="330"/>
      <c r="AL33" s="330"/>
      <c r="AM33" s="314"/>
      <c r="AN33" s="330"/>
      <c r="AO33" s="330"/>
      <c r="AP33" s="330"/>
      <c r="AQ33" s="334"/>
      <c r="AS33" s="330"/>
      <c r="AT33" s="330"/>
      <c r="AU33" s="314"/>
      <c r="AV33" s="330"/>
      <c r="AW33" s="330"/>
      <c r="AX33" s="330"/>
      <c r="AY33" s="334"/>
      <c r="BA33" s="330"/>
      <c r="BB33" s="330"/>
      <c r="BC33" s="314"/>
      <c r="BD33" s="330"/>
      <c r="BE33" s="330"/>
      <c r="BF33" s="330"/>
      <c r="BG33" s="334"/>
      <c r="BI33" s="330"/>
      <c r="BJ33" s="330"/>
      <c r="BK33" s="314"/>
      <c r="BL33" s="330"/>
      <c r="BM33" s="330"/>
      <c r="BN33" s="330"/>
      <c r="BO33" s="334"/>
      <c r="BQ33" s="330"/>
      <c r="BR33" s="330"/>
      <c r="BS33" s="314"/>
    </row>
    <row r="34" spans="1:71" ht="11.25" customHeight="1" x14ac:dyDescent="0.2">
      <c r="C34" s="1341"/>
      <c r="D34" s="1341"/>
      <c r="G34" s="180"/>
      <c r="K34" s="179"/>
      <c r="O34" s="314"/>
      <c r="S34" s="179"/>
      <c r="W34" s="314"/>
      <c r="AA34" s="179"/>
      <c r="AE34" s="314"/>
      <c r="AI34" s="179"/>
      <c r="AM34" s="314"/>
      <c r="AQ34" s="179"/>
      <c r="AU34" s="314"/>
      <c r="AY34" s="179"/>
      <c r="BC34" s="314"/>
      <c r="BG34" s="179"/>
      <c r="BK34" s="314"/>
      <c r="BO34" s="179"/>
      <c r="BS34" s="314"/>
    </row>
    <row r="35" spans="1:71" ht="11.25" customHeight="1" x14ac:dyDescent="0.2">
      <c r="A35" s="219" t="s">
        <v>377</v>
      </c>
      <c r="C35" s="1341"/>
      <c r="D35" s="1341"/>
      <c r="G35" s="180"/>
      <c r="K35" s="179"/>
      <c r="O35" s="314"/>
      <c r="S35" s="179"/>
      <c r="W35" s="314"/>
      <c r="AA35" s="179"/>
      <c r="AE35" s="314"/>
      <c r="AI35" s="179"/>
      <c r="AM35" s="314"/>
      <c r="AQ35" s="179"/>
      <c r="AU35" s="314"/>
      <c r="AY35" s="179"/>
      <c r="BC35" s="314"/>
      <c r="BG35" s="179"/>
      <c r="BK35" s="314"/>
      <c r="BO35" s="179"/>
      <c r="BS35" s="314"/>
    </row>
    <row r="36" spans="1:71" ht="11.25" customHeight="1" x14ac:dyDescent="0.2">
      <c r="A36" s="4" t="s">
        <v>1005</v>
      </c>
      <c r="C36" s="4">
        <f>Divisional!R67</f>
        <v>178</v>
      </c>
      <c r="D36" s="4">
        <f>Divisional!S67</f>
        <v>237</v>
      </c>
      <c r="E36" s="4">
        <f>Divisional!T67</f>
        <v>173</v>
      </c>
      <c r="F36" s="4">
        <f>Divisional!U67</f>
        <v>148</v>
      </c>
      <c r="G36" s="180">
        <f>Divisional!V67</f>
        <v>137</v>
      </c>
      <c r="K36" s="179"/>
      <c r="L36" s="4">
        <v>81</v>
      </c>
      <c r="M36" s="4">
        <f>O36-L36</f>
        <v>81</v>
      </c>
      <c r="O36" s="314">
        <f>Divisional!W67</f>
        <v>162</v>
      </c>
      <c r="S36" s="179"/>
      <c r="T36" s="4">
        <v>99</v>
      </c>
      <c r="U36" s="4">
        <f>W36-T36</f>
        <v>94</v>
      </c>
      <c r="W36" s="314">
        <f>Divisional!X67</f>
        <v>193</v>
      </c>
      <c r="AA36" s="179"/>
      <c r="AB36" s="4">
        <v>90</v>
      </c>
      <c r="AC36" s="4">
        <f>AE36-AB36</f>
        <v>77</v>
      </c>
      <c r="AE36" s="314">
        <f>Divisional!Y67</f>
        <v>167</v>
      </c>
      <c r="AI36" s="179"/>
      <c r="AJ36" s="4">
        <v>45</v>
      </c>
      <c r="AK36" s="11">
        <f>AM36-AJ36</f>
        <v>114.06768508867856</v>
      </c>
      <c r="AM36" s="603">
        <f>AM37*AM14</f>
        <v>159.06768508867856</v>
      </c>
      <c r="AQ36" s="179"/>
      <c r="AR36" s="11">
        <f>AR37*AR14</f>
        <v>79.487975778546726</v>
      </c>
      <c r="AS36" s="11">
        <f>AU36-AR36</f>
        <v>94.312275760674979</v>
      </c>
      <c r="AU36" s="603">
        <f>AU37*AU14</f>
        <v>173.8002515392217</v>
      </c>
      <c r="AY36" s="179"/>
      <c r="AZ36" s="11">
        <f>AZ37*AZ14</f>
        <v>86.363280077758859</v>
      </c>
      <c r="BA36" s="11">
        <f>BC36-AZ36</f>
        <v>102.58590842524949</v>
      </c>
      <c r="BC36" s="603">
        <f>BC37*BC14</f>
        <v>188.94918850300834</v>
      </c>
      <c r="BG36" s="179"/>
      <c r="BH36" s="11">
        <f>BH37*BH14</f>
        <v>93.111860918514168</v>
      </c>
      <c r="BI36" s="11">
        <f>BK36-BH36</f>
        <v>110.72767429359743</v>
      </c>
      <c r="BK36" s="603">
        <f>BK37*BK14</f>
        <v>203.8395352121116</v>
      </c>
      <c r="BO36" s="179"/>
      <c r="BP36" s="11">
        <f>BP37*BP14</f>
        <v>97.271146080236406</v>
      </c>
      <c r="BQ36" s="11">
        <f>BS36-BP36</f>
        <v>115.80847236922037</v>
      </c>
      <c r="BS36" s="603">
        <f>BS37*BS14</f>
        <v>213.07961844945677</v>
      </c>
    </row>
    <row r="37" spans="1:71" ht="11.25" customHeight="1" x14ac:dyDescent="0.25">
      <c r="A37" s="4" t="s">
        <v>1002</v>
      </c>
      <c r="C37" s="1438">
        <f>C36/C14</f>
        <v>7.0888092393468743E-2</v>
      </c>
      <c r="D37" s="1438">
        <f>D36/D14</f>
        <v>7.1364046973803066E-2</v>
      </c>
      <c r="E37" s="1438">
        <f>E36/E14</f>
        <v>9.0010405827263273E-2</v>
      </c>
      <c r="F37" s="1438">
        <f>F36/F14</f>
        <v>0.10033898305084746</v>
      </c>
      <c r="G37" s="1439">
        <f>G36/G14</f>
        <v>6.9261880687563199E-2</v>
      </c>
      <c r="H37" s="1440"/>
      <c r="I37" s="1440"/>
      <c r="J37" s="1440"/>
      <c r="K37" s="1441"/>
      <c r="L37" s="1440">
        <f>L36/L14</f>
        <v>6.964746345657781E-2</v>
      </c>
      <c r="M37" s="82">
        <f>M36/M14</f>
        <v>6.1643835616438353E-2</v>
      </c>
      <c r="N37" s="1440"/>
      <c r="O37" s="1448">
        <f>O36/O14</f>
        <v>6.5401695599515544E-2</v>
      </c>
      <c r="P37" s="330"/>
      <c r="Q37" s="330"/>
      <c r="R37" s="330"/>
      <c r="S37" s="334"/>
      <c r="T37" s="1440">
        <f>T36/T14</f>
        <v>7.0163004961020556E-2</v>
      </c>
      <c r="U37" s="82">
        <f>U36/U14</f>
        <v>5.7810578105781059E-2</v>
      </c>
      <c r="V37" s="330"/>
      <c r="W37" s="1448">
        <f>W36/W14</f>
        <v>6.3549555482383932E-2</v>
      </c>
      <c r="X37" s="330"/>
      <c r="Y37" s="330"/>
      <c r="Z37" s="330"/>
      <c r="AA37" s="334"/>
      <c r="AB37" s="1440">
        <f>AB36/AB14</f>
        <v>5.5693069306930694E-2</v>
      </c>
      <c r="AC37" s="82">
        <f>AC36/AC14</f>
        <v>4.4431621465666475E-2</v>
      </c>
      <c r="AD37" s="330"/>
      <c r="AE37" s="1448">
        <f>AE36/AE14</f>
        <v>4.9865631531800535E-2</v>
      </c>
      <c r="AF37" s="330"/>
      <c r="AG37" s="330"/>
      <c r="AH37" s="330"/>
      <c r="AI37" s="334"/>
      <c r="AJ37" s="1440">
        <f>AJ36/AJ14</f>
        <v>3.0927835051546393E-2</v>
      </c>
      <c r="AK37" s="25">
        <f>AK36/AK14</f>
        <v>6.6074342107003359E-2</v>
      </c>
      <c r="AL37" s="330"/>
      <c r="AM37" s="1134">
        <v>0.05</v>
      </c>
      <c r="AN37" s="330"/>
      <c r="AO37" s="330"/>
      <c r="AP37" s="330"/>
      <c r="AQ37" s="334"/>
      <c r="AR37" s="155">
        <f>AU37</f>
        <v>0.05</v>
      </c>
      <c r="AS37" s="25">
        <f>AS36/AS14</f>
        <v>4.9999999999999996E-2</v>
      </c>
      <c r="AT37" s="330"/>
      <c r="AU37" s="1134">
        <v>0.05</v>
      </c>
      <c r="AV37" s="330"/>
      <c r="AW37" s="330"/>
      <c r="AX37" s="330"/>
      <c r="AY37" s="334"/>
      <c r="AZ37" s="155">
        <f>BC37</f>
        <v>0.05</v>
      </c>
      <c r="BA37" s="25">
        <f>BA36/BA14</f>
        <v>0.05</v>
      </c>
      <c r="BB37" s="330"/>
      <c r="BC37" s="1136">
        <f>AU37</f>
        <v>0.05</v>
      </c>
      <c r="BD37" s="330"/>
      <c r="BE37" s="330"/>
      <c r="BF37" s="330"/>
      <c r="BG37" s="334"/>
      <c r="BH37" s="155">
        <f>BK37</f>
        <v>0.05</v>
      </c>
      <c r="BI37" s="25">
        <f>BI36/BI14</f>
        <v>0.05</v>
      </c>
      <c r="BJ37" s="330"/>
      <c r="BK37" s="1136">
        <f>BC37</f>
        <v>0.05</v>
      </c>
      <c r="BL37" s="330"/>
      <c r="BM37" s="330"/>
      <c r="BN37" s="330"/>
      <c r="BO37" s="334"/>
      <c r="BP37" s="155">
        <f>BS37</f>
        <v>0.05</v>
      </c>
      <c r="BQ37" s="25">
        <f>BQ36/BQ14</f>
        <v>0.05</v>
      </c>
      <c r="BR37" s="330"/>
      <c r="BS37" s="1136">
        <f>BK37</f>
        <v>0.05</v>
      </c>
    </row>
    <row r="38" spans="1:71" ht="11.25" customHeight="1" x14ac:dyDescent="0.2">
      <c r="A38" s="4" t="s">
        <v>1006</v>
      </c>
      <c r="C38" s="4">
        <f>Divisional!R78</f>
        <v>45</v>
      </c>
      <c r="D38" s="4">
        <f>Divisional!S78</f>
        <v>68</v>
      </c>
      <c r="E38" s="4">
        <f>Divisional!T78</f>
        <v>93</v>
      </c>
      <c r="F38" s="4">
        <f>Divisional!U78</f>
        <v>79</v>
      </c>
      <c r="G38" s="180">
        <f>Divisional!V78</f>
        <v>60</v>
      </c>
      <c r="K38" s="179"/>
      <c r="L38" s="4">
        <v>37</v>
      </c>
      <c r="M38" s="4">
        <f>O38-L38</f>
        <v>37</v>
      </c>
      <c r="O38" s="314">
        <f>Divisional!W78</f>
        <v>74</v>
      </c>
      <c r="S38" s="179"/>
      <c r="T38" s="4">
        <v>48</v>
      </c>
      <c r="U38" s="4">
        <f>W38-T38</f>
        <v>46</v>
      </c>
      <c r="W38" s="314">
        <f>Divisional!X78</f>
        <v>94</v>
      </c>
      <c r="AA38" s="179"/>
      <c r="AB38" s="4">
        <v>40</v>
      </c>
      <c r="AC38" s="4">
        <f>AE38-AB38</f>
        <v>45</v>
      </c>
      <c r="AE38" s="314">
        <f>Divisional!Y78</f>
        <v>85</v>
      </c>
      <c r="AI38" s="179"/>
      <c r="AJ38" s="4">
        <v>16</v>
      </c>
      <c r="AK38" s="11">
        <f>AM38-AJ38</f>
        <v>63.533842544339279</v>
      </c>
      <c r="AM38" s="603">
        <f>AM39*AM36</f>
        <v>79.533842544339279</v>
      </c>
      <c r="AQ38" s="179"/>
      <c r="AR38" s="11">
        <f>AR39*AR36</f>
        <v>39.743987889273363</v>
      </c>
      <c r="AS38" s="11">
        <f>AU38-AR38</f>
        <v>47.156137880337489</v>
      </c>
      <c r="AU38" s="603">
        <f>AU39*AU36</f>
        <v>86.900125769610852</v>
      </c>
      <c r="AY38" s="179"/>
      <c r="AZ38" s="11">
        <f>AZ39*AZ36</f>
        <v>43.181640038879429</v>
      </c>
      <c r="BA38" s="11">
        <f>BC38-AZ38</f>
        <v>51.292954212624743</v>
      </c>
      <c r="BC38" s="603">
        <f>BC39*BC36</f>
        <v>94.474594251504172</v>
      </c>
      <c r="BG38" s="179"/>
      <c r="BH38" s="11">
        <f>BH39*BH36</f>
        <v>46.555930459257084</v>
      </c>
      <c r="BI38" s="11">
        <f>BK38-BH38</f>
        <v>55.363837146798716</v>
      </c>
      <c r="BK38" s="603">
        <f>BK39*BK36</f>
        <v>101.9197676060558</v>
      </c>
      <c r="BO38" s="179"/>
      <c r="BP38" s="11">
        <f>BP39*BP36</f>
        <v>48.635573040118203</v>
      </c>
      <c r="BQ38" s="11">
        <f>BS38-BP38</f>
        <v>57.904236184610184</v>
      </c>
      <c r="BS38" s="603">
        <f>BS39*BS36</f>
        <v>106.53980922472839</v>
      </c>
    </row>
    <row r="39" spans="1:71" ht="11.25" customHeight="1" x14ac:dyDescent="0.25">
      <c r="A39" s="4" t="s">
        <v>1007</v>
      </c>
      <c r="C39" s="1341">
        <f>C38/C36</f>
        <v>0.25280898876404495</v>
      </c>
      <c r="D39" s="1341">
        <f>D38/D36</f>
        <v>0.28691983122362869</v>
      </c>
      <c r="E39" s="1341">
        <f>E38/E36</f>
        <v>0.53757225433526012</v>
      </c>
      <c r="F39" s="1341">
        <f>F38/F36</f>
        <v>0.53378378378378377</v>
      </c>
      <c r="G39" s="1442">
        <f>G38/G36</f>
        <v>0.43795620437956206</v>
      </c>
      <c r="H39" s="1443"/>
      <c r="I39" s="1443"/>
      <c r="J39" s="1443"/>
      <c r="K39" s="1444"/>
      <c r="L39" s="1443">
        <f>L38/L36</f>
        <v>0.4567901234567901</v>
      </c>
      <c r="M39" s="52">
        <f>M38/M36</f>
        <v>0.4567901234567901</v>
      </c>
      <c r="N39" s="1443"/>
      <c r="O39" s="1449">
        <f>O38/O36</f>
        <v>0.4567901234567901</v>
      </c>
      <c r="P39" s="1234"/>
      <c r="Q39" s="1234"/>
      <c r="R39" s="1234"/>
      <c r="S39" s="1235"/>
      <c r="T39" s="1443">
        <f>T38/T36</f>
        <v>0.48484848484848486</v>
      </c>
      <c r="U39" s="52">
        <f>U38/U36</f>
        <v>0.48936170212765956</v>
      </c>
      <c r="V39" s="1234"/>
      <c r="W39" s="1449">
        <f>W38/W36</f>
        <v>0.48704663212435234</v>
      </c>
      <c r="X39" s="1234"/>
      <c r="Y39" s="1234"/>
      <c r="Z39" s="1234"/>
      <c r="AA39" s="1235"/>
      <c r="AB39" s="1443">
        <f>AB38/AB36</f>
        <v>0.44444444444444442</v>
      </c>
      <c r="AC39" s="52">
        <f>AC38/AC36</f>
        <v>0.58441558441558439</v>
      </c>
      <c r="AD39" s="1234"/>
      <c r="AE39" s="1449">
        <f>AE38/AE36</f>
        <v>0.50898203592814373</v>
      </c>
      <c r="AF39" s="1234"/>
      <c r="AG39" s="1234"/>
      <c r="AH39" s="1234"/>
      <c r="AI39" s="1235"/>
      <c r="AJ39" s="1443">
        <f>AJ38/AJ36</f>
        <v>0.35555555555555557</v>
      </c>
      <c r="AK39" s="33">
        <f>AK38/AK36</f>
        <v>0.55698371098656707</v>
      </c>
      <c r="AL39" s="1234"/>
      <c r="AM39" s="882">
        <v>0.5</v>
      </c>
      <c r="AN39" s="1234"/>
      <c r="AO39" s="1234"/>
      <c r="AP39" s="1234"/>
      <c r="AQ39" s="1235"/>
      <c r="AR39" s="461">
        <f>AU39</f>
        <v>0.5</v>
      </c>
      <c r="AS39" s="33">
        <f>AS38/AS36</f>
        <v>0.5</v>
      </c>
      <c r="AT39" s="1234"/>
      <c r="AU39" s="882">
        <v>0.5</v>
      </c>
      <c r="AV39" s="1234"/>
      <c r="AW39" s="1234"/>
      <c r="AX39" s="1234"/>
      <c r="AY39" s="1235"/>
      <c r="AZ39" s="461">
        <f>BC39</f>
        <v>0.5</v>
      </c>
      <c r="BA39" s="33">
        <f>BA38/BA36</f>
        <v>0.5</v>
      </c>
      <c r="BB39" s="1234"/>
      <c r="BC39" s="867">
        <f>AU39</f>
        <v>0.5</v>
      </c>
      <c r="BD39" s="1234"/>
      <c r="BE39" s="1234"/>
      <c r="BF39" s="1234"/>
      <c r="BG39" s="1235"/>
      <c r="BH39" s="461">
        <f>BK39</f>
        <v>0.5</v>
      </c>
      <c r="BI39" s="33">
        <f>BI38/BI36</f>
        <v>0.5</v>
      </c>
      <c r="BJ39" s="1234"/>
      <c r="BK39" s="867">
        <f>BC39</f>
        <v>0.5</v>
      </c>
      <c r="BL39" s="1234"/>
      <c r="BM39" s="1234"/>
      <c r="BN39" s="1234"/>
      <c r="BO39" s="1235"/>
      <c r="BP39" s="461">
        <f>BS39</f>
        <v>0.5</v>
      </c>
      <c r="BQ39" s="33">
        <f>BQ38/BQ36</f>
        <v>0.5</v>
      </c>
      <c r="BR39" s="1234"/>
      <c r="BS39" s="867">
        <f>BK39</f>
        <v>0.5</v>
      </c>
    </row>
    <row r="40" spans="1:71" ht="11.25" customHeight="1" x14ac:dyDescent="0.2">
      <c r="G40" s="180"/>
      <c r="K40" s="179"/>
      <c r="O40" s="314"/>
      <c r="S40" s="179"/>
      <c r="W40" s="314"/>
      <c r="AA40" s="179"/>
      <c r="AE40" s="314"/>
      <c r="AI40" s="179"/>
      <c r="AM40" s="314"/>
      <c r="AQ40" s="179"/>
      <c r="AU40" s="314"/>
      <c r="AY40" s="179"/>
      <c r="BC40" s="314"/>
      <c r="BG40" s="179"/>
      <c r="BK40" s="314"/>
      <c r="BO40" s="179"/>
      <c r="BS40" s="314"/>
    </row>
    <row r="41" spans="1:71" ht="11.25" customHeight="1" x14ac:dyDescent="0.2">
      <c r="A41" s="4" t="s">
        <v>1097</v>
      </c>
      <c r="C41" s="15"/>
      <c r="D41" s="15">
        <f>Propulsion!U262</f>
        <v>1.1200000000000001</v>
      </c>
      <c r="E41" s="15">
        <f>Propulsion!V262</f>
        <v>1.1399999999999999</v>
      </c>
      <c r="F41" s="15">
        <f>Propulsion!W262</f>
        <v>1.18</v>
      </c>
      <c r="G41" s="326">
        <f>Propulsion!X262</f>
        <v>1.05</v>
      </c>
      <c r="H41" s="15">
        <f>Propulsion!Y114</f>
        <v>1.103</v>
      </c>
      <c r="I41" s="15">
        <f>Propulsion!Z114</f>
        <v>1.1116425992779784</v>
      </c>
      <c r="J41" s="15">
        <f>Propulsion!AA114</f>
        <v>1.1119999999999999</v>
      </c>
      <c r="K41" s="325">
        <f>Propulsion!AB114</f>
        <v>1.103</v>
      </c>
      <c r="L41" s="15">
        <f>Propulsion!AC114</f>
        <v>1.1074999999999999</v>
      </c>
      <c r="M41" s="15">
        <f>Propulsion!AD114</f>
        <v>1.1074999999999999</v>
      </c>
      <c r="N41" s="15">
        <f>Propulsion!AE114</f>
        <v>1.1074999999999999</v>
      </c>
      <c r="O41" s="1366">
        <f>Propulsion!AF114</f>
        <v>1.1074999999999999</v>
      </c>
      <c r="P41" s="15">
        <f>Propulsion!AG114</f>
        <v>1.1065</v>
      </c>
      <c r="Q41" s="15">
        <f>Propulsion!AH114</f>
        <v>1.0969336384439361</v>
      </c>
      <c r="R41" s="15">
        <f>Propulsion!AI114</f>
        <v>1.1110000000000002</v>
      </c>
      <c r="S41" s="325">
        <f>Propulsion!AJ114</f>
        <v>1.093</v>
      </c>
      <c r="T41" s="15">
        <f>Propulsion!AK114</f>
        <v>1.1020000000000001</v>
      </c>
      <c r="U41" s="15">
        <f>Propulsion!AL114</f>
        <v>1.1020000000000001</v>
      </c>
      <c r="V41" s="15">
        <f>Propulsion!AM114</f>
        <v>1.1065</v>
      </c>
      <c r="W41" s="1366">
        <f>Propulsion!AN114</f>
        <v>1.1020000000000001</v>
      </c>
      <c r="X41" s="15">
        <f>Propulsion!AO114</f>
        <v>1.0885</v>
      </c>
      <c r="Y41" s="15">
        <f>Propulsion!AP114</f>
        <v>1.1244780097734342</v>
      </c>
      <c r="Z41" s="15">
        <f>Propulsion!AQ114</f>
        <v>1.1425000000000001</v>
      </c>
      <c r="AA41" s="325">
        <f>Propulsion!AR114</f>
        <v>1.1424999999999998</v>
      </c>
      <c r="AB41" s="15">
        <f>Propulsion!AS114</f>
        <v>1.1065</v>
      </c>
      <c r="AC41" s="15">
        <f>Propulsion!AT114</f>
        <v>1.1425000000000001</v>
      </c>
      <c r="AD41" s="15">
        <f>Propulsion!AU114</f>
        <v>1.1200000000000001</v>
      </c>
      <c r="AE41" s="1366">
        <f>Propulsion!AV114</f>
        <v>1.1245000000000001</v>
      </c>
      <c r="AF41" s="15">
        <f>Propulsion!AW114</f>
        <v>1.1425000000000001</v>
      </c>
      <c r="AG41" s="1704">
        <f>Propulsion!AX114</f>
        <v>1.1419607843137256</v>
      </c>
      <c r="AH41" s="16">
        <f>Propulsion!AY114</f>
        <v>1.1419607843137256</v>
      </c>
      <c r="AI41" s="327">
        <f>Propulsion!AZ114</f>
        <v>1.1419607843137256</v>
      </c>
      <c r="AJ41" s="1704">
        <f>Propulsion!BA114</f>
        <v>1.1425000000000001</v>
      </c>
      <c r="AK41" s="16">
        <f>Propulsion!BB114</f>
        <v>1.1419607843137256</v>
      </c>
      <c r="AL41" s="16">
        <f>Propulsion!BC114</f>
        <v>1.1419607843137254</v>
      </c>
      <c r="AM41" s="335">
        <f>Propulsion!BD114</f>
        <v>1.1419607843137254</v>
      </c>
      <c r="AN41" s="16">
        <f>Propulsion!BE114</f>
        <v>1.1504531722054381</v>
      </c>
      <c r="AO41" s="16">
        <f>Propulsion!BF114</f>
        <v>1.1504531722054381</v>
      </c>
      <c r="AP41" s="16">
        <f>Propulsion!BG114</f>
        <v>1.1504531722054381</v>
      </c>
      <c r="AQ41" s="327">
        <f>Propulsion!BH114</f>
        <v>1.1504531722054381</v>
      </c>
      <c r="AR41" s="16">
        <f>Propulsion!BI114</f>
        <v>1.1504531722054381</v>
      </c>
      <c r="AS41" s="16">
        <f>Propulsion!BJ114</f>
        <v>1.1504531722054374</v>
      </c>
      <c r="AT41" s="16">
        <f>Propulsion!BK114</f>
        <v>1.1504531722054381</v>
      </c>
      <c r="AU41" s="335">
        <f>Propulsion!BL114</f>
        <v>1.1504531722054381</v>
      </c>
      <c r="AV41" s="16">
        <f>Propulsion!BM114</f>
        <v>1.1546391752577321</v>
      </c>
      <c r="AW41" s="16">
        <f>Propulsion!BN114</f>
        <v>1.1546391752577321</v>
      </c>
      <c r="AX41" s="16">
        <f>Propulsion!BO114</f>
        <v>1.1546391752577321</v>
      </c>
      <c r="AY41" s="327">
        <f>Propulsion!BP114</f>
        <v>1.1546391752577321</v>
      </c>
      <c r="AZ41" s="16">
        <f>Propulsion!BQ114</f>
        <v>1.1546391752577321</v>
      </c>
      <c r="BA41" s="16">
        <f>Propulsion!BR114</f>
        <v>1.1546391752577319</v>
      </c>
      <c r="BB41" s="16">
        <f>Propulsion!BS114</f>
        <v>1.1546391752577321</v>
      </c>
      <c r="BC41" s="335">
        <f>Propulsion!BT114</f>
        <v>1.1546391752577321</v>
      </c>
      <c r="BD41" s="16">
        <f>Propulsion!BU114</f>
        <v>1.1688003391267485</v>
      </c>
      <c r="BE41" s="16">
        <f>Propulsion!BV114</f>
        <v>1.1688003391267485</v>
      </c>
      <c r="BF41" s="16">
        <f>Propulsion!BW114</f>
        <v>1.1688003391267485</v>
      </c>
      <c r="BG41" s="327">
        <f>Propulsion!BX114</f>
        <v>1.1688003391267485</v>
      </c>
      <c r="BH41" s="16">
        <f>Propulsion!BY114</f>
        <v>1.1688003391267485</v>
      </c>
      <c r="BI41" s="16">
        <f>Propulsion!BZ114</f>
        <v>1.1688003391267483</v>
      </c>
      <c r="BJ41" s="16">
        <f>Propulsion!CA114</f>
        <v>1.1688003391267485</v>
      </c>
      <c r="BK41" s="335">
        <f>Propulsion!CB114</f>
        <v>1.1688003391267485</v>
      </c>
      <c r="BL41" s="16">
        <f>Propulsion!CC114</f>
        <v>1.2248056435358479</v>
      </c>
      <c r="BM41" s="16">
        <f>Propulsion!CD114</f>
        <v>1.2248056435358479</v>
      </c>
      <c r="BN41" s="16">
        <f>Propulsion!CE114</f>
        <v>1.2248056435358479</v>
      </c>
      <c r="BO41" s="327">
        <f>Propulsion!CF114</f>
        <v>1.2248056435358479</v>
      </c>
      <c r="BP41" s="16">
        <f>Propulsion!CG114</f>
        <v>1.2248056435358479</v>
      </c>
      <c r="BQ41" s="16">
        <f>Propulsion!CH114</f>
        <v>1.2248056435358483</v>
      </c>
      <c r="BR41" s="16">
        <f>Propulsion!CI114</f>
        <v>1.2248056435358481</v>
      </c>
      <c r="BS41" s="335">
        <f>Propulsion!CJ114</f>
        <v>1.2248056435358481</v>
      </c>
    </row>
    <row r="42" spans="1:71" ht="11.25" customHeight="1" x14ac:dyDescent="0.25">
      <c r="A42" s="434" t="s">
        <v>1098</v>
      </c>
      <c r="B42" s="434"/>
      <c r="C42" s="1437"/>
      <c r="D42" s="1445"/>
      <c r="E42" s="1445">
        <f>(1/E41)/(1/D41)-1</f>
        <v>-1.754385964912264E-2</v>
      </c>
      <c r="F42" s="1445">
        <f>(1/F41)/(1/E41)-1</f>
        <v>-3.3898305084745783E-2</v>
      </c>
      <c r="G42" s="1446">
        <f>(1/G41)/(1/F41)-1</f>
        <v>0.12380952380952359</v>
      </c>
      <c r="H42" s="1445"/>
      <c r="I42" s="1445"/>
      <c r="J42" s="1445"/>
      <c r="K42" s="1447"/>
      <c r="L42" s="1238"/>
      <c r="M42" s="1445"/>
      <c r="N42" s="1445"/>
      <c r="O42" s="1450">
        <f>(1/O41)/(1/G41)-1</f>
        <v>-5.1918735891647638E-2</v>
      </c>
      <c r="P42" s="1236"/>
      <c r="Q42" s="1236"/>
      <c r="R42" s="1236"/>
      <c r="S42" s="1237"/>
      <c r="T42" s="128">
        <f>(1/T41)/(1/L41)-1</f>
        <v>4.9909255898366034E-3</v>
      </c>
      <c r="U42" s="128">
        <f>(1/U41)/(1/M41)-1</f>
        <v>4.9909255898366034E-3</v>
      </c>
      <c r="V42" s="1236"/>
      <c r="W42" s="1450">
        <f>(1/W41)/(1/O41)-1</f>
        <v>4.9909255898366034E-3</v>
      </c>
      <c r="X42" s="1236"/>
      <c r="Y42" s="1236"/>
      <c r="Z42" s="1236"/>
      <c r="AA42" s="1237"/>
      <c r="AB42" s="128">
        <f>(1/AB41)/(1/T41)-1</f>
        <v>-4.0668775417984637E-3</v>
      </c>
      <c r="AC42" s="128">
        <f>(1/AC41)/(1/U41)-1</f>
        <v>-3.5448577680525117E-2</v>
      </c>
      <c r="AD42" s="1236"/>
      <c r="AE42" s="1450">
        <f>(1/AE41)/(1/W41)-1</f>
        <v>-2.0008892841262838E-2</v>
      </c>
      <c r="AF42" s="1236"/>
      <c r="AG42" s="1236"/>
      <c r="AH42" s="1236"/>
      <c r="AI42" s="1237"/>
      <c r="AJ42" s="1445">
        <f>(1/AJ41)/(1/AB41)-1</f>
        <v>-3.1509846827133425E-2</v>
      </c>
      <c r="AK42" s="1238">
        <f>(1/AK41)/(1/AC41)-1</f>
        <v>4.7218406593385609E-4</v>
      </c>
      <c r="AL42" s="1236"/>
      <c r="AM42" s="1239">
        <f>(1/AM41)/(1/AE41)-1</f>
        <v>-1.5290178571428337E-2</v>
      </c>
      <c r="AN42" s="1236"/>
      <c r="AO42" s="1236"/>
      <c r="AP42" s="1236"/>
      <c r="AQ42" s="1237"/>
      <c r="AR42" s="1238">
        <f>(1/AR41)/(1/AJ41)-1</f>
        <v>-6.9130777310923985E-3</v>
      </c>
      <c r="AS42" s="1238">
        <f>(1/AS41)/(1/AK41)-1</f>
        <v>-7.3817762399071007E-3</v>
      </c>
      <c r="AT42" s="1236"/>
      <c r="AU42" s="1239">
        <f>(1/AU41)/(1/AM41)-1</f>
        <v>-7.3817762399078779E-3</v>
      </c>
      <c r="AV42" s="1236"/>
      <c r="AW42" s="1236"/>
      <c r="AX42" s="1236"/>
      <c r="AY42" s="1237"/>
      <c r="AZ42" s="1238">
        <f>(1/AZ41)/(1/AR41)-1</f>
        <v>-3.6253776435046792E-3</v>
      </c>
      <c r="BA42" s="1238">
        <f>(1/BA41)/(1/AS41)-1</f>
        <v>-3.6253776435050122E-3</v>
      </c>
      <c r="BB42" s="1236"/>
      <c r="BC42" s="1239">
        <f>(1/BC41)/(1/AU41)-1</f>
        <v>-3.6253776435046792E-3</v>
      </c>
      <c r="BD42" s="1236"/>
      <c r="BE42" s="1236"/>
      <c r="BF42" s="1236"/>
      <c r="BG42" s="1237"/>
      <c r="BH42" s="1238">
        <f>(1/BH41)/(1/AZ41)-1</f>
        <v>-1.2115981998770398E-2</v>
      </c>
      <c r="BI42" s="1238">
        <f>(1/BI41)/(1/BA41)-1</f>
        <v>-1.2115981998770287E-2</v>
      </c>
      <c r="BJ42" s="1236"/>
      <c r="BK42" s="1239">
        <f>(1/BK41)/(1/BC41)-1</f>
        <v>-1.2115981998770398E-2</v>
      </c>
      <c r="BL42" s="1236"/>
      <c r="BM42" s="1236"/>
      <c r="BN42" s="1236"/>
      <c r="BO42" s="1237"/>
      <c r="BP42" s="1238">
        <f>(1/BP41)/(1/BH41)-1</f>
        <v>-4.5725870634805155E-2</v>
      </c>
      <c r="BQ42" s="1238">
        <f>(1/BQ41)/(1/BI41)-1</f>
        <v>-4.5725870634805599E-2</v>
      </c>
      <c r="BR42" s="1236"/>
      <c r="BS42" s="1239">
        <f>(1/BS41)/(1/BK41)-1</f>
        <v>-4.5725870634805266E-2</v>
      </c>
    </row>
    <row r="45" spans="1:71" x14ac:dyDescent="0.2">
      <c r="A45" s="454" t="s">
        <v>1099</v>
      </c>
      <c r="B45" s="174"/>
      <c r="C45" s="174"/>
      <c r="D45" s="174"/>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row>
    <row r="46" spans="1:71" hidden="1" outlineLevel="1" x14ac:dyDescent="0.2"/>
    <row r="47" spans="1:71" hidden="1" outlineLevel="1" x14ac:dyDescent="0.2">
      <c r="A47" s="4" t="s">
        <v>369</v>
      </c>
      <c r="B47" s="4">
        <v>1785</v>
      </c>
    </row>
    <row r="48" spans="1:71" hidden="1" outlineLevel="1" x14ac:dyDescent="0.2">
      <c r="A48" s="197" t="s">
        <v>998</v>
      </c>
    </row>
    <row r="49" spans="1:3" hidden="1" outlineLevel="1" x14ac:dyDescent="0.2">
      <c r="A49" s="4" t="s">
        <v>370</v>
      </c>
      <c r="B49" s="4">
        <v>2014</v>
      </c>
    </row>
    <row r="50" spans="1:3" hidden="1" outlineLevel="1" x14ac:dyDescent="0.2">
      <c r="A50" s="197" t="s">
        <v>998</v>
      </c>
    </row>
    <row r="51" spans="1:3" hidden="1" outlineLevel="1" x14ac:dyDescent="0.2">
      <c r="A51" s="419" t="s">
        <v>266</v>
      </c>
      <c r="B51" s="419">
        <f>SUM(B47:B49)</f>
        <v>3799</v>
      </c>
      <c r="C51" s="419"/>
    </row>
    <row r="52" spans="1:3" hidden="1" outlineLevel="1" x14ac:dyDescent="0.2">
      <c r="A52" s="202" t="s">
        <v>998</v>
      </c>
      <c r="B52" s="202"/>
      <c r="C52" s="202"/>
    </row>
    <row r="53" spans="1:3" hidden="1" outlineLevel="1" x14ac:dyDescent="0.2"/>
    <row r="54" spans="1:3" hidden="1" outlineLevel="1" x14ac:dyDescent="0.2">
      <c r="A54" s="4" t="s">
        <v>369</v>
      </c>
      <c r="B54" s="4">
        <v>266</v>
      </c>
    </row>
    <row r="55" spans="1:3" hidden="1" outlineLevel="1" x14ac:dyDescent="0.2">
      <c r="A55" s="4" t="s">
        <v>370</v>
      </c>
      <c r="B55" s="4">
        <v>20</v>
      </c>
    </row>
    <row r="56" spans="1:3" hidden="1" outlineLevel="1" x14ac:dyDescent="0.2">
      <c r="A56" s="419" t="s">
        <v>1016</v>
      </c>
      <c r="B56" s="419">
        <f>B54+B55</f>
        <v>286</v>
      </c>
      <c r="C56" s="419"/>
    </row>
    <row r="57" spans="1:3" hidden="1" outlineLevel="1" x14ac:dyDescent="0.2">
      <c r="A57" s="4" t="s">
        <v>1001</v>
      </c>
      <c r="B57" s="4">
        <f>-4-36</f>
        <v>-40</v>
      </c>
    </row>
    <row r="58" spans="1:3" hidden="1" outlineLevel="1" x14ac:dyDescent="0.2">
      <c r="A58" s="186" t="s">
        <v>468</v>
      </c>
      <c r="B58" s="186">
        <f>B56+B57</f>
        <v>246</v>
      </c>
      <c r="C58" s="186"/>
    </row>
    <row r="59" spans="1:3" hidden="1" outlineLevel="1" x14ac:dyDescent="0.2"/>
    <row r="60" spans="1:3" hidden="1" outlineLevel="1" x14ac:dyDescent="0.2">
      <c r="A60" s="197" t="s">
        <v>369</v>
      </c>
      <c r="B60" s="249">
        <f>B54/B47</f>
        <v>0.14901960784313725</v>
      </c>
      <c r="C60" s="249"/>
    </row>
    <row r="61" spans="1:3" hidden="1" outlineLevel="1" x14ac:dyDescent="0.2">
      <c r="A61" s="197" t="s">
        <v>370</v>
      </c>
      <c r="B61" s="249">
        <f>B55/B49</f>
        <v>9.9304865938430985E-3</v>
      </c>
      <c r="C61" s="249"/>
    </row>
    <row r="62" spans="1:3" hidden="1" outlineLevel="1" x14ac:dyDescent="0.2">
      <c r="A62" s="202" t="s">
        <v>1096</v>
      </c>
      <c r="B62" s="1240">
        <f>B56/B51</f>
        <v>7.5282969202421696E-2</v>
      </c>
      <c r="C62" s="1240"/>
    </row>
    <row r="63" spans="1:3" hidden="1" outlineLevel="1" x14ac:dyDescent="0.2"/>
    <row r="64" spans="1:3" hidden="1" outlineLevel="1" x14ac:dyDescent="0.2">
      <c r="A64" s="4" t="s">
        <v>388</v>
      </c>
      <c r="B64" s="4">
        <f>Divisional!Q112</f>
        <v>60</v>
      </c>
    </row>
    <row r="65" spans="1:3" ht="15" hidden="1" outlineLevel="1" x14ac:dyDescent="0.25">
      <c r="A65" s="4" t="s">
        <v>1002</v>
      </c>
      <c r="B65" s="377">
        <f>B64/B51</f>
        <v>1.5793629902605948E-2</v>
      </c>
      <c r="C65" s="377"/>
    </row>
    <row r="66" spans="1:3" hidden="1" outlineLevel="1" x14ac:dyDescent="0.2">
      <c r="A66" s="4" t="s">
        <v>1003</v>
      </c>
      <c r="B66" s="4">
        <f>Divisional!Q101</f>
        <v>83</v>
      </c>
    </row>
    <row r="67" spans="1:3" ht="15" hidden="1" outlineLevel="1" x14ac:dyDescent="0.25">
      <c r="A67" s="4" t="s">
        <v>1002</v>
      </c>
      <c r="B67" s="377">
        <f>B66/B51</f>
        <v>2.1847854698604896E-2</v>
      </c>
      <c r="C67" s="377"/>
    </row>
    <row r="68" spans="1:3" hidden="1" outlineLevel="1" x14ac:dyDescent="0.2">
      <c r="A68" s="186"/>
    </row>
    <row r="69" spans="1:3" hidden="1" outlineLevel="1" x14ac:dyDescent="0.2">
      <c r="A69" s="186" t="s">
        <v>112</v>
      </c>
      <c r="B69" s="186">
        <f>Divisional!Q129</f>
        <v>76</v>
      </c>
      <c r="C69" s="186"/>
    </row>
    <row r="70" spans="1:3" hidden="1" outlineLevel="1" x14ac:dyDescent="0.2"/>
    <row r="71" spans="1:3" hidden="1" outlineLevel="1" x14ac:dyDescent="0.2"/>
    <row r="72" spans="1:3" hidden="1" outlineLevel="1" x14ac:dyDescent="0.2">
      <c r="A72" s="219" t="s">
        <v>377</v>
      </c>
    </row>
    <row r="73" spans="1:3" hidden="1" outlineLevel="1" x14ac:dyDescent="0.2">
      <c r="A73" s="4" t="s">
        <v>1005</v>
      </c>
      <c r="B73" s="4">
        <v>320</v>
      </c>
    </row>
    <row r="74" spans="1:3" ht="15" hidden="1" outlineLevel="1" x14ac:dyDescent="0.25">
      <c r="A74" s="4" t="s">
        <v>1002</v>
      </c>
      <c r="B74" s="377">
        <f>B73/B51</f>
        <v>8.4232692813898391E-2</v>
      </c>
      <c r="C74" s="377"/>
    </row>
    <row r="75" spans="1:3" hidden="1" outlineLevel="1" x14ac:dyDescent="0.2">
      <c r="A75" s="4" t="s">
        <v>1006</v>
      </c>
      <c r="B75" s="4">
        <v>64</v>
      </c>
    </row>
    <row r="76" spans="1:3" ht="15" hidden="1" outlineLevel="1" x14ac:dyDescent="0.25">
      <c r="A76" s="4" t="s">
        <v>1007</v>
      </c>
      <c r="B76" s="14">
        <f>B75/B73</f>
        <v>0.2</v>
      </c>
      <c r="C76" s="14"/>
    </row>
    <row r="77" spans="1:3" hidden="1" outlineLevel="1" x14ac:dyDescent="0.2"/>
    <row r="78" spans="1:3" hidden="1" outlineLevel="1" x14ac:dyDescent="0.2">
      <c r="A78" s="219" t="s">
        <v>1100</v>
      </c>
    </row>
    <row r="79" spans="1:3" hidden="1" outlineLevel="1" x14ac:dyDescent="0.2">
      <c r="A79" s="4" t="s">
        <v>1101</v>
      </c>
      <c r="B79" s="4">
        <f>1112+46</f>
        <v>1158</v>
      </c>
    </row>
    <row r="80" spans="1:3" hidden="1" outlineLevel="1" x14ac:dyDescent="0.2">
      <c r="A80" s="4" t="s">
        <v>324</v>
      </c>
      <c r="B80" s="4">
        <v>627</v>
      </c>
    </row>
    <row r="81" spans="1:3" hidden="1" outlineLevel="1" x14ac:dyDescent="0.2">
      <c r="A81" s="186" t="s">
        <v>1102</v>
      </c>
      <c r="B81" s="186">
        <f>SUM(B79:B80)</f>
        <v>1785</v>
      </c>
      <c r="C81" s="186"/>
    </row>
    <row r="82" spans="1:3" hidden="1" outlineLevel="1" x14ac:dyDescent="0.2"/>
    <row r="83" spans="1:3" hidden="1" outlineLevel="1" x14ac:dyDescent="0.2">
      <c r="A83" s="4" t="s">
        <v>1101</v>
      </c>
      <c r="B83" s="4">
        <f>1486+37</f>
        <v>1523</v>
      </c>
    </row>
    <row r="84" spans="1:3" hidden="1" outlineLevel="1" x14ac:dyDescent="0.2">
      <c r="A84" s="4" t="s">
        <v>324</v>
      </c>
      <c r="B84" s="4">
        <v>491</v>
      </c>
    </row>
    <row r="85" spans="1:3" hidden="1" outlineLevel="1" x14ac:dyDescent="0.2">
      <c r="A85" s="186" t="s">
        <v>1103</v>
      </c>
      <c r="B85" s="186">
        <f>SUM(B83:B84)</f>
        <v>2014</v>
      </c>
      <c r="C85" s="186"/>
    </row>
    <row r="86" spans="1:3" collapsed="1" x14ac:dyDescent="0.2"/>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17008-8B05-4B4F-96A9-3CDAB7C99AD2}">
  <sheetPr codeName="Sheet31">
    <tabColor theme="9"/>
    <pageSetUpPr fitToPage="1"/>
  </sheetPr>
  <dimension ref="A1:L48"/>
  <sheetViews>
    <sheetView showGridLines="0" zoomScale="90" zoomScaleNormal="90" workbookViewId="0">
      <pane xSplit="2" ySplit="3" topLeftCell="C4" activePane="bottomRight" state="frozen"/>
      <selection pane="topRight" activeCell="C1" sqref="C1"/>
      <selection pane="bottomLeft" activeCell="A4" sqref="A4"/>
      <selection pane="bottomRight" activeCell="A6" sqref="A6"/>
    </sheetView>
  </sheetViews>
  <sheetFormatPr defaultColWidth="7.28515625" defaultRowHeight="12.75" outlineLevelRow="1" x14ac:dyDescent="0.2"/>
  <cols>
    <col min="1" max="1" width="3.140625" style="1243" customWidth="1"/>
    <col min="2" max="2" width="31.7109375" style="1243" customWidth="1"/>
    <col min="3" max="6" width="11.140625" style="1243" customWidth="1"/>
    <col min="7" max="7" width="9.140625" style="1243" bestFit="1" customWidth="1"/>
    <col min="8" max="16384" width="7.28515625" style="1243"/>
  </cols>
  <sheetData>
    <row r="1" spans="1:12" ht="14.1" customHeight="1" x14ac:dyDescent="0.2">
      <c r="A1" s="1242"/>
      <c r="B1" s="1242"/>
      <c r="C1" s="1242"/>
      <c r="D1" s="1242"/>
      <c r="E1" s="1242"/>
      <c r="F1" s="1242"/>
      <c r="G1" s="1242"/>
    </row>
    <row r="2" spans="1:12" ht="14.1" customHeight="1" x14ac:dyDescent="0.25">
      <c r="A2" s="1242"/>
      <c r="B2" s="1244" t="s">
        <v>1106</v>
      </c>
      <c r="C2" s="1245"/>
      <c r="D2" s="1246" t="s">
        <v>1107</v>
      </c>
      <c r="E2" s="1246" t="s">
        <v>1108</v>
      </c>
      <c r="F2" s="1247" t="s">
        <v>1109</v>
      </c>
      <c r="G2" s="1242"/>
    </row>
    <row r="3" spans="1:12" ht="14.1" customHeight="1" x14ac:dyDescent="0.25">
      <c r="A3" s="1242"/>
      <c r="B3" s="1248" t="s">
        <v>1110</v>
      </c>
      <c r="C3" s="1249">
        <v>2025</v>
      </c>
      <c r="D3" s="1738" t="s">
        <v>1179</v>
      </c>
      <c r="E3" s="1738"/>
      <c r="F3" s="1739"/>
      <c r="G3" s="1242"/>
    </row>
    <row r="4" spans="1:12" ht="14.1" customHeight="1" x14ac:dyDescent="0.2">
      <c r="A4" s="1242"/>
      <c r="B4" s="1250" t="s">
        <v>68</v>
      </c>
      <c r="C4" s="1251">
        <f>+Divisional!Y4</f>
        <v>15668</v>
      </c>
      <c r="D4" s="1252">
        <f>C4*((1+D5)^3)</f>
        <v>22012.411904000008</v>
      </c>
      <c r="E4" s="1251">
        <f>Divisional!AB4</f>
        <v>23304.313764561895</v>
      </c>
      <c r="F4" s="1253">
        <f>C4*((1+F5)^3)</f>
        <v>24456.118527999999</v>
      </c>
      <c r="G4" s="1242"/>
      <c r="L4" s="1254"/>
    </row>
    <row r="5" spans="1:12" ht="14.1" customHeight="1" x14ac:dyDescent="0.2">
      <c r="A5" s="1242"/>
      <c r="B5" s="1255" t="s">
        <v>1150</v>
      </c>
      <c r="C5" s="1251"/>
      <c r="D5" s="1256">
        <v>0.12</v>
      </c>
      <c r="E5" s="1257">
        <f>(E4/C4)^(1/3)-1</f>
        <v>0.14149562683762218</v>
      </c>
      <c r="F5" s="1258">
        <v>0.16</v>
      </c>
      <c r="G5" s="1242"/>
      <c r="L5" s="1254"/>
    </row>
    <row r="6" spans="1:12" ht="14.1" customHeight="1" x14ac:dyDescent="0.2">
      <c r="A6" s="1242"/>
      <c r="B6" s="1259" t="s">
        <v>69</v>
      </c>
      <c r="C6" s="1251">
        <f>+Divisional!Y5</f>
        <v>12302</v>
      </c>
      <c r="D6" s="1252">
        <f>C6*((1+D7)^3)</f>
        <v>16373.962000000005</v>
      </c>
      <c r="E6" s="1251">
        <f>+Divisional!AB5</f>
        <v>17265.241942989029</v>
      </c>
      <c r="F6" s="1253">
        <f>C6*((1+F7)^3)</f>
        <v>18225.954288000004</v>
      </c>
      <c r="G6" s="1242"/>
      <c r="L6" s="1254"/>
    </row>
    <row r="7" spans="1:12" ht="14.1" customHeight="1" x14ac:dyDescent="0.2">
      <c r="A7" s="1242"/>
      <c r="B7" s="1255" t="s">
        <v>1150</v>
      </c>
      <c r="C7" s="1251"/>
      <c r="D7" s="1256">
        <v>0.1</v>
      </c>
      <c r="E7" s="1257">
        <f>(E6/C6)^(1/3)-1</f>
        <v>0.11960711227225373</v>
      </c>
      <c r="F7" s="1258">
        <v>0.14000000000000001</v>
      </c>
      <c r="G7" s="1242"/>
      <c r="L7" s="1254"/>
    </row>
    <row r="8" spans="1:12" ht="14.1" customHeight="1" x14ac:dyDescent="0.2">
      <c r="A8" s="1242"/>
      <c r="B8" s="1259" t="s">
        <v>70</v>
      </c>
      <c r="C8" s="1251">
        <f>+Divisional!Y6</f>
        <v>3349</v>
      </c>
      <c r="D8" s="1252">
        <f>C8*((1+D9)^3)</f>
        <v>3553.9855919999995</v>
      </c>
      <c r="E8" s="1251">
        <f>+Divisional!AB6</f>
        <v>3778.9837700601665</v>
      </c>
      <c r="F8" s="1253">
        <f>C8*((1+F9)^3)</f>
        <v>3988.7125840000008</v>
      </c>
      <c r="G8" s="1242"/>
      <c r="L8" s="1254"/>
    </row>
    <row r="9" spans="1:12" ht="14.1" customHeight="1" x14ac:dyDescent="0.2">
      <c r="A9" s="1242"/>
      <c r="B9" s="1255" t="s">
        <v>1150</v>
      </c>
      <c r="C9" s="1251"/>
      <c r="D9" s="1256">
        <v>0.02</v>
      </c>
      <c r="E9" s="1257">
        <f>(E8/C8)^(1/3)-1</f>
        <v>4.1086048062277003E-2</v>
      </c>
      <c r="F9" s="1258">
        <v>0.06</v>
      </c>
      <c r="G9" s="1242"/>
      <c r="L9" s="1254"/>
    </row>
    <row r="10" spans="1:12" ht="14.1" customHeight="1" outlineLevel="1" x14ac:dyDescent="0.2">
      <c r="A10" s="1242"/>
      <c r="B10" s="1259" t="s">
        <v>71</v>
      </c>
      <c r="C10" s="1251">
        <f>Divisional!Y12</f>
        <v>10</v>
      </c>
      <c r="D10" s="1252">
        <f>E10</f>
        <v>10</v>
      </c>
      <c r="E10" s="1251">
        <f>+Divisional!AB12</f>
        <v>10</v>
      </c>
      <c r="F10" s="1253">
        <f>E10</f>
        <v>10</v>
      </c>
      <c r="G10" s="1242"/>
      <c r="L10" s="1254"/>
    </row>
    <row r="11" spans="1:12" ht="14.1" customHeight="1" outlineLevel="1" x14ac:dyDescent="0.2">
      <c r="A11" s="1242"/>
      <c r="B11" s="1260" t="s">
        <v>1150</v>
      </c>
      <c r="C11" s="1261"/>
      <c r="D11" s="1262">
        <f>(D10/C10)^(1/3)-1</f>
        <v>0</v>
      </c>
      <c r="E11" s="1263">
        <f>(E10/C10)^(1/3)-1</f>
        <v>0</v>
      </c>
      <c r="F11" s="1264">
        <f>(F10/C10)^(1/3)-1</f>
        <v>0</v>
      </c>
      <c r="G11" s="1242"/>
      <c r="L11" s="1254"/>
    </row>
    <row r="12" spans="1:12" s="1270" customFormat="1" ht="15.75" x14ac:dyDescent="0.25">
      <c r="A12" s="1265"/>
      <c r="B12" s="1266" t="s">
        <v>84</v>
      </c>
      <c r="C12" s="1267">
        <f>C4+C6+C8+C10</f>
        <v>31329</v>
      </c>
      <c r="D12" s="1268">
        <f>D4+D6+D8+D10</f>
        <v>41950.359496000012</v>
      </c>
      <c r="E12" s="1267">
        <f>E4+E6+E8+E10</f>
        <v>44358.539477611092</v>
      </c>
      <c r="F12" s="1269">
        <f>F4+F6+F8+F10</f>
        <v>46680.785400000001</v>
      </c>
      <c r="G12" s="1265"/>
      <c r="L12" s="1271"/>
    </row>
    <row r="13" spans="1:12" ht="14.1" customHeight="1" x14ac:dyDescent="0.2">
      <c r="A13" s="1242"/>
      <c r="B13" s="1485" t="s">
        <v>1150</v>
      </c>
      <c r="C13" s="1272"/>
      <c r="D13" s="1273">
        <f>(D12/C12)^(1/3)-1</f>
        <v>0.10220671202917431</v>
      </c>
      <c r="E13" s="1274">
        <f>(E12/C12)^(1/3)-1</f>
        <v>0.12290642962239251</v>
      </c>
      <c r="F13" s="1275">
        <f>(F12/C12)^(1/3)-1</f>
        <v>0.14216945210130461</v>
      </c>
      <c r="G13" s="1242"/>
    </row>
    <row r="14" spans="1:12" ht="14.1" customHeight="1" x14ac:dyDescent="0.2">
      <c r="A14" s="1242"/>
      <c r="B14" s="1259"/>
      <c r="C14" s="1272"/>
      <c r="D14" s="1276"/>
      <c r="E14" s="1277"/>
      <c r="F14" s="1278"/>
      <c r="G14" s="1242"/>
    </row>
    <row r="15" spans="1:12" ht="14.1" customHeight="1" x14ac:dyDescent="0.2">
      <c r="A15" s="1242"/>
      <c r="B15" s="1250" t="s">
        <v>68</v>
      </c>
      <c r="C15" s="1272">
        <f>+Divisional!Y38</f>
        <v>3600</v>
      </c>
      <c r="D15" s="1279">
        <f>D4*D16</f>
        <v>4622.6064998400016</v>
      </c>
      <c r="E15" s="1272">
        <f>+Divisional!AB38</f>
        <v>5588.3099795433955</v>
      </c>
      <c r="F15" s="1280">
        <f>F4*F16</f>
        <v>6358.59081728</v>
      </c>
      <c r="L15" s="1281"/>
    </row>
    <row r="16" spans="1:12" s="1288" customFormat="1" ht="14.1" customHeight="1" x14ac:dyDescent="0.2">
      <c r="A16" s="1282"/>
      <c r="B16" s="1283" t="s">
        <v>461</v>
      </c>
      <c r="C16" s="1284">
        <f>+C15/C4</f>
        <v>0.2297676793464386</v>
      </c>
      <c r="D16" s="1285">
        <v>0.21</v>
      </c>
      <c r="E16" s="1284">
        <f>+E15/E4</f>
        <v>0.23979723393706426</v>
      </c>
      <c r="F16" s="1286">
        <v>0.26</v>
      </c>
      <c r="G16" s="1287"/>
    </row>
    <row r="17" spans="1:12" ht="14.1" customHeight="1" x14ac:dyDescent="0.2">
      <c r="A17" s="1242"/>
      <c r="B17" s="1259" t="s">
        <v>69</v>
      </c>
      <c r="C17" s="1272">
        <f>+Divisional!Y39</f>
        <v>1565</v>
      </c>
      <c r="D17" s="1279">
        <f>D6*D18</f>
        <v>1964.8754400000005</v>
      </c>
      <c r="E17" s="1272">
        <f>+Divisional!AB39</f>
        <v>2589.7862914483544</v>
      </c>
      <c r="F17" s="1280">
        <f>F6*F18</f>
        <v>3098.4122289600009</v>
      </c>
    </row>
    <row r="18" spans="1:12" s="1288" customFormat="1" ht="14.1" customHeight="1" x14ac:dyDescent="0.2">
      <c r="A18" s="1282"/>
      <c r="B18" s="1283" t="s">
        <v>461</v>
      </c>
      <c r="C18" s="1284">
        <f>+C17/C6</f>
        <v>0.12721508697772721</v>
      </c>
      <c r="D18" s="1285">
        <v>0.12</v>
      </c>
      <c r="E18" s="1284">
        <f>+E17/E6</f>
        <v>0.15</v>
      </c>
      <c r="F18" s="1286">
        <v>0.17</v>
      </c>
      <c r="G18" s="1287"/>
    </row>
    <row r="19" spans="1:12" ht="14.1" customHeight="1" x14ac:dyDescent="0.2">
      <c r="A19" s="1242"/>
      <c r="B19" s="1259" t="s">
        <v>70</v>
      </c>
      <c r="C19" s="1272">
        <f>+Divisional!Y40</f>
        <v>108</v>
      </c>
      <c r="D19" s="1279">
        <f>D8*D20</f>
        <v>142.15942367999997</v>
      </c>
      <c r="E19" s="1272">
        <f>+Divisional!AB40</f>
        <v>264.52886390421168</v>
      </c>
      <c r="F19" s="1280">
        <f>F8*F20</f>
        <v>358.98413256000003</v>
      </c>
    </row>
    <row r="20" spans="1:12" s="1288" customFormat="1" ht="14.1" customHeight="1" x14ac:dyDescent="0.2">
      <c r="A20" s="1282"/>
      <c r="B20" s="1283" t="s">
        <v>461</v>
      </c>
      <c r="C20" s="1284">
        <f>+C19/C8</f>
        <v>3.2248432367871005E-2</v>
      </c>
      <c r="D20" s="1285">
        <v>0.04</v>
      </c>
      <c r="E20" s="1284">
        <f>+E19/E8</f>
        <v>7.0000000000000007E-2</v>
      </c>
      <c r="F20" s="1286">
        <v>0.09</v>
      </c>
      <c r="G20" s="1287"/>
    </row>
    <row r="21" spans="1:12" s="1288" customFormat="1" ht="14.1" customHeight="1" outlineLevel="1" x14ac:dyDescent="0.2">
      <c r="A21" s="1282"/>
      <c r="B21" s="1259" t="s">
        <v>71</v>
      </c>
      <c r="C21" s="1272">
        <f>+Divisional!Y47</f>
        <v>-76</v>
      </c>
      <c r="D21" s="1279">
        <f>E21</f>
        <v>-50</v>
      </c>
      <c r="E21" s="1272">
        <f>+Divisional!AB47</f>
        <v>-50</v>
      </c>
      <c r="F21" s="1280">
        <f>E21</f>
        <v>-50</v>
      </c>
      <c r="G21" s="1287"/>
    </row>
    <row r="22" spans="1:12" s="1288" customFormat="1" ht="14.1" customHeight="1" outlineLevel="1" x14ac:dyDescent="0.2">
      <c r="A22" s="1282"/>
      <c r="B22" s="1289" t="s">
        <v>461</v>
      </c>
      <c r="C22" s="1290">
        <f>+C21/C10</f>
        <v>-7.6</v>
      </c>
      <c r="D22" s="1291">
        <f>+D21/D10</f>
        <v>-5</v>
      </c>
      <c r="E22" s="1290">
        <f>+E21/E10</f>
        <v>-5</v>
      </c>
      <c r="F22" s="1292">
        <f>+F21/F10</f>
        <v>-5</v>
      </c>
      <c r="G22" s="1287"/>
    </row>
    <row r="23" spans="1:12" ht="14.1" customHeight="1" x14ac:dyDescent="0.25">
      <c r="A23" s="1242"/>
      <c r="B23" s="1293" t="s">
        <v>1111</v>
      </c>
      <c r="C23" s="1294">
        <f>C15+C17+C19+C21</f>
        <v>5197</v>
      </c>
      <c r="D23" s="1295">
        <f>D15+D17+D19+D21</f>
        <v>6679.6413635200024</v>
      </c>
      <c r="E23" s="1294">
        <f>E15+E17+E19+E21</f>
        <v>8392.6251348959613</v>
      </c>
      <c r="F23" s="1296">
        <f>F15+F17+F19+F21</f>
        <v>9765.9871788000019</v>
      </c>
      <c r="L23" s="1281"/>
    </row>
    <row r="24" spans="1:12" s="1288" customFormat="1" ht="14.1" customHeight="1" x14ac:dyDescent="0.2">
      <c r="A24" s="1282"/>
      <c r="B24" s="1297" t="s">
        <v>461</v>
      </c>
      <c r="C24" s="1284">
        <f>+C23/C12</f>
        <v>0.16588464362092631</v>
      </c>
      <c r="D24" s="1298">
        <f>+D23/D12</f>
        <v>0.15922727346727289</v>
      </c>
      <c r="E24" s="1284">
        <f>+E23/E12</f>
        <v>0.1891997625199526</v>
      </c>
      <c r="F24" s="1299">
        <f>+F23/F12</f>
        <v>0.20920785918910442</v>
      </c>
      <c r="G24" s="1300"/>
      <c r="H24" s="1301"/>
      <c r="I24" s="1301"/>
    </row>
    <row r="25" spans="1:12" s="1288" customFormat="1" ht="14.1" customHeight="1" x14ac:dyDescent="0.2">
      <c r="A25" s="1282"/>
      <c r="B25" s="1297"/>
      <c r="C25" s="1284"/>
      <c r="D25" s="1298"/>
      <c r="E25" s="1284"/>
      <c r="F25" s="1299"/>
      <c r="G25" s="1287"/>
    </row>
    <row r="26" spans="1:12" s="1288" customFormat="1" ht="14.1" customHeight="1" x14ac:dyDescent="0.25">
      <c r="A26" s="1282"/>
      <c r="B26" s="1302" t="s">
        <v>1112</v>
      </c>
      <c r="C26" s="1284"/>
      <c r="D26" s="1298"/>
      <c r="E26" s="1284"/>
      <c r="F26" s="1299"/>
      <c r="G26" s="1287"/>
    </row>
    <row r="27" spans="1:12" s="1288" customFormat="1" ht="14.1" customHeight="1" x14ac:dyDescent="0.2">
      <c r="A27" s="1282"/>
      <c r="B27" s="1297" t="s">
        <v>1104</v>
      </c>
      <c r="C27" s="1284"/>
      <c r="D27" s="1279">
        <f>D23*D28</f>
        <v>86835.337725760037</v>
      </c>
      <c r="E27" s="1272">
        <v>171702.95488105566</v>
      </c>
      <c r="F27" s="1280">
        <f>F23*F28</f>
        <v>234383.69229120004</v>
      </c>
      <c r="G27" s="1287"/>
    </row>
    <row r="28" spans="1:12" s="1288" customFormat="1" ht="14.1" customHeight="1" x14ac:dyDescent="0.2">
      <c r="A28" s="1282"/>
      <c r="B28" s="1297" t="s">
        <v>39</v>
      </c>
      <c r="C28" s="1284"/>
      <c r="D28" s="1303">
        <v>13</v>
      </c>
      <c r="E28" s="1304">
        <f>E27/E23</f>
        <v>20.458789963956153</v>
      </c>
      <c r="F28" s="1305">
        <v>24</v>
      </c>
      <c r="G28" s="1287"/>
    </row>
    <row r="29" spans="1:12" s="1288" customFormat="1" ht="14.1" customHeight="1" x14ac:dyDescent="0.2">
      <c r="A29" s="1282"/>
      <c r="B29" s="1306" t="s">
        <v>1113</v>
      </c>
      <c r="C29" s="1284"/>
      <c r="D29" s="1279">
        <f>E29</f>
        <v>-1780</v>
      </c>
      <c r="E29" s="1272">
        <v>-1780</v>
      </c>
      <c r="F29" s="1280">
        <f>E29</f>
        <v>-1780</v>
      </c>
      <c r="G29" s="1287"/>
    </row>
    <row r="30" spans="1:12" s="1288" customFormat="1" ht="14.1" customHeight="1" x14ac:dyDescent="0.25">
      <c r="A30" s="1282"/>
      <c r="B30" s="1307" t="s">
        <v>1114</v>
      </c>
      <c r="C30" s="1308"/>
      <c r="D30" s="1309">
        <f>D27+D29</f>
        <v>85055.337725760037</v>
      </c>
      <c r="E30" s="1310">
        <f>E27+E29</f>
        <v>169922.95488105566</v>
      </c>
      <c r="F30" s="1311">
        <f>F27+F29</f>
        <v>232603.69229120004</v>
      </c>
      <c r="G30" s="1287"/>
    </row>
    <row r="31" spans="1:12" s="1288" customFormat="1" ht="14.1" customHeight="1" x14ac:dyDescent="0.25">
      <c r="A31" s="1282"/>
      <c r="B31" s="1312" t="s">
        <v>1115</v>
      </c>
      <c r="C31" s="1313"/>
      <c r="D31" s="1314">
        <f>D30/D38</f>
        <v>204.90402903017667</v>
      </c>
      <c r="E31" s="1315">
        <f>E30/E38</f>
        <v>409.35582658084269</v>
      </c>
      <c r="F31" s="1316">
        <f>F30/F38</f>
        <v>560.35793863325637</v>
      </c>
      <c r="G31" s="1287"/>
    </row>
    <row r="32" spans="1:12" s="1288" customFormat="1" ht="14.1" customHeight="1" x14ac:dyDescent="0.25">
      <c r="A32" s="1282"/>
      <c r="B32" s="1317"/>
      <c r="C32" s="1284"/>
      <c r="D32" s="1318"/>
      <c r="E32" s="1319"/>
      <c r="F32" s="1320"/>
      <c r="G32" s="1287"/>
    </row>
    <row r="33" spans="1:11" ht="14.1" customHeight="1" x14ac:dyDescent="0.2">
      <c r="A33" s="1242"/>
      <c r="B33" s="1250" t="s">
        <v>1116</v>
      </c>
      <c r="C33" s="1272">
        <f>C34-C23</f>
        <v>-340</v>
      </c>
      <c r="D33" s="1279">
        <f>E33</f>
        <v>236.02101103246969</v>
      </c>
      <c r="E33" s="1272">
        <f>E34-E23</f>
        <v>236.02101103246969</v>
      </c>
      <c r="F33" s="1280">
        <f>E33</f>
        <v>236.02101103246969</v>
      </c>
    </row>
    <row r="34" spans="1:11" ht="14.1" customHeight="1" x14ac:dyDescent="0.25">
      <c r="A34" s="1242"/>
      <c r="B34" s="1321" t="s">
        <v>1117</v>
      </c>
      <c r="C34" s="1319">
        <f>IS!W32</f>
        <v>4857</v>
      </c>
      <c r="D34" s="1318">
        <f>+D23+D33</f>
        <v>6915.6623745524721</v>
      </c>
      <c r="E34" s="1319">
        <f>IS!Z32</f>
        <v>8628.646145928431</v>
      </c>
      <c r="F34" s="1320">
        <f>+F23+F33</f>
        <v>10002.008189832472</v>
      </c>
    </row>
    <row r="35" spans="1:11" ht="14.1" customHeight="1" x14ac:dyDescent="0.2">
      <c r="A35" s="1242"/>
      <c r="B35" s="1250" t="s">
        <v>1118</v>
      </c>
      <c r="C35" s="1272">
        <f>C37-C34</f>
        <v>-1683</v>
      </c>
      <c r="D35" s="1279">
        <f>-D34*D36</f>
        <v>-1970.9637767474544</v>
      </c>
      <c r="E35" s="1272">
        <f>E37-E34</f>
        <v>-2286.8155364821087</v>
      </c>
      <c r="F35" s="1280">
        <f>-F34*F36</f>
        <v>-2450.4920065089555</v>
      </c>
    </row>
    <row r="36" spans="1:11" ht="14.1" customHeight="1" x14ac:dyDescent="0.2">
      <c r="A36" s="1242"/>
      <c r="B36" s="1250" t="s">
        <v>1119</v>
      </c>
      <c r="C36" s="1284">
        <f>-C35/C34</f>
        <v>0.34651019147621986</v>
      </c>
      <c r="D36" s="1285">
        <v>0.28499999999999998</v>
      </c>
      <c r="E36" s="1284">
        <f>-E35/E34</f>
        <v>0.26502599571326496</v>
      </c>
      <c r="F36" s="1286">
        <v>0.245</v>
      </c>
    </row>
    <row r="37" spans="1:11" ht="14.1" customHeight="1" x14ac:dyDescent="0.25">
      <c r="A37" s="1242"/>
      <c r="B37" s="1321" t="s">
        <v>1120</v>
      </c>
      <c r="C37" s="1319">
        <f>+IS!W42</f>
        <v>3174</v>
      </c>
      <c r="D37" s="1318">
        <f>D34+D35</f>
        <v>4944.6985978050179</v>
      </c>
      <c r="E37" s="1319">
        <f>+IS!Z42</f>
        <v>6341.8306094463223</v>
      </c>
      <c r="F37" s="1320">
        <f>F34+F35</f>
        <v>7551.5161833235161</v>
      </c>
    </row>
    <row r="38" spans="1:11" ht="14.1" customHeight="1" x14ac:dyDescent="0.2">
      <c r="A38" s="1242"/>
      <c r="B38" s="1250" t="s">
        <v>1121</v>
      </c>
      <c r="C38" s="1272">
        <f>+IS!W94</f>
        <v>417.88308599999999</v>
      </c>
      <c r="D38" s="1279">
        <f>E38</f>
        <v>415.09841523532828</v>
      </c>
      <c r="E38" s="1272">
        <f>IS!X94</f>
        <v>415.09841523532828</v>
      </c>
      <c r="F38" s="1280">
        <f>E38</f>
        <v>415.09841523532828</v>
      </c>
    </row>
    <row r="39" spans="1:11" ht="14.1" customHeight="1" x14ac:dyDescent="0.25">
      <c r="A39" s="1242"/>
      <c r="B39" s="1321" t="s">
        <v>1122</v>
      </c>
      <c r="C39" s="1322">
        <f>C37/C38</f>
        <v>7.5954258651186475</v>
      </c>
      <c r="D39" s="1323">
        <f>D37/D38</f>
        <v>11.912111480844274</v>
      </c>
      <c r="E39" s="1322">
        <f>E37/E38</f>
        <v>15.277896461857127</v>
      </c>
      <c r="F39" s="1324">
        <f>F37/F38</f>
        <v>18.192110367471287</v>
      </c>
      <c r="H39" s="1322"/>
      <c r="K39" s="1325"/>
    </row>
    <row r="40" spans="1:11" ht="15" x14ac:dyDescent="0.2">
      <c r="A40" s="1242"/>
      <c r="B40" s="1326" t="s">
        <v>1123</v>
      </c>
      <c r="C40" s="1327"/>
      <c r="D40" s="1328">
        <v>18</v>
      </c>
      <c r="E40" s="1329">
        <f>E41/E39</f>
        <v>25.292042220124092</v>
      </c>
      <c r="F40" s="1330">
        <v>29</v>
      </c>
      <c r="G40" s="1242"/>
    </row>
    <row r="41" spans="1:11" ht="15.75" x14ac:dyDescent="0.25">
      <c r="A41" s="1242"/>
      <c r="B41" s="1312" t="s">
        <v>1124</v>
      </c>
      <c r="C41" s="1331"/>
      <c r="D41" s="1267">
        <f>D39*D40</f>
        <v>214.41800665519693</v>
      </c>
      <c r="E41" s="1267">
        <v>386.40920234797494</v>
      </c>
      <c r="F41" s="1269">
        <f>F39*F40</f>
        <v>527.57120065666732</v>
      </c>
      <c r="G41" s="1242"/>
    </row>
    <row r="42" spans="1:11" ht="15.75" x14ac:dyDescent="0.25">
      <c r="A42" s="1242"/>
      <c r="B42" s="1332" t="s">
        <v>1125</v>
      </c>
      <c r="C42" s="1333"/>
      <c r="D42" s="1267">
        <f>AVERAGE(D31,D41)</f>
        <v>209.66101784268682</v>
      </c>
      <c r="E42" s="1267">
        <f>AVERAGE(E31,E41)</f>
        <v>397.88251446440881</v>
      </c>
      <c r="F42" s="1269">
        <f>AVERAGE(F31,F41)</f>
        <v>543.96456964496178</v>
      </c>
      <c r="G42" s="1242"/>
    </row>
    <row r="43" spans="1:11" ht="15.75" x14ac:dyDescent="0.25">
      <c r="A43" s="1242"/>
      <c r="B43" s="1332" t="s">
        <v>1126</v>
      </c>
      <c r="C43" s="1333"/>
      <c r="D43" s="1267">
        <v>275.07887657904405</v>
      </c>
      <c r="E43" s="1267">
        <v>348.67218959453675</v>
      </c>
      <c r="F43" s="1269">
        <v>472.00047712141208</v>
      </c>
      <c r="G43" s="1242"/>
    </row>
    <row r="44" spans="1:11" ht="15.75" x14ac:dyDescent="0.25">
      <c r="A44" s="1242"/>
      <c r="B44" s="1334" t="s">
        <v>1127</v>
      </c>
      <c r="C44" s="1335"/>
      <c r="D44" s="1336">
        <f>AVERAGE(D42:D43)</f>
        <v>242.36994721086543</v>
      </c>
      <c r="E44" s="1336">
        <f>AVERAGE(E42:E43)</f>
        <v>373.27735202947281</v>
      </c>
      <c r="F44" s="1337">
        <f>AVERAGE(F42:F43)</f>
        <v>507.98252338318696</v>
      </c>
      <c r="G44" s="1242"/>
      <c r="I44" s="1338" t="b">
        <v>1</v>
      </c>
    </row>
    <row r="45" spans="1:11" x14ac:dyDescent="0.2">
      <c r="A45" s="1242"/>
      <c r="B45" s="1242"/>
      <c r="C45" s="1242"/>
      <c r="D45" s="1242"/>
      <c r="E45" s="1242"/>
      <c r="F45" s="1242"/>
      <c r="G45" s="1242"/>
    </row>
    <row r="46" spans="1:11" x14ac:dyDescent="0.2">
      <c r="A46" s="1242"/>
      <c r="B46" s="1242"/>
      <c r="C46" s="1242"/>
      <c r="D46" s="1242"/>
      <c r="E46" s="1242"/>
      <c r="F46" s="1242"/>
      <c r="G46" s="1242"/>
    </row>
    <row r="47" spans="1:11" x14ac:dyDescent="0.2">
      <c r="A47" s="1242"/>
      <c r="G47" s="1242"/>
    </row>
    <row r="48" spans="1:11" x14ac:dyDescent="0.2">
      <c r="A48" s="1242"/>
      <c r="B48" s="1242"/>
      <c r="C48" s="1242"/>
      <c r="D48" s="1242"/>
      <c r="E48" s="1242"/>
      <c r="F48" s="1242"/>
      <c r="G48" s="1242"/>
    </row>
  </sheetData>
  <mergeCells count="1">
    <mergeCell ref="D3:F3"/>
  </mergeCells>
  <conditionalFormatting sqref="G24:I24">
    <cfRule type="cellIs" dxfId="2" priority="1" operator="between">
      <formula>-0.01</formula>
      <formula>0.01</formula>
    </cfRule>
    <cfRule type="cellIs" dxfId="1" priority="2" operator="lessThanOrEqual">
      <formula>0.01</formula>
    </cfRule>
    <cfRule type="cellIs" dxfId="0" priority="3" operator="greaterThanOrEqual">
      <formula>0.01</formula>
    </cfRule>
  </conditionalFormatting>
  <pageMargins left="0" right="0" top="0" bottom="0" header="0" footer="0"/>
  <pageSetup paperSize="5"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85432-06EC-4399-B124-29A432916138}">
  <dimension ref="A1:B44"/>
  <sheetViews>
    <sheetView workbookViewId="0"/>
  </sheetViews>
  <sheetFormatPr defaultRowHeight="15" x14ac:dyDescent="0.25"/>
  <cols>
    <col min="1" max="1" width="29" customWidth="1"/>
  </cols>
  <sheetData>
    <row r="1" spans="1:2" x14ac:dyDescent="0.25">
      <c r="A1" s="1728" t="s">
        <v>1520</v>
      </c>
      <c r="B1" s="1736" t="s">
        <v>1521</v>
      </c>
    </row>
    <row r="2" spans="1:2" x14ac:dyDescent="0.25">
      <c r="A2" s="1728" t="s">
        <v>1522</v>
      </c>
      <c r="B2" s="1728" t="s">
        <v>1523</v>
      </c>
    </row>
    <row r="3" spans="1:2" x14ac:dyDescent="0.25">
      <c r="A3" s="1728" t="s">
        <v>1524</v>
      </c>
      <c r="B3" s="1728" t="s">
        <v>1525</v>
      </c>
    </row>
    <row r="4" spans="1:2" x14ac:dyDescent="0.25">
      <c r="A4" s="1728" t="s">
        <v>1526</v>
      </c>
      <c r="B4" s="1728" t="s">
        <v>1527</v>
      </c>
    </row>
    <row r="5" spans="1:2" x14ac:dyDescent="0.25">
      <c r="A5" s="1728" t="s">
        <v>1528</v>
      </c>
      <c r="B5" s="1728" t="s">
        <v>1529</v>
      </c>
    </row>
    <row r="6" spans="1:2" x14ac:dyDescent="0.25">
      <c r="A6" s="1728" t="s">
        <v>1530</v>
      </c>
      <c r="B6" s="1728"/>
    </row>
    <row r="7" spans="1:2" x14ac:dyDescent="0.25">
      <c r="A7" s="1728" t="s">
        <v>1531</v>
      </c>
      <c r="B7" s="1728" t="s">
        <v>1133</v>
      </c>
    </row>
    <row r="8" spans="1:2" x14ac:dyDescent="0.25">
      <c r="A8" s="1728" t="s">
        <v>1532</v>
      </c>
      <c r="B8" s="1728" t="s">
        <v>1533</v>
      </c>
    </row>
    <row r="9" spans="1:2" x14ac:dyDescent="0.25">
      <c r="A9" s="1728" t="s">
        <v>1534</v>
      </c>
      <c r="B9" s="1728" t="s">
        <v>1535</v>
      </c>
    </row>
    <row r="10" spans="1:2" x14ac:dyDescent="0.25">
      <c r="A10" s="1728" t="s">
        <v>1536</v>
      </c>
      <c r="B10" s="1728"/>
    </row>
    <row r="11" spans="1:2" x14ac:dyDescent="0.25">
      <c r="A11" s="1728" t="s">
        <v>1537</v>
      </c>
      <c r="B11" s="1728"/>
    </row>
    <row r="12" spans="1:2" x14ac:dyDescent="0.25">
      <c r="A12" s="1728" t="s">
        <v>1538</v>
      </c>
      <c r="B12" s="1728"/>
    </row>
    <row r="13" spans="1:2" x14ac:dyDescent="0.25">
      <c r="A13" s="1728" t="s">
        <v>1539</v>
      </c>
      <c r="B13" s="1728"/>
    </row>
    <row r="14" spans="1:2" x14ac:dyDescent="0.25">
      <c r="A14" s="1728" t="s">
        <v>1540</v>
      </c>
      <c r="B14" s="1728"/>
    </row>
    <row r="15" spans="1:2" x14ac:dyDescent="0.25">
      <c r="A15" s="1728" t="s">
        <v>1541</v>
      </c>
      <c r="B15" s="1728"/>
    </row>
    <row r="16" spans="1:2" x14ac:dyDescent="0.25">
      <c r="A16" s="1728" t="s">
        <v>1542</v>
      </c>
      <c r="B16" s="1728"/>
    </row>
    <row r="17" spans="1:2" x14ac:dyDescent="0.25">
      <c r="A17" s="1728" t="s">
        <v>1543</v>
      </c>
      <c r="B17" s="1728" t="s">
        <v>1544</v>
      </c>
    </row>
    <row r="18" spans="1:2" x14ac:dyDescent="0.25">
      <c r="A18" s="1728" t="s">
        <v>1545</v>
      </c>
      <c r="B18" s="1728" t="s">
        <v>1546</v>
      </c>
    </row>
    <row r="19" spans="1:2" x14ac:dyDescent="0.25">
      <c r="A19" s="1728" t="s">
        <v>1547</v>
      </c>
      <c r="B19" s="1728" t="s">
        <v>1105</v>
      </c>
    </row>
    <row r="20" spans="1:2" x14ac:dyDescent="0.25">
      <c r="A20" s="1728" t="s">
        <v>1548</v>
      </c>
      <c r="B20" s="1728"/>
    </row>
    <row r="21" spans="1:2" x14ac:dyDescent="0.25">
      <c r="A21" s="1728" t="s">
        <v>1549</v>
      </c>
      <c r="B21" s="1728" t="s">
        <v>1105</v>
      </c>
    </row>
    <row r="22" spans="1:2" x14ac:dyDescent="0.25">
      <c r="A22" s="1728" t="s">
        <v>1550</v>
      </c>
      <c r="B22" s="1728" t="s">
        <v>1551</v>
      </c>
    </row>
    <row r="23" spans="1:2" x14ac:dyDescent="0.25">
      <c r="A23" s="1728" t="s">
        <v>1552</v>
      </c>
      <c r="B23" s="1736" t="s">
        <v>1553</v>
      </c>
    </row>
    <row r="24" spans="1:2" x14ac:dyDescent="0.25">
      <c r="A24" s="1728" t="s">
        <v>93</v>
      </c>
      <c r="B24" s="1728" t="s">
        <v>1131</v>
      </c>
    </row>
    <row r="25" spans="1:2" x14ac:dyDescent="0.25">
      <c r="A25" s="1728" t="s">
        <v>1554</v>
      </c>
      <c r="B25" s="1728" t="s">
        <v>1555</v>
      </c>
    </row>
    <row r="26" spans="1:2" x14ac:dyDescent="0.25">
      <c r="A26" s="1728" t="s">
        <v>1556</v>
      </c>
      <c r="B26" s="1728" t="s">
        <v>1557</v>
      </c>
    </row>
    <row r="27" spans="1:2" x14ac:dyDescent="0.25">
      <c r="A27" s="1728" t="s">
        <v>1558</v>
      </c>
      <c r="B27" s="1728" t="s">
        <v>1559</v>
      </c>
    </row>
    <row r="28" spans="1:2" x14ac:dyDescent="0.25">
      <c r="A28" s="1728" t="s">
        <v>1560</v>
      </c>
      <c r="B28" s="1728" t="s">
        <v>1561</v>
      </c>
    </row>
    <row r="29" spans="1:2" x14ac:dyDescent="0.25">
      <c r="A29" s="1728" t="s">
        <v>1562</v>
      </c>
      <c r="B29" s="1728"/>
    </row>
    <row r="30" spans="1:2" x14ac:dyDescent="0.25">
      <c r="A30" s="1728" t="s">
        <v>1563</v>
      </c>
      <c r="B30" s="1728"/>
    </row>
    <row r="31" spans="1:2" x14ac:dyDescent="0.25">
      <c r="A31" s="1728" t="s">
        <v>1564</v>
      </c>
      <c r="B31" s="1728"/>
    </row>
    <row r="32" spans="1:2" x14ac:dyDescent="0.25">
      <c r="A32" s="1728" t="s">
        <v>1565</v>
      </c>
      <c r="B32" s="1728"/>
    </row>
    <row r="33" spans="1:2" x14ac:dyDescent="0.25">
      <c r="A33" s="1728" t="s">
        <v>1566</v>
      </c>
      <c r="B33" s="1728"/>
    </row>
    <row r="34" spans="1:2" x14ac:dyDescent="0.25">
      <c r="A34" s="1728" t="s">
        <v>1567</v>
      </c>
      <c r="B34" s="1728"/>
    </row>
    <row r="35" spans="1:2" x14ac:dyDescent="0.25">
      <c r="A35" s="1728" t="s">
        <v>1568</v>
      </c>
      <c r="B35" s="1728" t="s">
        <v>1569</v>
      </c>
    </row>
    <row r="36" spans="1:2" x14ac:dyDescent="0.25">
      <c r="A36" s="1728" t="s">
        <v>1570</v>
      </c>
      <c r="B36" s="1728" t="s">
        <v>1132</v>
      </c>
    </row>
    <row r="37" spans="1:2" x14ac:dyDescent="0.25">
      <c r="A37" s="1728" t="s">
        <v>1571</v>
      </c>
      <c r="B37" s="1728" t="s">
        <v>1572</v>
      </c>
    </row>
    <row r="38" spans="1:2" x14ac:dyDescent="0.25">
      <c r="A38" s="1728" t="s">
        <v>1573</v>
      </c>
      <c r="B38" s="1728" t="s">
        <v>1574</v>
      </c>
    </row>
    <row r="39" spans="1:2" x14ac:dyDescent="0.25">
      <c r="A39" s="1728" t="s">
        <v>1575</v>
      </c>
      <c r="B39" s="1728" t="s">
        <v>1576</v>
      </c>
    </row>
    <row r="40" spans="1:2" x14ac:dyDescent="0.25">
      <c r="A40" s="1728" t="s">
        <v>1577</v>
      </c>
      <c r="B40" s="1728" t="s">
        <v>1578</v>
      </c>
    </row>
    <row r="41" spans="1:2" x14ac:dyDescent="0.25">
      <c r="A41" s="1728" t="s">
        <v>1579</v>
      </c>
      <c r="B41" s="1728" t="s">
        <v>1580</v>
      </c>
    </row>
    <row r="42" spans="1:2" x14ac:dyDescent="0.25">
      <c r="A42" s="1728" t="s">
        <v>1581</v>
      </c>
      <c r="B42" s="1728"/>
    </row>
    <row r="43" spans="1:2" x14ac:dyDescent="0.25">
      <c r="A43" s="1728" t="s">
        <v>1582</v>
      </c>
      <c r="B43" s="1728"/>
    </row>
    <row r="44" spans="1:2" x14ac:dyDescent="0.25">
      <c r="A44" s="1728" t="s">
        <v>1583</v>
      </c>
      <c r="B44" s="1728" t="s">
        <v>1584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6AC30-2A2A-4921-A434-6A7AE7DF46F2}">
  <dimension ref="A1:A13"/>
  <sheetViews>
    <sheetView workbookViewId="0">
      <selection activeCell="Z1" sqref="Z1"/>
    </sheetView>
  </sheetViews>
  <sheetFormatPr defaultRowHeight="15" x14ac:dyDescent="0.25"/>
  <cols>
    <col min="1" max="1" width="26.5703125" bestFit="1" customWidth="1"/>
  </cols>
  <sheetData>
    <row r="1" spans="1:1" x14ac:dyDescent="0.25">
      <c r="A1" s="1728" t="s">
        <v>1585</v>
      </c>
    </row>
    <row r="2" spans="1:1" x14ac:dyDescent="0.25">
      <c r="A2" s="1728" t="s">
        <v>1586</v>
      </c>
    </row>
    <row r="3" spans="1:1" x14ac:dyDescent="0.25">
      <c r="A3" s="1728" t="s">
        <v>1587</v>
      </c>
    </row>
    <row r="4" spans="1:1" x14ac:dyDescent="0.25">
      <c r="A4" s="1728" t="s">
        <v>1588</v>
      </c>
    </row>
    <row r="5" spans="1:1" x14ac:dyDescent="0.25">
      <c r="A5" s="1728" t="s">
        <v>1589</v>
      </c>
    </row>
    <row r="6" spans="1:1" x14ac:dyDescent="0.25">
      <c r="A6" s="1728" t="s">
        <v>1590</v>
      </c>
    </row>
    <row r="7" spans="1:1" x14ac:dyDescent="0.25">
      <c r="A7" s="1728" t="s">
        <v>1591</v>
      </c>
    </row>
    <row r="8" spans="1:1" x14ac:dyDescent="0.25">
      <c r="A8" s="1728" t="s">
        <v>1592</v>
      </c>
    </row>
    <row r="9" spans="1:1" x14ac:dyDescent="0.25">
      <c r="A9" s="1728" t="s">
        <v>1593</v>
      </c>
    </row>
    <row r="10" spans="1:1" x14ac:dyDescent="0.25">
      <c r="A10" s="1728" t="s">
        <v>1594</v>
      </c>
    </row>
    <row r="11" spans="1:1" x14ac:dyDescent="0.25">
      <c r="A11" s="1728" t="s">
        <v>1595</v>
      </c>
    </row>
    <row r="12" spans="1:1" x14ac:dyDescent="0.25">
      <c r="A12" s="1728" t="s">
        <v>1596</v>
      </c>
    </row>
    <row r="13" spans="1:1" x14ac:dyDescent="0.25">
      <c r="A13" s="1728" t="s">
        <v>1597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ImportantDisclosures</vt:lpstr>
      <vt:lpstr>Valuation Summary</vt:lpstr>
      <vt:lpstr>Divisional</vt:lpstr>
      <vt:lpstr>Quarterlies</vt:lpstr>
      <vt:lpstr>IS</vt:lpstr>
      <vt:lpstr>CF</vt:lpstr>
      <vt:lpstr>BS</vt:lpstr>
      <vt:lpstr>Propulsion</vt:lpstr>
      <vt:lpstr>Civil OE</vt:lpstr>
      <vt:lpstr>Civil AM</vt:lpstr>
      <vt:lpstr>Equipment &amp; Defense</vt:lpstr>
      <vt:lpstr>Interiors</vt:lpstr>
      <vt:lpstr>Bull Bear Base </vt:lpstr>
      <vt:lpstr>IndexInformation</vt:lpstr>
      <vt:lpstr>ModPubIndex</vt:lpstr>
      <vt:lpstr>_AnnualBalanceSheetStatement</vt:lpstr>
      <vt:lpstr>_AnnualIncomeStatement</vt:lpstr>
      <vt:lpstr>_AnnualSegmentOperatingStatement</vt:lpstr>
      <vt:lpstr>_InterimIncomeStatement</vt:lpstr>
      <vt:lpstr>_InterimSegmentOperatingStatement</vt:lpstr>
      <vt:lpstr>_SegmentAnnualOperatingStatement</vt:lpstr>
      <vt:lpstr>'Bull Bear Base '!linking_12311231</vt:lpstr>
      <vt:lpstr>Linking_21</vt:lpstr>
      <vt:lpstr>Linking_22</vt:lpstr>
      <vt:lpstr>'Bull Bear Base '!Linking_29</vt:lpstr>
      <vt:lpstr>'Bull Bear Base '!Linking_40</vt:lpstr>
      <vt:lpstr>Linking_5</vt:lpstr>
      <vt:lpstr>Linking_52</vt:lpstr>
      <vt:lpstr>Linking_6</vt:lpstr>
      <vt:lpstr>Linking_7</vt:lpstr>
      <vt:lpstr>linking_Range_12134</vt:lpstr>
      <vt:lpstr>Linking_Range_1236</vt:lpstr>
      <vt:lpstr>Linking_Range_13</vt:lpstr>
      <vt:lpstr>Linking_Range_16</vt:lpstr>
      <vt:lpstr>Linking_Range_17</vt:lpstr>
      <vt:lpstr>linking_range_199</vt:lpstr>
      <vt:lpstr>Linking_Range_2</vt:lpstr>
      <vt:lpstr>linking_range_200</vt:lpstr>
      <vt:lpstr>Linking_Range_23</vt:lpstr>
      <vt:lpstr>Linking_Range_27</vt:lpstr>
      <vt:lpstr>Linking_Range_28</vt:lpstr>
      <vt:lpstr>Linking_Range_5</vt:lpstr>
      <vt:lpstr>Linking_Range_6</vt:lpstr>
      <vt:lpstr>linking_range_9214</vt:lpstr>
      <vt:lpstr>'Civil AM'!Print_Area</vt:lpstr>
      <vt:lpstr>'Civil OE'!Print_Area</vt:lpstr>
      <vt:lpstr>Divisional!Print_Area</vt:lpstr>
      <vt:lpstr>'Equipment &amp; Defense'!Print_Area</vt:lpstr>
      <vt:lpstr>IS!Print_Area</vt:lpstr>
      <vt:lpstr>Propulsion!Print_Area</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Magajwala, Vatsal (Research)</dc:creator>
  <cp:lastModifiedBy>Dawes, Katherine (Research)</cp:lastModifiedBy>
  <cp:lastPrinted>2026-07-24T14:18:07Z</cp:lastPrinted>
  <dcterms:created xsi:type="dcterms:W3CDTF">2024-01-17T06:57:13Z</dcterms:created>
  <dcterms:modified xsi:type="dcterms:W3CDTF">2026-08-31T07:31:10Z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7f119e6-c6cd-44b0-a5ee-ac1aff68c56e_Enabled">
    <vt:lpwstr>true</vt:lpwstr>
  </property>
  <property fmtid="{D5CDD505-2E9C-101B-9397-08002B2CF9AE}" pid="3" name="MSIP_Label_07f119e6-c6cd-44b0-a5ee-ac1aff68c56e_SetDate">
    <vt:lpwstr>2024-01-17T06:57:15Z</vt:lpwstr>
  </property>
  <property fmtid="{D5CDD505-2E9C-101B-9397-08002B2CF9AE}" pid="4" name="MSIP_Label_07f119e6-c6cd-44b0-a5ee-ac1aff68c56e_Method">
    <vt:lpwstr>Standard</vt:lpwstr>
  </property>
  <property fmtid="{D5CDD505-2E9C-101B-9397-08002B2CF9AE}" pid="5" name="MSIP_Label_07f119e6-c6cd-44b0-a5ee-ac1aff68c56e_Name">
    <vt:lpwstr>Confidential v1</vt:lpwstr>
  </property>
  <property fmtid="{D5CDD505-2E9C-101B-9397-08002B2CF9AE}" pid="6" name="MSIP_Label_07f119e6-c6cd-44b0-a5ee-ac1aff68c56e_SiteId">
    <vt:lpwstr>e29b8111-49f8-418d-ac2a-935335a52614</vt:lpwstr>
  </property>
  <property fmtid="{D5CDD505-2E9C-101B-9397-08002B2CF9AE}" pid="7" name="MSIP_Label_07f119e6-c6cd-44b0-a5ee-ac1aff68c56e_ActionId">
    <vt:lpwstr>15f5fb21-b3d5-4757-b35a-718c9cd386e0</vt:lpwstr>
  </property>
  <property fmtid="{D5CDD505-2E9C-101B-9397-08002B2CF9AE}" pid="8" name="MSIP_Label_07f119e6-c6cd-44b0-a5ee-ac1aff68c56e_ContentBits">
    <vt:lpwstr>0</vt:lpwstr>
  </property>
  <property fmtid="{D5CDD505-2E9C-101B-9397-08002B2CF9AE}" pid="9" name="PowerlinkCOMAddIn.COMAddIn.WebAddinBridge.Options">
    <vt:lpwstr>{"port":50152,"version":"1.24.159"}</vt:lpwstr>
  </property>
  <property fmtid="{D5CDD505-2E9C-101B-9397-08002B2CF9AE}" pid="10" name="ERModPubTicket">
    <vt:lpwstr>NA</vt:lpwstr>
  </property>
  <property fmtid="{D5CDD505-2E9C-101B-9397-08002B2CF9AE}" pid="11" name="ERModPubConfirmEmail">
    <vt:bool>false</vt:bool>
  </property>
  <property fmtid="{D5CDD505-2E9C-101B-9397-08002B2CF9AE}" pid="12" name="ERModPubUserEmail">
    <vt:lpwstr>giridhak@ms.com</vt:lpwstr>
  </property>
  <property fmtid="{D5CDD505-2E9C-101B-9397-08002B2CF9AE}" pid="13" name="ERModPubGCIMTagged">
    <vt:bool>true</vt:bool>
  </property>
  <property fmtid="{D5CDD505-2E9C-101B-9397-08002B2CF9AE}" pid="14" name="ERCompanyUploadState">
    <vt:lpwstr>P</vt:lpwstr>
  </property>
  <property fmtid="{D5CDD505-2E9C-101B-9397-08002B2CF9AE}" pid="15" name="ERModPubCurrentYear">
    <vt:i4>2026</vt:i4>
  </property>
  <property fmtid="{D5CDD505-2E9C-101B-9397-08002B2CF9AE}" pid="16" name="ModelId">
    <vt:lpwstr>9861772</vt:lpwstr>
  </property>
  <property fmtid="{D5CDD505-2E9C-101B-9397-08002B2CF9AE}" pid="17" name="ERModPubCompanyName">
    <vt:lpwstr>Safran SA</vt:lpwstr>
  </property>
</Properties>
</file>